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omments1.xml" ContentType="application/vnd.openxmlformats-officedocument.spreadsheetml.comment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omments2.xml" ContentType="application/vnd.openxmlformats-officedocument.spreadsheetml.comments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comments3.xml" ContentType="application/vnd.openxmlformats-officedocument.spreadsheetml.comments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comments4.xml" ContentType="application/vnd.openxmlformats-officedocument.spreadsheetml.comments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comments5.xml" ContentType="application/vnd.openxmlformats-officedocument.spreadsheetml.comments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comments6.xml" ContentType="application/vnd.openxmlformats-officedocument.spreadsheetml.comments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Local Reimb\Staff File Folders\Current Staff\Everett Luc\ADA Project\Mandated Reports\"/>
    </mc:Choice>
  </mc:AlternateContent>
  <bookViews>
    <workbookView xWindow="0" yWindow="0" windowWidth="18870" windowHeight="7130"/>
  </bookViews>
  <sheets>
    <sheet name="Cover Page" sheetId="14" r:id="rId1"/>
    <sheet name="Table of Contents" sheetId="15" r:id="rId2"/>
    <sheet name="Schedule A-Summary" sheetId="16" r:id="rId3"/>
    <sheet name="Schedule A1-Local Agencies" sheetId="11" r:id="rId4"/>
    <sheet name="Schedule A1-Schools" sheetId="10" r:id="rId5"/>
    <sheet name="Schedule B-Summary" sheetId="4" r:id="rId6"/>
    <sheet name="Schedule B1-Local Agencies" sheetId="5" r:id="rId7"/>
    <sheet name="Schedule B1-Schools" sheetId="6" r:id="rId8"/>
    <sheet name="Schedule B1-Colleges" sheetId="7" r:id="rId9"/>
    <sheet name="Schedule B2-Local Agencies" sheetId="8" r:id="rId10"/>
    <sheet name="Schedule B2-Schools" sheetId="13" r:id="rId11"/>
    <sheet name="Schedule B2-Colleges" sheetId="9" r:id="rId12"/>
  </sheets>
  <externalReferences>
    <externalReference r:id="rId13"/>
  </externalReferences>
  <definedNames>
    <definedName name="_xlnm._FilterDatabase" localSheetId="3" hidden="1">'Schedule A1-Local Agencies'!#REF!</definedName>
    <definedName name="_xlnm._FilterDatabase" localSheetId="4" hidden="1">'Schedule A1-Schools'!$A$2:$I$36</definedName>
    <definedName name="_xlnm._FilterDatabase" localSheetId="8" hidden="1">'Schedule B1-Colleges'!$A$2:$M$168</definedName>
    <definedName name="_xlnm._FilterDatabase" localSheetId="6" hidden="1">'Schedule B1-Local Agencies'!$A$2:$M$292</definedName>
    <definedName name="_xlnm._FilterDatabase" localSheetId="7" hidden="1">'Schedule B1-Schools'!$A$2:$M$902</definedName>
    <definedName name="_xlnm._FilterDatabase" localSheetId="9" hidden="1">'Schedule B2-Local Agencies'!$A$2:$K$217</definedName>
    <definedName name="a" localSheetId="3">'[1]Analysis (2)'!#REF!</definedName>
    <definedName name="a" localSheetId="4">'[1]Analysis (2)'!#REF!</definedName>
    <definedName name="a" localSheetId="2">'[1]Analysis (2)'!#REF!</definedName>
    <definedName name="a" localSheetId="8">'[1]Analysis (2)'!#REF!</definedName>
    <definedName name="a" localSheetId="6">'[1]Analysis (2)'!#REF!</definedName>
    <definedName name="a" localSheetId="7">'[1]Analysis (2)'!#REF!</definedName>
    <definedName name="a" localSheetId="11">'[1]Analysis (2)'!#REF!</definedName>
    <definedName name="a" localSheetId="9">'[1]Analysis (2)'!#REF!</definedName>
    <definedName name="a" localSheetId="10">'[1]Analysis (2)'!#REF!</definedName>
    <definedName name="a" localSheetId="5">'[1]Analysis (2)'!#REF!</definedName>
    <definedName name="a" localSheetId="1">'[1]Analysis (2)'!#REF!</definedName>
    <definedName name="a">'[1]Analysis (2)'!#REF!</definedName>
    <definedName name="NO">'[1]Analysis (2)'!#REF!</definedName>
    <definedName name="_xlnm.Print_Area" localSheetId="3">'Schedule A1-Local Agencies'!$A$2:$I$80</definedName>
    <definedName name="_xlnm.Print_Area" localSheetId="4">'Schedule A1-Schools'!$A$2:$I$43</definedName>
    <definedName name="_xlnm.Print_Area" localSheetId="2">'Schedule A-Summary'!$A$2:$N$42</definedName>
    <definedName name="_xlnm.Print_Area" localSheetId="8">'Schedule B1-Colleges'!$A$2:$M$170</definedName>
    <definedName name="_xlnm.Print_Area" localSheetId="6">'Schedule B1-Local Agencies'!$A$2:$M$293</definedName>
    <definedName name="_xlnm.Print_Area" localSheetId="7">'Schedule B1-Schools'!$A$2:$M$903</definedName>
    <definedName name="_xlnm.Print_Area" localSheetId="11">'Schedule B2-Colleges'!$A$2:$K$14</definedName>
    <definedName name="_xlnm.Print_Area" localSheetId="9">'Schedule B2-Local Agencies'!$A$2:$K$237</definedName>
    <definedName name="_xlnm.Print_Area" localSheetId="10">'Schedule B2-Schools'!$A$2:$K$9</definedName>
    <definedName name="_xlnm.Print_Area" localSheetId="5">'Schedule B-Summary'!$A$2:$P$48</definedName>
    <definedName name="_xlnm.Print_Titles" localSheetId="4">'Schedule A1-Schools'!$2:$2</definedName>
    <definedName name="_xlnm.Print_Titles" localSheetId="11">'Schedule B2-Colleges'!$2:$2</definedName>
    <definedName name="_xlnm.Print_Titles" localSheetId="10">'Schedule B2-Schools'!$2:$2</definedName>
    <definedName name="_xlnm.Print_Titles" localSheetId="5">'Schedule B-Summary'!$2:$2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" i="9" l="1"/>
  <c r="H13" i="9"/>
  <c r="I13" i="9"/>
  <c r="J13" i="9"/>
  <c r="F12" i="9"/>
  <c r="G12" i="9"/>
  <c r="H12" i="9"/>
  <c r="I12" i="9"/>
  <c r="J12" i="9"/>
  <c r="K12" i="9"/>
  <c r="E12" i="9"/>
  <c r="F11" i="9"/>
  <c r="G11" i="9"/>
  <c r="G14" i="9" s="1"/>
  <c r="H11" i="9"/>
  <c r="I11" i="9"/>
  <c r="J11" i="9"/>
  <c r="K11" i="9"/>
  <c r="K14" i="9" s="1"/>
  <c r="E11" i="9"/>
  <c r="E14" i="9" s="1"/>
  <c r="F7" i="9"/>
  <c r="H7" i="9"/>
  <c r="I7" i="9"/>
  <c r="J7" i="9"/>
  <c r="G4" i="9"/>
  <c r="G7" i="9" s="1"/>
  <c r="G8" i="9" s="1"/>
  <c r="G13" i="9" s="1"/>
  <c r="K4" i="9"/>
  <c r="K7" i="9" s="1"/>
  <c r="K8" i="9" s="1"/>
  <c r="K13" i="9" s="1"/>
  <c r="E4" i="9"/>
  <c r="E7" i="9" s="1"/>
  <c r="E8" i="9" s="1"/>
  <c r="E13" i="9" s="1"/>
  <c r="F8" i="13"/>
  <c r="H8" i="13"/>
  <c r="I8" i="13"/>
  <c r="J8" i="13"/>
  <c r="G5" i="13"/>
  <c r="G8" i="13" s="1"/>
  <c r="G9" i="13" s="1"/>
  <c r="K5" i="13"/>
  <c r="K8" i="13" s="1"/>
  <c r="K9" i="13" s="1"/>
  <c r="E5" i="13"/>
  <c r="E8" i="13" s="1"/>
  <c r="E9" i="13" s="1"/>
  <c r="F236" i="8"/>
  <c r="H236" i="8"/>
  <c r="I236" i="8"/>
  <c r="J236" i="8"/>
  <c r="F235" i="8"/>
  <c r="H235" i="8"/>
  <c r="I235" i="8"/>
  <c r="J235" i="8"/>
  <c r="F234" i="8"/>
  <c r="H234" i="8"/>
  <c r="I234" i="8"/>
  <c r="J234" i="8"/>
  <c r="F233" i="8"/>
  <c r="H233" i="8"/>
  <c r="I233" i="8"/>
  <c r="J233" i="8"/>
  <c r="F232" i="8"/>
  <c r="H232" i="8"/>
  <c r="I232" i="8"/>
  <c r="J232" i="8"/>
  <c r="F231" i="8"/>
  <c r="H231" i="8"/>
  <c r="I231" i="8"/>
  <c r="J231" i="8"/>
  <c r="F230" i="8"/>
  <c r="H230" i="8"/>
  <c r="I230" i="8"/>
  <c r="J230" i="8"/>
  <c r="F229" i="8"/>
  <c r="H229" i="8"/>
  <c r="I229" i="8"/>
  <c r="J229" i="8"/>
  <c r="F228" i="8"/>
  <c r="H228" i="8"/>
  <c r="I228" i="8"/>
  <c r="J228" i="8"/>
  <c r="F227" i="8"/>
  <c r="H227" i="8"/>
  <c r="I227" i="8"/>
  <c r="J227" i="8"/>
  <c r="E227" i="8"/>
  <c r="F226" i="8"/>
  <c r="H226" i="8"/>
  <c r="I226" i="8"/>
  <c r="J226" i="8"/>
  <c r="F225" i="8"/>
  <c r="H225" i="8"/>
  <c r="I225" i="8"/>
  <c r="J225" i="8"/>
  <c r="F224" i="8"/>
  <c r="H224" i="8"/>
  <c r="I224" i="8"/>
  <c r="J224" i="8"/>
  <c r="F223" i="8"/>
  <c r="G223" i="8"/>
  <c r="H223" i="8"/>
  <c r="I223" i="8"/>
  <c r="J223" i="8"/>
  <c r="F222" i="8"/>
  <c r="H222" i="8"/>
  <c r="I222" i="8"/>
  <c r="J222" i="8"/>
  <c r="E222" i="8"/>
  <c r="F221" i="8"/>
  <c r="H221" i="8"/>
  <c r="I221" i="8"/>
  <c r="J221" i="8"/>
  <c r="F220" i="8"/>
  <c r="H220" i="8"/>
  <c r="I220" i="8"/>
  <c r="J220" i="8"/>
  <c r="G217" i="8"/>
  <c r="G236" i="8" s="1"/>
  <c r="K217" i="8"/>
  <c r="K236" i="8" s="1"/>
  <c r="E217" i="8"/>
  <c r="E236" i="8" s="1"/>
  <c r="G203" i="8"/>
  <c r="G235" i="8" s="1"/>
  <c r="K203" i="8"/>
  <c r="K235" i="8" s="1"/>
  <c r="E203" i="8"/>
  <c r="E235" i="8" s="1"/>
  <c r="G197" i="8"/>
  <c r="G234" i="8" s="1"/>
  <c r="K197" i="8"/>
  <c r="K234" i="8" s="1"/>
  <c r="E197" i="8"/>
  <c r="E234" i="8" s="1"/>
  <c r="G183" i="8"/>
  <c r="G233" i="8" s="1"/>
  <c r="K183" i="8"/>
  <c r="K233" i="8" s="1"/>
  <c r="E183" i="8"/>
  <c r="E233" i="8" s="1"/>
  <c r="G163" i="8"/>
  <c r="G232" i="8" s="1"/>
  <c r="K163" i="8"/>
  <c r="K232" i="8" s="1"/>
  <c r="E163" i="8"/>
  <c r="E232" i="8" s="1"/>
  <c r="G149" i="8"/>
  <c r="G231" i="8" s="1"/>
  <c r="K149" i="8"/>
  <c r="K231" i="8" s="1"/>
  <c r="E149" i="8"/>
  <c r="E231" i="8" s="1"/>
  <c r="G139" i="8"/>
  <c r="G230" i="8" s="1"/>
  <c r="K139" i="8"/>
  <c r="K230" i="8" s="1"/>
  <c r="E139" i="8"/>
  <c r="E230" i="8" s="1"/>
  <c r="G126" i="8"/>
  <c r="G229" i="8" s="1"/>
  <c r="K126" i="8"/>
  <c r="K229" i="8" s="1"/>
  <c r="E126" i="8"/>
  <c r="E229" i="8" s="1"/>
  <c r="G105" i="8"/>
  <c r="G228" i="8" s="1"/>
  <c r="K105" i="8"/>
  <c r="K228" i="8" s="1"/>
  <c r="E105" i="8"/>
  <c r="E228" i="8" s="1"/>
  <c r="G100" i="8"/>
  <c r="G227" i="8" s="1"/>
  <c r="K100" i="8"/>
  <c r="K227" i="8" s="1"/>
  <c r="E100" i="8"/>
  <c r="G93" i="8"/>
  <c r="G226" i="8" s="1"/>
  <c r="K93" i="8"/>
  <c r="K226" i="8" s="1"/>
  <c r="E93" i="8"/>
  <c r="E226" i="8" s="1"/>
  <c r="G74" i="8"/>
  <c r="G225" i="8" s="1"/>
  <c r="K74" i="8"/>
  <c r="K225" i="8" s="1"/>
  <c r="E74" i="8"/>
  <c r="E225" i="8" s="1"/>
  <c r="G60" i="8"/>
  <c r="G224" i="8" s="1"/>
  <c r="K60" i="8"/>
  <c r="K224" i="8" s="1"/>
  <c r="E60" i="8"/>
  <c r="E224" i="8" s="1"/>
  <c r="G47" i="8"/>
  <c r="K47" i="8"/>
  <c r="K223" i="8" s="1"/>
  <c r="E47" i="8"/>
  <c r="E223" i="8" s="1"/>
  <c r="G32" i="8"/>
  <c r="G222" i="8" s="1"/>
  <c r="K32" i="8"/>
  <c r="K222" i="8" s="1"/>
  <c r="E32" i="8"/>
  <c r="G19" i="8"/>
  <c r="G221" i="8" s="1"/>
  <c r="K19" i="8"/>
  <c r="K221" i="8" s="1"/>
  <c r="E19" i="8"/>
  <c r="E221" i="8" s="1"/>
  <c r="G5" i="8"/>
  <c r="G220" i="8" s="1"/>
  <c r="G237" i="8" s="1"/>
  <c r="K5" i="8"/>
  <c r="K220" i="8" s="1"/>
  <c r="E5" i="8"/>
  <c r="E220" i="8" s="1"/>
  <c r="G167" i="7"/>
  <c r="F166" i="7"/>
  <c r="G166" i="7"/>
  <c r="H166" i="7"/>
  <c r="I166" i="7"/>
  <c r="J166" i="7"/>
  <c r="K166" i="7"/>
  <c r="L166" i="7"/>
  <c r="E166" i="7"/>
  <c r="L165" i="7"/>
  <c r="F165" i="7"/>
  <c r="G165" i="7"/>
  <c r="H165" i="7"/>
  <c r="I165" i="7"/>
  <c r="J165" i="7"/>
  <c r="K165" i="7"/>
  <c r="E165" i="7"/>
  <c r="G161" i="7"/>
  <c r="H161" i="7"/>
  <c r="M161" i="7"/>
  <c r="G160" i="7"/>
  <c r="H160" i="7"/>
  <c r="M160" i="7"/>
  <c r="G159" i="7"/>
  <c r="H159" i="7"/>
  <c r="M159" i="7"/>
  <c r="G158" i="7"/>
  <c r="M158" i="7"/>
  <c r="G157" i="7"/>
  <c r="M157" i="7"/>
  <c r="G156" i="7"/>
  <c r="K156" i="7"/>
  <c r="M156" i="7"/>
  <c r="G155" i="7"/>
  <c r="M155" i="7"/>
  <c r="G154" i="7"/>
  <c r="M154" i="7"/>
  <c r="G153" i="7"/>
  <c r="M153" i="7"/>
  <c r="M152" i="7"/>
  <c r="G152" i="7"/>
  <c r="G151" i="7"/>
  <c r="M151" i="7"/>
  <c r="G150" i="7"/>
  <c r="I150" i="7"/>
  <c r="J150" i="7"/>
  <c r="K150" i="7"/>
  <c r="M150" i="7"/>
  <c r="G149" i="7"/>
  <c r="I149" i="7"/>
  <c r="J149" i="7"/>
  <c r="K149" i="7"/>
  <c r="M149" i="7"/>
  <c r="G148" i="7"/>
  <c r="I148" i="7"/>
  <c r="J148" i="7"/>
  <c r="M148" i="7"/>
  <c r="G147" i="7"/>
  <c r="J147" i="7"/>
  <c r="M147" i="7"/>
  <c r="G146" i="7"/>
  <c r="J146" i="7"/>
  <c r="M146" i="7"/>
  <c r="F143" i="7"/>
  <c r="F161" i="7" s="1"/>
  <c r="I143" i="7"/>
  <c r="I161" i="7" s="1"/>
  <c r="J143" i="7"/>
  <c r="J161" i="7" s="1"/>
  <c r="K143" i="7"/>
  <c r="K161" i="7" s="1"/>
  <c r="L143" i="7"/>
  <c r="L161" i="7" s="1"/>
  <c r="E143" i="7"/>
  <c r="E161" i="7" s="1"/>
  <c r="F139" i="7"/>
  <c r="F160" i="7" s="1"/>
  <c r="I139" i="7"/>
  <c r="I160" i="7" s="1"/>
  <c r="J139" i="7"/>
  <c r="J160" i="7" s="1"/>
  <c r="K139" i="7"/>
  <c r="K160" i="7" s="1"/>
  <c r="L139" i="7"/>
  <c r="L160" i="7" s="1"/>
  <c r="E139" i="7"/>
  <c r="E160" i="7" s="1"/>
  <c r="F135" i="7"/>
  <c r="F159" i="7" s="1"/>
  <c r="I135" i="7"/>
  <c r="I159" i="7" s="1"/>
  <c r="J135" i="7"/>
  <c r="J159" i="7" s="1"/>
  <c r="K135" i="7"/>
  <c r="K159" i="7" s="1"/>
  <c r="L135" i="7"/>
  <c r="L159" i="7" s="1"/>
  <c r="E135" i="7"/>
  <c r="E159" i="7" s="1"/>
  <c r="F131" i="7"/>
  <c r="F158" i="7" s="1"/>
  <c r="H131" i="7"/>
  <c r="H158" i="7" s="1"/>
  <c r="I131" i="7"/>
  <c r="I158" i="7" s="1"/>
  <c r="J131" i="7"/>
  <c r="J158" i="7" s="1"/>
  <c r="K131" i="7"/>
  <c r="K158" i="7" s="1"/>
  <c r="L131" i="7"/>
  <c r="L158" i="7" s="1"/>
  <c r="E131" i="7"/>
  <c r="E158" i="7" s="1"/>
  <c r="F125" i="7"/>
  <c r="F157" i="7" s="1"/>
  <c r="H125" i="7"/>
  <c r="H157" i="7" s="1"/>
  <c r="I125" i="7"/>
  <c r="I157" i="7" s="1"/>
  <c r="J125" i="7"/>
  <c r="J157" i="7" s="1"/>
  <c r="K125" i="7"/>
  <c r="K157" i="7" s="1"/>
  <c r="L125" i="7"/>
  <c r="L157" i="7" s="1"/>
  <c r="E125" i="7"/>
  <c r="E157" i="7" s="1"/>
  <c r="F119" i="7"/>
  <c r="F156" i="7" s="1"/>
  <c r="H119" i="7"/>
  <c r="H156" i="7" s="1"/>
  <c r="I119" i="7"/>
  <c r="I156" i="7" s="1"/>
  <c r="J119" i="7"/>
  <c r="J156" i="7" s="1"/>
  <c r="L119" i="7"/>
  <c r="L156" i="7" s="1"/>
  <c r="E119" i="7"/>
  <c r="E156" i="7" s="1"/>
  <c r="F115" i="7"/>
  <c r="F155" i="7" s="1"/>
  <c r="H115" i="7"/>
  <c r="H155" i="7" s="1"/>
  <c r="I115" i="7"/>
  <c r="I155" i="7" s="1"/>
  <c r="J115" i="7"/>
  <c r="J155" i="7" s="1"/>
  <c r="K115" i="7"/>
  <c r="K155" i="7" s="1"/>
  <c r="L115" i="7"/>
  <c r="L155" i="7" s="1"/>
  <c r="E115" i="7"/>
  <c r="E155" i="7" s="1"/>
  <c r="F109" i="7"/>
  <c r="F154" i="7" s="1"/>
  <c r="H109" i="7"/>
  <c r="H154" i="7" s="1"/>
  <c r="I109" i="7"/>
  <c r="I154" i="7" s="1"/>
  <c r="J109" i="7"/>
  <c r="J154" i="7" s="1"/>
  <c r="K109" i="7"/>
  <c r="K154" i="7" s="1"/>
  <c r="L109" i="7"/>
  <c r="L154" i="7" s="1"/>
  <c r="E109" i="7"/>
  <c r="E154" i="7" s="1"/>
  <c r="F98" i="7"/>
  <c r="F153" i="7" s="1"/>
  <c r="H98" i="7"/>
  <c r="H153" i="7" s="1"/>
  <c r="I98" i="7"/>
  <c r="I153" i="7" s="1"/>
  <c r="J98" i="7"/>
  <c r="J153" i="7" s="1"/>
  <c r="K98" i="7"/>
  <c r="K153" i="7" s="1"/>
  <c r="L98" i="7"/>
  <c r="L153" i="7" s="1"/>
  <c r="E98" i="7"/>
  <c r="E153" i="7" s="1"/>
  <c r="F80" i="7"/>
  <c r="F152" i="7" s="1"/>
  <c r="H80" i="7"/>
  <c r="H152" i="7" s="1"/>
  <c r="I80" i="7"/>
  <c r="I152" i="7" s="1"/>
  <c r="J80" i="7"/>
  <c r="J152" i="7" s="1"/>
  <c r="K80" i="7"/>
  <c r="K152" i="7" s="1"/>
  <c r="L80" i="7"/>
  <c r="L152" i="7" s="1"/>
  <c r="E80" i="7"/>
  <c r="E152" i="7" s="1"/>
  <c r="F65" i="7"/>
  <c r="F151" i="7" s="1"/>
  <c r="H65" i="7"/>
  <c r="H151" i="7" s="1"/>
  <c r="I65" i="7"/>
  <c r="I151" i="7" s="1"/>
  <c r="J65" i="7"/>
  <c r="J151" i="7" s="1"/>
  <c r="K65" i="7"/>
  <c r="K151" i="7" s="1"/>
  <c r="L65" i="7"/>
  <c r="L151" i="7" s="1"/>
  <c r="E65" i="7"/>
  <c r="E151" i="7" s="1"/>
  <c r="F51" i="7"/>
  <c r="F150" i="7" s="1"/>
  <c r="H51" i="7"/>
  <c r="H150" i="7" s="1"/>
  <c r="L51" i="7"/>
  <c r="L150" i="7" s="1"/>
  <c r="E51" i="7"/>
  <c r="E150" i="7" s="1"/>
  <c r="F36" i="7"/>
  <c r="F149" i="7" s="1"/>
  <c r="H36" i="7"/>
  <c r="H149" i="7" s="1"/>
  <c r="L36" i="7"/>
  <c r="L149" i="7" s="1"/>
  <c r="E36" i="7"/>
  <c r="E149" i="7" s="1"/>
  <c r="H22" i="7"/>
  <c r="H148" i="7" s="1"/>
  <c r="I22" i="7"/>
  <c r="F22" i="7"/>
  <c r="F148" i="7" s="1"/>
  <c r="L22" i="7"/>
  <c r="L148" i="7" s="1"/>
  <c r="E22" i="7"/>
  <c r="E148" i="7" s="1"/>
  <c r="E13" i="7"/>
  <c r="E147" i="7" s="1"/>
  <c r="F13" i="7"/>
  <c r="F147" i="7" s="1"/>
  <c r="H13" i="7"/>
  <c r="H147" i="7" s="1"/>
  <c r="I13" i="7"/>
  <c r="I147" i="7" s="1"/>
  <c r="K13" i="7"/>
  <c r="K147" i="7" s="1"/>
  <c r="L13" i="7"/>
  <c r="L147" i="7" s="1"/>
  <c r="E6" i="7"/>
  <c r="E146" i="7" s="1"/>
  <c r="H6" i="7"/>
  <c r="H146" i="7" s="1"/>
  <c r="F6" i="7"/>
  <c r="F146" i="7" s="1"/>
  <c r="L6" i="7"/>
  <c r="L146" i="7" s="1"/>
  <c r="K237" i="8" l="1"/>
  <c r="E237" i="8"/>
  <c r="H168" i="7"/>
  <c r="L162" i="7"/>
  <c r="L167" i="7" s="1"/>
  <c r="L168" i="7" s="1"/>
  <c r="J162" i="7"/>
  <c r="J167" i="7" s="1"/>
  <c r="J168" i="7" s="1"/>
  <c r="H162" i="7"/>
  <c r="H167" i="7" s="1"/>
  <c r="E162" i="7"/>
  <c r="E167" i="7" s="1"/>
  <c r="E168" i="7" s="1"/>
  <c r="F162" i="7"/>
  <c r="F167" i="7" s="1"/>
  <c r="F168" i="7" s="1"/>
  <c r="K22" i="7"/>
  <c r="K148" i="7" s="1"/>
  <c r="I6" i="7"/>
  <c r="I146" i="7" s="1"/>
  <c r="I162" i="7" s="1"/>
  <c r="I167" i="7" s="1"/>
  <c r="I168" i="7" s="1"/>
  <c r="K6" i="7"/>
  <c r="K146" i="7" s="1"/>
  <c r="H899" i="6"/>
  <c r="H898" i="6"/>
  <c r="H897" i="6"/>
  <c r="H896" i="6"/>
  <c r="H895" i="6"/>
  <c r="K895" i="6"/>
  <c r="H894" i="6"/>
  <c r="H893" i="6"/>
  <c r="L890" i="6"/>
  <c r="K886" i="6"/>
  <c r="I884" i="6"/>
  <c r="E876" i="6"/>
  <c r="I875" i="6"/>
  <c r="J875" i="6"/>
  <c r="K875" i="6"/>
  <c r="I874" i="6"/>
  <c r="J874" i="6"/>
  <c r="K874" i="6"/>
  <c r="K873" i="6"/>
  <c r="I872" i="6"/>
  <c r="J872" i="6"/>
  <c r="K872" i="6"/>
  <c r="I871" i="6"/>
  <c r="J871" i="6"/>
  <c r="K871" i="6"/>
  <c r="J870" i="6"/>
  <c r="I869" i="6"/>
  <c r="J869" i="6"/>
  <c r="K869" i="6"/>
  <c r="I868" i="6"/>
  <c r="J868" i="6"/>
  <c r="F867" i="6"/>
  <c r="I867" i="6"/>
  <c r="J867" i="6"/>
  <c r="K867" i="6"/>
  <c r="F864" i="6"/>
  <c r="F900" i="6" s="1"/>
  <c r="H900" i="6"/>
  <c r="I864" i="6"/>
  <c r="I900" i="6" s="1"/>
  <c r="J864" i="6"/>
  <c r="J900" i="6" s="1"/>
  <c r="K864" i="6"/>
  <c r="K900" i="6" s="1"/>
  <c r="L864" i="6"/>
  <c r="L900" i="6" s="1"/>
  <c r="E864" i="6"/>
  <c r="E900" i="6" s="1"/>
  <c r="F860" i="6"/>
  <c r="F899" i="6" s="1"/>
  <c r="I860" i="6"/>
  <c r="I899" i="6" s="1"/>
  <c r="J860" i="6"/>
  <c r="J899" i="6" s="1"/>
  <c r="K860" i="6"/>
  <c r="K899" i="6" s="1"/>
  <c r="L860" i="6"/>
  <c r="L899" i="6" s="1"/>
  <c r="E860" i="6"/>
  <c r="E899" i="6" s="1"/>
  <c r="F856" i="6"/>
  <c r="F898" i="6" s="1"/>
  <c r="I856" i="6"/>
  <c r="I898" i="6" s="1"/>
  <c r="J856" i="6"/>
  <c r="J898" i="6" s="1"/>
  <c r="K856" i="6"/>
  <c r="K898" i="6" s="1"/>
  <c r="L856" i="6"/>
  <c r="L898" i="6" s="1"/>
  <c r="E856" i="6"/>
  <c r="E898" i="6" s="1"/>
  <c r="F852" i="6"/>
  <c r="F897" i="6" s="1"/>
  <c r="I852" i="6"/>
  <c r="I897" i="6" s="1"/>
  <c r="J852" i="6"/>
  <c r="J897" i="6" s="1"/>
  <c r="K852" i="6"/>
  <c r="K897" i="6" s="1"/>
  <c r="L852" i="6"/>
  <c r="L897" i="6" s="1"/>
  <c r="E852" i="6"/>
  <c r="E897" i="6" s="1"/>
  <c r="F848" i="6"/>
  <c r="F896" i="6" s="1"/>
  <c r="I848" i="6"/>
  <c r="I896" i="6" s="1"/>
  <c r="J848" i="6"/>
  <c r="J896" i="6" s="1"/>
  <c r="K848" i="6"/>
  <c r="K896" i="6" s="1"/>
  <c r="L848" i="6"/>
  <c r="L896" i="6" s="1"/>
  <c r="E848" i="6"/>
  <c r="E896" i="6" s="1"/>
  <c r="F843" i="6"/>
  <c r="F895" i="6" s="1"/>
  <c r="I843" i="6"/>
  <c r="I895" i="6" s="1"/>
  <c r="J843" i="6"/>
  <c r="J895" i="6" s="1"/>
  <c r="K843" i="6"/>
  <c r="L843" i="6"/>
  <c r="L895" i="6" s="1"/>
  <c r="E843" i="6"/>
  <c r="E895" i="6" s="1"/>
  <c r="F838" i="6"/>
  <c r="F894" i="6" s="1"/>
  <c r="I838" i="6"/>
  <c r="I894" i="6" s="1"/>
  <c r="J838" i="6"/>
  <c r="J894" i="6" s="1"/>
  <c r="K838" i="6"/>
  <c r="K894" i="6" s="1"/>
  <c r="L838" i="6"/>
  <c r="L894" i="6" s="1"/>
  <c r="E838" i="6"/>
  <c r="E894" i="6" s="1"/>
  <c r="F833" i="6"/>
  <c r="F893" i="6" s="1"/>
  <c r="I833" i="6"/>
  <c r="I893" i="6" s="1"/>
  <c r="J833" i="6"/>
  <c r="J893" i="6" s="1"/>
  <c r="K833" i="6"/>
  <c r="K893" i="6" s="1"/>
  <c r="L833" i="6"/>
  <c r="L893" i="6" s="1"/>
  <c r="E833" i="6"/>
  <c r="E893" i="6" s="1"/>
  <c r="F827" i="6"/>
  <c r="F892" i="6" s="1"/>
  <c r="H827" i="6"/>
  <c r="H892" i="6" s="1"/>
  <c r="I827" i="6"/>
  <c r="I892" i="6" s="1"/>
  <c r="J827" i="6"/>
  <c r="J892" i="6" s="1"/>
  <c r="K827" i="6"/>
  <c r="K892" i="6" s="1"/>
  <c r="L827" i="6"/>
  <c r="L892" i="6" s="1"/>
  <c r="E827" i="6"/>
  <c r="E892" i="6" s="1"/>
  <c r="F820" i="6"/>
  <c r="F891" i="6" s="1"/>
  <c r="H820" i="6"/>
  <c r="H891" i="6" s="1"/>
  <c r="I820" i="6"/>
  <c r="I891" i="6" s="1"/>
  <c r="J820" i="6"/>
  <c r="J891" i="6" s="1"/>
  <c r="K820" i="6"/>
  <c r="K891" i="6" s="1"/>
  <c r="L820" i="6"/>
  <c r="L891" i="6" s="1"/>
  <c r="E820" i="6"/>
  <c r="E891" i="6" s="1"/>
  <c r="F813" i="6"/>
  <c r="F890" i="6" s="1"/>
  <c r="H813" i="6"/>
  <c r="H890" i="6" s="1"/>
  <c r="I813" i="6"/>
  <c r="I890" i="6" s="1"/>
  <c r="J813" i="6"/>
  <c r="J890" i="6" s="1"/>
  <c r="K813" i="6"/>
  <c r="K890" i="6" s="1"/>
  <c r="L813" i="6"/>
  <c r="E813" i="6"/>
  <c r="E890" i="6" s="1"/>
  <c r="F802" i="6"/>
  <c r="F889" i="6" s="1"/>
  <c r="H802" i="6"/>
  <c r="H889" i="6" s="1"/>
  <c r="I802" i="6"/>
  <c r="I889" i="6" s="1"/>
  <c r="J802" i="6"/>
  <c r="J889" i="6" s="1"/>
  <c r="K802" i="6"/>
  <c r="K889" i="6" s="1"/>
  <c r="L802" i="6"/>
  <c r="L889" i="6" s="1"/>
  <c r="E802" i="6"/>
  <c r="E889" i="6" s="1"/>
  <c r="F794" i="6"/>
  <c r="F888" i="6" s="1"/>
  <c r="H794" i="6"/>
  <c r="H888" i="6" s="1"/>
  <c r="I794" i="6"/>
  <c r="I888" i="6" s="1"/>
  <c r="J794" i="6"/>
  <c r="J888" i="6" s="1"/>
  <c r="K794" i="6"/>
  <c r="K888" i="6" s="1"/>
  <c r="L794" i="6"/>
  <c r="L888" i="6" s="1"/>
  <c r="E794" i="6"/>
  <c r="E888" i="6" s="1"/>
  <c r="F785" i="6"/>
  <c r="F887" i="6" s="1"/>
  <c r="H785" i="6"/>
  <c r="H887" i="6" s="1"/>
  <c r="I785" i="6"/>
  <c r="I887" i="6" s="1"/>
  <c r="J785" i="6"/>
  <c r="J887" i="6" s="1"/>
  <c r="K785" i="6"/>
  <c r="K887" i="6" s="1"/>
  <c r="L785" i="6"/>
  <c r="L887" i="6" s="1"/>
  <c r="E785" i="6"/>
  <c r="E887" i="6" s="1"/>
  <c r="F776" i="6"/>
  <c r="F886" i="6" s="1"/>
  <c r="H776" i="6"/>
  <c r="H886" i="6" s="1"/>
  <c r="I776" i="6"/>
  <c r="I886" i="6" s="1"/>
  <c r="J776" i="6"/>
  <c r="J886" i="6" s="1"/>
  <c r="K776" i="6"/>
  <c r="L776" i="6"/>
  <c r="L886" i="6" s="1"/>
  <c r="E776" i="6"/>
  <c r="E886" i="6" s="1"/>
  <c r="F762" i="6"/>
  <c r="F885" i="6" s="1"/>
  <c r="H762" i="6"/>
  <c r="H885" i="6" s="1"/>
  <c r="I762" i="6"/>
  <c r="I885" i="6" s="1"/>
  <c r="J762" i="6"/>
  <c r="J885" i="6" s="1"/>
  <c r="K762" i="6"/>
  <c r="K885" i="6" s="1"/>
  <c r="L762" i="6"/>
  <c r="L885" i="6" s="1"/>
  <c r="E762" i="6"/>
  <c r="E885" i="6" s="1"/>
  <c r="F738" i="6"/>
  <c r="F884" i="6" s="1"/>
  <c r="H738" i="6"/>
  <c r="H884" i="6" s="1"/>
  <c r="I738" i="6"/>
  <c r="J738" i="6"/>
  <c r="J884" i="6" s="1"/>
  <c r="K738" i="6"/>
  <c r="K884" i="6" s="1"/>
  <c r="L738" i="6"/>
  <c r="L884" i="6" s="1"/>
  <c r="E738" i="6"/>
  <c r="E884" i="6" s="1"/>
  <c r="F704" i="6"/>
  <c r="F883" i="6" s="1"/>
  <c r="H704" i="6"/>
  <c r="H883" i="6" s="1"/>
  <c r="I704" i="6"/>
  <c r="I883" i="6" s="1"/>
  <c r="J704" i="6"/>
  <c r="J883" i="6" s="1"/>
  <c r="K704" i="6"/>
  <c r="K883" i="6" s="1"/>
  <c r="L704" i="6"/>
  <c r="L883" i="6" s="1"/>
  <c r="E704" i="6"/>
  <c r="E883" i="6" s="1"/>
  <c r="F687" i="6"/>
  <c r="F882" i="6" s="1"/>
  <c r="H687" i="6"/>
  <c r="H882" i="6" s="1"/>
  <c r="I687" i="6"/>
  <c r="I882" i="6" s="1"/>
  <c r="J687" i="6"/>
  <c r="J882" i="6" s="1"/>
  <c r="K687" i="6"/>
  <c r="K882" i="6" s="1"/>
  <c r="L687" i="6"/>
  <c r="L882" i="6" s="1"/>
  <c r="E687" i="6"/>
  <c r="E882" i="6" s="1"/>
  <c r="F668" i="6"/>
  <c r="F881" i="6" s="1"/>
  <c r="H668" i="6"/>
  <c r="H881" i="6" s="1"/>
  <c r="I668" i="6"/>
  <c r="I881" i="6" s="1"/>
  <c r="J668" i="6"/>
  <c r="J881" i="6" s="1"/>
  <c r="K668" i="6"/>
  <c r="K881" i="6" s="1"/>
  <c r="L668" i="6"/>
  <c r="L881" i="6" s="1"/>
  <c r="E668" i="6"/>
  <c r="E881" i="6" s="1"/>
  <c r="F625" i="6"/>
  <c r="F880" i="6" s="1"/>
  <c r="H625" i="6"/>
  <c r="H880" i="6" s="1"/>
  <c r="I625" i="6"/>
  <c r="I880" i="6" s="1"/>
  <c r="J625" i="6"/>
  <c r="J880" i="6" s="1"/>
  <c r="K625" i="6"/>
  <c r="K880" i="6" s="1"/>
  <c r="L625" i="6"/>
  <c r="L880" i="6" s="1"/>
  <c r="E625" i="6"/>
  <c r="E880" i="6" s="1"/>
  <c r="F576" i="6"/>
  <c r="F879" i="6" s="1"/>
  <c r="H576" i="6"/>
  <c r="H879" i="6" s="1"/>
  <c r="I576" i="6"/>
  <c r="I879" i="6" s="1"/>
  <c r="J576" i="6"/>
  <c r="J879" i="6" s="1"/>
  <c r="K576" i="6"/>
  <c r="K879" i="6" s="1"/>
  <c r="L576" i="6"/>
  <c r="L879" i="6" s="1"/>
  <c r="E576" i="6"/>
  <c r="E879" i="6" s="1"/>
  <c r="F523" i="6"/>
  <c r="F878" i="6" s="1"/>
  <c r="H523" i="6"/>
  <c r="H878" i="6" s="1"/>
  <c r="I523" i="6"/>
  <c r="I878" i="6" s="1"/>
  <c r="J523" i="6"/>
  <c r="J878" i="6" s="1"/>
  <c r="K523" i="6"/>
  <c r="K878" i="6" s="1"/>
  <c r="L523" i="6"/>
  <c r="L878" i="6" s="1"/>
  <c r="E523" i="6"/>
  <c r="E878" i="6" s="1"/>
  <c r="F471" i="6"/>
  <c r="F877" i="6" s="1"/>
  <c r="H471" i="6"/>
  <c r="H877" i="6" s="1"/>
  <c r="I471" i="6"/>
  <c r="I877" i="6" s="1"/>
  <c r="J471" i="6"/>
  <c r="J877" i="6" s="1"/>
  <c r="K471" i="6"/>
  <c r="K877" i="6" s="1"/>
  <c r="L471" i="6"/>
  <c r="L877" i="6" s="1"/>
  <c r="E471" i="6"/>
  <c r="E877" i="6" s="1"/>
  <c r="F421" i="6"/>
  <c r="F876" i="6" s="1"/>
  <c r="H421" i="6"/>
  <c r="H876" i="6" s="1"/>
  <c r="I421" i="6"/>
  <c r="I876" i="6" s="1"/>
  <c r="J421" i="6"/>
  <c r="J876" i="6" s="1"/>
  <c r="K421" i="6"/>
  <c r="K876" i="6" s="1"/>
  <c r="L421" i="6"/>
  <c r="L876" i="6" s="1"/>
  <c r="E421" i="6"/>
  <c r="F374" i="6"/>
  <c r="F875" i="6" s="1"/>
  <c r="H374" i="6"/>
  <c r="H875" i="6" s="1"/>
  <c r="L374" i="6"/>
  <c r="L875" i="6" s="1"/>
  <c r="E374" i="6"/>
  <c r="E875" i="6" s="1"/>
  <c r="F322" i="6"/>
  <c r="F874" i="6" s="1"/>
  <c r="H322" i="6"/>
  <c r="H874" i="6" s="1"/>
  <c r="L322" i="6"/>
  <c r="L874" i="6" s="1"/>
  <c r="E322" i="6"/>
  <c r="E874" i="6" s="1"/>
  <c r="F275" i="6"/>
  <c r="F873" i="6" s="1"/>
  <c r="H275" i="6"/>
  <c r="H873" i="6" s="1"/>
  <c r="I275" i="6"/>
  <c r="I873" i="6" s="1"/>
  <c r="J275" i="6"/>
  <c r="J873" i="6" s="1"/>
  <c r="L275" i="6"/>
  <c r="L873" i="6" s="1"/>
  <c r="E275" i="6"/>
  <c r="E873" i="6" s="1"/>
  <c r="F228" i="6"/>
  <c r="F872" i="6" s="1"/>
  <c r="H228" i="6"/>
  <c r="H872" i="6" s="1"/>
  <c r="L228" i="6"/>
  <c r="L872" i="6" s="1"/>
  <c r="E228" i="6"/>
  <c r="E872" i="6" s="1"/>
  <c r="F183" i="6"/>
  <c r="F871" i="6" s="1"/>
  <c r="H183" i="6"/>
  <c r="H871" i="6" s="1"/>
  <c r="L183" i="6"/>
  <c r="L871" i="6" s="1"/>
  <c r="E183" i="6"/>
  <c r="E871" i="6" s="1"/>
  <c r="F140" i="6"/>
  <c r="F870" i="6" s="1"/>
  <c r="H140" i="6"/>
  <c r="H870" i="6" s="1"/>
  <c r="I140" i="6"/>
  <c r="I870" i="6" s="1"/>
  <c r="K140" i="6"/>
  <c r="K870" i="6" s="1"/>
  <c r="L140" i="6"/>
  <c r="L870" i="6" s="1"/>
  <c r="E140" i="6"/>
  <c r="E870" i="6" s="1"/>
  <c r="F105" i="6"/>
  <c r="F869" i="6" s="1"/>
  <c r="H105" i="6"/>
  <c r="H869" i="6" s="1"/>
  <c r="L105" i="6"/>
  <c r="L869" i="6" s="1"/>
  <c r="E105" i="6"/>
  <c r="E869" i="6" s="1"/>
  <c r="F70" i="6"/>
  <c r="F868" i="6" s="1"/>
  <c r="H70" i="6"/>
  <c r="H868" i="6" s="1"/>
  <c r="I70" i="6"/>
  <c r="K70" i="6"/>
  <c r="K868" i="6" s="1"/>
  <c r="L70" i="6"/>
  <c r="L868" i="6" s="1"/>
  <c r="E70" i="6"/>
  <c r="E868" i="6" s="1"/>
  <c r="H34" i="6"/>
  <c r="H867" i="6" s="1"/>
  <c r="L34" i="6"/>
  <c r="L867" i="6" s="1"/>
  <c r="E34" i="6"/>
  <c r="E867" i="6" s="1"/>
  <c r="K162" i="7" l="1"/>
  <c r="K167" i="7" s="1"/>
  <c r="K168" i="7" s="1"/>
  <c r="J901" i="6"/>
  <c r="I901" i="6"/>
  <c r="F901" i="6"/>
  <c r="K901" i="6"/>
  <c r="E901" i="6"/>
  <c r="L901" i="6"/>
  <c r="H901" i="6"/>
  <c r="H110" i="5"/>
  <c r="I110" i="5"/>
  <c r="J110" i="5"/>
  <c r="K110" i="5"/>
  <c r="L110" i="5"/>
  <c r="F110" i="5"/>
  <c r="F282" i="5" l="1"/>
  <c r="H290" i="5"/>
  <c r="H289" i="5"/>
  <c r="J289" i="5"/>
  <c r="H288" i="5"/>
  <c r="H287" i="5"/>
  <c r="H286" i="5"/>
  <c r="H285" i="5"/>
  <c r="I282" i="5"/>
  <c r="J282" i="5"/>
  <c r="K282" i="5"/>
  <c r="I280" i="5"/>
  <c r="J280" i="5"/>
  <c r="K280" i="5"/>
  <c r="I279" i="5"/>
  <c r="J279" i="5"/>
  <c r="K279" i="5"/>
  <c r="J275" i="5"/>
  <c r="J274" i="5"/>
  <c r="F273" i="5"/>
  <c r="H273" i="5"/>
  <c r="I273" i="5"/>
  <c r="J273" i="5"/>
  <c r="K273" i="5"/>
  <c r="J272" i="5"/>
  <c r="F271" i="5"/>
  <c r="I271" i="5"/>
  <c r="J271" i="5"/>
  <c r="K271" i="5"/>
  <c r="F270" i="5"/>
  <c r="I270" i="5"/>
  <c r="J270" i="5"/>
  <c r="K270" i="5"/>
  <c r="K264" i="5"/>
  <c r="J264" i="5"/>
  <c r="I264" i="5"/>
  <c r="F264" i="5"/>
  <c r="E261" i="5"/>
  <c r="E290" i="5" s="1"/>
  <c r="F261" i="5"/>
  <c r="F290" i="5" s="1"/>
  <c r="I261" i="5"/>
  <c r="I290" i="5" s="1"/>
  <c r="J261" i="5"/>
  <c r="J290" i="5" s="1"/>
  <c r="K261" i="5"/>
  <c r="K290" i="5" s="1"/>
  <c r="L261" i="5"/>
  <c r="L290" i="5" s="1"/>
  <c r="F255" i="5"/>
  <c r="F289" i="5" s="1"/>
  <c r="I255" i="5"/>
  <c r="I289" i="5" s="1"/>
  <c r="K255" i="5"/>
  <c r="K289" i="5" s="1"/>
  <c r="L255" i="5"/>
  <c r="L289" i="5" s="1"/>
  <c r="E255" i="5"/>
  <c r="E289" i="5" s="1"/>
  <c r="F250" i="5"/>
  <c r="F288" i="5" s="1"/>
  <c r="I250" i="5"/>
  <c r="I288" i="5" s="1"/>
  <c r="J250" i="5"/>
  <c r="J288" i="5" s="1"/>
  <c r="K250" i="5"/>
  <c r="K288" i="5" s="1"/>
  <c r="L250" i="5"/>
  <c r="L288" i="5" s="1"/>
  <c r="E250" i="5"/>
  <c r="E288" i="5" s="1"/>
  <c r="F246" i="5"/>
  <c r="F287" i="5" s="1"/>
  <c r="I246" i="5"/>
  <c r="I287" i="5" s="1"/>
  <c r="J246" i="5"/>
  <c r="J287" i="5" s="1"/>
  <c r="K246" i="5"/>
  <c r="K287" i="5" s="1"/>
  <c r="L246" i="5"/>
  <c r="L287" i="5" s="1"/>
  <c r="E246" i="5"/>
  <c r="E287" i="5" s="1"/>
  <c r="F241" i="5"/>
  <c r="F286" i="5" s="1"/>
  <c r="I241" i="5"/>
  <c r="I286" i="5" s="1"/>
  <c r="J241" i="5"/>
  <c r="J286" i="5" s="1"/>
  <c r="K241" i="5"/>
  <c r="K286" i="5" s="1"/>
  <c r="L241" i="5"/>
  <c r="L286" i="5" s="1"/>
  <c r="E241" i="5"/>
  <c r="E286" i="5" s="1"/>
  <c r="F237" i="5"/>
  <c r="F285" i="5" s="1"/>
  <c r="I237" i="5"/>
  <c r="I285" i="5" s="1"/>
  <c r="J237" i="5"/>
  <c r="J285" i="5" s="1"/>
  <c r="K237" i="5"/>
  <c r="K285" i="5" s="1"/>
  <c r="L237" i="5"/>
  <c r="L285" i="5" s="1"/>
  <c r="E237" i="5"/>
  <c r="E285" i="5" s="1"/>
  <c r="F232" i="5"/>
  <c r="F284" i="5" s="1"/>
  <c r="H232" i="5"/>
  <c r="H284" i="5" s="1"/>
  <c r="I232" i="5"/>
  <c r="I284" i="5" s="1"/>
  <c r="J232" i="5"/>
  <c r="J284" i="5" s="1"/>
  <c r="K232" i="5"/>
  <c r="K284" i="5" s="1"/>
  <c r="L232" i="5"/>
  <c r="L284" i="5" s="1"/>
  <c r="E232" i="5"/>
  <c r="E284" i="5" s="1"/>
  <c r="F226" i="5"/>
  <c r="F283" i="5" s="1"/>
  <c r="H226" i="5"/>
  <c r="H283" i="5" s="1"/>
  <c r="I226" i="5"/>
  <c r="I283" i="5" s="1"/>
  <c r="J226" i="5"/>
  <c r="J283" i="5" s="1"/>
  <c r="K226" i="5"/>
  <c r="K283" i="5" s="1"/>
  <c r="L226" i="5"/>
  <c r="L283" i="5" s="1"/>
  <c r="E226" i="5"/>
  <c r="E283" i="5" s="1"/>
  <c r="H219" i="5"/>
  <c r="H282" i="5" s="1"/>
  <c r="L219" i="5"/>
  <c r="L282" i="5" s="1"/>
  <c r="E219" i="5"/>
  <c r="E282" i="5" s="1"/>
  <c r="F215" i="5"/>
  <c r="F281" i="5" s="1"/>
  <c r="H215" i="5"/>
  <c r="H281" i="5" s="1"/>
  <c r="I215" i="5"/>
  <c r="I281" i="5" s="1"/>
  <c r="J215" i="5"/>
  <c r="J281" i="5" s="1"/>
  <c r="K215" i="5"/>
  <c r="K281" i="5" s="1"/>
  <c r="L215" i="5"/>
  <c r="L281" i="5" s="1"/>
  <c r="E215" i="5"/>
  <c r="E281" i="5" s="1"/>
  <c r="F208" i="5"/>
  <c r="F280" i="5" s="1"/>
  <c r="H208" i="5"/>
  <c r="H280" i="5" s="1"/>
  <c r="L208" i="5"/>
  <c r="L280" i="5" s="1"/>
  <c r="E208" i="5"/>
  <c r="E280" i="5" s="1"/>
  <c r="F203" i="5"/>
  <c r="F279" i="5" s="1"/>
  <c r="H203" i="5"/>
  <c r="H279" i="5" s="1"/>
  <c r="L203" i="5"/>
  <c r="L279" i="5" s="1"/>
  <c r="E203" i="5"/>
  <c r="E279" i="5" s="1"/>
  <c r="F198" i="5"/>
  <c r="F278" i="5" s="1"/>
  <c r="H198" i="5"/>
  <c r="H278" i="5" s="1"/>
  <c r="I198" i="5"/>
  <c r="I278" i="5" s="1"/>
  <c r="J198" i="5"/>
  <c r="J278" i="5" s="1"/>
  <c r="K198" i="5"/>
  <c r="K278" i="5" s="1"/>
  <c r="L198" i="5"/>
  <c r="L278" i="5" s="1"/>
  <c r="E198" i="5"/>
  <c r="E278" i="5" s="1"/>
  <c r="F189" i="5"/>
  <c r="F277" i="5" s="1"/>
  <c r="H189" i="5"/>
  <c r="H277" i="5" s="1"/>
  <c r="I189" i="5"/>
  <c r="I277" i="5" s="1"/>
  <c r="J189" i="5"/>
  <c r="J277" i="5" s="1"/>
  <c r="K189" i="5"/>
  <c r="K277" i="5" s="1"/>
  <c r="L189" i="5"/>
  <c r="L277" i="5" s="1"/>
  <c r="E189" i="5"/>
  <c r="E277" i="5" s="1"/>
  <c r="F179" i="5"/>
  <c r="F276" i="5" s="1"/>
  <c r="H179" i="5"/>
  <c r="H276" i="5" s="1"/>
  <c r="I179" i="5"/>
  <c r="I276" i="5" s="1"/>
  <c r="J179" i="5"/>
  <c r="J276" i="5" s="1"/>
  <c r="K179" i="5"/>
  <c r="K276" i="5" s="1"/>
  <c r="L179" i="5"/>
  <c r="L276" i="5" s="1"/>
  <c r="E179" i="5"/>
  <c r="E276" i="5" s="1"/>
  <c r="F165" i="5"/>
  <c r="F275" i="5" s="1"/>
  <c r="H165" i="5"/>
  <c r="H275" i="5" s="1"/>
  <c r="I165" i="5"/>
  <c r="I275" i="5" s="1"/>
  <c r="K165" i="5"/>
  <c r="K275" i="5" s="1"/>
  <c r="L165" i="5"/>
  <c r="L275" i="5" s="1"/>
  <c r="E165" i="5"/>
  <c r="E275" i="5" s="1"/>
  <c r="F136" i="5"/>
  <c r="F274" i="5" s="1"/>
  <c r="H136" i="5"/>
  <c r="H274" i="5" s="1"/>
  <c r="I136" i="5"/>
  <c r="I274" i="5" s="1"/>
  <c r="K136" i="5"/>
  <c r="K274" i="5" s="1"/>
  <c r="L136" i="5"/>
  <c r="L274" i="5" s="1"/>
  <c r="E136" i="5"/>
  <c r="E274" i="5" s="1"/>
  <c r="L273" i="5"/>
  <c r="E110" i="5"/>
  <c r="E273" i="5" s="1"/>
  <c r="F81" i="5"/>
  <c r="F272" i="5" s="1"/>
  <c r="H81" i="5"/>
  <c r="H272" i="5" s="1"/>
  <c r="I81" i="5"/>
  <c r="I272" i="5" s="1"/>
  <c r="K81" i="5"/>
  <c r="K272" i="5" s="1"/>
  <c r="L81" i="5"/>
  <c r="L272" i="5" s="1"/>
  <c r="E81" i="5"/>
  <c r="E272" i="5" s="1"/>
  <c r="H70" i="5"/>
  <c r="H271" i="5" s="1"/>
  <c r="L70" i="5"/>
  <c r="L271" i="5" s="1"/>
  <c r="E70" i="5"/>
  <c r="E271" i="5" s="1"/>
  <c r="H65" i="5"/>
  <c r="H270" i="5" s="1"/>
  <c r="L65" i="5"/>
  <c r="L270" i="5" s="1"/>
  <c r="E65" i="5"/>
  <c r="E270" i="5" s="1"/>
  <c r="F61" i="5"/>
  <c r="F269" i="5" s="1"/>
  <c r="H61" i="5"/>
  <c r="H269" i="5" s="1"/>
  <c r="I61" i="5"/>
  <c r="I269" i="5" s="1"/>
  <c r="J61" i="5"/>
  <c r="J269" i="5" s="1"/>
  <c r="K61" i="5"/>
  <c r="K269" i="5" s="1"/>
  <c r="L61" i="5"/>
  <c r="L269" i="5" s="1"/>
  <c r="E61" i="5"/>
  <c r="E269" i="5" s="1"/>
  <c r="E56" i="5"/>
  <c r="E268" i="5" s="1"/>
  <c r="F56" i="5"/>
  <c r="F268" i="5" s="1"/>
  <c r="H56" i="5"/>
  <c r="H268" i="5" s="1"/>
  <c r="I56" i="5"/>
  <c r="I268" i="5" s="1"/>
  <c r="J56" i="5"/>
  <c r="J268" i="5" s="1"/>
  <c r="K56" i="5"/>
  <c r="K268" i="5" s="1"/>
  <c r="L56" i="5"/>
  <c r="L268" i="5" s="1"/>
  <c r="F50" i="5"/>
  <c r="F267" i="5" s="1"/>
  <c r="H50" i="5"/>
  <c r="H267" i="5" s="1"/>
  <c r="I50" i="5"/>
  <c r="I267" i="5" s="1"/>
  <c r="J50" i="5"/>
  <c r="J267" i="5" s="1"/>
  <c r="K50" i="5"/>
  <c r="K267" i="5" s="1"/>
  <c r="L50" i="5"/>
  <c r="L267" i="5" s="1"/>
  <c r="E50" i="5"/>
  <c r="E267" i="5" s="1"/>
  <c r="F45" i="5"/>
  <c r="F266" i="5" s="1"/>
  <c r="H45" i="5"/>
  <c r="H266" i="5" s="1"/>
  <c r="I45" i="5"/>
  <c r="I266" i="5" s="1"/>
  <c r="J45" i="5"/>
  <c r="J266" i="5" s="1"/>
  <c r="K45" i="5"/>
  <c r="K266" i="5" s="1"/>
  <c r="L45" i="5"/>
  <c r="L266" i="5" s="1"/>
  <c r="E45" i="5"/>
  <c r="E266" i="5" s="1"/>
  <c r="F39" i="5"/>
  <c r="F265" i="5" s="1"/>
  <c r="H39" i="5"/>
  <c r="H265" i="5" s="1"/>
  <c r="I39" i="5"/>
  <c r="I265" i="5" s="1"/>
  <c r="J39" i="5"/>
  <c r="J265" i="5" s="1"/>
  <c r="K39" i="5"/>
  <c r="K265" i="5" s="1"/>
  <c r="L39" i="5"/>
  <c r="L265" i="5" s="1"/>
  <c r="E39" i="5"/>
  <c r="E265" i="5" s="1"/>
  <c r="I291" i="5" l="1"/>
  <c r="K291" i="5"/>
  <c r="F291" i="5"/>
  <c r="J291" i="5"/>
  <c r="H23" i="5"/>
  <c r="H264" i="5" s="1"/>
  <c r="H291" i="5" s="1"/>
  <c r="L23" i="5"/>
  <c r="L264" i="5" s="1"/>
  <c r="L291" i="5" s="1"/>
  <c r="E23" i="5"/>
  <c r="E264" i="5" s="1"/>
  <c r="E291" i="5" s="1"/>
  <c r="O38" i="4" l="1"/>
  <c r="M39" i="4"/>
  <c r="M38" i="4"/>
  <c r="L39" i="4"/>
  <c r="L38" i="4"/>
  <c r="J39" i="4"/>
  <c r="J38" i="4"/>
  <c r="H38" i="4"/>
  <c r="F39" i="4"/>
  <c r="F38" i="4"/>
  <c r="O33" i="4" l="1"/>
  <c r="O32" i="4"/>
  <c r="O31" i="4"/>
  <c r="H33" i="4"/>
  <c r="H32" i="4"/>
  <c r="H31" i="4"/>
  <c r="H34" i="4" s="1"/>
  <c r="E33" i="4"/>
  <c r="E32" i="4"/>
  <c r="O34" i="4" l="1"/>
  <c r="H28" i="4"/>
  <c r="O28" i="4"/>
  <c r="E28" i="4"/>
  <c r="H22" i="4"/>
  <c r="J37" i="4"/>
  <c r="J40" i="4" s="1"/>
  <c r="O22" i="4"/>
  <c r="E22" i="4"/>
  <c r="E31" i="4" s="1"/>
  <c r="E34" i="4" s="1"/>
  <c r="O16" i="4"/>
  <c r="O39" i="4" s="1"/>
  <c r="O15" i="4"/>
  <c r="M16" i="4"/>
  <c r="M15" i="4"/>
  <c r="L16" i="4"/>
  <c r="L15" i="4"/>
  <c r="J16" i="4"/>
  <c r="J15" i="4"/>
  <c r="H16" i="4"/>
  <c r="H39" i="4" s="1"/>
  <c r="H15" i="4"/>
  <c r="F16" i="4"/>
  <c r="F15" i="4"/>
  <c r="E16" i="4"/>
  <c r="E39" i="4" s="1"/>
  <c r="E15" i="4"/>
  <c r="E38" i="4" s="1"/>
  <c r="F11" i="4"/>
  <c r="H11" i="4"/>
  <c r="J11" i="4"/>
  <c r="L11" i="4"/>
  <c r="M11" i="4"/>
  <c r="O11" i="4"/>
  <c r="E11" i="4"/>
  <c r="F5" i="4"/>
  <c r="H5" i="4"/>
  <c r="J5" i="4"/>
  <c r="J14" i="4" s="1"/>
  <c r="J17" i="4" s="1"/>
  <c r="L5" i="4"/>
  <c r="M5" i="4"/>
  <c r="O5" i="4"/>
  <c r="E5" i="4"/>
  <c r="H40" i="10"/>
  <c r="I36" i="10"/>
  <c r="I40" i="10" s="1"/>
  <c r="G36" i="10"/>
  <c r="G40" i="10" s="1"/>
  <c r="H79" i="11"/>
  <c r="I70" i="11"/>
  <c r="G70" i="11"/>
  <c r="G79" i="11" s="1"/>
  <c r="H78" i="11"/>
  <c r="I66" i="11"/>
  <c r="G66" i="11"/>
  <c r="G78" i="11" s="1"/>
  <c r="H77" i="11"/>
  <c r="I62" i="11"/>
  <c r="G62" i="11"/>
  <c r="G77" i="11" s="1"/>
  <c r="H76" i="11"/>
  <c r="G58" i="11"/>
  <c r="G76" i="11" s="1"/>
  <c r="L14" i="4" l="1"/>
  <c r="L37" i="4"/>
  <c r="L40" i="4" s="1"/>
  <c r="H14" i="4"/>
  <c r="H37" i="4"/>
  <c r="H40" i="4" s="1"/>
  <c r="F14" i="4"/>
  <c r="F17" i="4" s="1"/>
  <c r="F37" i="4"/>
  <c r="F40" i="4" s="1"/>
  <c r="E14" i="4"/>
  <c r="E17" i="4" s="1"/>
  <c r="E37" i="4"/>
  <c r="E40" i="4" s="1"/>
  <c r="O14" i="4"/>
  <c r="O37" i="4"/>
  <c r="O40" i="4" s="1"/>
  <c r="M14" i="4"/>
  <c r="M37" i="4"/>
  <c r="M40" i="4" s="1"/>
  <c r="L17" i="4"/>
  <c r="O17" i="4"/>
  <c r="M17" i="4"/>
  <c r="H17" i="4"/>
  <c r="I76" i="11"/>
  <c r="I78" i="11"/>
  <c r="I77" i="11"/>
  <c r="I79" i="11"/>
  <c r="H75" i="11"/>
  <c r="G54" i="11"/>
  <c r="G75" i="11" s="1"/>
  <c r="N38" i="16"/>
  <c r="M38" i="16"/>
  <c r="K38" i="16"/>
  <c r="J38" i="16"/>
  <c r="G38" i="16"/>
  <c r="F38" i="16"/>
  <c r="N30" i="16"/>
  <c r="M30" i="16"/>
  <c r="G30" i="16"/>
  <c r="F30" i="16"/>
  <c r="N24" i="16"/>
  <c r="K24" i="16"/>
  <c r="G24" i="16"/>
  <c r="F24" i="16"/>
  <c r="N18" i="16"/>
  <c r="K18" i="16"/>
  <c r="G18" i="16"/>
  <c r="F18" i="16"/>
  <c r="N12" i="16"/>
  <c r="K12" i="16"/>
  <c r="J12" i="16"/>
  <c r="G12" i="16"/>
  <c r="F12" i="16"/>
  <c r="N6" i="16"/>
  <c r="K6" i="16"/>
  <c r="J6" i="16"/>
  <c r="G6" i="16"/>
  <c r="F6" i="16"/>
  <c r="I75" i="11" l="1"/>
  <c r="H49" i="11"/>
  <c r="H74" i="11" s="1"/>
  <c r="I49" i="11"/>
  <c r="G49" i="11"/>
  <c r="G74" i="11" s="1"/>
  <c r="H73" i="11"/>
  <c r="I19" i="11"/>
  <c r="G19" i="11"/>
  <c r="G73" i="11" s="1"/>
  <c r="G80" i="11" s="1"/>
  <c r="H80" i="11" l="1"/>
  <c r="G41" i="10"/>
  <c r="H41" i="10"/>
  <c r="I73" i="11"/>
  <c r="I74" i="11"/>
  <c r="I57" i="11"/>
  <c r="I58" i="11" s="1"/>
  <c r="I53" i="11"/>
  <c r="I54" i="11" s="1"/>
  <c r="I80" i="11" l="1"/>
  <c r="I41" i="10"/>
  <c r="XEO52" i="11"/>
</calcChain>
</file>

<file path=xl/comments1.xml><?xml version="1.0" encoding="utf-8"?>
<comments xmlns="http://schemas.openxmlformats.org/spreadsheetml/2006/main">
  <authors>
    <author>Luc, Everett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 xml:space="preserve">Footnote 1.
</t>
        </r>
      </text>
    </comment>
    <comment ref="K3" authorId="0" shapeId="0">
      <text>
        <r>
          <rPr>
            <sz val="9"/>
            <color indexed="81"/>
            <rFont val="Tahoma"/>
            <family val="2"/>
          </rPr>
          <t xml:space="preserve">Footnote 2.
</t>
        </r>
      </text>
    </comment>
    <comment ref="M29" authorId="0" shapeId="0">
      <text>
        <r>
          <rPr>
            <sz val="9"/>
            <color indexed="81"/>
            <rFont val="Tahoma"/>
            <family val="2"/>
          </rPr>
          <t>Footnote 3.</t>
        </r>
      </text>
    </comment>
  </commentList>
</comments>
</file>

<file path=xl/comments2.xml><?xml version="1.0" encoding="utf-8"?>
<comments xmlns="http://schemas.openxmlformats.org/spreadsheetml/2006/main">
  <authors>
    <author>Luc, Everett</author>
  </authors>
  <commentList>
    <comment ref="A41" authorId="0" shapeId="0">
      <text>
        <r>
          <rPr>
            <sz val="9"/>
            <color indexed="81"/>
            <rFont val="Tahoma"/>
            <family val="2"/>
          </rPr>
          <t>Footnote 4.</t>
        </r>
      </text>
    </comment>
  </commentList>
</comments>
</file>

<file path=xl/comments3.xml><?xml version="1.0" encoding="utf-8"?>
<comments xmlns="http://schemas.openxmlformats.org/spreadsheetml/2006/main">
  <authors>
    <author>Luc, Everett</author>
  </authors>
  <commentList>
    <comment ref="F2" authorId="0" shapeId="0">
      <text>
        <r>
          <rPr>
            <sz val="9"/>
            <color indexed="81"/>
            <rFont val="Tahoma"/>
            <family val="2"/>
          </rPr>
          <t xml:space="preserve">Footnote 1.
</t>
        </r>
      </text>
    </comment>
    <comment ref="H2" authorId="0" shapeId="0">
      <text>
        <r>
          <rPr>
            <sz val="9"/>
            <color indexed="81"/>
            <rFont val="Tahoma"/>
            <family val="2"/>
          </rPr>
          <t>Footnote 2.</t>
        </r>
      </text>
    </comment>
    <comment ref="J2" authorId="0" shapeId="0">
      <text>
        <r>
          <rPr>
            <sz val="9"/>
            <color indexed="81"/>
            <rFont val="Tahoma"/>
            <family val="2"/>
          </rPr>
          <t xml:space="preserve">Footnote 3.
</t>
        </r>
      </text>
    </comment>
    <comment ref="M2" authorId="0" shapeId="0">
      <text>
        <r>
          <rPr>
            <sz val="9"/>
            <color indexed="81"/>
            <rFont val="Tahoma"/>
            <family val="2"/>
          </rPr>
          <t xml:space="preserve">Footnote 4.
</t>
        </r>
      </text>
    </comment>
    <comment ref="O2" authorId="0" shapeId="0">
      <text>
        <r>
          <rPr>
            <sz val="9"/>
            <color indexed="81"/>
            <rFont val="Tahoma"/>
            <family val="2"/>
          </rPr>
          <t xml:space="preserve">Footnote 5.
</t>
        </r>
      </text>
    </comment>
    <comment ref="A17" authorId="0" shapeId="0">
      <text>
        <r>
          <rPr>
            <sz val="9"/>
            <color indexed="81"/>
            <rFont val="Tahoma"/>
            <family val="2"/>
          </rPr>
          <t xml:space="preserve">Footnote 6.
</t>
        </r>
      </text>
    </comment>
    <comment ref="A34" authorId="0" shapeId="0">
      <text>
        <r>
          <rPr>
            <sz val="9"/>
            <color indexed="81"/>
            <rFont val="Tahoma"/>
            <family val="2"/>
          </rPr>
          <t xml:space="preserve">Footnote 6.
</t>
        </r>
      </text>
    </comment>
  </commentList>
</comments>
</file>

<file path=xl/comments4.xml><?xml version="1.0" encoding="utf-8"?>
<comments xmlns="http://schemas.openxmlformats.org/spreadsheetml/2006/main">
  <authors>
    <author>Luc, Everett</author>
  </authors>
  <commentList>
    <comment ref="F2" authorId="0" shapeId="0">
      <text>
        <r>
          <rPr>
            <sz val="9"/>
            <color indexed="81"/>
            <rFont val="Tahoma"/>
            <family val="2"/>
          </rPr>
          <t xml:space="preserve">Footnote 7.
</t>
        </r>
      </text>
    </comment>
  </commentList>
</comments>
</file>

<file path=xl/comments5.xml><?xml version="1.0" encoding="utf-8"?>
<comments xmlns="http://schemas.openxmlformats.org/spreadsheetml/2006/main">
  <authors>
    <author>Luc, Everett</author>
  </authors>
  <commentList>
    <comment ref="F2" authorId="0" shapeId="0">
      <text>
        <r>
          <rPr>
            <sz val="9"/>
            <color indexed="81"/>
            <rFont val="Tahoma"/>
            <family val="2"/>
          </rPr>
          <t xml:space="preserve">Footnote 8.
</t>
        </r>
      </text>
    </comment>
  </commentList>
</comments>
</file>

<file path=xl/comments6.xml><?xml version="1.0" encoding="utf-8"?>
<comments xmlns="http://schemas.openxmlformats.org/spreadsheetml/2006/main">
  <authors>
    <author>Luc, Everett</author>
  </authors>
  <commentList>
    <comment ref="F2" authorId="0" shapeId="0">
      <text>
        <r>
          <rPr>
            <sz val="9"/>
            <color indexed="81"/>
            <rFont val="Tahoma"/>
            <family val="2"/>
          </rPr>
          <t xml:space="preserve">Footnote 9.
</t>
        </r>
      </text>
    </comment>
  </commentList>
</comments>
</file>

<file path=xl/sharedStrings.xml><?xml version="1.0" encoding="utf-8"?>
<sst xmlns="http://schemas.openxmlformats.org/spreadsheetml/2006/main" count="9741" uniqueCount="634">
  <si>
    <t>Legal
Reference
(Ch./Year)</t>
  </si>
  <si>
    <t>Local Agencies</t>
  </si>
  <si>
    <t>2015-16</t>
  </si>
  <si>
    <t>2012-13</t>
  </si>
  <si>
    <t>2016-17</t>
  </si>
  <si>
    <t>2014-15</t>
  </si>
  <si>
    <t>Total Local Agencies</t>
  </si>
  <si>
    <t>School Districts</t>
  </si>
  <si>
    <t>Community College Districts</t>
  </si>
  <si>
    <t>Total School Districts and Community College Districts</t>
  </si>
  <si>
    <t>Grand Total Local Agencies, School Districts, and Community College Districts</t>
  </si>
  <si>
    <t>Fiscal
Year</t>
  </si>
  <si>
    <t>Program
Name</t>
  </si>
  <si>
    <t>Allocation of Property Tax Revenues</t>
  </si>
  <si>
    <t>Ch. 697/92</t>
  </si>
  <si>
    <t>Countywide Tax Rates</t>
  </si>
  <si>
    <t>Ch. 921/87</t>
  </si>
  <si>
    <t>Ch. 1022/99</t>
  </si>
  <si>
    <t>Ch. 1399/76</t>
  </si>
  <si>
    <t>Domestic Violence Arrest Policies and Standards</t>
  </si>
  <si>
    <t>Ch. 246/95</t>
  </si>
  <si>
    <t>Domestic Violence Arrests and Victim Assistance</t>
  </si>
  <si>
    <t>Ch. 698/98</t>
  </si>
  <si>
    <t>Ch. 183/92</t>
  </si>
  <si>
    <t>Health Benefits for Survivors of Peace Officers and Firefighters</t>
  </si>
  <si>
    <t>Ch. 1120/96</t>
  </si>
  <si>
    <t>Local Agency Ethics</t>
  </si>
  <si>
    <t>Ch. 700/05</t>
  </si>
  <si>
    <t>Medi-Cal Beneficiary Probate</t>
  </si>
  <si>
    <t>Ch. 102/81</t>
  </si>
  <si>
    <t>Medi-Cal Eligibility of Juvenile Offenders</t>
  </si>
  <si>
    <t>Ch. 657/06</t>
  </si>
  <si>
    <t>Peace Officers Personnel Records: Unfounded Complaints and Discovery</t>
  </si>
  <si>
    <t>Ch. 630/78</t>
  </si>
  <si>
    <t>Ch. 999/91</t>
  </si>
  <si>
    <t>Sexually Violent Predators</t>
  </si>
  <si>
    <t>Ch. 762/95</t>
  </si>
  <si>
    <t>State Authorized Risk Assessment Tool for Sex Offenders</t>
  </si>
  <si>
    <t>Ch. 336/06</t>
  </si>
  <si>
    <t>Tuberculosis Control</t>
  </si>
  <si>
    <t>Ch. 676/93</t>
  </si>
  <si>
    <t>2010-11</t>
  </si>
  <si>
    <t>Handicapped and Disabled Students, Handicapped and Disabled Students II, and Seriously Emotionally Disturbed (SED) Pupils: Out of State Mental Health Services</t>
  </si>
  <si>
    <t>Ch. 1747/84</t>
  </si>
  <si>
    <t>2009-10</t>
  </si>
  <si>
    <t>2008-09</t>
  </si>
  <si>
    <t>2007-08</t>
  </si>
  <si>
    <t>2006-07</t>
  </si>
  <si>
    <t>2005-06</t>
  </si>
  <si>
    <t>2004-05</t>
  </si>
  <si>
    <t>2003-04</t>
  </si>
  <si>
    <t>2002-03</t>
  </si>
  <si>
    <t>2001-02</t>
  </si>
  <si>
    <t>2000-01</t>
  </si>
  <si>
    <t>1999-00</t>
  </si>
  <si>
    <t>Threats Against Peace Officers</t>
  </si>
  <si>
    <t>Ch. 1249/92</t>
  </si>
  <si>
    <t>Administrative License Suspension</t>
  </si>
  <si>
    <t>Ch. 1460/89</t>
  </si>
  <si>
    <t>Pesticide Use Reports</t>
  </si>
  <si>
    <t>Ch. 1200/89</t>
  </si>
  <si>
    <t>Academic Performance Index</t>
  </si>
  <si>
    <t>Ch. 3/99</t>
  </si>
  <si>
    <t>AIDS Instruction and AIDS Prevention Instruction</t>
  </si>
  <si>
    <t>Ch. 818/91</t>
  </si>
  <si>
    <t>California Assessment of Student Performance and Progress (CAASPP)</t>
  </si>
  <si>
    <t>Ch. 489/13</t>
  </si>
  <si>
    <t>California State Teachers' Retirement System (CalSTRS) Service Credit</t>
  </si>
  <si>
    <t>Ch. 603/94</t>
  </si>
  <si>
    <t>Caregiver Affidavits to Establish Residence for School Attendance</t>
  </si>
  <si>
    <t>Ch. 98/94</t>
  </si>
  <si>
    <t>Ch. 781/92</t>
  </si>
  <si>
    <t>Collective Bargaining and Collective Bargaining Agreement Disclosure</t>
  </si>
  <si>
    <t>Ch. 961/75</t>
  </si>
  <si>
    <t>Comprehensive School Safety Plans I and II</t>
  </si>
  <si>
    <t>Ch. 736/97</t>
  </si>
  <si>
    <t>Consolidated Suspensions, Expulsions, and Expulsion Appeals</t>
  </si>
  <si>
    <t>Ch. 1253/75</t>
  </si>
  <si>
    <t>Consolidation of Annual Parent Notification/Schoolsite Discipline Rules/Alternative Schools</t>
  </si>
  <si>
    <t>Ch. 448/75</t>
  </si>
  <si>
    <t>Consolidation of Law Enforcement Agency Notifications (LEAN) and Missing Children Reports (MCR)</t>
  </si>
  <si>
    <t>Ch. 249/86</t>
  </si>
  <si>
    <t>Consolidation of Notification to Teachers: Pupils Subject to Suspension or Expulsion and Pupil Discipline Records, Notification to Teachers: Pupils Subject to Suspension or Expulsion II</t>
  </si>
  <si>
    <t>Ch. 1306/89</t>
  </si>
  <si>
    <t>County Office of Education Fiscal Accountability Reporting</t>
  </si>
  <si>
    <t>Ch. 917/87</t>
  </si>
  <si>
    <t>Criminal Background Checks I</t>
  </si>
  <si>
    <t>Ch. 588/97</t>
  </si>
  <si>
    <t>Criminal Background Checks II</t>
  </si>
  <si>
    <t>Ch. 594/98</t>
  </si>
  <si>
    <t>Financial and Compliance Audits</t>
  </si>
  <si>
    <t>Ch. 36/77</t>
  </si>
  <si>
    <t>Graduation Requirements (On or after 1/1/2005)</t>
  </si>
  <si>
    <t>Ch. 498/83</t>
  </si>
  <si>
    <t>Habitual Truants</t>
  </si>
  <si>
    <t>Ch. 1184/75</t>
  </si>
  <si>
    <t>Immunization Records</t>
  </si>
  <si>
    <t>Ch. 1176/77</t>
  </si>
  <si>
    <t>Immunization Records – Mumps, Rubella, and Hepatitis B</t>
  </si>
  <si>
    <t>Ch. 325/78</t>
  </si>
  <si>
    <t>Ch. 434/10</t>
  </si>
  <si>
    <t>Intradistrict Attendance</t>
  </si>
  <si>
    <t>Ch. 161/93</t>
  </si>
  <si>
    <t>Notification of Truancy</t>
  </si>
  <si>
    <t>Parental Involvement Programs</t>
  </si>
  <si>
    <t>Ch. 1400/90</t>
  </si>
  <si>
    <t>Physical Performance Tests</t>
  </si>
  <si>
    <t>Ch. 975/95</t>
  </si>
  <si>
    <t>Pupil Health Screenings (For Fiscal Year 2004-2005 and Subsequent Years)</t>
  </si>
  <si>
    <t>Ch. 1208/76</t>
  </si>
  <si>
    <t>Pupil Promotion and Retention</t>
  </si>
  <si>
    <t>Ch. 100/81</t>
  </si>
  <si>
    <t>School Accountability Report Cards</t>
  </si>
  <si>
    <t>Ch. 1463/89</t>
  </si>
  <si>
    <t>School District Fiscal Accountability Reporting and Employee Benefits Disclosure</t>
  </si>
  <si>
    <t>The Stull Act</t>
  </si>
  <si>
    <t>Training for School Employee Mandated Reporters</t>
  </si>
  <si>
    <t>Ch. 797/14</t>
  </si>
  <si>
    <t>Uniform Complaint Procedures (K-12)</t>
  </si>
  <si>
    <t>Ch. 1117/82</t>
  </si>
  <si>
    <t>Williams Case Implementation I, II, and III</t>
  </si>
  <si>
    <t>Ch. 900/04</t>
  </si>
  <si>
    <t>Total School Districts</t>
  </si>
  <si>
    <t>Program
Category</t>
  </si>
  <si>
    <t>Schedules</t>
  </si>
  <si>
    <t>Program
Costs</t>
  </si>
  <si>
    <t>Less: Recovered
Amount</t>
  </si>
  <si>
    <t>General Government</t>
  </si>
  <si>
    <t>Education</t>
  </si>
  <si>
    <t>2014-15 and Prior</t>
  </si>
  <si>
    <t xml:space="preserve">  </t>
  </si>
  <si>
    <t>Total Community College Districts</t>
  </si>
  <si>
    <t>Program Number</t>
  </si>
  <si>
    <t>Net
Balance</t>
  </si>
  <si>
    <t>Less: Recovered Amount</t>
  </si>
  <si>
    <t>Peace Officers Procedural Bill of Rights</t>
  </si>
  <si>
    <t>Ch. 465/76</t>
  </si>
  <si>
    <t>2016-17 Total</t>
  </si>
  <si>
    <t>2015-16 Total</t>
  </si>
  <si>
    <t>2014-15 Total</t>
  </si>
  <si>
    <t>2013-14</t>
  </si>
  <si>
    <t>2013-14 Total</t>
  </si>
  <si>
    <t>2012-13 Total</t>
  </si>
  <si>
    <t>2011-12</t>
  </si>
  <si>
    <t>Open Meetings Act/Brown Act Reform</t>
  </si>
  <si>
    <t>Ch. 641/86</t>
  </si>
  <si>
    <t>2011-12 Total</t>
  </si>
  <si>
    <t>Absentee Ballots</t>
  </si>
  <si>
    <t>Ch. 77/78</t>
  </si>
  <si>
    <t>Absentee Ballots: Tabulation by Precinct</t>
  </si>
  <si>
    <t>Ch. 697/99</t>
  </si>
  <si>
    <t>California Public Records Act</t>
  </si>
  <si>
    <t>Ch. 463/92</t>
  </si>
  <si>
    <t>In-Home Supportive Services II</t>
  </si>
  <si>
    <t>Ch. 90/99</t>
  </si>
  <si>
    <t>Mandate Reimbursement Process I</t>
  </si>
  <si>
    <t>Ch. 486/75</t>
  </si>
  <si>
    <t>Voter Registration Procedures</t>
  </si>
  <si>
    <t>Ch. 704/75</t>
  </si>
  <si>
    <t>2010-11 Total</t>
  </si>
  <si>
    <t>Animal Adoption</t>
  </si>
  <si>
    <t>Ch. 752/98</t>
  </si>
  <si>
    <t>Conservatorship: Developmentally Disabled Adults</t>
  </si>
  <si>
    <t>Ch. 1304/80</t>
  </si>
  <si>
    <t>Coroner's Costs</t>
  </si>
  <si>
    <t>Ch. 498/77</t>
  </si>
  <si>
    <t>Crime Victims' Rights</t>
  </si>
  <si>
    <t>Ch. 411/95</t>
  </si>
  <si>
    <t>Ch. 694/75</t>
  </si>
  <si>
    <t>Local Agency Formation Commissions (LAFCO)</t>
  </si>
  <si>
    <t>Ch. 761/00</t>
  </si>
  <si>
    <t>Ch. 1418/85</t>
  </si>
  <si>
    <t>Mentally Disordered Sex Offenders: Extended Commitment Proceedings</t>
  </si>
  <si>
    <t>Ch. 1036/78</t>
  </si>
  <si>
    <t>Mentally Retarded Defendants: Diversion</t>
  </si>
  <si>
    <t>Ch. 1253/80</t>
  </si>
  <si>
    <t>Not Guilty by Reason of Insanity</t>
  </si>
  <si>
    <t>Ch. 1114/79</t>
  </si>
  <si>
    <t>Pacific Beach Safety: Water Quality and Closures</t>
  </si>
  <si>
    <t>Ch. 961/92</t>
  </si>
  <si>
    <t>Perinatal Services</t>
  </si>
  <si>
    <t>Ch. 1603/90</t>
  </si>
  <si>
    <t>Permanent Absent Voters</t>
  </si>
  <si>
    <t>Ch. 1422/82</t>
  </si>
  <si>
    <t>Photographic Record of Evidence</t>
  </si>
  <si>
    <t>Ch. 875/85</t>
  </si>
  <si>
    <t>Post Conviction: DNA Court Proceedings</t>
  </si>
  <si>
    <t>Ch. 821/00</t>
  </si>
  <si>
    <t>Search Warrant: AIDS</t>
  </si>
  <si>
    <t>Ch. 1088/88</t>
  </si>
  <si>
    <t>Stolen Vehicle Notification</t>
  </si>
  <si>
    <t>Ch. 337/90</t>
  </si>
  <si>
    <t>2009-10 Total</t>
  </si>
  <si>
    <t>DNA Database</t>
  </si>
  <si>
    <t>Ch. 822/00</t>
  </si>
  <si>
    <t>False Reports of Police Misconduct</t>
  </si>
  <si>
    <t>Ch. 590/95</t>
  </si>
  <si>
    <t>Judicial Proceedings For Mentally Retarded Persons</t>
  </si>
  <si>
    <t>Ch. 644/80</t>
  </si>
  <si>
    <t>Postmortem Examinations: Unidentified Bodies, Human Remains</t>
  </si>
  <si>
    <t>Ch. 284/00</t>
  </si>
  <si>
    <t>Senior Citizens Property Tax Postponement</t>
  </si>
  <si>
    <t>Ch. 1242/77</t>
  </si>
  <si>
    <t>2008-09 Total</t>
  </si>
  <si>
    <t>Firefighters' Cancer Presumption</t>
  </si>
  <si>
    <t>Ch. 1568/82</t>
  </si>
  <si>
    <t>Peace Officers Cancer Presumption</t>
  </si>
  <si>
    <t>Ch. 1171/89</t>
  </si>
  <si>
    <t>2007-08 Total</t>
  </si>
  <si>
    <t>2006-07 Total</t>
  </si>
  <si>
    <t>2005-06 Total</t>
  </si>
  <si>
    <t>2004-05 Total</t>
  </si>
  <si>
    <t>2003-04 Total</t>
  </si>
  <si>
    <t>2002-03 Total</t>
  </si>
  <si>
    <t>Investment Reports</t>
  </si>
  <si>
    <t>Ch. 783/95</t>
  </si>
  <si>
    <t>2001-02 Total</t>
  </si>
  <si>
    <t>2000-01 Total</t>
  </si>
  <si>
    <t>SIDS Training for Firefighters</t>
  </si>
  <si>
    <t>Ch. 1111/89</t>
  </si>
  <si>
    <t>1999-00 Total</t>
  </si>
  <si>
    <t>1998-99</t>
  </si>
  <si>
    <t>Open Meetings Act</t>
  </si>
  <si>
    <t>Regional Housing Need Determination</t>
  </si>
  <si>
    <t>Ch. 1143/80</t>
  </si>
  <si>
    <t>1998-99 Total</t>
  </si>
  <si>
    <t>1997-98</t>
  </si>
  <si>
    <t>1997-98 Total</t>
  </si>
  <si>
    <t>1996-97</t>
  </si>
  <si>
    <t>1996-97 Total</t>
  </si>
  <si>
    <t>1995-96</t>
  </si>
  <si>
    <t>1995-96 Total</t>
  </si>
  <si>
    <t>1994-95</t>
  </si>
  <si>
    <t>1994-95 Total</t>
  </si>
  <si>
    <t>1992-93</t>
  </si>
  <si>
    <t>Personal Alarm Devices</t>
  </si>
  <si>
    <t>Title 8</t>
  </si>
  <si>
    <t>1992-93 Total</t>
  </si>
  <si>
    <t>1991-92</t>
  </si>
  <si>
    <t>Structural and Wildland Firefighter Safety Clothing and Equipment</t>
  </si>
  <si>
    <t xml:space="preserve">Title 8 </t>
  </si>
  <si>
    <t>1991-92 Total</t>
  </si>
  <si>
    <t>Child Abuse and Neglect Reporting</t>
  </si>
  <si>
    <t>Ch. 640/87</t>
  </si>
  <si>
    <t>High School Exit Examination</t>
  </si>
  <si>
    <t>Ch. 1/99</t>
  </si>
  <si>
    <t>Juvenile Court Notices II</t>
  </si>
  <si>
    <t>Ch. 1423/84</t>
  </si>
  <si>
    <t>Expulsion of Pupils: Transcript Cost for Appeals</t>
  </si>
  <si>
    <t>Interdistrict Attendance Permits</t>
  </si>
  <si>
    <t>Ch. 172/86</t>
  </si>
  <si>
    <t>Pupil Safety Notices</t>
  </si>
  <si>
    <t>Race to the Top</t>
  </si>
  <si>
    <t>Title 5</t>
  </si>
  <si>
    <t>School District Reorganization</t>
  </si>
  <si>
    <t>Ch. 1192/80</t>
  </si>
  <si>
    <t>Student Records</t>
  </si>
  <si>
    <t>Ch. 593/89</t>
  </si>
  <si>
    <t>California Public Records Act (CPRA)</t>
  </si>
  <si>
    <t>Charter Schools IV</t>
  </si>
  <si>
    <t>Ch. 1058/02</t>
  </si>
  <si>
    <t>Developer Fees</t>
  </si>
  <si>
    <t>Ch. 955/77</t>
  </si>
  <si>
    <t>Public Contracts (K-14)</t>
  </si>
  <si>
    <t>Ch. 1073/85</t>
  </si>
  <si>
    <t>Behavioral Intervention Plans (On or after 7/1/2012)</t>
  </si>
  <si>
    <t xml:space="preserve">Title 5 </t>
  </si>
  <si>
    <t>Mandate Reimbursement Process I and II</t>
  </si>
  <si>
    <t>Behavioral Intervention Plans (7/1/1993 to 6/30/2012)</t>
  </si>
  <si>
    <t>Differential Pay and Reemployment</t>
  </si>
  <si>
    <t>Ch. 30/98</t>
  </si>
  <si>
    <t>Prevailing Wage Rate</t>
  </si>
  <si>
    <t>Ch. 1249/78</t>
  </si>
  <si>
    <t>Pupil Expulsions II, Pupil Suspensions II, and Educational Services Plan for Expelled Pupils (7/1/2001 to 6/30/2012)</t>
  </si>
  <si>
    <t>Ch. 972/95</t>
  </si>
  <si>
    <t>Pupil Suspensions, Expulsions, and Expulsion Appeals</t>
  </si>
  <si>
    <t>Agency Fee Arrangements</t>
  </si>
  <si>
    <t>Ch. 893/00</t>
  </si>
  <si>
    <t>Physical Education Reports</t>
  </si>
  <si>
    <t>Ch. 640/97</t>
  </si>
  <si>
    <t>Removal of Chemicals</t>
  </si>
  <si>
    <t>Ch. 1107/84</t>
  </si>
  <si>
    <t>Scoliosis Screening</t>
  </si>
  <si>
    <t>Ch. 1347/80</t>
  </si>
  <si>
    <t>Pupil Residency Verification and Appeals</t>
  </si>
  <si>
    <t>Ch. 309/95</t>
  </si>
  <si>
    <t>Comprehensive School Safety Plans</t>
  </si>
  <si>
    <t>National Norm-Referenced Achievement Test (formerly Standardized Testing and Reporting (STAR))</t>
  </si>
  <si>
    <t>Ch. 828/97</t>
  </si>
  <si>
    <t>Consolidation of Pupil Discipline Records and Notification to Teachers: Pupils Subject to Suspension or Expulsion II</t>
  </si>
  <si>
    <t>Ch. 345/00</t>
  </si>
  <si>
    <t>Graduation Requirements</t>
  </si>
  <si>
    <t>Notification to Teachers: Pupils Subject to Suspension or Expulsion</t>
  </si>
  <si>
    <t>Charter Schools II</t>
  </si>
  <si>
    <t>Ch. 34/98</t>
  </si>
  <si>
    <t>Charter Schools III</t>
  </si>
  <si>
    <t>Law Enforcement Agency Notifications</t>
  </si>
  <si>
    <t>Ch. 1117/89</t>
  </si>
  <si>
    <t>Missing Children Reports</t>
  </si>
  <si>
    <t>Pupil Classroom Suspension: Counseling</t>
  </si>
  <si>
    <t>Ch. 965/77</t>
  </si>
  <si>
    <t>Pupil Expulsions from School: Additional Hearing Costs for Mandatory Recommendations for Expulsion</t>
  </si>
  <si>
    <t>American Government Course Document Requirements</t>
  </si>
  <si>
    <t>Ch. 778/96</t>
  </si>
  <si>
    <t>Annual Parent Notification (7/1/1999 through 6/30/2001)</t>
  </si>
  <si>
    <t>Emergency Procedures, Earthquake Procedures, and Disasters and Comprehensive School Safety Plans</t>
  </si>
  <si>
    <t>Ch. 1659/84</t>
  </si>
  <si>
    <t>Pupil Exclusions</t>
  </si>
  <si>
    <t>Ch. 668/78</t>
  </si>
  <si>
    <t>Pupil Health Screenings (7/1/2003 and Prior)</t>
  </si>
  <si>
    <t>School District Fiscal Accountability Reporting</t>
  </si>
  <si>
    <t>Standardized Testing and Reporting</t>
  </si>
  <si>
    <t>AIDS Prevention Instruction</t>
  </si>
  <si>
    <t>Charter Schools</t>
  </si>
  <si>
    <t>Emergency Procedures: Earthquakes and Disasters</t>
  </si>
  <si>
    <t>Open Meetings Act II</t>
  </si>
  <si>
    <t>School District of Choice: Transfers and Appeals</t>
  </si>
  <si>
    <t>Ch. 160/93</t>
  </si>
  <si>
    <t>Schoolsite Discipline Rules</t>
  </si>
  <si>
    <t>Ch. 87/86</t>
  </si>
  <si>
    <t>Pupil Expulsions II, Pupil Suspensions II, and Educational Services Plan (7/1/1999 to 6/30/2001)</t>
  </si>
  <si>
    <t>Ch. 332/99</t>
  </si>
  <si>
    <t>School Bus Safety I and II</t>
  </si>
  <si>
    <t>Ch. 624/92</t>
  </si>
  <si>
    <t>School Bus Safety</t>
  </si>
  <si>
    <t>Interdistrict Transfer Requests: Parent's Employment</t>
  </si>
  <si>
    <t>Credential Monitoring</t>
  </si>
  <si>
    <t>Ch. 1376/87</t>
  </si>
  <si>
    <t>Ch. 1675/84</t>
  </si>
  <si>
    <t>1993-94</t>
  </si>
  <si>
    <t>Civic Center Act</t>
  </si>
  <si>
    <t>Ch. 49/84</t>
  </si>
  <si>
    <t>1990-91</t>
  </si>
  <si>
    <t>1989-90</t>
  </si>
  <si>
    <t>1988-89</t>
  </si>
  <si>
    <t>1987-88</t>
  </si>
  <si>
    <t>1986-87</t>
  </si>
  <si>
    <t>1985-86</t>
  </si>
  <si>
    <t>Enrollment Fee Collection and Waivers</t>
  </si>
  <si>
    <t>Minimum Conditions for State Aid</t>
  </si>
  <si>
    <t>Ch. 973/88</t>
  </si>
  <si>
    <t>Open Meetings/Brown Act Reform</t>
  </si>
  <si>
    <t>Community College Construction</t>
  </si>
  <si>
    <t>Ch. 910/80</t>
  </si>
  <si>
    <t>Ch. 1/84</t>
  </si>
  <si>
    <t>Tuition Fee Waivers</t>
  </si>
  <si>
    <t>Integrated Waste Management</t>
  </si>
  <si>
    <t>Ch. 1116/92</t>
  </si>
  <si>
    <t>Sexual Assault Response Procedures</t>
  </si>
  <si>
    <t>Ch. 423/90</t>
  </si>
  <si>
    <t>Cal Grants</t>
  </si>
  <si>
    <t>Ch. 403/00</t>
  </si>
  <si>
    <t>Reporting Improper Governmental Activities</t>
  </si>
  <si>
    <t>Ch. 416/01</t>
  </si>
  <si>
    <t>Total Funded Mandates</t>
  </si>
  <si>
    <t>Less: Net Payments and Offsets</t>
  </si>
  <si>
    <t>California Fire Incident Reporting System (CFIRS)</t>
  </si>
  <si>
    <t>Ch. 345/87</t>
  </si>
  <si>
    <t>California Fire Incident Reporting System (CFIRS) Total</t>
  </si>
  <si>
    <t>Crime Statistics Reports for the Department of Justice</t>
  </si>
  <si>
    <t>Ch. 1172/89</t>
  </si>
  <si>
    <t>Crime Statistics Reports for the Department of Justice Total</t>
  </si>
  <si>
    <t>Crime Victims' Domestic Violence Incident Reports II</t>
  </si>
  <si>
    <t>Ch. 483/01</t>
  </si>
  <si>
    <t>Crime Victims' Domestic Violence Incident Reports II Total</t>
  </si>
  <si>
    <t>Domestic Violence Background Checks</t>
  </si>
  <si>
    <t>Ch. 713/01</t>
  </si>
  <si>
    <t>Domestic Violence Background Checks Total</t>
  </si>
  <si>
    <t>Ch. 578/99</t>
  </si>
  <si>
    <t>Identity Theft</t>
  </si>
  <si>
    <t>Ch. 956/00</t>
  </si>
  <si>
    <t>Identity Theft Total</t>
  </si>
  <si>
    <t>Interagency Child Abuse and Neglect Investigation Reports</t>
  </si>
  <si>
    <t>Ch. 958/77</t>
  </si>
  <si>
    <t>Interagency Child Abuse and Neglect Investigation Reports Total</t>
  </si>
  <si>
    <t>Local Elections: Consolidation</t>
  </si>
  <si>
    <t>Ch. 1013/81</t>
  </si>
  <si>
    <t>Local Elections: Consolidation Total</t>
  </si>
  <si>
    <t>Local Government Employee Relations</t>
  </si>
  <si>
    <t>Ch. 901/00</t>
  </si>
  <si>
    <t>Local Government Employee Relations Total</t>
  </si>
  <si>
    <t>Mentally Disordered Offenders: Treatment as a Condition of Parole</t>
  </si>
  <si>
    <t>Ch. 1419/85</t>
  </si>
  <si>
    <t>Mentally Disordered Offenders: Treatment as a Condition of Parole Total</t>
  </si>
  <si>
    <t>Modified Primary Election</t>
  </si>
  <si>
    <t>Ch. 898/00</t>
  </si>
  <si>
    <t>Modified Primary Election Total</t>
  </si>
  <si>
    <t>Municipal Storm Water and Urban Runoff Discharges</t>
  </si>
  <si>
    <t>Title 2</t>
  </si>
  <si>
    <t>Municipal Storm Water and Urban Runoff Discharges Total</t>
  </si>
  <si>
    <t>Peace Officers Procedural Bill of Rights II</t>
  </si>
  <si>
    <t>Peace Officers Procedural Bill of Rights II Total</t>
  </si>
  <si>
    <t>Permanent Absent Voters II</t>
  </si>
  <si>
    <t>Ch. 922/01</t>
  </si>
  <si>
    <t>Permanent Absent Voters II Total</t>
  </si>
  <si>
    <t>Voter Identification Procedures</t>
  </si>
  <si>
    <t>Ch. 260/00</t>
  </si>
  <si>
    <t>Voter Identification Procedures Total</t>
  </si>
  <si>
    <t>Student Records Total</t>
  </si>
  <si>
    <t>2017-18</t>
  </si>
  <si>
    <t>Rape Victims Counseling Center Notice</t>
  </si>
  <si>
    <t>2017-18 Total</t>
  </si>
  <si>
    <t>1993-94 Total</t>
  </si>
  <si>
    <t>1990-91 Total</t>
  </si>
  <si>
    <t>1989-90 Total</t>
  </si>
  <si>
    <t>1988-89 Total</t>
  </si>
  <si>
    <t>1987-88 Total</t>
  </si>
  <si>
    <t>1986-87 Total</t>
  </si>
  <si>
    <t>1985-86 Total</t>
  </si>
  <si>
    <t>Cal Grant: Opt-Out Notice and Grade Point Average Submission</t>
  </si>
  <si>
    <t>Ch. 679/14</t>
  </si>
  <si>
    <t xml:space="preserve">Firearm Hearings for Discharged Inpatients </t>
  </si>
  <si>
    <t>Local Agency Employee Organizations: Impasse Procedures II</t>
  </si>
  <si>
    <t>Ch. 314/12</t>
  </si>
  <si>
    <t>2018-19</t>
  </si>
  <si>
    <t>U Visa 918 Form, Victims of Crime: Nonimmigrant Status</t>
  </si>
  <si>
    <t>Ch. 721/15</t>
  </si>
  <si>
    <t>Discrimination Complaint Procedures (Equal Employment Opportunity Program – Set Three)</t>
  </si>
  <si>
    <t>Health Fee Elimination (On or after 7/1/1994)</t>
  </si>
  <si>
    <t>Immunization Records – Pertussis</t>
  </si>
  <si>
    <t>Charter Schools I, II, and III</t>
  </si>
  <si>
    <t>Immunization Records – Hepatitis B</t>
  </si>
  <si>
    <t>Graduation Requirements (7/1/2004 to 12/31/2004)</t>
  </si>
  <si>
    <t>Graduation Requirements (7/1/1995 to 6/30/2004)</t>
  </si>
  <si>
    <t>School Testing – Physical Fitness</t>
  </si>
  <si>
    <t>Crime Victim's Domestic Violence Incident Reports</t>
  </si>
  <si>
    <t>Custody of Minors – Child Abduction and Recovery</t>
  </si>
  <si>
    <t>Domestic Violence Treatment Services – Authorization and Case Management</t>
  </si>
  <si>
    <t>Developmentally Disabled: Attorneys' Services</t>
  </si>
  <si>
    <t>Mentally Disordered Offenders' Extended Commitment Proceedings</t>
  </si>
  <si>
    <t>2018-19 Total</t>
  </si>
  <si>
    <t>Local Agency Employee Organizations: Impasse Procedures II Total</t>
  </si>
  <si>
    <t>U Visa 918 Form, Victims of Crime: Nonimmigrant Status Total</t>
  </si>
  <si>
    <t>2018-19 and Prior</t>
  </si>
  <si>
    <t>Fiscal 
Year</t>
  </si>
  <si>
    <t>Program 
Name</t>
  </si>
  <si>
    <t>Legal 
Reference
(Ch./Year)</t>
  </si>
  <si>
    <t>Program
 Number</t>
  </si>
  <si>
    <t>Total
Payments</t>
  </si>
  <si>
    <t>0001-6100-2019-295-98</t>
  </si>
  <si>
    <t xml:space="preserve">Ch. 818/91       </t>
  </si>
  <si>
    <t>Charter Schools I, II, III</t>
  </si>
  <si>
    <t>Consolidation of Notification to Teachers:  Pupils Subject to Suspension or Expulsion and Pupil Discipline Records, Notification to Teachers: Pupils Subject to Suspension or Expulsion II</t>
  </si>
  <si>
    <t>Graduation Requirements (On or after 01/01/2005)</t>
  </si>
  <si>
    <t>Immunization Records - Mumps, Rubella, and Hepatitis B</t>
  </si>
  <si>
    <t>Immunization Records - Pertussis</t>
  </si>
  <si>
    <t>Pupil Health Screenings (7/1/2004 and Subsequent Years)</t>
  </si>
  <si>
    <t xml:space="preserve">Training for School Employee Mandated Reporters </t>
  </si>
  <si>
    <t>Program 
Payments and Offsets</t>
  </si>
  <si>
    <t>Interest
Payments and Offsets</t>
  </si>
  <si>
    <t>Total 
Payments</t>
  </si>
  <si>
    <t>0001-8885-2019-295-98</t>
  </si>
  <si>
    <t>Crime Victims' Domestic Violence Incidence Reports</t>
  </si>
  <si>
    <t>Custody of Minors-Child Abduction and Recovery</t>
  </si>
  <si>
    <t>Domestic Violence Treatment Services - Authorization and Case Management</t>
  </si>
  <si>
    <t xml:space="preserve">Local Agency Ethics </t>
  </si>
  <si>
    <t>State Authorized Risk Assessment Tool For Sex Offenders</t>
  </si>
  <si>
    <t>Binding Arbitration</t>
  </si>
  <si>
    <t>Ch. 906/00</t>
  </si>
  <si>
    <t>Fire Safety Inspections of Care Facilities</t>
  </si>
  <si>
    <t>Ch. 993/89</t>
  </si>
  <si>
    <t>Local Recreational Areas: Background Screenings</t>
  </si>
  <si>
    <t>Ch. 777/01</t>
  </si>
  <si>
    <t>Racial Profiling: Law Enforcement Training</t>
  </si>
  <si>
    <t>Ch. 684/00</t>
  </si>
  <si>
    <t>0001-8885-2018-295-98</t>
  </si>
  <si>
    <t>0001-8885-2018-295-98 Total</t>
  </si>
  <si>
    <t>0001-8885-2017-295-98</t>
  </si>
  <si>
    <t>0044-8885-2019-295-98</t>
  </si>
  <si>
    <t>0044-8885-2019-295-98 Total</t>
  </si>
  <si>
    <t>0044-8885-2018-295-98</t>
  </si>
  <si>
    <t>0044-8885-2018-295-98 Total</t>
  </si>
  <si>
    <t>0106-8885-2019-295-98</t>
  </si>
  <si>
    <t>0106-8885-2019-295-98 Total</t>
  </si>
  <si>
    <t>Fiscal Year of 
Claims Paid</t>
  </si>
  <si>
    <t>Original                         Appropriation                  Amount</t>
  </si>
  <si>
    <t>Appropriation Balances
as of 07/01/2019</t>
  </si>
  <si>
    <t xml:space="preserve">Budget Adjustments        </t>
  </si>
  <si>
    <t>Add: Receipts               and Recovered Amounts</t>
  </si>
  <si>
    <t>Appropriation Balances
as of 04/01/2020</t>
  </si>
  <si>
    <t>Ch. 23/19</t>
  </si>
  <si>
    <t>Ch. 29,30,449/18</t>
  </si>
  <si>
    <t>2016-17 and 2015-16</t>
  </si>
  <si>
    <t>Ch. 14,22,54/17</t>
  </si>
  <si>
    <t xml:space="preserve">2015-16 </t>
  </si>
  <si>
    <t>0044-8885-2017-295-98</t>
  </si>
  <si>
    <t>0106-8885-2018-295-98</t>
  </si>
  <si>
    <t>0106-8885-2017-295-98</t>
  </si>
  <si>
    <t>0001-6100-2018-295-98</t>
  </si>
  <si>
    <t>0001-6100-2017-295-98</t>
  </si>
  <si>
    <t>0001-6870-2019-295-98</t>
  </si>
  <si>
    <t>0001-6870-2018-295-98</t>
  </si>
  <si>
    <t>0001-6870-2017-295-98</t>
  </si>
  <si>
    <t>Cal Grant: Opt-Out Notice and Grade Point Average Submission Total</t>
  </si>
  <si>
    <t xml:space="preserve">Total Unfunded Mandates </t>
  </si>
  <si>
    <t>Accounts Payable
Balance</t>
  </si>
  <si>
    <t>Established
Accounts Receivable</t>
  </si>
  <si>
    <t>Accounts Receivable
Balance</t>
  </si>
  <si>
    <t>CONTENTS</t>
  </si>
  <si>
    <t>STATE-MANDATED PROGRAM COST REPORT OF UNPAID CLAIMS AND DEFICIENCIES</t>
  </si>
  <si>
    <t>FOR LOCAL AGENCIES, SCHOOL DISTRICTS, AND COMMUNITY COLLEGE DISTRICTS</t>
  </si>
  <si>
    <t>SCHEDULE A:</t>
  </si>
  <si>
    <t>SUMMARY OF STATE-MANDATED PROGRAM APPROPRIATIONS, RECEIPTS, AND PAYMENTS</t>
  </si>
  <si>
    <t>DETAIL OF STATE-MANDATED PROGRAM PAYMENTS BY FISCAL YEAR</t>
  </si>
  <si>
    <t>SCHEDULE B:</t>
  </si>
  <si>
    <t>SUMMARY OF FUNDED AND UNFUNDED STATE-MANDATED PROGRAMS</t>
  </si>
  <si>
    <t>SCHEDULE B1:</t>
  </si>
  <si>
    <t>DETAIL OF FUNDED STATE-MANDATED PROGRAMS BY FISCAL YEAR</t>
  </si>
  <si>
    <t>SCHEDULE B2:</t>
  </si>
  <si>
    <t>DETAIL OF UNFUNDED STATE-MANDATED PROGRAMS</t>
  </si>
  <si>
    <t>As of April 1, 2020</t>
  </si>
  <si>
    <t>For the Budget Acts of 2017-18, 2018-19, and 2019-20</t>
  </si>
  <si>
    <t>For 2018-19 and Prior Fiscal Years</t>
  </si>
  <si>
    <t xml:space="preserve"> State of California</t>
  </si>
  <si>
    <t xml:space="preserve">  local agencies and community college districts.</t>
  </si>
  <si>
    <t>2017-18 and prior</t>
  </si>
  <si>
    <t>State-Mandated Program Cost Report</t>
  </si>
  <si>
    <t>of Unpaid Claims and Deficiencies</t>
  </si>
  <si>
    <t>(Government Code section 17562(b)(2))</t>
  </si>
  <si>
    <t>California State Controller’s Office</t>
  </si>
  <si>
    <t>BETTY T. YEE</t>
  </si>
  <si>
    <t>Image on Office of the Controller, State of California Seal</t>
  </si>
  <si>
    <t>State Controller's Office
Schedule A: Summary of State-Mandated Program Appropriations, Receipts, and Payments
As of April 1, 2020</t>
  </si>
  <si>
    <t xml:space="preserve">State Controller's Office
Schedule A1: Detail of State-Mandated Program Payments by Fiscal Year
As of April 1, 2020 </t>
  </si>
  <si>
    <t>State Controller's Office
Schedule A1: Detail of State-Mandated Program Payments by Fiscal Year 
As of April 1, 2020</t>
  </si>
  <si>
    <t>State Controller's Office
Schedule B: Summary of Funded and Unfunded State-Mandated Programs
As of April 1, 2020</t>
  </si>
  <si>
    <t>State Controller's Office
Schedule B1: Detail of Funded State-Mandated Programs by Fiscal Year
As of April 1, 2020</t>
  </si>
  <si>
    <t>State Controller's Office
Schedule B2: Detail of Unfunded State-Mandated Programs
As of April 1, 2020</t>
  </si>
  <si>
    <r>
      <t>SCHEDULE A1:</t>
    </r>
    <r>
      <rPr>
        <sz val="14"/>
        <color theme="1"/>
        <rFont val="Arial"/>
        <family val="2"/>
      </rPr>
      <t xml:space="preserve"> </t>
    </r>
  </si>
  <si>
    <t>N/A</t>
  </si>
  <si>
    <t>Comment: Includes interest payments (see Schedule A1 for detail).</t>
  </si>
  <si>
    <t>Comment</t>
  </si>
  <si>
    <t>Comment2</t>
  </si>
  <si>
    <t>Comment: Per Item 0001-6870-2019-488, Schedule (6) of the Budget Act of 2019, $13,000 was reappropriated from Item 0001-6870-2017-295 of the Budget Act of 2017.</t>
  </si>
  <si>
    <r>
      <t xml:space="preserve">Less: Mandated Program Payments, 
Offsets, and Interest   
 (see Schedule A1) </t>
    </r>
    <r>
      <rPr>
        <b/>
        <vertAlign val="superscript"/>
        <sz val="12"/>
        <color theme="1"/>
        <rFont val="Arial"/>
        <family val="2"/>
      </rPr>
      <t>2</t>
    </r>
  </si>
  <si>
    <r>
      <t xml:space="preserve">Less: Reappropriations </t>
    </r>
    <r>
      <rPr>
        <b/>
        <vertAlign val="superscript"/>
        <sz val="12"/>
        <color theme="1"/>
        <rFont val="Arial"/>
        <family val="2"/>
      </rPr>
      <t>3</t>
    </r>
  </si>
  <si>
    <t>Appropriation
Number</t>
  </si>
  <si>
    <t>Comment: Transferred from the 2018 budget appropriation to the 2019 budget appropriation to ensure all claims were paid for four expired and repealed mandates.</t>
  </si>
  <si>
    <t>Appropriation 
Number</t>
  </si>
  <si>
    <t>Annual Claim Payments Total</t>
  </si>
  <si>
    <t>Please continue to next table.</t>
  </si>
  <si>
    <t>Local Agencies-Expired and Repealed</t>
  </si>
  <si>
    <t>Local Agencies-Annual Claim</t>
  </si>
  <si>
    <t>Expired and Repealed Mandated Payments Total</t>
  </si>
  <si>
    <t>Program Category
 and Fund</t>
  </si>
  <si>
    <t>Local Agencies-General Fund</t>
  </si>
  <si>
    <t>Total Local Agencies-General Fund</t>
  </si>
  <si>
    <t>Program Category 
and Fund</t>
  </si>
  <si>
    <t>Motor Vehicle Account-Non-General Fund</t>
  </si>
  <si>
    <t>Total Motor Vehicle Account-Non-General Fund</t>
  </si>
  <si>
    <t>Pesticide Regulation-Non-General Fund</t>
  </si>
  <si>
    <t>Total Pesticide Regulation-Non-General Fund</t>
  </si>
  <si>
    <t xml:space="preserve"> N/A </t>
  </si>
  <si>
    <t>School Districts-General Fund</t>
  </si>
  <si>
    <t>Total School Districts-General Fund</t>
  </si>
  <si>
    <t>Community College Districts-General Fund</t>
  </si>
  <si>
    <t>Total Community College Districts-General Fund</t>
  </si>
  <si>
    <t>Grand Total</t>
  </si>
  <si>
    <r>
      <rPr>
        <vertAlign val="superscript"/>
        <sz val="12"/>
        <color theme="1"/>
        <rFont val="Arial"/>
        <family val="2"/>
      </rPr>
      <t xml:space="preserve">1 </t>
    </r>
    <r>
      <rPr>
        <sz val="12"/>
        <color theme="1"/>
        <rFont val="Arial"/>
        <family val="2"/>
      </rPr>
      <t>Transferred from the 2018 budget appropriation to the 2019 budget appropriation to ensure all claims were paid for four expired and repealed mandates.</t>
    </r>
  </si>
  <si>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 xml:space="preserve"> Includes interest payments (see Schedule A1 for detail).</t>
    </r>
  </si>
  <si>
    <r>
      <rPr>
        <vertAlign val="superscript"/>
        <sz val="12"/>
        <color theme="1"/>
        <rFont val="Arial"/>
        <family val="2"/>
      </rPr>
      <t>3</t>
    </r>
    <r>
      <rPr>
        <sz val="12"/>
        <color theme="1"/>
        <rFont val="Arial"/>
        <family val="2"/>
      </rPr>
      <t xml:space="preserve"> Per Item 0001-6870-2019-488, Schedule (6) of the Budget Act of 2019, $13,000 was reappropriated from Item 0001-6870-2017-295 of the Budget Act of 2017. </t>
    </r>
  </si>
  <si>
    <t>0001-88865-2017-295-98 Total</t>
  </si>
  <si>
    <t>Local Agencies-Pesticide</t>
  </si>
  <si>
    <t>Local Agencies-Motor Vehicle</t>
  </si>
  <si>
    <t>School District-Annual Claim</t>
  </si>
  <si>
    <t>School District</t>
  </si>
  <si>
    <r>
      <t xml:space="preserve">Grant Total Local Agencies and School Districts </t>
    </r>
    <r>
      <rPr>
        <b/>
        <vertAlign val="superscript"/>
        <sz val="12"/>
        <rFont val="Arial"/>
        <family val="2"/>
      </rPr>
      <t>4</t>
    </r>
  </si>
  <si>
    <t xml:space="preserve">Comment: All community colleges participated in the block grant program. No payments were made to community colleges districts.  </t>
  </si>
  <si>
    <r>
      <rPr>
        <vertAlign val="superscript"/>
        <sz val="12"/>
        <color theme="1"/>
        <rFont val="Arial"/>
        <family val="2"/>
      </rPr>
      <t>4</t>
    </r>
    <r>
      <rPr>
        <sz val="12"/>
        <color theme="1"/>
        <rFont val="Arial"/>
        <family val="2"/>
      </rPr>
      <t xml:space="preserve"> All community colleges participated in the block grant program. No payments were made to community colleges districts.  </t>
    </r>
  </si>
  <si>
    <t>Program Category
and Type of Payment</t>
  </si>
  <si>
    <t>grandtotala1</t>
  </si>
  <si>
    <t>B1-Funded</t>
  </si>
  <si>
    <t>B2-Unfunded</t>
  </si>
  <si>
    <r>
      <t xml:space="preserve">Less: Net Payments and Offsets </t>
    </r>
    <r>
      <rPr>
        <b/>
        <vertAlign val="superscript"/>
        <sz val="12"/>
        <color theme="1"/>
        <rFont val="Arial"/>
        <family val="2"/>
      </rPr>
      <t>1</t>
    </r>
  </si>
  <si>
    <r>
      <t xml:space="preserve">Accounts Payable
Balance </t>
    </r>
    <r>
      <rPr>
        <b/>
        <vertAlign val="superscript"/>
        <sz val="12"/>
        <color theme="1"/>
        <rFont val="Arial"/>
        <family val="2"/>
      </rPr>
      <t>2</t>
    </r>
  </si>
  <si>
    <r>
      <t xml:space="preserve">Established
Accounts 
Receivable </t>
    </r>
    <r>
      <rPr>
        <b/>
        <vertAlign val="superscript"/>
        <sz val="12"/>
        <color theme="1"/>
        <rFont val="Arial"/>
        <family val="2"/>
      </rPr>
      <t>3</t>
    </r>
  </si>
  <si>
    <r>
      <t xml:space="preserve">Accounts Receivable
Balance </t>
    </r>
    <r>
      <rPr>
        <b/>
        <vertAlign val="superscript"/>
        <sz val="12"/>
        <color theme="1"/>
        <rFont val="Arial"/>
        <family val="2"/>
      </rPr>
      <t>4</t>
    </r>
  </si>
  <si>
    <r>
      <t xml:space="preserve">Net
Balance </t>
    </r>
    <r>
      <rPr>
        <b/>
        <vertAlign val="superscript"/>
        <sz val="12"/>
        <color theme="1"/>
        <rFont val="Arial"/>
        <family val="2"/>
      </rPr>
      <t xml:space="preserve">5 </t>
    </r>
  </si>
  <si>
    <t>Comment3</t>
  </si>
  <si>
    <t>Comment4</t>
  </si>
  <si>
    <t>Comment5</t>
  </si>
  <si>
    <t>Comment1</t>
  </si>
  <si>
    <t xml:space="preserve">$0 </t>
  </si>
  <si>
    <r>
      <t>Footnotes:</t>
    </r>
    <r>
      <rPr>
        <sz val="12"/>
        <color theme="0"/>
        <rFont val="Arial"/>
        <family val="2"/>
      </rPr>
      <t xml:space="preserve"> (For those using screen readers these footnotes are identical to comments referenced in cells I3, L3, and L29.)</t>
    </r>
  </si>
  <si>
    <r>
      <t xml:space="preserve">Footnote: </t>
    </r>
    <r>
      <rPr>
        <sz val="12"/>
        <color theme="0"/>
        <rFont val="Arial"/>
        <family val="2"/>
      </rPr>
      <t>(For those using screen readers this footnote is identical to comment referenced in cell B41.)</t>
    </r>
  </si>
  <si>
    <t>Less: Reappropriations 3</t>
  </si>
  <si>
    <r>
      <t xml:space="preserve">Less: Mandated Program Payments, 
Offsets, and Interest   
 (see Schedule A1) </t>
    </r>
    <r>
      <rPr>
        <b/>
        <vertAlign val="superscript"/>
        <sz val="12"/>
        <rFont val="Arial"/>
        <family val="2"/>
      </rPr>
      <t>2</t>
    </r>
  </si>
  <si>
    <t>Comment: The state's liability was reduced by $124.7 million in one-time funding for offsets from Chapters 29, 32, and 39, Statutes of 2018. The one-time funding offsets did not apply to       local agencies and community college districts.</t>
  </si>
  <si>
    <r>
      <t xml:space="preserve">Less: Net Payments and Offsets </t>
    </r>
    <r>
      <rPr>
        <b/>
        <vertAlign val="superscript"/>
        <sz val="12"/>
        <rFont val="Arial"/>
        <family val="2"/>
      </rPr>
      <t>1</t>
    </r>
  </si>
  <si>
    <r>
      <rPr>
        <vertAlign val="super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 xml:space="preserve"> The state's liability was reduced by $124.7 million in one-time funding for offsets from Chapters 29, 32, and 39, Statutes of 2018. The one-time funding offsets did not apply to 
</t>
    </r>
  </si>
  <si>
    <t>Comment: Amount due to local agencies, school districts, and community college districts.</t>
  </si>
  <si>
    <r>
      <t>Accounts Payable
Balance</t>
    </r>
    <r>
      <rPr>
        <b/>
        <vertAlign val="superscript"/>
        <sz val="12"/>
        <rFont val="Arial"/>
        <family val="2"/>
      </rPr>
      <t xml:space="preserve"> 2</t>
    </r>
  </si>
  <si>
    <t>Comment: Total accounts receivable established due to desk reviews and field audit claim adjustments.</t>
  </si>
  <si>
    <t>Comment: Amount due from local agencies, school districts (includes ineligible charter schools), and community college districts.</t>
  </si>
  <si>
    <r>
      <t xml:space="preserve">Established
Accounts 
Receivable </t>
    </r>
    <r>
      <rPr>
        <b/>
        <vertAlign val="superscript"/>
        <sz val="12"/>
        <rFont val="Arial"/>
        <family val="2"/>
      </rPr>
      <t>3</t>
    </r>
  </si>
  <si>
    <r>
      <t xml:space="preserve">Accounts Receivable
Balance </t>
    </r>
    <r>
      <rPr>
        <b/>
        <vertAlign val="superscript"/>
        <sz val="12"/>
        <rFont val="Arial"/>
        <family val="2"/>
      </rPr>
      <t>4</t>
    </r>
  </si>
  <si>
    <r>
      <t xml:space="preserve">Net
Balance </t>
    </r>
    <r>
      <rPr>
        <b/>
        <vertAlign val="superscript"/>
        <sz val="12"/>
        <rFont val="Arial"/>
        <family val="2"/>
      </rPr>
      <t xml:space="preserve">5 </t>
    </r>
  </si>
  <si>
    <t xml:space="preserve">Comment: Net amount of deficiencies and surpluses (A/P Balance less A/R Balance equals Net Balance) </t>
  </si>
  <si>
    <r>
      <rPr>
        <vertAlign val="superscript"/>
        <sz val="12"/>
        <color theme="1"/>
        <rFont val="Arial"/>
        <family val="2"/>
      </rPr>
      <t xml:space="preserve">2 </t>
    </r>
    <r>
      <rPr>
        <sz val="12"/>
        <color theme="1"/>
        <rFont val="Arial"/>
        <family val="2"/>
      </rPr>
      <t>Amount due to local agencies, school districts, and community college districts.</t>
    </r>
  </si>
  <si>
    <r>
      <t xml:space="preserve">3 </t>
    </r>
    <r>
      <rPr>
        <sz val="12"/>
        <color theme="1"/>
        <rFont val="Arial"/>
        <family val="2"/>
      </rPr>
      <t>Total accounts receivable established due to desk reviews and 
  field audit claim adjustments.</t>
    </r>
  </si>
  <si>
    <r>
      <rPr>
        <vertAlign val="superscript"/>
        <sz val="12"/>
        <color theme="1"/>
        <rFont val="Arial"/>
        <family val="2"/>
      </rPr>
      <t xml:space="preserve">4 </t>
    </r>
    <r>
      <rPr>
        <sz val="12"/>
        <color theme="1"/>
        <rFont val="Arial"/>
        <family val="2"/>
      </rPr>
      <t>Amount due from local agencies, school districts (includes ineligible charter schools), and community college districts.</t>
    </r>
  </si>
  <si>
    <r>
      <t xml:space="preserve">5 </t>
    </r>
    <r>
      <rPr>
        <sz val="12"/>
        <color theme="1"/>
        <rFont val="Arial"/>
        <family val="2"/>
      </rPr>
      <t xml:space="preserve">Net amount of deficiencies and surpluses (A/P Balance less A/R Balance equals Net Balance) </t>
    </r>
  </si>
  <si>
    <r>
      <rPr>
        <vertAlign val="superscript"/>
        <sz val="12"/>
        <color theme="1"/>
        <rFont val="Arial"/>
        <family val="2"/>
      </rPr>
      <t xml:space="preserve">6 </t>
    </r>
    <r>
      <rPr>
        <sz val="12"/>
        <color theme="1"/>
        <rFont val="Arial"/>
        <family val="2"/>
      </rPr>
      <t>State-mandated programs appropriated for payments in the Budget Act (funded) and programs without appropriations (unfunded).</t>
    </r>
  </si>
  <si>
    <t>Comment: State-mandated programs appropriated for payments in the Budget Act (funded) and programs without appropriations (unfunded).</t>
  </si>
  <si>
    <r>
      <t xml:space="preserve">Total Schedule B1: Funded Mandates </t>
    </r>
    <r>
      <rPr>
        <b/>
        <vertAlign val="superscript"/>
        <sz val="12"/>
        <rFont val="Arial"/>
        <family val="2"/>
      </rPr>
      <t>6</t>
    </r>
  </si>
  <si>
    <r>
      <t xml:space="preserve">Total Schedule B2: Unfunded Mandates </t>
    </r>
    <r>
      <rPr>
        <b/>
        <vertAlign val="superscript"/>
        <sz val="12"/>
        <rFont val="Arial"/>
        <family val="2"/>
      </rPr>
      <t>6</t>
    </r>
  </si>
  <si>
    <r>
      <t xml:space="preserve">Footnotes: </t>
    </r>
    <r>
      <rPr>
        <sz val="12"/>
        <color theme="0"/>
        <rFont val="Arial"/>
        <family val="2"/>
      </rPr>
      <t>(For those using screen readers these footnotes are identical to comments referenced in cells G2, I2, K2, N2, and P2.)</t>
    </r>
  </si>
  <si>
    <r>
      <t xml:space="preserve">Less: Net Payments and Offsets </t>
    </r>
    <r>
      <rPr>
        <b/>
        <vertAlign val="superscript"/>
        <sz val="12"/>
        <color theme="1"/>
        <rFont val="Arial"/>
        <family val="2"/>
      </rPr>
      <t>7</t>
    </r>
  </si>
  <si>
    <t xml:space="preserve">  N/A  </t>
  </si>
  <si>
    <r>
      <rPr>
        <vertAlign val="superscript"/>
        <sz val="12"/>
        <color theme="1"/>
        <rFont val="Arial"/>
        <family val="2"/>
      </rPr>
      <t>7</t>
    </r>
    <r>
      <rPr>
        <sz val="12"/>
        <color theme="1"/>
        <rFont val="Arial"/>
        <family val="2"/>
      </rPr>
      <t xml:space="preserve"> Local agencies did not receive one-time funding offsets.</t>
    </r>
  </si>
  <si>
    <t>Comment: Local agencies did not receive one-time funding offsets.</t>
  </si>
  <si>
    <t>7</t>
  </si>
  <si>
    <r>
      <t xml:space="preserve">Footnote: </t>
    </r>
    <r>
      <rPr>
        <sz val="12"/>
        <color theme="0"/>
        <rFont val="Arial"/>
        <family val="2"/>
      </rPr>
      <t>(For those using screen readers this footnote is identical to comment referenced in cell G2.)</t>
    </r>
  </si>
  <si>
    <r>
      <t xml:space="preserve">Less: Net Payments and Offsets </t>
    </r>
    <r>
      <rPr>
        <b/>
        <vertAlign val="superscript"/>
        <sz val="12"/>
        <rFont val="Arial"/>
        <family val="2"/>
      </rPr>
      <t>7</t>
    </r>
  </si>
  <si>
    <r>
      <t xml:space="preserve">Less: Net Payments and Offsets </t>
    </r>
    <r>
      <rPr>
        <b/>
        <vertAlign val="superscript"/>
        <sz val="12"/>
        <color theme="1"/>
        <rFont val="Arial"/>
        <family val="2"/>
      </rPr>
      <t>8</t>
    </r>
  </si>
  <si>
    <t>$0</t>
  </si>
  <si>
    <t>8</t>
  </si>
  <si>
    <r>
      <rPr>
        <vertAlign val="superscript"/>
        <sz val="12"/>
        <color theme="1"/>
        <rFont val="Arial"/>
        <family val="2"/>
      </rPr>
      <t xml:space="preserve">8 </t>
    </r>
    <r>
      <rPr>
        <sz val="12"/>
        <color theme="1"/>
        <rFont val="Arial"/>
        <family val="2"/>
      </rPr>
      <t>The state's liability was reduced by $124.7 million in one-time funding for offsets from Chapters 29, 32, and 39, Statutes of 2018.</t>
    </r>
  </si>
  <si>
    <t>Comment: The state's liability was reduced by $124.7 million in one-time funding for offsets from Chapters 29, 32, and 39, Statutes of 2018.</t>
  </si>
  <si>
    <r>
      <t xml:space="preserve">Less: Net Payments and Offsets </t>
    </r>
    <r>
      <rPr>
        <b/>
        <vertAlign val="superscript"/>
        <sz val="12"/>
        <rFont val="Arial"/>
        <family val="2"/>
      </rPr>
      <t>8</t>
    </r>
  </si>
  <si>
    <r>
      <t xml:space="preserve">Less: Net Payments and Offsets </t>
    </r>
    <r>
      <rPr>
        <b/>
        <vertAlign val="superscript"/>
        <sz val="12"/>
        <color theme="1"/>
        <rFont val="Arial"/>
        <family val="2"/>
      </rPr>
      <t>9</t>
    </r>
  </si>
  <si>
    <t>9</t>
  </si>
  <si>
    <t>Program 
Category</t>
  </si>
  <si>
    <r>
      <rPr>
        <vertAlign val="superscript"/>
        <sz val="12"/>
        <color theme="1"/>
        <rFont val="Arial"/>
        <family val="2"/>
      </rPr>
      <t>9</t>
    </r>
    <r>
      <rPr>
        <sz val="12"/>
        <color theme="1"/>
        <rFont val="Arial"/>
        <family val="2"/>
      </rPr>
      <t xml:space="preserve"> Community college districts did not receive one-time funding offsets.</t>
    </r>
  </si>
  <si>
    <t>Comment: Community college districts did not receive one-time funding offsets.</t>
  </si>
  <si>
    <r>
      <t xml:space="preserve">Less: Net Payments and Offsets </t>
    </r>
    <r>
      <rPr>
        <b/>
        <vertAlign val="superscript"/>
        <sz val="12"/>
        <rFont val="Arial"/>
        <family val="2"/>
      </rPr>
      <t>9</t>
    </r>
  </si>
  <si>
    <t>Firearm Hearings for Discharged Inpatients Total</t>
  </si>
  <si>
    <t>Reversion 
Date</t>
  </si>
  <si>
    <t>Reversion
 Date</t>
  </si>
  <si>
    <t>Page 3</t>
  </si>
  <si>
    <t>Page 5</t>
  </si>
  <si>
    <t>Page 8</t>
  </si>
  <si>
    <t>Page 10</t>
  </si>
  <si>
    <t>Page 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</si>
</sst>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&quot;$&quot;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6"/>
      <name val="Franklin Gothic Medium Cond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sz val="12"/>
      <name val="Arial"/>
      <family val="2"/>
    </font>
    <font>
      <sz val="14"/>
      <color theme="1"/>
      <name val="Arial"/>
      <family val="2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sz val="24"/>
      <name val="Arial"/>
      <family val="2"/>
    </font>
    <font>
      <b/>
      <sz val="36"/>
      <name val="Arial"/>
      <family val="2"/>
    </font>
    <font>
      <b/>
      <sz val="32"/>
      <name val="Arial"/>
      <family val="2"/>
    </font>
    <font>
      <sz val="10"/>
      <color theme="1"/>
      <name val="Arial"/>
      <family val="2"/>
    </font>
    <font>
      <b/>
      <vertAlign val="superscript"/>
      <sz val="12"/>
      <name val="Arial"/>
      <family val="2"/>
    </font>
    <font>
      <vertAlign val="superscript"/>
      <sz val="12"/>
      <name val="Arial"/>
      <family val="2"/>
    </font>
    <font>
      <b/>
      <sz val="11"/>
      <color theme="1"/>
      <name val="Arial"/>
      <family val="2"/>
    </font>
    <font>
      <sz val="11"/>
      <color theme="0"/>
      <name val="Calibri"/>
      <family val="2"/>
      <scheme val="minor"/>
    </font>
    <font>
      <sz val="12"/>
      <color theme="0"/>
      <name val="Arial"/>
      <family val="2"/>
    </font>
    <font>
      <sz val="9"/>
      <color indexed="81"/>
      <name val="Tahoma"/>
      <family val="2"/>
    </font>
    <font>
      <b/>
      <sz val="12"/>
      <color theme="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theme="1"/>
      <name val="Arial"/>
    </font>
    <font>
      <b/>
      <sz val="12"/>
      <color theme="0"/>
      <name val="Arial"/>
    </font>
    <font>
      <b/>
      <vertAlign val="superscript"/>
      <sz val="12"/>
      <name val="Arial"/>
    </font>
    <font>
      <sz val="12"/>
      <color theme="1"/>
      <name val="Arial"/>
    </font>
    <font>
      <sz val="12"/>
      <color theme="0"/>
      <name val="Arial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auto="1"/>
      </top>
      <bottom style="thin">
        <color auto="1"/>
      </bottom>
      <diagonal/>
    </border>
    <border>
      <left style="hair">
        <color theme="0" tint="-0.499984740745262"/>
      </left>
      <right style="hair">
        <color theme="0" tint="-0.499984740745262"/>
      </right>
      <top/>
      <bottom/>
      <diagonal/>
    </border>
    <border>
      <left style="hair">
        <color theme="0" tint="-0.499984740745262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theme="0" tint="-0.499984740745262"/>
      </right>
      <top/>
      <bottom/>
      <diagonal/>
    </border>
    <border>
      <left style="hair">
        <color theme="0" tint="-0.499984740745262"/>
      </left>
      <right/>
      <top/>
      <bottom/>
      <diagonal/>
    </border>
    <border>
      <left style="hair">
        <color theme="0" tint="-0.499984740745262"/>
      </left>
      <right style="thin">
        <color indexed="64"/>
      </right>
      <top/>
      <bottom/>
      <diagonal/>
    </border>
    <border>
      <left/>
      <right style="hair">
        <color theme="0" tint="-0.499984740745262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8" fillId="0" borderId="0" applyNumberFormat="0" applyFill="0" applyBorder="0" applyAlignment="0" applyProtection="0"/>
  </cellStyleXfs>
  <cellXfs count="513">
    <xf numFmtId="0" fontId="0" fillId="0" borderId="0" xfId="0"/>
    <xf numFmtId="0" fontId="0" fillId="0" borderId="0" xfId="0" applyFont="1" applyFill="1"/>
    <xf numFmtId="0" fontId="2" fillId="0" borderId="0" xfId="0" applyFont="1"/>
    <xf numFmtId="0" fontId="2" fillId="0" borderId="6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165" fontId="0" fillId="0" borderId="0" xfId="1" applyNumberFormat="1" applyFont="1" applyFill="1"/>
    <xf numFmtId="165" fontId="0" fillId="0" borderId="0" xfId="1" applyNumberFormat="1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165" fontId="0" fillId="0" borderId="0" xfId="1" applyNumberFormat="1" applyFont="1" applyFill="1" applyBorder="1"/>
    <xf numFmtId="0" fontId="0" fillId="0" borderId="0" xfId="0" applyFont="1" applyFill="1" applyBorder="1" applyAlignment="1">
      <alignment horizontal="center" wrapText="1"/>
    </xf>
    <xf numFmtId="42" fontId="0" fillId="0" borderId="0" xfId="0" applyNumberFormat="1" applyFont="1" applyFill="1" applyBorder="1" applyAlignment="1">
      <alignment horizontal="left"/>
    </xf>
    <xf numFmtId="42" fontId="0" fillId="0" borderId="0" xfId="0" applyNumberFormat="1" applyFont="1" applyFill="1" applyBorder="1"/>
    <xf numFmtId="0" fontId="0" fillId="0" borderId="0" xfId="0" applyFont="1" applyFill="1" applyBorder="1" applyAlignment="1">
      <alignment horizontal="left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left"/>
    </xf>
    <xf numFmtId="164" fontId="2" fillId="0" borderId="0" xfId="2" applyNumberFormat="1" applyFont="1" applyAlignment="1">
      <alignment horizontal="right"/>
    </xf>
    <xf numFmtId="164" fontId="2" fillId="0" borderId="0" xfId="2" applyNumberFormat="1" applyFont="1" applyAlignment="1"/>
    <xf numFmtId="0" fontId="2" fillId="0" borderId="0" xfId="0" applyFont="1" applyFill="1"/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left" wrapText="1"/>
    </xf>
    <xf numFmtId="164" fontId="2" fillId="0" borderId="0" xfId="2" applyNumberFormat="1" applyFont="1" applyFill="1" applyAlignment="1">
      <alignment horizontal="right"/>
    </xf>
    <xf numFmtId="164" fontId="2" fillId="0" borderId="0" xfId="2" applyNumberFormat="1" applyFont="1" applyFill="1" applyAlignment="1"/>
    <xf numFmtId="164" fontId="2" fillId="0" borderId="0" xfId="2" applyNumberFormat="1" applyFont="1" applyAlignment="1">
      <alignment horizontal="center"/>
    </xf>
    <xf numFmtId="0" fontId="2" fillId="0" borderId="0" xfId="0" applyFont="1" applyBorder="1" applyAlignment="1">
      <alignment horizontal="center"/>
    </xf>
    <xf numFmtId="0" fontId="4" fillId="0" borderId="0" xfId="0" applyFont="1" applyAlignment="1">
      <alignment vertical="center"/>
    </xf>
    <xf numFmtId="0" fontId="4" fillId="0" borderId="0" xfId="0" applyFont="1"/>
    <xf numFmtId="14" fontId="4" fillId="0" borderId="0" xfId="0" applyNumberFormat="1" applyFont="1"/>
    <xf numFmtId="165" fontId="4" fillId="0" borderId="0" xfId="0" applyNumberFormat="1" applyFont="1"/>
    <xf numFmtId="0" fontId="0" fillId="0" borderId="0" xfId="0" applyFont="1" applyFill="1" applyBorder="1"/>
    <xf numFmtId="0" fontId="4" fillId="0" borderId="0" xfId="0" applyFont="1" applyAlignment="1">
      <alignment horizontal="left"/>
    </xf>
    <xf numFmtId="0" fontId="4" fillId="0" borderId="0" xfId="0" applyFont="1" applyFill="1"/>
    <xf numFmtId="44" fontId="4" fillId="0" borderId="0" xfId="2" applyFont="1"/>
    <xf numFmtId="164" fontId="4" fillId="0" borderId="0" xfId="2" applyNumberFormat="1" applyFont="1"/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164" fontId="0" fillId="0" borderId="0" xfId="2" applyNumberFormat="1" applyFont="1"/>
    <xf numFmtId="0" fontId="2" fillId="0" borderId="0" xfId="0" applyFont="1" applyAlignment="1">
      <alignment horizontal="center" wrapText="1"/>
    </xf>
    <xf numFmtId="0" fontId="0" fillId="0" borderId="0" xfId="0" applyFont="1" applyBorder="1"/>
    <xf numFmtId="0" fontId="2" fillId="0" borderId="0" xfId="0" applyFont="1" applyBorder="1"/>
    <xf numFmtId="0" fontId="0" fillId="0" borderId="0" xfId="0" applyFont="1" applyAlignment="1">
      <alignment horizontal="center"/>
    </xf>
    <xf numFmtId="164" fontId="0" fillId="0" borderId="0" xfId="0" applyNumberFormat="1" applyFont="1"/>
    <xf numFmtId="164" fontId="0" fillId="0" borderId="0" xfId="0" applyNumberFormat="1"/>
    <xf numFmtId="0" fontId="2" fillId="0" borderId="6" xfId="0" applyFont="1" applyBorder="1" applyAlignment="1">
      <alignment horizontal="center" wrapText="1"/>
    </xf>
    <xf numFmtId="42" fontId="0" fillId="0" borderId="0" xfId="0" applyNumberFormat="1" applyFont="1" applyFill="1"/>
    <xf numFmtId="0" fontId="2" fillId="0" borderId="0" xfId="0" applyFont="1" applyBorder="1" applyAlignment="1">
      <alignment horizontal="center" wrapText="1"/>
    </xf>
    <xf numFmtId="0" fontId="0" fillId="0" borderId="0" xfId="0" applyFont="1"/>
    <xf numFmtId="0" fontId="0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/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centerContinuous"/>
    </xf>
    <xf numFmtId="0" fontId="2" fillId="0" borderId="0" xfId="0" applyFont="1" applyAlignment="1">
      <alignment horizontal="centerContinuous"/>
    </xf>
    <xf numFmtId="164" fontId="2" fillId="0" borderId="0" xfId="2" applyNumberFormat="1" applyFont="1" applyAlignment="1">
      <alignment horizontal="centerContinuous"/>
    </xf>
    <xf numFmtId="0" fontId="2" fillId="0" borderId="0" xfId="0" applyFont="1" applyBorder="1" applyAlignment="1">
      <alignment horizontal="centerContinuous"/>
    </xf>
    <xf numFmtId="0" fontId="2" fillId="0" borderId="0" xfId="0" applyFont="1" applyAlignment="1">
      <alignment horizontal="centerContinuous" wrapText="1"/>
    </xf>
    <xf numFmtId="0" fontId="2" fillId="0" borderId="0" xfId="0" applyFont="1" applyFill="1" applyAlignment="1">
      <alignment horizontal="centerContinuous" wrapText="1"/>
    </xf>
    <xf numFmtId="0" fontId="2" fillId="0" borderId="0" xfId="0" applyFont="1" applyFill="1" applyAlignment="1">
      <alignment horizontal="centerContinuous"/>
    </xf>
    <xf numFmtId="164" fontId="2" fillId="0" borderId="0" xfId="2" applyNumberFormat="1" applyFont="1" applyFill="1" applyAlignment="1">
      <alignment horizontal="centerContinuous"/>
    </xf>
    <xf numFmtId="0" fontId="4" fillId="0" borderId="0" xfId="0" applyFont="1" applyAlignment="1">
      <alignment horizontal="centerContinuous"/>
    </xf>
    <xf numFmtId="0" fontId="4" fillId="0" borderId="0" xfId="0" applyFont="1" applyFill="1" applyAlignment="1">
      <alignment horizontal="centerContinuous"/>
    </xf>
    <xf numFmtId="44" fontId="4" fillId="0" borderId="0" xfId="2" applyFont="1" applyAlignment="1">
      <alignment horizontal="centerContinuous"/>
    </xf>
    <xf numFmtId="0" fontId="0" fillId="0" borderId="0" xfId="0" applyFont="1" applyFill="1" applyAlignment="1">
      <alignment horizontal="centerContinuous"/>
    </xf>
    <xf numFmtId="42" fontId="0" fillId="0" borderId="0" xfId="0" applyNumberFormat="1" applyFont="1" applyFill="1" applyAlignment="1">
      <alignment horizontal="centerContinuous"/>
    </xf>
    <xf numFmtId="0" fontId="6" fillId="0" borderId="0" xfId="0" applyFont="1" applyAlignment="1">
      <alignment horizontal="centerContinuous" wrapText="1"/>
    </xf>
    <xf numFmtId="0" fontId="7" fillId="0" borderId="14" xfId="0" applyFont="1" applyBorder="1" applyAlignment="1">
      <alignment horizontal="center" wrapText="1"/>
    </xf>
    <xf numFmtId="164" fontId="7" fillId="0" borderId="14" xfId="0" applyNumberFormat="1" applyFont="1" applyBorder="1" applyAlignment="1" applyProtection="1">
      <alignment horizontal="center" wrapText="1"/>
      <protection locked="0"/>
    </xf>
    <xf numFmtId="0" fontId="9" fillId="0" borderId="0" xfId="0" applyFont="1" applyAlignment="1">
      <alignment horizontal="center"/>
    </xf>
    <xf numFmtId="0" fontId="9" fillId="0" borderId="0" xfId="0" applyFont="1" applyBorder="1" applyAlignment="1"/>
    <xf numFmtId="0" fontId="9" fillId="0" borderId="0" xfId="0" applyFont="1" applyAlignment="1"/>
    <xf numFmtId="0" fontId="6" fillId="0" borderId="0" xfId="0" applyFont="1" applyAlignment="1">
      <alignment horizontal="centerContinuous" vertical="center"/>
    </xf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centerContinuous" vertical="center"/>
    </xf>
    <xf numFmtId="0" fontId="12" fillId="0" borderId="0" xfId="0" applyFont="1" applyAlignment="1">
      <alignment horizontal="centerContinuous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4" fillId="0" borderId="0" xfId="0" applyFont="1" applyAlignment="1">
      <alignment horizontal="centerContinuous"/>
    </xf>
    <xf numFmtId="0" fontId="15" fillId="0" borderId="0" xfId="0" applyFont="1" applyAlignment="1">
      <alignment horizontal="centerContinuous" vertical="center"/>
    </xf>
    <xf numFmtId="0" fontId="16" fillId="0" borderId="0" xfId="0" applyFont="1" applyAlignment="1">
      <alignment horizontal="centerContinuous" vertical="center"/>
    </xf>
    <xf numFmtId="0" fontId="17" fillId="0" borderId="0" xfId="0" applyFont="1" applyAlignment="1">
      <alignment horizontal="centerContinuous" vertical="center"/>
    </xf>
    <xf numFmtId="0" fontId="9" fillId="0" borderId="0" xfId="0" applyFont="1"/>
    <xf numFmtId="0" fontId="9" fillId="0" borderId="0" xfId="0" applyFont="1" applyAlignment="1">
      <alignment horizontal="left"/>
    </xf>
    <xf numFmtId="164" fontId="9" fillId="0" borderId="0" xfId="2" applyNumberFormat="1" applyFont="1"/>
    <xf numFmtId="0" fontId="9" fillId="0" borderId="0" xfId="0" applyFont="1" applyBorder="1"/>
    <xf numFmtId="0" fontId="9" fillId="0" borderId="0" xfId="0" applyFont="1" applyBorder="1" applyAlignment="1">
      <alignment wrapText="1"/>
    </xf>
    <xf numFmtId="0" fontId="9" fillId="0" borderId="6" xfId="0" applyFont="1" applyBorder="1"/>
    <xf numFmtId="0" fontId="9" fillId="0" borderId="6" xfId="0" applyFont="1" applyBorder="1" applyAlignment="1">
      <alignment horizontal="left"/>
    </xf>
    <xf numFmtId="0" fontId="9" fillId="0" borderId="6" xfId="0" applyFont="1" applyBorder="1" applyAlignment="1">
      <alignment horizontal="center"/>
    </xf>
    <xf numFmtId="164" fontId="9" fillId="0" borderId="6" xfId="2" applyNumberFormat="1" applyFont="1" applyBorder="1"/>
    <xf numFmtId="0" fontId="7" fillId="0" borderId="9" xfId="0" applyFont="1" applyBorder="1" applyAlignment="1"/>
    <xf numFmtId="164" fontId="7" fillId="0" borderId="9" xfId="2" applyNumberFormat="1" applyFont="1" applyBorder="1"/>
    <xf numFmtId="0" fontId="9" fillId="0" borderId="0" xfId="0" applyFont="1" applyBorder="1" applyAlignment="1">
      <alignment horizontal="center"/>
    </xf>
    <xf numFmtId="164" fontId="9" fillId="0" borderId="0" xfId="2" applyNumberFormat="1" applyFont="1" applyBorder="1"/>
    <xf numFmtId="164" fontId="9" fillId="0" borderId="0" xfId="2" applyNumberFormat="1" applyFont="1" applyBorder="1" applyAlignment="1">
      <alignment horizontal="left"/>
    </xf>
    <xf numFmtId="0" fontId="7" fillId="0" borderId="6" xfId="0" applyFont="1" applyBorder="1" applyAlignme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164" fontId="9" fillId="0" borderId="0" xfId="2" applyNumberFormat="1" applyFont="1" applyBorder="1" applyAlignment="1">
      <alignment vertical="center"/>
    </xf>
    <xf numFmtId="0" fontId="9" fillId="0" borderId="3" xfId="0" applyFont="1" applyBorder="1" applyAlignment="1">
      <alignment horizontal="center"/>
    </xf>
    <xf numFmtId="0" fontId="9" fillId="0" borderId="0" xfId="0" applyFont="1" applyBorder="1" applyAlignment="1">
      <alignment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/>
    </xf>
    <xf numFmtId="0" fontId="9" fillId="0" borderId="0" xfId="0" applyFont="1" applyFill="1" applyBorder="1" applyAlignment="1" applyProtection="1">
      <alignment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left"/>
    </xf>
    <xf numFmtId="0" fontId="9" fillId="0" borderId="0" xfId="0" applyFont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18" fillId="0" borderId="0" xfId="0" applyFont="1"/>
    <xf numFmtId="0" fontId="9" fillId="0" borderId="15" xfId="0" applyFont="1" applyBorder="1" applyAlignment="1"/>
    <xf numFmtId="0" fontId="6" fillId="0" borderId="0" xfId="0" applyFont="1" applyFill="1" applyAlignment="1">
      <alignment horizontal="centerContinuous" wrapText="1"/>
    </xf>
    <xf numFmtId="0" fontId="7" fillId="0" borderId="3" xfId="0" applyFont="1" applyFill="1" applyBorder="1" applyAlignment="1"/>
    <xf numFmtId="0" fontId="7" fillId="0" borderId="0" xfId="0" applyFont="1" applyFill="1" applyBorder="1" applyAlignment="1"/>
    <xf numFmtId="0" fontId="9" fillId="0" borderId="3" xfId="0" applyFont="1" applyFill="1" applyBorder="1" applyAlignment="1"/>
    <xf numFmtId="42" fontId="9" fillId="0" borderId="0" xfId="0" applyNumberFormat="1" applyFont="1" applyBorder="1"/>
    <xf numFmtId="42" fontId="9" fillId="0" borderId="0" xfId="0" applyNumberFormat="1" applyFont="1" applyFill="1" applyBorder="1" applyAlignment="1">
      <alignment horizontal="left"/>
    </xf>
    <xf numFmtId="42" fontId="9" fillId="0" borderId="4" xfId="0" applyNumberFormat="1" applyFont="1" applyFill="1" applyBorder="1"/>
    <xf numFmtId="42" fontId="9" fillId="0" borderId="0" xfId="0" applyNumberFormat="1" applyFont="1" applyFill="1" applyBorder="1"/>
    <xf numFmtId="42" fontId="7" fillId="0" borderId="4" xfId="0" applyNumberFormat="1" applyFont="1" applyFill="1" applyBorder="1"/>
    <xf numFmtId="42" fontId="7" fillId="0" borderId="0" xfId="0" applyNumberFormat="1" applyFont="1" applyFill="1" applyBorder="1" applyAlignment="1">
      <alignment horizontal="center"/>
    </xf>
    <xf numFmtId="42" fontId="7" fillId="0" borderId="0" xfId="0" applyNumberFormat="1" applyFont="1" applyFill="1" applyBorder="1" applyAlignment="1">
      <alignment horizontal="left"/>
    </xf>
    <xf numFmtId="0" fontId="9" fillId="0" borderId="3" xfId="0" applyFont="1" applyFill="1" applyBorder="1" applyAlignment="1">
      <alignment horizontal="left"/>
    </xf>
    <xf numFmtId="0" fontId="9" fillId="0" borderId="0" xfId="0" applyFont="1" applyFill="1" applyBorder="1" applyAlignment="1"/>
    <xf numFmtId="42" fontId="9" fillId="0" borderId="0" xfId="0" applyNumberFormat="1" applyFont="1" applyFill="1" applyBorder="1" applyAlignment="1"/>
    <xf numFmtId="0" fontId="21" fillId="0" borderId="0" xfId="0" applyFont="1" applyAlignment="1">
      <alignment horizontal="centerContinuous" wrapText="1"/>
    </xf>
    <xf numFmtId="0" fontId="21" fillId="0" borderId="0" xfId="0" applyFont="1" applyAlignment="1">
      <alignment horizontal="centerContinuous"/>
    </xf>
    <xf numFmtId="164" fontId="21" fillId="0" borderId="0" xfId="2" applyNumberFormat="1" applyFont="1" applyAlignment="1">
      <alignment horizontal="centerContinuous"/>
    </xf>
    <xf numFmtId="0" fontId="21" fillId="0" borderId="0" xfId="0" applyFont="1"/>
    <xf numFmtId="0" fontId="7" fillId="0" borderId="0" xfId="0" applyFont="1"/>
    <xf numFmtId="0" fontId="7" fillId="0" borderId="4" xfId="0" applyFont="1" applyBorder="1"/>
    <xf numFmtId="0" fontId="7" fillId="0" borderId="5" xfId="0" applyFont="1" applyBorder="1" applyAlignment="1"/>
    <xf numFmtId="42" fontId="7" fillId="0" borderId="6" xfId="0" applyNumberFormat="1" applyFont="1" applyBorder="1"/>
    <xf numFmtId="0" fontId="7" fillId="0" borderId="0" xfId="0" applyFont="1" applyBorder="1" applyAlignment="1"/>
    <xf numFmtId="42" fontId="7" fillId="0" borderId="0" xfId="0" applyNumberFormat="1" applyFont="1" applyBorder="1"/>
    <xf numFmtId="0" fontId="9" fillId="0" borderId="4" xfId="0" applyFont="1" applyBorder="1" applyAlignment="1"/>
    <xf numFmtId="0" fontId="21" fillId="0" borderId="0" xfId="0" applyFont="1" applyFill="1" applyAlignment="1">
      <alignment horizontal="centerContinuous"/>
    </xf>
    <xf numFmtId="0" fontId="7" fillId="0" borderId="5" xfId="0" applyFont="1" applyBorder="1" applyAlignment="1">
      <alignment horizontal="center" wrapText="1"/>
    </xf>
    <xf numFmtId="0" fontId="9" fillId="0" borderId="0" xfId="0" applyFont="1" applyAlignment="1">
      <alignment wrapText="1"/>
    </xf>
    <xf numFmtId="42" fontId="9" fillId="0" borderId="0" xfId="0" applyNumberFormat="1" applyFont="1"/>
    <xf numFmtId="0" fontId="9" fillId="0" borderId="2" xfId="0" applyFont="1" applyBorder="1"/>
    <xf numFmtId="0" fontId="9" fillId="0" borderId="2" xfId="0" applyFont="1" applyBorder="1" applyAlignment="1">
      <alignment horizontal="center"/>
    </xf>
    <xf numFmtId="42" fontId="9" fillId="0" borderId="2" xfId="0" applyNumberFormat="1" applyFont="1" applyBorder="1"/>
    <xf numFmtId="0" fontId="23" fillId="0" borderId="0" xfId="0" applyFont="1" applyAlignment="1">
      <alignment horizontal="centerContinuous" vertical="center"/>
    </xf>
    <xf numFmtId="164" fontId="25" fillId="0" borderId="16" xfId="0" applyNumberFormat="1" applyFont="1" applyBorder="1" applyAlignment="1" applyProtection="1">
      <alignment horizontal="center" wrapText="1"/>
      <protection locked="0"/>
    </xf>
    <xf numFmtId="0" fontId="7" fillId="0" borderId="14" xfId="0" applyFont="1" applyBorder="1" applyAlignment="1" applyProtection="1">
      <alignment horizontal="center" wrapText="1"/>
      <protection locked="0"/>
    </xf>
    <xf numFmtId="49" fontId="7" fillId="0" borderId="14" xfId="0" applyNumberFormat="1" applyFont="1" applyBorder="1" applyAlignment="1" applyProtection="1">
      <alignment horizontal="center" wrapText="1"/>
      <protection locked="0"/>
    </xf>
    <xf numFmtId="49" fontId="7" fillId="0" borderId="14" xfId="0" applyNumberFormat="1" applyFont="1" applyFill="1" applyBorder="1" applyAlignment="1" applyProtection="1">
      <alignment horizontal="center" wrapText="1"/>
      <protection locked="0"/>
    </xf>
    <xf numFmtId="164" fontId="7" fillId="0" borderId="11" xfId="0" applyNumberFormat="1" applyFont="1" applyFill="1" applyBorder="1" applyProtection="1">
      <protection locked="0"/>
    </xf>
    <xf numFmtId="0" fontId="23" fillId="0" borderId="0" xfId="0" applyFont="1" applyBorder="1" applyAlignment="1" applyProtection="1">
      <alignment horizontal="center"/>
    </xf>
    <xf numFmtId="0" fontId="9" fillId="0" borderId="0" xfId="0" applyFont="1" applyAlignment="1" applyProtection="1">
      <alignment wrapText="1"/>
    </xf>
    <xf numFmtId="0" fontId="23" fillId="0" borderId="0" xfId="0" applyFont="1" applyAlignment="1" applyProtection="1">
      <alignment horizontal="center"/>
    </xf>
    <xf numFmtId="0" fontId="7" fillId="0" borderId="16" xfId="0" applyFont="1" applyBorder="1" applyAlignment="1">
      <alignment horizontal="center" wrapText="1"/>
    </xf>
    <xf numFmtId="0" fontId="7" fillId="0" borderId="2" xfId="0" applyFont="1" applyFill="1" applyBorder="1" applyAlignment="1"/>
    <xf numFmtId="0" fontId="22" fillId="0" borderId="0" xfId="0" applyFont="1" applyAlignment="1">
      <alignment horizontal="centerContinuous"/>
    </xf>
    <xf numFmtId="0" fontId="23" fillId="0" borderId="2" xfId="0" applyFont="1" applyBorder="1" applyAlignment="1">
      <alignment horizontal="center"/>
    </xf>
    <xf numFmtId="0" fontId="23" fillId="0" borderId="9" xfId="0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0" fontId="23" fillId="0" borderId="2" xfId="0" applyFont="1" applyFill="1" applyBorder="1" applyAlignment="1">
      <alignment horizontal="center"/>
    </xf>
    <xf numFmtId="0" fontId="6" fillId="0" borderId="0" xfId="0" applyFont="1" applyAlignment="1" applyProtection="1">
      <alignment horizontal="centerContinuous" wrapText="1"/>
      <protection locked="0"/>
    </xf>
    <xf numFmtId="0" fontId="22" fillId="0" borderId="0" xfId="0" applyFont="1" applyFill="1" applyAlignment="1" applyProtection="1">
      <alignment horizontal="centerContinuous"/>
      <protection locked="0"/>
    </xf>
    <xf numFmtId="0" fontId="9" fillId="0" borderId="0" xfId="0" applyFont="1" applyBorder="1" applyAlignment="1" applyProtection="1"/>
    <xf numFmtId="0" fontId="9" fillId="0" borderId="3" xfId="0" applyFont="1" applyBorder="1" applyAlignment="1" applyProtection="1">
      <alignment horizontal="left"/>
    </xf>
    <xf numFmtId="0" fontId="7" fillId="0" borderId="0" xfId="0" applyFont="1" applyBorder="1" applyAlignment="1">
      <alignment horizontal="left"/>
    </xf>
    <xf numFmtId="0" fontId="9" fillId="0" borderId="0" xfId="0" applyFont="1" applyAlignment="1">
      <alignment horizontal="left" vertical="center" wrapText="1"/>
    </xf>
    <xf numFmtId="0" fontId="23" fillId="0" borderId="0" xfId="0" applyFont="1" applyBorder="1" applyAlignment="1">
      <alignment horizontal="center"/>
    </xf>
    <xf numFmtId="164" fontId="7" fillId="0" borderId="0" xfId="2" applyNumberFormat="1" applyFont="1" applyBorder="1"/>
    <xf numFmtId="0" fontId="23" fillId="0" borderId="0" xfId="0" applyFont="1" applyAlignment="1">
      <alignment horizontal="center"/>
    </xf>
    <xf numFmtId="164" fontId="7" fillId="0" borderId="0" xfId="0" applyNumberFormat="1" applyFont="1"/>
    <xf numFmtId="0" fontId="23" fillId="0" borderId="0" xfId="0" applyFont="1" applyBorder="1" applyAlignment="1">
      <alignment horizontal="left"/>
    </xf>
    <xf numFmtId="0" fontId="7" fillId="0" borderId="9" xfId="0" applyFont="1" applyBorder="1"/>
    <xf numFmtId="0" fontId="9" fillId="0" borderId="2" xfId="0" applyFont="1" applyBorder="1" applyAlignment="1" applyProtection="1">
      <alignment horizontal="left"/>
      <protection locked="0"/>
    </xf>
    <xf numFmtId="164" fontId="9" fillId="0" borderId="2" xfId="2" applyNumberFormat="1" applyFont="1" applyBorder="1" applyAlignment="1" applyProtection="1">
      <alignment horizontal="left"/>
      <protection locked="0"/>
    </xf>
    <xf numFmtId="164" fontId="9" fillId="0" borderId="2" xfId="2" applyNumberFormat="1" applyFont="1" applyFill="1" applyBorder="1" applyAlignment="1" applyProtection="1">
      <alignment horizontal="left"/>
      <protection locked="0"/>
    </xf>
    <xf numFmtId="0" fontId="9" fillId="0" borderId="3" xfId="0" applyFont="1" applyBorder="1" applyAlignment="1" applyProtection="1">
      <alignment horizontal="left"/>
      <protection locked="0"/>
    </xf>
    <xf numFmtId="0" fontId="9" fillId="0" borderId="0" xfId="0" applyFont="1" applyFill="1" applyBorder="1" applyAlignment="1" applyProtection="1">
      <alignment horizontal="left"/>
      <protection locked="0"/>
    </xf>
    <xf numFmtId="0" fontId="9" fillId="0" borderId="0" xfId="0" applyFont="1" applyFill="1" applyBorder="1" applyAlignment="1" applyProtection="1">
      <alignment horizontal="center"/>
      <protection locked="0"/>
    </xf>
    <xf numFmtId="14" fontId="9" fillId="0" borderId="0" xfId="0" applyNumberFormat="1" applyFont="1" applyFill="1" applyBorder="1" applyAlignment="1" applyProtection="1">
      <alignment horizontal="center"/>
      <protection locked="0"/>
    </xf>
    <xf numFmtId="164" fontId="9" fillId="0" borderId="0" xfId="2" applyNumberFormat="1" applyFont="1" applyFill="1" applyBorder="1" applyAlignment="1" applyProtection="1">
      <alignment horizontal="left"/>
      <protection locked="0"/>
    </xf>
    <xf numFmtId="164" fontId="9" fillId="0" borderId="0" xfId="2" applyNumberFormat="1" applyFont="1" applyFill="1" applyBorder="1" applyAlignment="1" applyProtection="1">
      <protection locked="0"/>
    </xf>
    <xf numFmtId="164" fontId="23" fillId="0" borderId="0" xfId="2" applyNumberFormat="1" applyFont="1" applyFill="1" applyBorder="1" applyAlignment="1" applyProtection="1">
      <alignment horizontal="center"/>
      <protection locked="0"/>
    </xf>
    <xf numFmtId="164" fontId="9" fillId="0" borderId="4" xfId="2" applyNumberFormat="1" applyFont="1" applyBorder="1" applyAlignment="1" applyProtection="1">
      <alignment horizontal="left"/>
      <protection locked="0"/>
    </xf>
    <xf numFmtId="0" fontId="9" fillId="0" borderId="5" xfId="0" applyFont="1" applyBorder="1" applyAlignment="1" applyProtection="1">
      <alignment horizontal="left"/>
      <protection locked="0"/>
    </xf>
    <xf numFmtId="0" fontId="9" fillId="0" borderId="6" xfId="0" applyFont="1" applyFill="1" applyBorder="1" applyAlignment="1" applyProtection="1">
      <alignment horizontal="left"/>
      <protection locked="0"/>
    </xf>
    <xf numFmtId="0" fontId="9" fillId="0" borderId="6" xfId="0" applyFont="1" applyFill="1" applyBorder="1" applyAlignment="1" applyProtection="1">
      <alignment horizontal="center"/>
      <protection locked="0"/>
    </xf>
    <xf numFmtId="14" fontId="9" fillId="0" borderId="6" xfId="0" applyNumberFormat="1" applyFont="1" applyFill="1" applyBorder="1" applyAlignment="1" applyProtection="1">
      <alignment horizontal="center"/>
      <protection locked="0"/>
    </xf>
    <xf numFmtId="164" fontId="9" fillId="0" borderId="6" xfId="2" applyNumberFormat="1" applyFont="1" applyFill="1" applyBorder="1" applyAlignment="1" applyProtection="1">
      <alignment horizontal="left"/>
      <protection locked="0"/>
    </xf>
    <xf numFmtId="164" fontId="23" fillId="0" borderId="6" xfId="2" applyNumberFormat="1" applyFont="1" applyFill="1" applyBorder="1" applyAlignment="1" applyProtection="1">
      <alignment horizontal="center"/>
      <protection locked="0"/>
    </xf>
    <xf numFmtId="164" fontId="23" fillId="0" borderId="6" xfId="0" applyNumberFormat="1" applyFont="1" applyFill="1" applyBorder="1" applyAlignment="1" applyProtection="1">
      <alignment horizontal="center"/>
      <protection locked="0"/>
    </xf>
    <xf numFmtId="164" fontId="9" fillId="0" borderId="7" xfId="2" applyNumberFormat="1" applyFont="1" applyBorder="1" applyAlignment="1" applyProtection="1">
      <alignment horizontal="left"/>
      <protection locked="0"/>
    </xf>
    <xf numFmtId="0" fontId="25" fillId="0" borderId="9" xfId="0" applyFont="1" applyBorder="1" applyAlignment="1">
      <alignment horizontal="center"/>
    </xf>
    <xf numFmtId="164" fontId="7" fillId="0" borderId="9" xfId="0" applyNumberFormat="1" applyFont="1" applyBorder="1" applyAlignment="1"/>
    <xf numFmtId="0" fontId="23" fillId="0" borderId="1" xfId="0" applyFont="1" applyFill="1" applyBorder="1" applyAlignment="1" applyProtection="1">
      <protection locked="0"/>
    </xf>
    <xf numFmtId="0" fontId="7" fillId="0" borderId="2" xfId="0" applyFont="1" applyFill="1" applyBorder="1" applyAlignment="1" applyProtection="1">
      <protection locked="0"/>
    </xf>
    <xf numFmtId="0" fontId="9" fillId="0" borderId="2" xfId="0" applyFont="1" applyFill="1" applyBorder="1" applyAlignment="1" applyProtection="1">
      <protection locked="0"/>
    </xf>
    <xf numFmtId="164" fontId="9" fillId="0" borderId="2" xfId="0" applyNumberFormat="1" applyFont="1" applyFill="1" applyBorder="1" applyAlignment="1" applyProtection="1">
      <protection locked="0"/>
    </xf>
    <xf numFmtId="164" fontId="9" fillId="0" borderId="2" xfId="0" applyNumberFormat="1" applyFont="1" applyBorder="1" applyAlignment="1" applyProtection="1">
      <protection locked="0"/>
    </xf>
    <xf numFmtId="164" fontId="9" fillId="0" borderId="17" xfId="0" applyNumberFormat="1" applyFont="1" applyFill="1" applyBorder="1" applyAlignment="1" applyProtection="1">
      <protection locked="0"/>
    </xf>
    <xf numFmtId="0" fontId="7" fillId="0" borderId="10" xfId="0" applyFont="1" applyBorder="1" applyAlignment="1" applyProtection="1">
      <alignment horizontal="center" wrapText="1"/>
      <protection locked="0"/>
    </xf>
    <xf numFmtId="164" fontId="7" fillId="0" borderId="8" xfId="0" applyNumberFormat="1" applyFont="1" applyBorder="1" applyAlignment="1" applyProtection="1">
      <alignment horizontal="center" wrapText="1"/>
      <protection locked="0"/>
    </xf>
    <xf numFmtId="0" fontId="9" fillId="0" borderId="2" xfId="0" applyFont="1" applyFill="1" applyBorder="1" applyAlignment="1" applyProtection="1">
      <alignment horizontal="left"/>
      <protection locked="0"/>
    </xf>
    <xf numFmtId="0" fontId="9" fillId="0" borderId="2" xfId="0" applyFont="1" applyFill="1" applyBorder="1" applyAlignment="1" applyProtection="1">
      <alignment horizontal="center"/>
      <protection locked="0"/>
    </xf>
    <xf numFmtId="14" fontId="9" fillId="0" borderId="2" xfId="0" applyNumberFormat="1" applyFont="1" applyFill="1" applyBorder="1" applyAlignment="1" applyProtection="1">
      <alignment horizontal="center"/>
      <protection locked="0"/>
    </xf>
    <xf numFmtId="164" fontId="23" fillId="0" borderId="2" xfId="2" applyNumberFormat="1" applyFont="1" applyFill="1" applyBorder="1" applyAlignment="1" applyProtection="1">
      <alignment horizontal="center"/>
      <protection locked="0"/>
    </xf>
    <xf numFmtId="0" fontId="23" fillId="0" borderId="2" xfId="0" applyFont="1" applyFill="1" applyBorder="1" applyAlignment="1" applyProtection="1">
      <alignment horizontal="center"/>
      <protection locked="0"/>
    </xf>
    <xf numFmtId="164" fontId="9" fillId="0" borderId="0" xfId="0" applyNumberFormat="1" applyFont="1" applyFill="1" applyBorder="1" applyProtection="1">
      <protection locked="0"/>
    </xf>
    <xf numFmtId="0" fontId="23" fillId="0" borderId="0" xfId="0" applyFont="1" applyFill="1" applyBorder="1" applyAlignment="1" applyProtection="1">
      <alignment horizontal="center"/>
      <protection locked="0"/>
    </xf>
    <xf numFmtId="164" fontId="9" fillId="0" borderId="0" xfId="2" applyNumberFormat="1" applyFont="1" applyBorder="1" applyAlignment="1" applyProtection="1">
      <alignment horizontal="left"/>
      <protection locked="0"/>
    </xf>
    <xf numFmtId="0" fontId="9" fillId="0" borderId="6" xfId="0" applyFont="1" applyFill="1" applyBorder="1" applyProtection="1">
      <protection locked="0"/>
    </xf>
    <xf numFmtId="0" fontId="23" fillId="0" borderId="6" xfId="0" applyFont="1" applyFill="1" applyBorder="1" applyAlignment="1" applyProtection="1">
      <alignment horizontal="center"/>
      <protection locked="0"/>
    </xf>
    <xf numFmtId="164" fontId="9" fillId="0" borderId="6" xfId="0" applyNumberFormat="1" applyFont="1" applyFill="1" applyBorder="1" applyProtection="1">
      <protection locked="0"/>
    </xf>
    <xf numFmtId="164" fontId="9" fillId="0" borderId="6" xfId="0" applyNumberFormat="1" applyFont="1" applyFill="1" applyBorder="1" applyAlignment="1" applyProtection="1">
      <alignment horizontal="left"/>
      <protection locked="0"/>
    </xf>
    <xf numFmtId="164" fontId="9" fillId="0" borderId="6" xfId="2" applyNumberFormat="1" applyFont="1" applyBorder="1" applyAlignment="1" applyProtection="1">
      <alignment horizontal="left"/>
      <protection locked="0"/>
    </xf>
    <xf numFmtId="0" fontId="7" fillId="0" borderId="2" xfId="0" applyFont="1" applyFill="1" applyBorder="1" applyAlignment="1" applyProtection="1">
      <alignment horizontal="left"/>
      <protection locked="0"/>
    </xf>
    <xf numFmtId="0" fontId="22" fillId="0" borderId="2" xfId="0" applyFont="1" applyBorder="1" applyAlignment="1">
      <alignment horizontal="center"/>
    </xf>
    <xf numFmtId="164" fontId="7" fillId="0" borderId="2" xfId="0" applyNumberFormat="1" applyFont="1" applyBorder="1"/>
    <xf numFmtId="164" fontId="7" fillId="0" borderId="2" xfId="0" applyNumberFormat="1" applyFont="1" applyBorder="1" applyAlignment="1" applyProtection="1">
      <alignment horizontal="left"/>
      <protection locked="0"/>
    </xf>
    <xf numFmtId="0" fontId="7" fillId="0" borderId="0" xfId="0" applyFont="1" applyFill="1" applyBorder="1" applyAlignment="1" applyProtection="1">
      <protection locked="0"/>
    </xf>
    <xf numFmtId="0" fontId="11" fillId="0" borderId="0" xfId="0" applyFont="1" applyFill="1" applyBorder="1" applyAlignment="1" applyProtection="1">
      <alignment horizontal="center"/>
      <protection locked="0"/>
    </xf>
    <xf numFmtId="164" fontId="7" fillId="0" borderId="0" xfId="0" applyNumberFormat="1" applyFont="1" applyFill="1" applyBorder="1" applyAlignment="1" applyProtection="1">
      <protection locked="0"/>
    </xf>
    <xf numFmtId="164" fontId="23" fillId="0" borderId="0" xfId="0" applyNumberFormat="1" applyFont="1" applyFill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center" wrapText="1"/>
      <protection locked="0"/>
    </xf>
    <xf numFmtId="0" fontId="7" fillId="0" borderId="16" xfId="0" applyFont="1" applyBorder="1" applyAlignment="1" applyProtection="1">
      <alignment horizontal="center" wrapText="1"/>
      <protection locked="0"/>
    </xf>
    <xf numFmtId="164" fontId="7" fillId="0" borderId="16" xfId="0" applyNumberFormat="1" applyFont="1" applyBorder="1" applyAlignment="1" applyProtection="1">
      <alignment horizontal="center" wrapText="1"/>
      <protection locked="0"/>
    </xf>
    <xf numFmtId="49" fontId="7" fillId="0" borderId="16" xfId="0" applyNumberFormat="1" applyFont="1" applyBorder="1" applyAlignment="1" applyProtection="1">
      <alignment horizontal="center" wrapText="1"/>
      <protection locked="0"/>
    </xf>
    <xf numFmtId="49" fontId="7" fillId="0" borderId="16" xfId="0" applyNumberFormat="1" applyFont="1" applyFill="1" applyBorder="1" applyAlignment="1" applyProtection="1">
      <alignment horizontal="center" wrapText="1"/>
      <protection locked="0"/>
    </xf>
    <xf numFmtId="164" fontId="7" fillId="0" borderId="5" xfId="0" applyNumberFormat="1" applyFont="1" applyBorder="1" applyAlignment="1" applyProtection="1">
      <alignment horizontal="center" wrapText="1"/>
      <protection locked="0"/>
    </xf>
    <xf numFmtId="164" fontId="23" fillId="0" borderId="2" xfId="0" applyNumberFormat="1" applyFont="1" applyBorder="1" applyAlignment="1">
      <alignment horizontal="center"/>
    </xf>
    <xf numFmtId="0" fontId="9" fillId="0" borderId="2" xfId="0" applyFont="1" applyFill="1" applyBorder="1" applyAlignment="1" applyProtection="1">
      <alignment horizontal="left" vertical="center" wrapText="1"/>
      <protection locked="0"/>
    </xf>
    <xf numFmtId="0" fontId="9" fillId="0" borderId="2" xfId="0" applyFont="1" applyFill="1" applyBorder="1" applyAlignment="1" applyProtection="1">
      <alignment horizontal="center" vertical="center" wrapText="1"/>
      <protection locked="0"/>
    </xf>
    <xf numFmtId="14" fontId="9" fillId="0" borderId="2" xfId="0" applyNumberFormat="1" applyFont="1" applyFill="1" applyBorder="1" applyAlignment="1" applyProtection="1">
      <alignment horizontal="center" vertical="center" wrapText="1"/>
      <protection locked="0"/>
    </xf>
    <xf numFmtId="164" fontId="9" fillId="0" borderId="2" xfId="2" applyNumberFormat="1" applyFont="1" applyFill="1" applyBorder="1" applyAlignment="1" applyProtection="1">
      <alignment horizontal="left" vertical="center"/>
      <protection locked="0"/>
    </xf>
    <xf numFmtId="164" fontId="9" fillId="0" borderId="2" xfId="2" applyNumberFormat="1" applyFont="1" applyFill="1" applyBorder="1" applyAlignment="1" applyProtection="1">
      <protection locked="0"/>
    </xf>
    <xf numFmtId="0" fontId="23" fillId="0" borderId="2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 applyProtection="1">
      <alignment horizontal="left" vertical="center" wrapText="1"/>
      <protection locked="0"/>
    </xf>
    <xf numFmtId="0" fontId="23" fillId="0" borderId="0" xfId="0" applyFont="1" applyFill="1" applyBorder="1" applyAlignment="1" applyProtection="1">
      <alignment horizontal="center" vertical="center" wrapText="1"/>
      <protection locked="0"/>
    </xf>
    <xf numFmtId="14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164" fontId="9" fillId="0" borderId="0" xfId="0" applyNumberFormat="1" applyFont="1" applyFill="1" applyBorder="1" applyAlignment="1" applyProtection="1">
      <protection locked="0"/>
    </xf>
    <xf numFmtId="0" fontId="9" fillId="0" borderId="6" xfId="0" applyFont="1" applyFill="1" applyBorder="1" applyAlignment="1" applyProtection="1">
      <alignment horizontal="left" vertical="center" wrapText="1"/>
      <protection locked="0"/>
    </xf>
    <xf numFmtId="164" fontId="9" fillId="0" borderId="6" xfId="0" applyNumberFormat="1" applyFont="1" applyFill="1" applyBorder="1" applyAlignment="1" applyProtection="1">
      <protection locked="0"/>
    </xf>
    <xf numFmtId="0" fontId="7" fillId="0" borderId="9" xfId="0" applyFont="1" applyFill="1" applyBorder="1" applyAlignment="1" applyProtection="1">
      <alignment horizontal="left" vertical="center" wrapText="1"/>
      <protection locked="0"/>
    </xf>
    <xf numFmtId="0" fontId="22" fillId="0" borderId="9" xfId="0" applyFont="1" applyBorder="1" applyAlignment="1">
      <alignment horizontal="center"/>
    </xf>
    <xf numFmtId="164" fontId="7" fillId="0" borderId="9" xfId="0" applyNumberFormat="1" applyFont="1" applyBorder="1"/>
    <xf numFmtId="164" fontId="25" fillId="0" borderId="9" xfId="0" applyNumberFormat="1" applyFont="1" applyBorder="1" applyAlignment="1">
      <alignment horizontal="center"/>
    </xf>
    <xf numFmtId="164" fontId="7" fillId="0" borderId="13" xfId="0" applyNumberFormat="1" applyFont="1" applyBorder="1" applyAlignment="1" applyProtection="1">
      <alignment horizontal="left"/>
      <protection locked="0"/>
    </xf>
    <xf numFmtId="0" fontId="9" fillId="0" borderId="18" xfId="0" applyFont="1" applyFill="1" applyBorder="1" applyAlignment="1" applyProtection="1">
      <protection locked="0"/>
    </xf>
    <xf numFmtId="0" fontId="9" fillId="0" borderId="12" xfId="0" applyFont="1" applyFill="1" applyBorder="1" applyAlignment="1" applyProtection="1">
      <protection locked="0"/>
    </xf>
    <xf numFmtId="164" fontId="9" fillId="0" borderId="12" xfId="0" applyNumberFormat="1" applyFont="1" applyFill="1" applyBorder="1" applyAlignment="1" applyProtection="1">
      <protection locked="0"/>
    </xf>
    <xf numFmtId="164" fontId="9" fillId="0" borderId="19" xfId="0" applyNumberFormat="1" applyFont="1" applyFill="1" applyBorder="1" applyAlignment="1" applyProtection="1">
      <protection locked="0"/>
    </xf>
    <xf numFmtId="164" fontId="9" fillId="0" borderId="20" xfId="0" applyNumberFormat="1" applyFont="1" applyFill="1" applyBorder="1" applyAlignment="1" applyProtection="1">
      <protection locked="0"/>
    </xf>
    <xf numFmtId="164" fontId="9" fillId="0" borderId="2" xfId="0" applyNumberFormat="1" applyFont="1" applyFill="1" applyBorder="1" applyProtection="1">
      <protection locked="0"/>
    </xf>
    <xf numFmtId="164" fontId="23" fillId="0" borderId="2" xfId="0" applyNumberFormat="1" applyFont="1" applyFill="1" applyBorder="1" applyAlignment="1" applyProtection="1">
      <alignment horizontal="center"/>
      <protection locked="0"/>
    </xf>
    <xf numFmtId="0" fontId="9" fillId="0" borderId="0" xfId="0" applyFont="1" applyFill="1" applyBorder="1" applyAlignment="1" applyProtection="1">
      <alignment horizontal="center" vertical="center" wrapText="1"/>
      <protection locked="0"/>
    </xf>
    <xf numFmtId="0" fontId="23" fillId="0" borderId="6" xfId="0" applyFont="1" applyBorder="1" applyAlignment="1" applyProtection="1">
      <alignment horizontal="center"/>
      <protection locked="0"/>
    </xf>
    <xf numFmtId="0" fontId="7" fillId="0" borderId="21" xfId="0" applyFont="1" applyFill="1" applyBorder="1" applyAlignment="1" applyProtection="1">
      <alignment horizontal="left" vertical="center" wrapText="1"/>
      <protection locked="0"/>
    </xf>
    <xf numFmtId="164" fontId="25" fillId="0" borderId="11" xfId="0" applyNumberFormat="1" applyFont="1" applyFill="1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protection locked="0"/>
    </xf>
    <xf numFmtId="164" fontId="9" fillId="0" borderId="0" xfId="0" applyNumberFormat="1" applyFont="1" applyBorder="1" applyAlignment="1" applyProtection="1">
      <protection locked="0"/>
    </xf>
    <xf numFmtId="164" fontId="9" fillId="0" borderId="4" xfId="0" applyNumberFormat="1" applyFont="1" applyBorder="1" applyAlignment="1" applyProtection="1">
      <protection locked="0"/>
    </xf>
    <xf numFmtId="0" fontId="23" fillId="0" borderId="2" xfId="0" applyFont="1" applyBorder="1" applyAlignment="1" applyProtection="1">
      <alignment horizontal="center"/>
      <protection locked="0"/>
    </xf>
    <xf numFmtId="164" fontId="23" fillId="0" borderId="2" xfId="0" applyNumberFormat="1" applyFont="1" applyBorder="1" applyAlignment="1" applyProtection="1">
      <alignment horizontal="center"/>
      <protection locked="0"/>
    </xf>
    <xf numFmtId="0" fontId="23" fillId="0" borderId="0" xfId="0" applyFont="1" applyBorder="1" applyAlignment="1" applyProtection="1">
      <alignment horizontal="center"/>
      <protection locked="0"/>
    </xf>
    <xf numFmtId="164" fontId="23" fillId="0" borderId="0" xfId="0" applyNumberFormat="1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protection locked="0"/>
    </xf>
    <xf numFmtId="0" fontId="23" fillId="0" borderId="9" xfId="0" applyFont="1" applyBorder="1" applyAlignment="1" applyProtection="1">
      <alignment horizontal="center"/>
      <protection locked="0"/>
    </xf>
    <xf numFmtId="164" fontId="7" fillId="0" borderId="9" xfId="0" applyNumberFormat="1" applyFont="1" applyBorder="1" applyAlignment="1" applyProtection="1">
      <protection locked="0"/>
    </xf>
    <xf numFmtId="164" fontId="25" fillId="0" borderId="9" xfId="0" applyNumberFormat="1" applyFont="1" applyBorder="1" applyAlignment="1" applyProtection="1">
      <alignment horizontal="center"/>
      <protection locked="0"/>
    </xf>
    <xf numFmtId="164" fontId="7" fillId="0" borderId="10" xfId="0" applyNumberFormat="1" applyFont="1" applyBorder="1" applyAlignment="1" applyProtection="1">
      <protection locked="0"/>
    </xf>
    <xf numFmtId="0" fontId="9" fillId="0" borderId="0" xfId="0" applyFont="1" applyAlignment="1" applyProtection="1"/>
    <xf numFmtId="0" fontId="9" fillId="0" borderId="0" xfId="0" applyFont="1" applyBorder="1" applyAlignment="1" applyProtection="1">
      <alignment horizontal="left"/>
    </xf>
    <xf numFmtId="0" fontId="23" fillId="0" borderId="0" xfId="0" applyFont="1"/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164" fontId="9" fillId="0" borderId="0" xfId="0" applyNumberFormat="1" applyFont="1" applyBorder="1"/>
    <xf numFmtId="164" fontId="7" fillId="0" borderId="0" xfId="0" applyNumberFormat="1" applyFont="1" applyBorder="1"/>
    <xf numFmtId="0" fontId="7" fillId="0" borderId="9" xfId="0" applyFont="1" applyBorder="1" applyAlignment="1">
      <alignment horizontal="left" vertical="center"/>
    </xf>
    <xf numFmtId="0" fontId="23" fillId="0" borderId="9" xfId="0" applyFont="1" applyBorder="1" applyAlignment="1">
      <alignment horizontal="center" vertical="center"/>
    </xf>
    <xf numFmtId="0" fontId="23" fillId="0" borderId="9" xfId="0" applyFont="1" applyBorder="1"/>
    <xf numFmtId="0" fontId="23" fillId="0" borderId="9" xfId="0" applyFont="1" applyBorder="1" applyAlignment="1">
      <alignment horizontal="left" vertical="center"/>
    </xf>
    <xf numFmtId="164" fontId="7" fillId="0" borderId="9" xfId="0" applyNumberFormat="1" applyFont="1" applyBorder="1" applyAlignment="1">
      <alignment vertical="center"/>
    </xf>
    <xf numFmtId="0" fontId="7" fillId="0" borderId="9" xfId="0" applyFont="1" applyBorder="1" applyAlignment="1">
      <alignment horizontal="left"/>
    </xf>
    <xf numFmtId="0" fontId="14" fillId="0" borderId="0" xfId="0" applyFont="1" applyBorder="1" applyAlignment="1">
      <alignment horizontal="center"/>
    </xf>
    <xf numFmtId="0" fontId="0" fillId="0" borderId="4" xfId="0" applyBorder="1"/>
    <xf numFmtId="0" fontId="23" fillId="0" borderId="0" xfId="0" applyFont="1" applyAlignment="1">
      <alignment horizontal="left"/>
    </xf>
    <xf numFmtId="0" fontId="23" fillId="0" borderId="9" xfId="0" applyFont="1" applyBorder="1" applyAlignment="1"/>
    <xf numFmtId="0" fontId="23" fillId="0" borderId="0" xfId="0" applyFont="1" applyBorder="1" applyAlignment="1">
      <alignment horizontal="left" vertical="center"/>
    </xf>
    <xf numFmtId="0" fontId="23" fillId="0" borderId="2" xfId="0" applyFont="1" applyBorder="1" applyAlignment="1">
      <alignment horizontal="center" vertical="center"/>
    </xf>
    <xf numFmtId="0" fontId="23" fillId="0" borderId="2" xfId="0" applyFont="1" applyBorder="1"/>
    <xf numFmtId="0" fontId="23" fillId="0" borderId="2" xfId="0" applyFont="1" applyBorder="1" applyAlignment="1">
      <alignment horizontal="left" vertical="center"/>
    </xf>
    <xf numFmtId="164" fontId="7" fillId="0" borderId="2" xfId="0" applyNumberFormat="1" applyFont="1" applyBorder="1" applyAlignment="1">
      <alignment vertical="center"/>
    </xf>
    <xf numFmtId="0" fontId="9" fillId="0" borderId="0" xfId="0" applyFont="1" applyBorder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164" fontId="9" fillId="0" borderId="0" xfId="0" applyNumberFormat="1" applyFont="1" applyBorder="1" applyAlignment="1">
      <alignment horizontal="center" wrapText="1"/>
    </xf>
    <xf numFmtId="0" fontId="7" fillId="0" borderId="7" xfId="0" applyFont="1" applyBorder="1" applyAlignment="1">
      <alignment horizontal="center" wrapText="1"/>
    </xf>
    <xf numFmtId="0" fontId="7" fillId="0" borderId="16" xfId="0" applyFont="1" applyFill="1" applyBorder="1" applyAlignment="1">
      <alignment horizontal="center" wrapText="1"/>
    </xf>
    <xf numFmtId="0" fontId="9" fillId="0" borderId="0" xfId="0" applyFont="1" applyFill="1" applyAlignment="1">
      <alignment horizontal="center"/>
    </xf>
    <xf numFmtId="0" fontId="23" fillId="0" borderId="0" xfId="0" applyFont="1" applyFill="1" applyAlignment="1">
      <alignment vertical="center"/>
    </xf>
    <xf numFmtId="0" fontId="23" fillId="0" borderId="0" xfId="0" applyFont="1" applyFill="1" applyAlignment="1">
      <alignment horizontal="left" vertical="center"/>
    </xf>
    <xf numFmtId="0" fontId="9" fillId="0" borderId="0" xfId="0" applyFont="1" applyBorder="1" applyAlignment="1">
      <alignment horizontal="left" wrapText="1"/>
    </xf>
    <xf numFmtId="0" fontId="9" fillId="0" borderId="0" xfId="0" applyFont="1" applyBorder="1" applyAlignment="1">
      <alignment horizontal="left"/>
    </xf>
    <xf numFmtId="0" fontId="23" fillId="0" borderId="0" xfId="0" applyFont="1" applyBorder="1" applyAlignment="1">
      <alignment horizontal="center" wrapText="1"/>
    </xf>
    <xf numFmtId="0" fontId="23" fillId="0" borderId="0" xfId="0" applyFont="1" applyFill="1" applyBorder="1" applyAlignment="1">
      <alignment horizontal="center" wrapText="1"/>
    </xf>
    <xf numFmtId="0" fontId="23" fillId="0" borderId="9" xfId="0" applyFont="1" applyFill="1" applyBorder="1" applyAlignment="1">
      <alignment vertical="center"/>
    </xf>
    <xf numFmtId="0" fontId="23" fillId="0" borderId="9" xfId="0" applyFont="1" applyFill="1" applyBorder="1" applyAlignment="1">
      <alignment horizontal="left" vertical="center"/>
    </xf>
    <xf numFmtId="0" fontId="23" fillId="0" borderId="9" xfId="0" applyFont="1" applyFill="1" applyBorder="1" applyAlignment="1">
      <alignment horizontal="center"/>
    </xf>
    <xf numFmtId="0" fontId="9" fillId="0" borderId="22" xfId="0" applyFont="1" applyBorder="1"/>
    <xf numFmtId="0" fontId="23" fillId="0" borderId="9" xfId="0" applyFont="1" applyBorder="1" applyAlignment="1">
      <alignment horizontal="center" wrapText="1"/>
    </xf>
    <xf numFmtId="0" fontId="23" fillId="0" borderId="9" xfId="0" applyFont="1" applyFill="1" applyBorder="1" applyAlignment="1">
      <alignment horizontal="center" wrapText="1"/>
    </xf>
    <xf numFmtId="164" fontId="7" fillId="0" borderId="9" xfId="0" applyNumberFormat="1" applyFont="1" applyBorder="1" applyAlignment="1">
      <alignment horizontal="center" wrapText="1"/>
    </xf>
    <xf numFmtId="164" fontId="9" fillId="0" borderId="2" xfId="0" applyNumberFormat="1" applyFont="1" applyBorder="1" applyAlignment="1">
      <alignment horizontal="center"/>
    </xf>
    <xf numFmtId="164" fontId="9" fillId="0" borderId="0" xfId="0" applyNumberFormat="1" applyFont="1" applyBorder="1" applyAlignment="1">
      <alignment horizontal="center"/>
    </xf>
    <xf numFmtId="0" fontId="23" fillId="0" borderId="0" xfId="0" applyFont="1" applyAlignment="1">
      <alignment horizontal="center" wrapText="1"/>
    </xf>
    <xf numFmtId="164" fontId="23" fillId="0" borderId="0" xfId="0" applyNumberFormat="1" applyFont="1" applyAlignment="1">
      <alignment horizontal="center"/>
    </xf>
    <xf numFmtId="164" fontId="7" fillId="0" borderId="9" xfId="0" applyNumberFormat="1" applyFont="1" applyBorder="1" applyAlignment="1">
      <alignment horizontal="center"/>
    </xf>
    <xf numFmtId="0" fontId="4" fillId="0" borderId="0" xfId="0" applyFont="1" applyAlignment="1"/>
    <xf numFmtId="14" fontId="4" fillId="0" borderId="0" xfId="0" applyNumberFormat="1" applyFont="1" applyAlignment="1"/>
    <xf numFmtId="165" fontId="4" fillId="0" borderId="0" xfId="0" applyNumberFormat="1" applyFont="1" applyAlignment="1"/>
    <xf numFmtId="0" fontId="10" fillId="0" borderId="3" xfId="0" applyFont="1" applyFill="1" applyBorder="1" applyAlignment="1"/>
    <xf numFmtId="0" fontId="10" fillId="0" borderId="0" xfId="0" applyFont="1" applyFill="1" applyBorder="1" applyAlignment="1"/>
    <xf numFmtId="42" fontId="7" fillId="0" borderId="9" xfId="0" applyNumberFormat="1" applyFont="1" applyBorder="1"/>
    <xf numFmtId="42" fontId="7" fillId="0" borderId="0" xfId="0" applyNumberFormat="1" applyFont="1" applyFill="1" applyBorder="1"/>
    <xf numFmtId="0" fontId="7" fillId="0" borderId="8" xfId="0" applyFont="1" applyFill="1" applyBorder="1" applyAlignment="1"/>
    <xf numFmtId="42" fontId="7" fillId="0" borderId="9" xfId="0" applyNumberFormat="1" applyFont="1" applyFill="1" applyBorder="1"/>
    <xf numFmtId="42" fontId="7" fillId="0" borderId="4" xfId="0" applyNumberFormat="1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42" fontId="7" fillId="0" borderId="2" xfId="0" applyNumberFormat="1" applyFont="1" applyFill="1" applyBorder="1"/>
    <xf numFmtId="42" fontId="7" fillId="0" borderId="2" xfId="0" applyNumberFormat="1" applyFont="1" applyFill="1" applyBorder="1" applyAlignment="1">
      <alignment horizontal="left"/>
    </xf>
    <xf numFmtId="0" fontId="20" fillId="0" borderId="17" xfId="2" applyNumberFormat="1" applyFont="1" applyFill="1" applyBorder="1" applyAlignment="1" applyProtection="1">
      <alignment horizontal="center" vertical="center"/>
      <protection locked="0"/>
    </xf>
    <xf numFmtId="0" fontId="25" fillId="0" borderId="9" xfId="0" applyFont="1" applyBorder="1" applyAlignment="1"/>
    <xf numFmtId="0" fontId="9" fillId="0" borderId="0" xfId="0" applyFont="1" applyBorder="1" applyAlignment="1" applyProtection="1">
      <alignment horizontal="left"/>
      <protection locked="0"/>
    </xf>
    <xf numFmtId="0" fontId="9" fillId="0" borderId="0" xfId="0" applyFont="1" applyBorder="1" applyAlignment="1" applyProtection="1">
      <alignment horizontal="center"/>
      <protection locked="0"/>
    </xf>
    <xf numFmtId="14" fontId="9" fillId="0" borderId="0" xfId="0" applyNumberFormat="1" applyFont="1" applyBorder="1" applyAlignment="1" applyProtection="1">
      <alignment horizontal="center"/>
      <protection locked="0"/>
    </xf>
    <xf numFmtId="164" fontId="23" fillId="0" borderId="0" xfId="2" applyNumberFormat="1" applyFont="1" applyBorder="1" applyAlignment="1" applyProtection="1">
      <alignment horizontal="center"/>
      <protection locked="0"/>
    </xf>
    <xf numFmtId="0" fontId="23" fillId="0" borderId="0" xfId="0" applyFont="1" applyBorder="1" applyAlignment="1" applyProtection="1">
      <alignment horizontal="left" wrapText="1"/>
      <protection locked="0"/>
    </xf>
    <xf numFmtId="164" fontId="25" fillId="0" borderId="14" xfId="0" applyNumberFormat="1" applyFont="1" applyBorder="1" applyAlignment="1" applyProtection="1">
      <alignment horizontal="center" wrapText="1"/>
      <protection locked="0"/>
    </xf>
    <xf numFmtId="6" fontId="9" fillId="0" borderId="6" xfId="2" applyNumberFormat="1" applyFont="1" applyFill="1" applyBorder="1" applyAlignment="1" applyProtection="1">
      <alignment horizontal="right"/>
      <protection locked="0"/>
    </xf>
    <xf numFmtId="6" fontId="7" fillId="0" borderId="9" xfId="0" applyNumberFormat="1" applyFont="1" applyBorder="1" applyAlignment="1">
      <alignment horizontal="right"/>
    </xf>
    <xf numFmtId="6" fontId="9" fillId="0" borderId="0" xfId="2" applyNumberFormat="1" applyFont="1" applyFill="1" applyBorder="1" applyAlignment="1" applyProtection="1">
      <alignment horizontal="right"/>
      <protection locked="0"/>
    </xf>
    <xf numFmtId="164" fontId="7" fillId="0" borderId="10" xfId="0" applyNumberFormat="1" applyFont="1" applyBorder="1" applyAlignment="1"/>
    <xf numFmtId="166" fontId="9" fillId="0" borderId="0" xfId="2" applyNumberFormat="1" applyFont="1" applyAlignment="1">
      <alignment horizontal="right"/>
    </xf>
    <xf numFmtId="166" fontId="9" fillId="0" borderId="6" xfId="2" applyNumberFormat="1" applyFont="1" applyBorder="1" applyAlignment="1">
      <alignment horizontal="right"/>
    </xf>
    <xf numFmtId="164" fontId="9" fillId="0" borderId="0" xfId="0" applyNumberFormat="1" applyFont="1" applyBorder="1" applyAlignment="1">
      <alignment horizontal="right"/>
    </xf>
    <xf numFmtId="44" fontId="9" fillId="0" borderId="0" xfId="0" applyNumberFormat="1" applyFont="1" applyBorder="1" applyAlignment="1">
      <alignment horizontal="right"/>
    </xf>
    <xf numFmtId="0" fontId="27" fillId="0" borderId="9" xfId="3" applyFont="1" applyBorder="1" applyAlignment="1">
      <alignment horizontal="left"/>
    </xf>
    <xf numFmtId="0" fontId="7" fillId="0" borderId="14" xfId="0" applyFont="1" applyFill="1" applyBorder="1" applyAlignment="1">
      <alignment horizontal="center" wrapText="1"/>
    </xf>
    <xf numFmtId="0" fontId="25" fillId="0" borderId="14" xfId="0" applyFont="1" applyFill="1" applyBorder="1" applyAlignment="1">
      <alignment horizontal="center" wrapText="1"/>
    </xf>
    <xf numFmtId="42" fontId="7" fillId="0" borderId="14" xfId="0" applyNumberFormat="1" applyFont="1" applyFill="1" applyBorder="1" applyAlignment="1">
      <alignment horizontal="center" wrapText="1"/>
    </xf>
    <xf numFmtId="0" fontId="25" fillId="0" borderId="14" xfId="0" applyFont="1" applyFill="1" applyBorder="1" applyAlignment="1"/>
    <xf numFmtId="49" fontId="27" fillId="0" borderId="14" xfId="3" applyNumberFormat="1" applyFont="1" applyFill="1" applyBorder="1" applyAlignment="1" applyProtection="1">
      <alignment horizontal="center" wrapText="1"/>
      <protection locked="0"/>
    </xf>
    <xf numFmtId="49" fontId="27" fillId="0" borderId="14" xfId="3" applyNumberFormat="1" applyFont="1" applyBorder="1" applyAlignment="1" applyProtection="1">
      <alignment horizontal="center" wrapText="1"/>
      <protection locked="0"/>
    </xf>
    <xf numFmtId="0" fontId="9" fillId="0" borderId="2" xfId="0" applyFont="1" applyFill="1" applyBorder="1"/>
    <xf numFmtId="44" fontId="9" fillId="0" borderId="2" xfId="2" applyFont="1" applyBorder="1"/>
    <xf numFmtId="164" fontId="9" fillId="0" borderId="2" xfId="2" applyNumberFormat="1" applyFont="1" applyBorder="1"/>
    <xf numFmtId="44" fontId="9" fillId="0" borderId="0" xfId="2" applyFont="1" applyBorder="1"/>
    <xf numFmtId="0" fontId="4" fillId="0" borderId="0" xfId="0" applyFont="1" applyBorder="1" applyAlignment="1">
      <alignment horizontal="left"/>
    </xf>
    <xf numFmtId="0" fontId="4" fillId="0" borderId="0" xfId="0" applyFont="1" applyFill="1" applyBorder="1"/>
    <xf numFmtId="0" fontId="4" fillId="0" borderId="0" xfId="0" applyFont="1" applyBorder="1"/>
    <xf numFmtId="44" fontId="4" fillId="0" borderId="0" xfId="2" applyFont="1" applyBorder="1"/>
    <xf numFmtId="164" fontId="4" fillId="0" borderId="0" xfId="2" applyNumberFormat="1" applyFont="1" applyBorder="1"/>
    <xf numFmtId="0" fontId="23" fillId="0" borderId="2" xfId="0" applyFont="1" applyBorder="1" applyAlignment="1">
      <alignment horizontal="center" wrapText="1"/>
    </xf>
    <xf numFmtId="0" fontId="9" fillId="0" borderId="23" xfId="0" applyFont="1" applyBorder="1" applyAlignment="1">
      <alignment horizontal="left"/>
    </xf>
    <xf numFmtId="0" fontId="18" fillId="0" borderId="2" xfId="0" applyFont="1" applyBorder="1"/>
    <xf numFmtId="0" fontId="23" fillId="0" borderId="0" xfId="0" applyFont="1" applyFill="1" applyBorder="1" applyAlignment="1">
      <alignment horizontal="center"/>
    </xf>
    <xf numFmtId="42" fontId="23" fillId="0" borderId="0" xfId="0" applyNumberFormat="1" applyFont="1" applyFill="1" applyBorder="1" applyAlignment="1">
      <alignment horizontal="center"/>
    </xf>
    <xf numFmtId="42" fontId="25" fillId="0" borderId="9" xfId="0" applyNumberFormat="1" applyFont="1" applyBorder="1" applyAlignment="1">
      <alignment horizontal="center"/>
    </xf>
    <xf numFmtId="0" fontId="23" fillId="0" borderId="4" xfId="0" applyFont="1" applyFill="1" applyBorder="1" applyAlignment="1">
      <alignment horizontal="center"/>
    </xf>
    <xf numFmtId="42" fontId="23" fillId="0" borderId="4" xfId="0" applyNumberFormat="1" applyFont="1" applyFill="1" applyBorder="1" applyAlignment="1">
      <alignment horizontal="center"/>
    </xf>
    <xf numFmtId="0" fontId="25" fillId="0" borderId="10" xfId="0" applyFont="1" applyBorder="1" applyAlignment="1">
      <alignment horizontal="center"/>
    </xf>
    <xf numFmtId="42" fontId="25" fillId="0" borderId="9" xfId="0" applyNumberFormat="1" applyFont="1" applyFill="1" applyBorder="1" applyAlignment="1">
      <alignment horizontal="center"/>
    </xf>
    <xf numFmtId="42" fontId="7" fillId="0" borderId="2" xfId="0" applyNumberFormat="1" applyFont="1" applyFill="1" applyBorder="1" applyAlignment="1">
      <alignment horizontal="center"/>
    </xf>
    <xf numFmtId="42" fontId="25" fillId="0" borderId="2" xfId="0" applyNumberFormat="1" applyFont="1" applyFill="1" applyBorder="1" applyAlignment="1">
      <alignment horizontal="center"/>
    </xf>
    <xf numFmtId="42" fontId="25" fillId="0" borderId="17" xfId="0" applyNumberFormat="1" applyFont="1" applyFill="1" applyBorder="1" applyAlignment="1">
      <alignment horizontal="center"/>
    </xf>
    <xf numFmtId="0" fontId="23" fillId="0" borderId="4" xfId="0" applyFont="1" applyBorder="1" applyAlignment="1">
      <alignment horizontal="center"/>
    </xf>
    <xf numFmtId="42" fontId="25" fillId="0" borderId="10" xfId="0" applyNumberFormat="1" applyFont="1" applyBorder="1" applyAlignment="1">
      <alignment horizontal="center"/>
    </xf>
    <xf numFmtId="42" fontId="25" fillId="0" borderId="10" xfId="0" applyNumberFormat="1" applyFont="1" applyFill="1" applyBorder="1" applyAlignment="1">
      <alignment horizontal="center"/>
    </xf>
    <xf numFmtId="42" fontId="25" fillId="0" borderId="9" xfId="0" applyNumberFormat="1" applyFont="1" applyFill="1" applyBorder="1"/>
    <xf numFmtId="42" fontId="25" fillId="0" borderId="4" xfId="0" applyNumberFormat="1" applyFont="1" applyFill="1" applyBorder="1" applyAlignment="1">
      <alignment horizontal="center"/>
    </xf>
    <xf numFmtId="0" fontId="25" fillId="0" borderId="14" xfId="0" applyFont="1" applyFill="1" applyBorder="1" applyAlignment="1">
      <alignment horizontal="center"/>
    </xf>
    <xf numFmtId="0" fontId="27" fillId="0" borderId="14" xfId="3" applyFont="1" applyFill="1" applyBorder="1" applyAlignment="1">
      <alignment horizontal="center" wrapText="1"/>
    </xf>
    <xf numFmtId="0" fontId="10" fillId="0" borderId="3" xfId="0" applyFont="1" applyFill="1" applyBorder="1" applyAlignment="1">
      <alignment wrapText="1"/>
    </xf>
    <xf numFmtId="0" fontId="25" fillId="0" borderId="3" xfId="0" applyFont="1" applyFill="1" applyBorder="1" applyAlignment="1"/>
    <xf numFmtId="0" fontId="25" fillId="0" borderId="1" xfId="0" applyFont="1" applyFill="1" applyBorder="1" applyAlignment="1"/>
    <xf numFmtId="0" fontId="23" fillId="0" borderId="9" xfId="0" applyFont="1" applyFill="1" applyBorder="1" applyAlignment="1"/>
    <xf numFmtId="0" fontId="23" fillId="0" borderId="2" xfId="0" applyFont="1" applyFill="1" applyBorder="1" applyAlignment="1"/>
    <xf numFmtId="0" fontId="23" fillId="0" borderId="8" xfId="0" applyFont="1" applyFill="1" applyBorder="1" applyAlignment="1"/>
    <xf numFmtId="0" fontId="23" fillId="0" borderId="8" xfId="0" applyFont="1" applyFill="1" applyBorder="1" applyAlignment="1">
      <alignment wrapText="1"/>
    </xf>
    <xf numFmtId="166" fontId="9" fillId="0" borderId="0" xfId="2" applyNumberFormat="1" applyFont="1" applyBorder="1" applyAlignment="1">
      <alignment horizontal="right"/>
    </xf>
    <xf numFmtId="0" fontId="25" fillId="0" borderId="0" xfId="0" applyFont="1" applyFill="1" applyBorder="1" applyAlignment="1">
      <alignment horizontal="center"/>
    </xf>
    <xf numFmtId="42" fontId="23" fillId="0" borderId="0" xfId="0" applyNumberFormat="1" applyFont="1" applyFill="1" applyBorder="1"/>
    <xf numFmtId="42" fontId="25" fillId="0" borderId="0" xfId="0" applyNumberFormat="1" applyFont="1" applyFill="1" applyBorder="1"/>
    <xf numFmtId="42" fontId="25" fillId="0" borderId="0" xfId="0" applyNumberFormat="1" applyFont="1" applyFill="1" applyBorder="1" applyAlignment="1">
      <alignment horizontal="center"/>
    </xf>
    <xf numFmtId="0" fontId="9" fillId="0" borderId="1" xfId="0" applyFont="1" applyFill="1" applyBorder="1" applyAlignment="1"/>
    <xf numFmtId="0" fontId="9" fillId="0" borderId="2" xfId="0" applyFont="1" applyFill="1" applyBorder="1" applyAlignment="1"/>
    <xf numFmtId="0" fontId="27" fillId="0" borderId="8" xfId="3" applyFont="1" applyFill="1" applyBorder="1" applyAlignment="1"/>
    <xf numFmtId="0" fontId="7" fillId="0" borderId="0" xfId="0" applyFont="1" applyBorder="1" applyAlignment="1">
      <alignment horizontal="center" wrapText="1"/>
    </xf>
    <xf numFmtId="0" fontId="7" fillId="0" borderId="0" xfId="0" applyFont="1" applyBorder="1" applyAlignment="1">
      <alignment horizontal="center"/>
    </xf>
    <xf numFmtId="42" fontId="7" fillId="0" borderId="0" xfId="0" applyNumberFormat="1" applyFont="1" applyBorder="1" applyAlignment="1">
      <alignment horizontal="center"/>
    </xf>
    <xf numFmtId="164" fontId="7" fillId="0" borderId="14" xfId="2" applyNumberFormat="1" applyFont="1" applyBorder="1" applyAlignment="1">
      <alignment horizontal="center" wrapText="1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center"/>
    </xf>
    <xf numFmtId="42" fontId="7" fillId="0" borderId="0" xfId="0" applyNumberFormat="1" applyFont="1"/>
    <xf numFmtId="6" fontId="7" fillId="0" borderId="6" xfId="0" applyNumberFormat="1" applyFont="1" applyBorder="1" applyAlignment="1">
      <alignment horizontal="right"/>
    </xf>
    <xf numFmtId="0" fontId="25" fillId="0" borderId="6" xfId="0" applyFont="1" applyBorder="1" applyAlignment="1">
      <alignment horizontal="center" wrapText="1"/>
    </xf>
    <xf numFmtId="0" fontId="25" fillId="0" borderId="6" xfId="0" applyFont="1" applyBorder="1" applyAlignment="1">
      <alignment horizontal="center"/>
    </xf>
    <xf numFmtId="0" fontId="25" fillId="0" borderId="14" xfId="2" applyNumberFormat="1" applyFont="1" applyBorder="1" applyAlignment="1">
      <alignment horizontal="center" wrapText="1"/>
    </xf>
    <xf numFmtId="164" fontId="25" fillId="0" borderId="14" xfId="2" applyNumberFormat="1" applyFont="1" applyBorder="1" applyAlignment="1">
      <alignment wrapText="1"/>
    </xf>
    <xf numFmtId="42" fontId="25" fillId="0" borderId="6" xfId="0" applyNumberFormat="1" applyFont="1" applyBorder="1" applyAlignment="1">
      <alignment horizontal="center"/>
    </xf>
    <xf numFmtId="42" fontId="23" fillId="0" borderId="0" xfId="0" applyNumberFormat="1" applyFont="1" applyBorder="1"/>
    <xf numFmtId="42" fontId="25" fillId="0" borderId="6" xfId="0" applyNumberFormat="1" applyFont="1" applyBorder="1"/>
    <xf numFmtId="42" fontId="23" fillId="0" borderId="0" xfId="0" applyNumberFormat="1" applyFont="1" applyBorder="1" applyAlignment="1">
      <alignment horizontal="center"/>
    </xf>
    <xf numFmtId="0" fontId="7" fillId="0" borderId="24" xfId="0" applyFont="1" applyBorder="1" applyAlignment="1">
      <alignment horizontal="center" wrapText="1"/>
    </xf>
    <xf numFmtId="164" fontId="7" fillId="0" borderId="24" xfId="2" applyNumberFormat="1" applyFont="1" applyBorder="1" applyAlignment="1">
      <alignment horizontal="center" wrapText="1"/>
    </xf>
    <xf numFmtId="0" fontId="25" fillId="0" borderId="24" xfId="2" applyNumberFormat="1" applyFont="1" applyBorder="1" applyAlignment="1">
      <alignment horizontal="center" wrapText="1"/>
    </xf>
    <xf numFmtId="164" fontId="25" fillId="0" borderId="24" xfId="2" applyNumberFormat="1" applyFont="1" applyBorder="1" applyAlignment="1">
      <alignment wrapText="1"/>
    </xf>
    <xf numFmtId="0" fontId="25" fillId="0" borderId="0" xfId="0" applyFont="1" applyBorder="1"/>
    <xf numFmtId="0" fontId="25" fillId="0" borderId="0" xfId="0" applyFont="1" applyBorder="1" applyAlignment="1">
      <alignment horizontal="center"/>
    </xf>
    <xf numFmtId="164" fontId="7" fillId="0" borderId="16" xfId="2" applyNumberFormat="1" applyFont="1" applyBorder="1" applyAlignment="1">
      <alignment horizontal="center" wrapText="1"/>
    </xf>
    <xf numFmtId="0" fontId="7" fillId="0" borderId="16" xfId="2" applyNumberFormat="1" applyFont="1" applyBorder="1" applyAlignment="1">
      <alignment horizontal="center" wrapText="1"/>
    </xf>
    <xf numFmtId="0" fontId="25" fillId="0" borderId="16" xfId="2" applyNumberFormat="1" applyFont="1" applyBorder="1" applyAlignment="1">
      <alignment horizontal="center" wrapText="1"/>
    </xf>
    <xf numFmtId="164" fontId="25" fillId="0" borderId="5" xfId="2" applyNumberFormat="1" applyFont="1" applyBorder="1" applyAlignment="1">
      <alignment wrapText="1"/>
    </xf>
    <xf numFmtId="0" fontId="23" fillId="0" borderId="6" xfId="0" applyFont="1" applyBorder="1" applyAlignment="1">
      <alignment wrapText="1"/>
    </xf>
    <xf numFmtId="0" fontId="23" fillId="0" borderId="6" xfId="0" applyFont="1" applyBorder="1"/>
    <xf numFmtId="0" fontId="23" fillId="0" borderId="6" xfId="0" applyFont="1" applyBorder="1" applyAlignment="1">
      <alignment horizontal="center"/>
    </xf>
    <xf numFmtId="0" fontId="25" fillId="0" borderId="6" xfId="0" applyFont="1" applyBorder="1" applyAlignment="1">
      <alignment wrapText="1"/>
    </xf>
    <xf numFmtId="0" fontId="25" fillId="0" borderId="6" xfId="0" applyFont="1" applyBorder="1"/>
    <xf numFmtId="0" fontId="25" fillId="0" borderId="0" xfId="0" applyFont="1" applyBorder="1" applyAlignment="1">
      <alignment wrapText="1"/>
    </xf>
    <xf numFmtId="6" fontId="7" fillId="0" borderId="0" xfId="0" applyNumberFormat="1" applyFont="1" applyBorder="1" applyAlignment="1">
      <alignment horizontal="right"/>
    </xf>
    <xf numFmtId="42" fontId="25" fillId="0" borderId="0" xfId="0" applyNumberFormat="1" applyFont="1" applyBorder="1"/>
    <xf numFmtId="0" fontId="25" fillId="0" borderId="0" xfId="0" applyFont="1" applyBorder="1" applyAlignment="1">
      <alignment horizontal="center" wrapText="1"/>
    </xf>
    <xf numFmtId="42" fontId="25" fillId="0" borderId="0" xfId="0" applyNumberFormat="1" applyFont="1" applyBorder="1" applyAlignment="1">
      <alignment horizontal="center"/>
    </xf>
    <xf numFmtId="0" fontId="11" fillId="0" borderId="3" xfId="0" applyFont="1" applyBorder="1" applyAlignment="1">
      <alignment horizontal="left"/>
    </xf>
    <xf numFmtId="0" fontId="7" fillId="0" borderId="25" xfId="2" applyNumberFormat="1" applyFont="1" applyBorder="1" applyAlignment="1">
      <alignment horizontal="center" wrapText="1"/>
    </xf>
    <xf numFmtId="42" fontId="9" fillId="0" borderId="0" xfId="0" applyNumberFormat="1" applyFont="1" applyBorder="1" applyAlignment="1"/>
    <xf numFmtId="6" fontId="25" fillId="0" borderId="6" xfId="0" applyNumberFormat="1" applyFont="1" applyBorder="1" applyAlignment="1">
      <alignment horizontal="right"/>
    </xf>
    <xf numFmtId="42" fontId="9" fillId="0" borderId="0" xfId="0" applyNumberFormat="1" applyFont="1" applyBorder="1" applyAlignment="1">
      <alignment horizontal="right"/>
    </xf>
    <xf numFmtId="42" fontId="23" fillId="0" borderId="0" xfId="0" applyNumberFormat="1" applyFont="1" applyBorder="1" applyAlignment="1"/>
    <xf numFmtId="42" fontId="9" fillId="0" borderId="0" xfId="0" applyNumberFormat="1" applyFont="1" applyFill="1" applyBorder="1" applyAlignment="1">
      <alignment horizontal="right"/>
    </xf>
    <xf numFmtId="0" fontId="29" fillId="0" borderId="0" xfId="0" applyFont="1" applyBorder="1" applyAlignment="1"/>
    <xf numFmtId="0" fontId="30" fillId="0" borderId="0" xfId="0" applyFont="1" applyBorder="1" applyAlignment="1">
      <alignment horizontal="center" wrapText="1"/>
    </xf>
    <xf numFmtId="0" fontId="30" fillId="0" borderId="0" xfId="0" applyFont="1" applyBorder="1" applyAlignment="1">
      <alignment horizontal="center"/>
    </xf>
    <xf numFmtId="42" fontId="29" fillId="0" borderId="0" xfId="0" applyNumberFormat="1" applyFont="1" applyBorder="1" applyAlignment="1"/>
    <xf numFmtId="42" fontId="30" fillId="0" borderId="0" xfId="0" applyNumberFormat="1" applyFont="1" applyBorder="1" applyAlignment="1"/>
    <xf numFmtId="0" fontId="31" fillId="0" borderId="0" xfId="0" applyNumberFormat="1" applyFont="1" applyBorder="1" applyAlignment="1">
      <alignment horizontal="center"/>
    </xf>
    <xf numFmtId="0" fontId="7" fillId="0" borderId="0" xfId="0" applyFont="1" applyFill="1" applyBorder="1"/>
    <xf numFmtId="0" fontId="23" fillId="0" borderId="0" xfId="0" applyFont="1" applyFill="1" applyBorder="1"/>
    <xf numFmtId="0" fontId="25" fillId="0" borderId="0" xfId="0" applyFont="1" applyFill="1" applyBorder="1"/>
    <xf numFmtId="164" fontId="7" fillId="0" borderId="14" xfId="2" applyNumberFormat="1" applyFont="1" applyFill="1" applyBorder="1" applyAlignment="1">
      <alignment horizontal="center" wrapText="1"/>
    </xf>
    <xf numFmtId="0" fontId="7" fillId="0" borderId="14" xfId="2" applyNumberFormat="1" applyFont="1" applyBorder="1" applyAlignment="1">
      <alignment horizontal="center" wrapText="1"/>
    </xf>
    <xf numFmtId="164" fontId="25" fillId="0" borderId="14" xfId="2" applyNumberFormat="1" applyFont="1" applyFill="1" applyBorder="1" applyAlignment="1">
      <alignment wrapText="1"/>
    </xf>
    <xf numFmtId="166" fontId="7" fillId="0" borderId="0" xfId="0" applyNumberFormat="1" applyFont="1" applyBorder="1" applyAlignment="1">
      <alignment horizontal="right"/>
    </xf>
    <xf numFmtId="166" fontId="7" fillId="0" borderId="6" xfId="0" applyNumberFormat="1" applyFont="1" applyBorder="1" applyAlignment="1">
      <alignment horizontal="right"/>
    </xf>
    <xf numFmtId="0" fontId="7" fillId="0" borderId="7" xfId="0" applyFont="1" applyFill="1" applyBorder="1" applyAlignment="1">
      <alignment horizontal="center" wrapText="1"/>
    </xf>
    <xf numFmtId="164" fontId="7" fillId="0" borderId="16" xfId="2" applyNumberFormat="1" applyFont="1" applyFill="1" applyBorder="1" applyAlignment="1">
      <alignment horizontal="center" wrapText="1"/>
    </xf>
    <xf numFmtId="164" fontId="25" fillId="0" borderId="5" xfId="2" applyNumberFormat="1" applyFont="1" applyFill="1" applyBorder="1" applyAlignment="1">
      <alignment wrapText="1"/>
    </xf>
    <xf numFmtId="0" fontId="7" fillId="0" borderId="9" xfId="0" applyFont="1" applyFill="1" applyBorder="1"/>
    <xf numFmtId="0" fontId="2" fillId="0" borderId="0" xfId="0" applyFont="1" applyFill="1" applyBorder="1"/>
    <xf numFmtId="164" fontId="25" fillId="0" borderId="16" xfId="2" applyNumberFormat="1" applyFont="1" applyFill="1" applyBorder="1" applyAlignment="1">
      <alignment wrapText="1"/>
    </xf>
    <xf numFmtId="0" fontId="29" fillId="0" borderId="5" xfId="0" applyFont="1" applyBorder="1" applyAlignment="1"/>
    <xf numFmtId="0" fontId="30" fillId="0" borderId="6" xfId="0" applyFont="1" applyBorder="1" applyAlignment="1">
      <alignment wrapText="1"/>
    </xf>
    <xf numFmtId="0" fontId="30" fillId="0" borderId="6" xfId="0" applyFont="1" applyBorder="1"/>
    <xf numFmtId="0" fontId="30" fillId="0" borderId="6" xfId="0" applyFont="1" applyBorder="1" applyAlignment="1">
      <alignment horizontal="center"/>
    </xf>
    <xf numFmtId="42" fontId="29" fillId="0" borderId="6" xfId="0" applyNumberFormat="1" applyFont="1" applyBorder="1"/>
    <xf numFmtId="42" fontId="30" fillId="0" borderId="6" xfId="0" applyNumberFormat="1" applyFont="1" applyBorder="1"/>
    <xf numFmtId="166" fontId="29" fillId="0" borderId="6" xfId="0" applyNumberFormat="1" applyFont="1" applyBorder="1" applyAlignment="1">
      <alignment horizontal="right"/>
    </xf>
    <xf numFmtId="0" fontId="32" fillId="0" borderId="0" xfId="0" applyFont="1" applyBorder="1" applyAlignment="1">
      <alignment horizontal="center"/>
    </xf>
    <xf numFmtId="0" fontId="30" fillId="0" borderId="0" xfId="0" applyFont="1" applyBorder="1" applyAlignment="1">
      <alignment wrapText="1"/>
    </xf>
    <xf numFmtId="0" fontId="30" fillId="0" borderId="0" xfId="0" applyFont="1" applyBorder="1"/>
    <xf numFmtId="42" fontId="32" fillId="0" borderId="0" xfId="0" applyNumberFormat="1" applyFont="1" applyBorder="1"/>
    <xf numFmtId="42" fontId="23" fillId="0" borderId="4" xfId="0" applyNumberFormat="1" applyFont="1" applyBorder="1"/>
    <xf numFmtId="42" fontId="30" fillId="0" borderId="7" xfId="0" applyNumberFormat="1" applyFont="1" applyBorder="1"/>
    <xf numFmtId="0" fontId="7" fillId="0" borderId="2" xfId="0" applyFont="1" applyFill="1" applyBorder="1"/>
    <xf numFmtId="42" fontId="25" fillId="0" borderId="7" xfId="0" applyNumberFormat="1" applyFont="1" applyBorder="1"/>
    <xf numFmtId="0" fontId="9" fillId="0" borderId="0" xfId="0" applyFont="1" applyFill="1" applyAlignment="1">
      <alignment horizontal="left"/>
    </xf>
    <xf numFmtId="0" fontId="25" fillId="0" borderId="14" xfId="2" applyNumberFormat="1" applyFont="1" applyBorder="1" applyAlignment="1">
      <alignment horizontal="center"/>
    </xf>
    <xf numFmtId="0" fontId="27" fillId="0" borderId="14" xfId="3" applyNumberFormat="1" applyFont="1" applyBorder="1" applyAlignment="1">
      <alignment horizontal="center" wrapText="1"/>
    </xf>
    <xf numFmtId="0" fontId="19" fillId="0" borderId="7" xfId="3" applyFont="1" applyFill="1" applyBorder="1" applyAlignment="1">
      <alignment horizontal="center"/>
    </xf>
    <xf numFmtId="0" fontId="7" fillId="0" borderId="6" xfId="0" applyFont="1" applyBorder="1" applyAlignment="1">
      <alignment wrapText="1"/>
    </xf>
    <xf numFmtId="0" fontId="7" fillId="0" borderId="2" xfId="0" applyFont="1" applyBorder="1"/>
    <xf numFmtId="0" fontId="7" fillId="0" borderId="0" xfId="0" applyFont="1" applyAlignment="1"/>
    <xf numFmtId="42" fontId="9" fillId="0" borderId="2" xfId="0" applyNumberFormat="1" applyFont="1" applyBorder="1" applyAlignment="1">
      <alignment horizontal="right"/>
    </xf>
    <xf numFmtId="0" fontId="25" fillId="0" borderId="2" xfId="0" applyFont="1" applyBorder="1" applyAlignment="1"/>
    <xf numFmtId="0" fontId="25" fillId="0" borderId="0" xfId="0" applyFont="1" applyBorder="1" applyAlignment="1"/>
    <xf numFmtId="0" fontId="25" fillId="0" borderId="6" xfId="0" applyFont="1" applyBorder="1" applyAlignment="1"/>
    <xf numFmtId="42" fontId="23" fillId="0" borderId="2" xfId="0" applyNumberFormat="1" applyFont="1" applyBorder="1"/>
    <xf numFmtId="0" fontId="8" fillId="0" borderId="9" xfId="0" applyFont="1" applyBorder="1" applyAlignment="1">
      <alignment horizontal="center"/>
    </xf>
    <xf numFmtId="164" fontId="9" fillId="0" borderId="0" xfId="2" applyNumberFormat="1" applyFont="1" applyBorder="1" applyAlignment="1">
      <alignment horizontal="center" wrapText="1"/>
    </xf>
    <xf numFmtId="0" fontId="9" fillId="0" borderId="2" xfId="0" applyFont="1" applyBorder="1" applyAlignment="1">
      <alignment horizontal="left" wrapText="1"/>
    </xf>
    <xf numFmtId="164" fontId="25" fillId="0" borderId="16" xfId="2" applyNumberFormat="1" applyFont="1" applyBorder="1" applyAlignment="1">
      <alignment wrapText="1"/>
    </xf>
    <xf numFmtId="164" fontId="7" fillId="0" borderId="6" xfId="0" applyNumberFormat="1" applyFont="1" applyBorder="1"/>
    <xf numFmtId="0" fontId="26" fillId="0" borderId="6" xfId="0" applyFont="1" applyBorder="1"/>
    <xf numFmtId="164" fontId="23" fillId="0" borderId="0" xfId="2" applyNumberFormat="1" applyFont="1" applyBorder="1" applyAlignment="1">
      <alignment horizontal="center" wrapText="1"/>
    </xf>
    <xf numFmtId="42" fontId="23" fillId="0" borderId="0" xfId="0" applyNumberFormat="1" applyFont="1" applyAlignment="1">
      <alignment horizontal="center"/>
    </xf>
    <xf numFmtId="164" fontId="25" fillId="0" borderId="6" xfId="0" applyNumberFormat="1" applyFont="1" applyBorder="1" applyAlignment="1">
      <alignment horizontal="center"/>
    </xf>
    <xf numFmtId="0" fontId="19" fillId="0" borderId="7" xfId="3" applyFont="1" applyBorder="1" applyAlignment="1">
      <alignment horizontal="center"/>
    </xf>
    <xf numFmtId="0" fontId="29" fillId="0" borderId="6" xfId="0" applyFont="1" applyBorder="1" applyAlignment="1"/>
    <xf numFmtId="0" fontId="33" fillId="0" borderId="6" xfId="0" applyFont="1" applyBorder="1"/>
    <xf numFmtId="0" fontId="33" fillId="0" borderId="6" xfId="0" applyFont="1" applyBorder="1" applyAlignment="1">
      <alignment horizontal="center"/>
    </xf>
    <xf numFmtId="42" fontId="9" fillId="0" borderId="0" xfId="0" applyNumberFormat="1" applyFont="1" applyAlignment="1">
      <alignment horizontal="right"/>
    </xf>
    <xf numFmtId="42" fontId="7" fillId="0" borderId="2" xfId="0" applyNumberFormat="1" applyFont="1" applyBorder="1"/>
    <xf numFmtId="0" fontId="7" fillId="0" borderId="26" xfId="0" applyFont="1" applyBorder="1" applyAlignment="1">
      <alignment horizontal="left" wrapText="1"/>
    </xf>
    <xf numFmtId="0" fontId="23" fillId="0" borderId="26" xfId="0" applyFont="1" applyBorder="1" applyAlignment="1">
      <alignment horizontal="center" vertical="center"/>
    </xf>
    <xf numFmtId="164" fontId="23" fillId="0" borderId="26" xfId="0" applyNumberFormat="1" applyFont="1" applyBorder="1" applyAlignment="1">
      <alignment horizontal="center" wrapText="1"/>
    </xf>
    <xf numFmtId="0" fontId="23" fillId="0" borderId="26" xfId="0" applyFont="1" applyBorder="1" applyAlignment="1">
      <alignment horizontal="center" wrapText="1"/>
    </xf>
    <xf numFmtId="164" fontId="27" fillId="0" borderId="26" xfId="0" applyNumberFormat="1" applyFont="1" applyBorder="1" applyAlignment="1">
      <alignment horizontal="center" wrapText="1"/>
    </xf>
    <xf numFmtId="0" fontId="23" fillId="0" borderId="0" xfId="0" applyFont="1" applyAlignment="1">
      <alignment horizontal="centerContinuous"/>
    </xf>
    <xf numFmtId="0" fontId="19" fillId="0" borderId="0" xfId="3" applyNumberFormat="1" applyFont="1" applyBorder="1" applyAlignment="1" applyProtection="1">
      <alignment horizontal="center" vertical="top"/>
      <protection locked="0"/>
    </xf>
    <xf numFmtId="0" fontId="19" fillId="0" borderId="4" xfId="3" applyNumberFormat="1" applyFont="1" applyFill="1" applyBorder="1" applyAlignment="1" applyProtection="1">
      <alignment horizontal="center"/>
      <protection locked="0"/>
    </xf>
  </cellXfs>
  <cellStyles count="4">
    <cellStyle name="Comma" xfId="1" builtinId="3"/>
    <cellStyle name="Currency" xfId="2" builtinId="4"/>
    <cellStyle name="Hyperlink" xfId="3" builtinId="8"/>
    <cellStyle name="Normal" xfId="0" builtinId="0"/>
  </cellStyles>
  <dxfs count="3626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superscript"/>
        <sz val="12"/>
        <color auto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superscript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superscript"/>
        <sz val="12"/>
        <color auto="1"/>
        <name val="Arial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left style="thin">
          <color indexed="64"/>
        </lef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/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top style="thin">
          <color indexed="64"/>
        </top>
      </border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border outline="0">
        <left style="thin">
          <color indexed="64"/>
        </left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bottom style="thin">
          <color auto="1"/>
        </bottom>
      </border>
    </dxf>
    <dxf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>
        <left/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>
        <left/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bottom style="thin">
          <color auto="1"/>
        </bottom>
      </border>
    </dxf>
    <dxf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bottom style="thin">
          <color auto="1"/>
        </bottom>
      </border>
    </dxf>
    <dxf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border outline="0"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bottom style="thin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border outline="0"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border outline="0"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border outline="0"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border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outline="0">
        <right style="thin">
          <color indexed="64"/>
        </right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outline="0">
        <right style="thin">
          <color indexed="64"/>
        </right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border outline="0">
        <right style="thin">
          <color indexed="64"/>
        </right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top style="thin">
          <color auto="1"/>
        </top>
      </border>
    </dxf>
    <dxf>
      <font>
        <strike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border outline="0">
        <right style="thin">
          <color indexed="64"/>
        </right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>
        <top style="thin">
          <color auto="1"/>
        </top>
      </border>
    </dxf>
    <dxf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center" textRotation="0" wrapText="0" indent="0" justifyLastLine="0" shrinkToFit="0" readingOrder="0"/>
    </dxf>
    <dxf>
      <border>
        <top style="thin">
          <color indexed="64"/>
        </top>
      </border>
    </dxf>
    <dxf>
      <border outline="0"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general" vertical="center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center" textRotation="0" wrapText="0" indent="0" justifyLastLine="0" shrinkToFit="0" readingOrder="0"/>
    </dxf>
    <dxf>
      <border>
        <top style="thin">
          <color auto="1"/>
        </top>
      </border>
    </dxf>
    <dxf>
      <border outline="0"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center" textRotation="0" wrapText="0" indent="0" justifyLastLine="0" shrinkToFit="0" readingOrder="0"/>
    </dxf>
    <dxf>
      <border>
        <top style="thin">
          <color indexed="64"/>
        </top>
      </border>
    </dxf>
    <dxf>
      <border outline="0"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border>
        <top style="thin">
          <color auto="1"/>
        </top>
      </border>
    </dxf>
    <dxf>
      <border outline="0"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border>
        <top style="thin">
          <color auto="1"/>
        </top>
      </border>
    </dxf>
    <dxf>
      <border outline="0"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border>
        <top style="thin">
          <color auto="1"/>
        </top>
      </border>
    </dxf>
    <dxf>
      <border outline="0"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z val="12"/>
        <name val="Arial"/>
        <scheme val="none"/>
      </font>
      <numFmt numFmtId="166" formatCode="&quot;$&quot;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general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general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general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general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general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general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hair">
          <color theme="0" tint="-0.499984740745262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border>
        <top style="thin">
          <color auto="1"/>
        </top>
      </border>
    </dxf>
    <dxf>
      <border diagonalUp="0" diagonalDown="0">
        <left style="hair">
          <color auto="1"/>
        </left>
        <right style="hair">
          <color auto="1"/>
        </right>
        <top/>
        <bottom/>
        <vertical style="hair">
          <color auto="1"/>
        </vertical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lef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alignment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border>
        <top style="thin">
          <color auto="1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lef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border>
        <top style="thin">
          <color auto="1"/>
        </top>
      </border>
    </dxf>
    <dxf>
      <border diagonalUp="0" diagonalDown="0">
        <left style="hair">
          <color auto="1"/>
        </left>
        <right style="hair">
          <color auto="1"/>
        </right>
        <top/>
        <bottom/>
        <vertical style="hair">
          <color auto="1"/>
        </vertical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  <bottom style="hair">
          <color theme="0" tint="-0.499984740745262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9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border>
        <top style="thin">
          <color auto="1"/>
        </top>
      </border>
    </dxf>
    <dxf>
      <font>
        <b/>
      </font>
      <border diagonalUp="0" diagonalDown="0">
        <left style="hair">
          <color auto="1"/>
        </left>
        <right style="hair">
          <color auto="1"/>
        </right>
        <top/>
        <bottom/>
        <vertical style="hair">
          <color auto="1"/>
        </vertical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border>
        <top style="thin">
          <color indexed="64"/>
        </top>
      </border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2648857</xdr:colOff>
      <xdr:row>5</xdr:row>
      <xdr:rowOff>144133</xdr:rowOff>
    </xdr:from>
    <xdr:to>
      <xdr:col>0</xdr:col>
      <xdr:colOff>5849257</xdr:colOff>
      <xdr:row>21</xdr:row>
      <xdr:rowOff>117120</xdr:rowOff>
    </xdr:to>
    <xdr:pic>
      <xdr:nvPicPr>
        <xdr:cNvPr id="2" name="Picture 1" descr="Seal, Office of the Controller, State of California." title="Seal"/>
        <xdr:cNvPicPr/>
      </xdr:nvPicPr>
      <xdr:blipFill>
        <a:blip xmlns:r="http://schemas.openxmlformats.org/officeDocument/2006/relationships" r:embed="rId1" cstate="print">
          <a:duotone>
            <a:prstClr val="black"/>
            <a:schemeClr val="bg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colorTemperature colorTemp="5300"/>
                  </a14:imgEffect>
                  <a14:imgEffect>
                    <a14:saturation sat="40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8857" y="2439204"/>
          <a:ext cx="3200400" cy="31661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net\data\Local%20Reimb\Reporting\Mandated%20Reports\Payments\$765M%20Payments%20to%20Locals%20(Pre-2004)\Interest\Interest-2nd%20Payment%20(10.02.2015)%20_%20assigned%20analy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by Program, FY"/>
      <sheetName val="2ND ROUND PYMT"/>
      <sheetName val="Verified Amounts (Analysis)"/>
      <sheetName val="Analysis 3 - HDS, 111, FY200203"/>
      <sheetName val="By Claimant"/>
      <sheetName val="Analysis (2)"/>
      <sheetName val="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ables/table1.xml><?xml version="1.0" encoding="utf-8"?>
<table xmlns="http://schemas.openxmlformats.org/spreadsheetml/2006/main" id="4" name="localgeneralfund" displayName="localgeneralfund" ref="A2:N6" totalsRowCount="1" headerRowDxfId="3625" dataDxfId="3623" headerRowBorderDxfId="3624" tableBorderDxfId="3622" totalsRowBorderDxfId="3621">
  <autoFilter ref="A2:N5"/>
  <tableColumns count="14">
    <tableColumn id="1" name="Program Category_x000a_ and Fund" totalsRowLabel="Total Local Agencies-General Fund" dataDxfId="3620" totalsRowDxfId="164"/>
    <tableColumn id="15" name="Appropriation_x000a_Number" totalsRowLabel="N/A" totalsRowDxfId="163"/>
    <tableColumn id="2" name="Legal _x000a_Reference_x000a_(Ch./Year)" totalsRowLabel="N/A" dataDxfId="3619" totalsRowDxfId="162"/>
    <tableColumn id="3" name="Fiscal Year of _x000a_Claims Paid" totalsRowLabel="N/A" dataDxfId="3618" totalsRowDxfId="161"/>
    <tableColumn id="4" name="Reversion _x000a_Date" totalsRowLabel="N/A" dataDxfId="3617" totalsRowDxfId="160"/>
    <tableColumn id="5" name="Original                         Appropriation                  Amount" totalsRowFunction="sum" dataDxfId="3616" totalsRowDxfId="159"/>
    <tableColumn id="6" name="Appropriation Balances_x000a_as of 07/01/2019" totalsRowFunction="sum" dataDxfId="3615" totalsRowDxfId="158"/>
    <tableColumn id="7" name="Budget Adjustments        " totalsRowLabel="$0 " dataDxfId="3614" totalsRowDxfId="157"/>
    <tableColumn id="8" name="Comment" totalsRowLabel="N/A" dataDxfId="3613" totalsRowDxfId="156"/>
    <tableColumn id="9" name="Add: Receipts               and Recovered Amounts" totalsRowFunction="sum" dataDxfId="3612" totalsRowDxfId="155"/>
    <tableColumn id="10" name="Less: Mandated Program Payments, _x000a_Offsets, and Interest   _x000a_ (see Schedule A1) 2" totalsRowFunction="sum" dataDxfId="3611" totalsRowDxfId="154"/>
    <tableColumn id="11" name="Comment2" totalsRowLabel="N/A" dataDxfId="3610" totalsRowDxfId="153"/>
    <tableColumn id="12" name="Less: Reappropriations 3" totalsRowLabel="$0 " dataDxfId="3609" totalsRowDxfId="152" dataCellStyle="Currency"/>
    <tableColumn id="13" name="Appropriation Balances_x000a_as of 04/01/2020" totalsRowFunction="sum" dataDxfId="3608" totalsRowDxfId="15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A: Summary of State-Mandated Program Appropriations, Receipts, and Payments. As of April 1, 2020. For Local Agencies-General Fund."/>
    </ext>
  </extLst>
</table>
</file>

<file path=xl/tables/table10.xml><?xml version="1.0" encoding="utf-8"?>
<table xmlns="http://schemas.openxmlformats.org/spreadsheetml/2006/main" id="11" name="localannualclaim17" displayName="localannualclaim17" ref="A56:I58" totalsRowCount="1" headerRowDxfId="3418" headerRowBorderDxfId="3417" tableBorderDxfId="3416" totalsRowBorderDxfId="3415">
  <autoFilter ref="A56:I57"/>
  <tableColumns count="9">
    <tableColumn id="1" name="Program Category_x000a_and Type of Payment" totalsRowLabel="0001-88865-2017-295-98 Total" dataDxfId="3414" totalsRowDxfId="3413"/>
    <tableColumn id="2" name="Fiscal _x000a_Year" totalsRowLabel="N/A" dataDxfId="3412" totalsRowDxfId="3411"/>
    <tableColumn id="3" name="Appropriation _x000a_Number" totalsRowLabel="N/A" dataDxfId="3410" totalsRowDxfId="3409"/>
    <tableColumn id="4" name="Program _x000a_Name" totalsRowLabel="N/A" dataDxfId="3408" totalsRowDxfId="3407"/>
    <tableColumn id="5" name="Legal _x000a_Reference_x000a_(Ch./Year)" totalsRowLabel="N/A" dataDxfId="3406" totalsRowDxfId="3405"/>
    <tableColumn id="6" name="Program_x000a_ Number" totalsRowLabel="N/A" dataDxfId="3404" totalsRowDxfId="3403"/>
    <tableColumn id="7" name="Program _x000a_Payments and Offsets" totalsRowFunction="sum" dataDxfId="3402" totalsRowDxfId="3401" dataCellStyle="Currency"/>
    <tableColumn id="8" name="Interest_x000a_Payments and Offsets" totalsRowLabel="$0 " dataDxfId="3400" totalsRowDxfId="3399" dataCellStyle="Currency"/>
    <tableColumn id="9" name="Total _x000a_Payments" totalsRowFunction="sum" dataDxfId="3398" totalsRowDxfId="3397" dataCellStyle="Currency">
      <calculatedColumnFormula>G57+H57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A1: Detail of State-Mandated Program Payments by Fiscal Year. As of April 1, 2020. Local Agencies-Annual Claim."/>
    </ext>
  </extLst>
</table>
</file>

<file path=xl/tables/table100.xml><?xml version="1.0" encoding="utf-8"?>
<table xmlns="http://schemas.openxmlformats.org/spreadsheetml/2006/main" id="101" name="college200001" displayName="college200001" ref="A133:M135" totalsRowCount="1" headerRowDxfId="892" dataDxfId="890" totalsRowDxfId="888" headerRowBorderDxfId="891" tableBorderDxfId="889" headerRowCellStyle="Currency">
  <autoFilter ref="A133:M134"/>
  <tableColumns count="13">
    <tableColumn id="1" name="Fiscal_x000a_Year" totalsRowLabel="2000-01 Total" dataDxfId="887" totalsRowDxfId="886"/>
    <tableColumn id="2" name="Program_x000a_Name" totalsRowLabel="N/A" dataDxfId="885" totalsRowDxfId="884"/>
    <tableColumn id="3" name="Legal_x000a_Reference_x000a_(Ch./Year)" totalsRowLabel="N/A" dataDxfId="883" totalsRowDxfId="882"/>
    <tableColumn id="4" name="Program Number" totalsRowLabel="N/A" dataDxfId="881" totalsRowDxfId="880"/>
    <tableColumn id="5" name="Program_x000a_Costs" totalsRowFunction="sum" dataDxfId="879" totalsRowDxfId="878"/>
    <tableColumn id="6" name="Less: Net Payments and Offsets 9" totalsRowFunction="sum" dataDxfId="877" totalsRowDxfId="876"/>
    <tableColumn id="7" name="Comment" totalsRowLabel=" N/A " dataDxfId="875" totalsRowDxfId="874"/>
    <tableColumn id="8" name="Accounts Payable_x000a_Balance" totalsRowLabel="$0" dataDxfId="873" totalsRowDxfId="872" dataCellStyle="Currency"/>
    <tableColumn id="9" name="Established_x000a_Accounts Receivable" totalsRowFunction="sum" dataDxfId="871" totalsRowDxfId="870"/>
    <tableColumn id="10" name="Less: Recovered Amount" totalsRowFunction="sum" dataDxfId="869" totalsRowDxfId="868"/>
    <tableColumn id="11" name="Accounts Receivable_x000a_Balance" totalsRowFunction="sum" dataDxfId="867" totalsRowDxfId="866"/>
    <tableColumn id="12" name="Net_x000a_Balance" totalsRowFunction="sum" dataDxfId="865" totalsRowDxfId="864"/>
    <tableColumn id="13" name="Comment2" totalsRowLabel=" N/A " dataDxfId="863" totalsRowDxfId="86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Community College Districts."/>
    </ext>
  </extLst>
</table>
</file>

<file path=xl/tables/table101.xml><?xml version="1.0" encoding="utf-8"?>
<table xmlns="http://schemas.openxmlformats.org/spreadsheetml/2006/main" id="102" name="college199900" displayName="college199900" ref="A137:M139" totalsRowCount="1" headerRowDxfId="861" dataDxfId="859" totalsRowDxfId="857" headerRowBorderDxfId="860" tableBorderDxfId="858" headerRowCellStyle="Currency">
  <autoFilter ref="A137:M138"/>
  <tableColumns count="13">
    <tableColumn id="1" name="Fiscal_x000a_Year" totalsRowLabel="1999-00 Total" dataDxfId="856" totalsRowDxfId="855"/>
    <tableColumn id="2" name="Program_x000a_Name" totalsRowLabel="N/A" dataDxfId="854" totalsRowDxfId="853"/>
    <tableColumn id="3" name="Legal_x000a_Reference_x000a_(Ch./Year)" totalsRowLabel="N/A" dataDxfId="852" totalsRowDxfId="851"/>
    <tableColumn id="4" name="Program Number" totalsRowLabel="N/A" dataDxfId="850" totalsRowDxfId="849"/>
    <tableColumn id="5" name="Program_x000a_Costs" totalsRowFunction="sum" dataDxfId="848" totalsRowDxfId="847"/>
    <tableColumn id="6" name="Less: Net Payments and Offsets 9" totalsRowFunction="sum" dataDxfId="846" totalsRowDxfId="845"/>
    <tableColumn id="7" name="Comment" totalsRowLabel=" N/A " dataDxfId="844" totalsRowDxfId="843"/>
    <tableColumn id="8" name="Accounts Payable_x000a_Balance" totalsRowLabel="$0" dataDxfId="842" totalsRowDxfId="841" dataCellStyle="Currency"/>
    <tableColumn id="9" name="Established_x000a_Accounts Receivable" totalsRowFunction="sum" dataDxfId="840" totalsRowDxfId="839"/>
    <tableColumn id="10" name="Less: Recovered Amount" totalsRowFunction="sum" dataDxfId="838" totalsRowDxfId="837"/>
    <tableColumn id="11" name="Accounts Receivable_x000a_Balance" totalsRowFunction="sum" dataDxfId="836" totalsRowDxfId="835"/>
    <tableColumn id="12" name="Net_x000a_Balance" totalsRowFunction="sum" dataDxfId="834" totalsRowDxfId="833"/>
    <tableColumn id="13" name="Comment2" totalsRowLabel=" N/A " dataDxfId="832" totalsRowDxfId="83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Community College Districts."/>
    </ext>
  </extLst>
</table>
</file>

<file path=xl/tables/table102.xml><?xml version="1.0" encoding="utf-8"?>
<table xmlns="http://schemas.openxmlformats.org/spreadsheetml/2006/main" id="103" name="college199899" displayName="college199899" ref="A141:M143" totalsRowCount="1" headerRowDxfId="830" dataDxfId="828" headerRowBorderDxfId="829" tableBorderDxfId="827" headerRowCellStyle="Currency">
  <autoFilter ref="A141:M142"/>
  <tableColumns count="13">
    <tableColumn id="1" name="Fiscal_x000a_Year" totalsRowLabel="1998-99 Total" dataDxfId="826" totalsRowDxfId="825"/>
    <tableColumn id="2" name="Program_x000a_Name" totalsRowLabel="N/A" dataDxfId="824" totalsRowDxfId="823"/>
    <tableColumn id="3" name="Legal_x000a_Reference_x000a_(Ch./Year)" totalsRowLabel="N/A" dataDxfId="822" totalsRowDxfId="821"/>
    <tableColumn id="4" name="Program Number" totalsRowLabel="N/A" dataDxfId="820" totalsRowDxfId="819"/>
    <tableColumn id="5" name="Program_x000a_Costs" totalsRowFunction="sum" dataDxfId="818" totalsRowDxfId="817"/>
    <tableColumn id="6" name="Less: Net Payments and Offsets 9" totalsRowFunction="sum" dataDxfId="816" totalsRowDxfId="815"/>
    <tableColumn id="7" name="Comment" totalsRowLabel=" N/A " dataDxfId="814" totalsRowDxfId="813"/>
    <tableColumn id="8" name="Accounts Payable_x000a_Balance" totalsRowLabel="$0" dataDxfId="812" totalsRowDxfId="811" dataCellStyle="Currency"/>
    <tableColumn id="9" name="Established_x000a_Accounts Receivable" totalsRowFunction="sum" dataDxfId="810" totalsRowDxfId="809"/>
    <tableColumn id="10" name="Less: Recovered Amount" totalsRowFunction="sum" dataDxfId="808" totalsRowDxfId="807"/>
    <tableColumn id="11" name="Accounts Receivable_x000a_Balance" totalsRowFunction="sum" dataDxfId="806" totalsRowDxfId="805"/>
    <tableColumn id="12" name="Net_x000a_Balance" totalsRowFunction="sum" dataDxfId="804" totalsRowDxfId="803"/>
    <tableColumn id="13" name="Comment2" totalsRowLabel=" N/A " dataDxfId="802" totalsRowDxfId="80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Community College Districts."/>
    </ext>
  </extLst>
</table>
</file>

<file path=xl/tables/table103.xml><?xml version="1.0" encoding="utf-8"?>
<table xmlns="http://schemas.openxmlformats.org/spreadsheetml/2006/main" id="104" name="collegegrandtotal" displayName="collegegrandtotal" ref="A145:M162" totalsRowCount="1" headerRowDxfId="800" dataDxfId="798" headerRowBorderDxfId="799" tableBorderDxfId="797" headerRowCellStyle="Currency">
  <autoFilter ref="A145:M161"/>
  <tableColumns count="13">
    <tableColumn id="1" name="Fiscal_x000a_Year" totalsRowLabel="Total Community College Districts" totalsRowDxfId="25"/>
    <tableColumn id="2" name="Program_x000a_Name" totalsRowLabel="N/A" dataDxfId="796" totalsRowDxfId="24"/>
    <tableColumn id="3" name="Legal_x000a_Reference_x000a_(Ch./Year)" totalsRowLabel="N/A" dataDxfId="795" totalsRowDxfId="23"/>
    <tableColumn id="4" name="Program Number" totalsRowLabel="N/A" dataDxfId="794" totalsRowDxfId="22"/>
    <tableColumn id="5" name="Program_x000a_Costs" totalsRowFunction="sum" dataDxfId="793" totalsRowDxfId="21">
      <calculatedColumnFormula>college201415[[#Totals],[Program
Costs]]</calculatedColumnFormula>
    </tableColumn>
    <tableColumn id="6" name="Less: Net Payments and Offsets 9" totalsRowFunction="sum" dataDxfId="792" totalsRowDxfId="20"/>
    <tableColumn id="7" name="Comment" totalsRowLabel=" N/A " dataDxfId="791" totalsRowDxfId="19"/>
    <tableColumn id="8" name="Accounts Payable_x000a_Balance" totalsRowFunction="sum" dataDxfId="790" totalsRowDxfId="18"/>
    <tableColumn id="9" name="Established_x000a_Accounts Receivable" totalsRowFunction="sum" dataDxfId="789" totalsRowDxfId="17"/>
    <tableColumn id="10" name="Less: Recovered Amount" totalsRowFunction="sum" dataDxfId="788" totalsRowDxfId="16"/>
    <tableColumn id="11" name="Accounts Receivable_x000a_Balance" totalsRowFunction="sum" dataDxfId="787" totalsRowDxfId="15"/>
    <tableColumn id="12" name="Net_x000a_Balance" totalsRowFunction="sum" dataDxfId="786" totalsRowDxfId="14"/>
    <tableColumn id="13" name="Comment2" totalsRowLabel="9" dataDxfId="785" totalsRowDxfId="13" dataCellStyle="Hyperlink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Community College Districts Grand Totals."/>
    </ext>
  </extLst>
</table>
</file>

<file path=xl/tables/table104.xml><?xml version="1.0" encoding="utf-8"?>
<table xmlns="http://schemas.openxmlformats.org/spreadsheetml/2006/main" id="105" name="totalfunded" displayName="totalfunded" ref="A164:M168" totalsRowCount="1" headerRowDxfId="784" headerRowBorderDxfId="783" tableBorderDxfId="782" headerRowCellStyle="Currency">
  <autoFilter ref="A164:M167"/>
  <tableColumns count="13">
    <tableColumn id="1" name="Program _x000a_Category" totalsRowLabel="Total Funded Mandates" totalsRowDxfId="781"/>
    <tableColumn id="2" name="Program_x000a_Name" totalsRowLabel="N/A" dataDxfId="780" totalsRowDxfId="779"/>
    <tableColumn id="3" name="Legal_x000a_Reference_x000a_(Ch./Year)" totalsRowLabel="N/A" dataDxfId="778" totalsRowDxfId="777"/>
    <tableColumn id="4" name="Program Number" totalsRowLabel="N/A" dataDxfId="776" totalsRowDxfId="775"/>
    <tableColumn id="5" name="Program_x000a_Costs" totalsRowFunction="sum" totalsRowDxfId="774"/>
    <tableColumn id="6" name="Less: Net Payments and Offsets 9" totalsRowFunction="sum" totalsRowDxfId="773"/>
    <tableColumn id="7" name="Comment" totalsRowLabel=" N/A " dataDxfId="772" totalsRowDxfId="771"/>
    <tableColumn id="8" name="Accounts Payable_x000a_Balance" totalsRowFunction="sum" totalsRowDxfId="770"/>
    <tableColumn id="9" name="Established_x000a_Accounts Receivable" totalsRowFunction="sum" totalsRowDxfId="769"/>
    <tableColumn id="10" name="Less: Recovered Amount" totalsRowFunction="sum" totalsRowDxfId="768"/>
    <tableColumn id="11" name="Accounts Receivable_x000a_Balance" totalsRowFunction="sum" totalsRowDxfId="767"/>
    <tableColumn id="12" name="Net_x000a_Balance" totalsRowFunction="sum" totalsRowDxfId="766"/>
    <tableColumn id="13" name="Comment2" totalsRowLabel=" N/A " dataDxfId="765" totalsRowDxfId="76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Total Funded Mandates."/>
    </ext>
  </extLst>
</table>
</file>

<file path=xl/tables/table105.xml><?xml version="1.0" encoding="utf-8"?>
<table xmlns="http://schemas.openxmlformats.org/spreadsheetml/2006/main" id="106" name="local288" displayName="local288" ref="A2:K5" totalsRowCount="1" headerRowDxfId="763" dataDxfId="761" headerRowBorderDxfId="762" headerRowCellStyle="Currency">
  <autoFilter ref="A2:K4"/>
  <tableColumns count="11">
    <tableColumn id="1" name="Program_x000a_Name" totalsRowLabel="California Fire Incident Reporting System (CFIRS) Total" dataDxfId="760" totalsRowDxfId="759"/>
    <tableColumn id="2" name="Legal_x000a_Reference_x000a_(Ch./Year)" totalsRowLabel="N/A" dataDxfId="758" totalsRowDxfId="757"/>
    <tableColumn id="3" name="Program Number" totalsRowLabel="N/A" dataDxfId="756" totalsRowDxfId="755"/>
    <tableColumn id="4" name="Fiscal_x000a_Year" totalsRowLabel="N/A" dataDxfId="754" totalsRowDxfId="753"/>
    <tableColumn id="5" name="Program_x000a_Costs" totalsRowFunction="sum" dataDxfId="752" totalsRowDxfId="751"/>
    <tableColumn id="6" name="Less: Net Payments and Offsets" totalsRowLabel="$0" dataDxfId="750" totalsRowDxfId="749" dataCellStyle="Currency"/>
    <tableColumn id="7" name="Accounts Payable_x000a_Balance" totalsRowFunction="sum" dataDxfId="748" totalsRowDxfId="747"/>
    <tableColumn id="8" name="Established_x000a_Accounts Receivable" totalsRowLabel="$0" dataDxfId="746" totalsRowDxfId="745" dataCellStyle="Currency"/>
    <tableColumn id="9" name="Less: Recovered Amount" totalsRowLabel="$0" dataDxfId="744" totalsRowDxfId="743" dataCellStyle="Currency"/>
    <tableColumn id="10" name="Accounts Receivable_x000a_Balance" totalsRowLabel="$0" dataDxfId="742" totalsRowDxfId="741" dataCellStyle="Currency"/>
    <tableColumn id="11" name="Net_x000a_Balance" totalsRowFunction="sum" dataDxfId="740" totalsRowDxfId="73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2: Detail of UnFunded State-Mandated Programs. As of April 1, 2020. Local Agencies."/>
    </ext>
  </extLst>
</table>
</file>

<file path=xl/tables/table106.xml><?xml version="1.0" encoding="utf-8"?>
<table xmlns="http://schemas.openxmlformats.org/spreadsheetml/2006/main" id="107" name="local310" displayName="local310" ref="A7:K19" totalsRowCount="1" headerRowDxfId="738" dataDxfId="736" headerRowBorderDxfId="737" tableBorderDxfId="735" headerRowCellStyle="Currency">
  <autoFilter ref="A7:K18"/>
  <tableColumns count="11">
    <tableColumn id="1" name="Program_x000a_Name" totalsRowLabel="Crime Statistics Reports for the Department of Justice Total" dataDxfId="734" totalsRowDxfId="733"/>
    <tableColumn id="2" name="Legal_x000a_Reference_x000a_(Ch./Year)" totalsRowLabel="N/A" dataDxfId="732" totalsRowDxfId="731"/>
    <tableColumn id="3" name="Program Number" totalsRowLabel="N/A" dataDxfId="730" totalsRowDxfId="729"/>
    <tableColumn id="4" name="Fiscal_x000a_Year" totalsRowLabel="N/A" dataDxfId="728" totalsRowDxfId="727"/>
    <tableColumn id="5" name="Program_x000a_Costs" totalsRowFunction="sum" dataDxfId="726" totalsRowDxfId="725"/>
    <tableColumn id="6" name="Less: Net Payments and Offsets" totalsRowLabel="$0" dataDxfId="724" totalsRowDxfId="723" dataCellStyle="Currency"/>
    <tableColumn id="7" name="Accounts Payable_x000a_Balance" totalsRowFunction="sum" dataDxfId="722" totalsRowDxfId="721"/>
    <tableColumn id="8" name="Established_x000a_Accounts Receivable" totalsRowLabel="$0" dataDxfId="720" totalsRowDxfId="719" dataCellStyle="Currency"/>
    <tableColumn id="9" name="Less: Recovered Amount" totalsRowLabel="$0" dataDxfId="718" totalsRowDxfId="717" dataCellStyle="Currency"/>
    <tableColumn id="10" name="Accounts Receivable_x000a_Balance" totalsRowLabel="$0" dataDxfId="716" totalsRowDxfId="715" dataCellStyle="Currency"/>
    <tableColumn id="11" name="Net_x000a_Balance" totalsRowFunction="sum" dataDxfId="714" totalsRowDxfId="71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2: Detail of UnFunded State-Mandated Programs. As of April 1, 2020. Local Agencies."/>
    </ext>
  </extLst>
</table>
</file>

<file path=xl/tables/table107.xml><?xml version="1.0" encoding="utf-8"?>
<table xmlns="http://schemas.openxmlformats.org/spreadsheetml/2006/main" id="108" name="local306" displayName="local306" ref="A21:K32" totalsRowCount="1" headerRowDxfId="712" dataDxfId="710" headerRowBorderDxfId="711" tableBorderDxfId="709" headerRowCellStyle="Currency">
  <autoFilter ref="A21:K31"/>
  <tableColumns count="11">
    <tableColumn id="1" name="Program_x000a_Name" totalsRowLabel="Crime Victims' Domestic Violence Incident Reports II Total" dataDxfId="708" totalsRowDxfId="707"/>
    <tableColumn id="2" name="Legal_x000a_Reference_x000a_(Ch./Year)" totalsRowLabel="N/A" dataDxfId="706" totalsRowDxfId="705"/>
    <tableColumn id="3" name="Program Number" totalsRowLabel="N/A" dataDxfId="704" totalsRowDxfId="703"/>
    <tableColumn id="4" name="Fiscal_x000a_Year" totalsRowLabel="N/A" dataDxfId="702" totalsRowDxfId="701"/>
    <tableColumn id="5" name="Program_x000a_Costs" totalsRowFunction="sum" dataDxfId="700" totalsRowDxfId="699"/>
    <tableColumn id="6" name="Less: Net Payments and Offsets" totalsRowLabel="$0" dataDxfId="698" totalsRowDxfId="697" dataCellStyle="Currency"/>
    <tableColumn id="7" name="Accounts Payable_x000a_Balance" totalsRowFunction="sum" dataDxfId="696" totalsRowDxfId="695"/>
    <tableColumn id="8" name="Established_x000a_Accounts Receivable" totalsRowLabel="$0" dataDxfId="694" totalsRowDxfId="693" dataCellStyle="Currency"/>
    <tableColumn id="9" name="Less: Recovered Amount" totalsRowLabel="$0" dataDxfId="692" totalsRowDxfId="691" dataCellStyle="Currency"/>
    <tableColumn id="10" name="Accounts Receivable_x000a_Balance" totalsRowLabel="$0" dataDxfId="690" totalsRowDxfId="689" dataCellStyle="Currency"/>
    <tableColumn id="11" name="Net_x000a_Balance" totalsRowFunction="sum" dataDxfId="688" totalsRowDxfId="68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2: Detail of UnFunded State-Mandated Programs. As of April 1, 2020. Local Agencies."/>
    </ext>
  </extLst>
</table>
</file>

<file path=xl/tables/table108.xml><?xml version="1.0" encoding="utf-8"?>
<table xmlns="http://schemas.openxmlformats.org/spreadsheetml/2006/main" id="109" name="local322" displayName="local322" ref="A34:K47" totalsRowCount="1" headerRowDxfId="686" dataDxfId="684" headerRowBorderDxfId="685" tableBorderDxfId="683" headerRowCellStyle="Currency">
  <autoFilter ref="A34:K46"/>
  <tableColumns count="11">
    <tableColumn id="1" name="Program_x000a_Name" totalsRowLabel="Domestic Violence Background Checks Total" dataDxfId="682" totalsRowDxfId="681"/>
    <tableColumn id="2" name="Legal_x000a_Reference_x000a_(Ch./Year)" totalsRowLabel="N/A" dataDxfId="680" totalsRowDxfId="679"/>
    <tableColumn id="3" name="Program Number" totalsRowLabel="N/A" dataDxfId="678" totalsRowDxfId="677"/>
    <tableColumn id="4" name="Fiscal_x000a_Year" totalsRowLabel="N/A" dataDxfId="676" totalsRowDxfId="675"/>
    <tableColumn id="5" name="Program_x000a_Costs" totalsRowFunction="sum" dataDxfId="674" totalsRowDxfId="673"/>
    <tableColumn id="6" name="Less: Net Payments and Offsets" totalsRowLabel="$0" dataDxfId="672" totalsRowDxfId="671" dataCellStyle="Currency"/>
    <tableColumn id="7" name="Accounts Payable_x000a_Balance" totalsRowFunction="sum" dataDxfId="670" totalsRowDxfId="669"/>
    <tableColumn id="8" name="Established_x000a_Accounts Receivable" totalsRowLabel="$0" dataDxfId="668" totalsRowDxfId="667" dataCellStyle="Currency"/>
    <tableColumn id="9" name="Less: Recovered Amount" totalsRowLabel="$0" dataDxfId="666" totalsRowDxfId="665" dataCellStyle="Currency"/>
    <tableColumn id="10" name="Accounts Receivable_x000a_Balance" totalsRowLabel="$0" dataDxfId="664" totalsRowDxfId="663" dataCellStyle="Currency"/>
    <tableColumn id="11" name="Net_x000a_Balance" totalsRowFunction="sum" dataDxfId="662" totalsRowDxfId="66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2: Detail of UnFunded State-Mandated Programs. As of April 1, 2020. Local Agencies."/>
    </ext>
  </extLst>
</table>
</file>

<file path=xl/tables/table109.xml><?xml version="1.0" encoding="utf-8"?>
<table xmlns="http://schemas.openxmlformats.org/spreadsheetml/2006/main" id="110" name="local293" displayName="local293" ref="A49:K60" totalsRowCount="1" headerRowDxfId="660" dataDxfId="658" headerRowBorderDxfId="659" tableBorderDxfId="657" headerRowCellStyle="Currency">
  <autoFilter ref="A49:K59"/>
  <tableColumns count="11">
    <tableColumn id="1" name="Program_x000a_Name" totalsRowLabel="Firearm Hearings for Discharged Inpatients Total" dataDxfId="656" totalsRowDxfId="655"/>
    <tableColumn id="2" name="Legal_x000a_Reference_x000a_(Ch./Year)" totalsRowLabel="N/A" dataDxfId="654" totalsRowDxfId="653"/>
    <tableColumn id="3" name="Program Number" totalsRowLabel="N/A" dataDxfId="652" totalsRowDxfId="651"/>
    <tableColumn id="4" name="Fiscal_x000a_Year" totalsRowLabel="N/A" dataDxfId="650" totalsRowDxfId="649"/>
    <tableColumn id="5" name="Program_x000a_Costs" totalsRowFunction="sum" dataDxfId="648" totalsRowDxfId="647"/>
    <tableColumn id="6" name="Less: Net Payments and Offsets" totalsRowLabel="$0" dataDxfId="646" totalsRowDxfId="645" dataCellStyle="Currency"/>
    <tableColumn id="7" name="Accounts Payable_x000a_Balance" totalsRowFunction="sum" dataDxfId="644" totalsRowDxfId="643"/>
    <tableColumn id="8" name="Established_x000a_Accounts Receivable" totalsRowLabel="$0" dataDxfId="642" totalsRowDxfId="641" dataCellStyle="Currency"/>
    <tableColumn id="9" name="Less: Recovered Amount" totalsRowLabel="$0" dataDxfId="640" totalsRowDxfId="639" dataCellStyle="Currency"/>
    <tableColumn id="10" name="Accounts Receivable_x000a_Balance" totalsRowLabel="$0" dataDxfId="638" totalsRowDxfId="637" dataCellStyle="Currency"/>
    <tableColumn id="11" name="Net_x000a_Balance" totalsRowFunction="sum" dataDxfId="636" totalsRowDxfId="63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2: Detail of UnFunded State-Mandated Programs. As of April 1, 2020. Local Agencies."/>
    </ext>
  </extLst>
</table>
</file>

<file path=xl/tables/table11.xml><?xml version="1.0" encoding="utf-8"?>
<table xmlns="http://schemas.openxmlformats.org/spreadsheetml/2006/main" id="12" name="localmotor19" displayName="localmotor19" ref="A60:I62" totalsRowCount="1" headerRowDxfId="3396" headerRowBorderDxfId="3395" tableBorderDxfId="3394" totalsRowBorderDxfId="3393">
  <autoFilter ref="A60:I61"/>
  <tableColumns count="9">
    <tableColumn id="1" name="Program Category_x000a_and Type of Payment" totalsRowLabel="0044-8885-2019-295-98 Total" dataDxfId="3392" totalsRowDxfId="3391"/>
    <tableColumn id="2" name="Fiscal _x000a_Year" totalsRowLabel="N/A" dataDxfId="3390" totalsRowDxfId="3389"/>
    <tableColumn id="3" name="Appropriation _x000a_Number" totalsRowLabel="N/A" dataDxfId="3388" totalsRowDxfId="3387"/>
    <tableColumn id="4" name="Program _x000a_Name" totalsRowLabel="N/A" dataDxfId="3386" totalsRowDxfId="3385"/>
    <tableColumn id="5" name="Legal _x000a_Reference_x000a_(Ch./Year)" totalsRowLabel="N/A" dataDxfId="3384" totalsRowDxfId="3383"/>
    <tableColumn id="6" name="Program_x000a_ Number" totalsRowLabel="N/A" dataDxfId="3382" totalsRowDxfId="3381"/>
    <tableColumn id="7" name="Program _x000a_Payments and Offsets" totalsRowFunction="sum" dataDxfId="3380" totalsRowDxfId="3379" dataCellStyle="Currency"/>
    <tableColumn id="8" name="Interest_x000a_Payments and Offsets" totalsRowLabel="$0 " dataDxfId="3378" totalsRowDxfId="3377" dataCellStyle="Currency"/>
    <tableColumn id="9" name="Total _x000a_Payments" totalsRowFunction="sum" dataDxfId="3376" totalsRowDxfId="3375" dataCellStyle="Currency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A1: Detail of State-Mandated Program Payments by Fiscal Year. As of April 1, 2020. Local Agencies-Motor Vehicle."/>
    </ext>
  </extLst>
</table>
</file>

<file path=xl/tables/table110.xml><?xml version="1.0" encoding="utf-8"?>
<table xmlns="http://schemas.openxmlformats.org/spreadsheetml/2006/main" id="111" name="local321" displayName="local321" ref="A62:K74" totalsRowCount="1" headerRowDxfId="634" dataDxfId="632" headerRowBorderDxfId="633" tableBorderDxfId="631" headerRowCellStyle="Currency">
  <autoFilter ref="A62:K73"/>
  <tableColumns count="11">
    <tableColumn id="1" name="Program_x000a_Name" totalsRowLabel="Identity Theft Total" dataDxfId="630" totalsRowDxfId="629"/>
    <tableColumn id="2" name="Legal_x000a_Reference_x000a_(Ch./Year)" totalsRowLabel="N/A" dataDxfId="628" totalsRowDxfId="627"/>
    <tableColumn id="3" name="Program Number" totalsRowLabel="N/A" dataDxfId="626" totalsRowDxfId="625"/>
    <tableColumn id="4" name="Fiscal_x000a_Year" totalsRowLabel="N/A" dataDxfId="624" totalsRowDxfId="623"/>
    <tableColumn id="5" name="Program_x000a_Costs" totalsRowFunction="sum" dataDxfId="622" totalsRowDxfId="621"/>
    <tableColumn id="6" name="Less: Net Payments and Offsets" totalsRowLabel="$0" dataDxfId="620" totalsRowDxfId="619" dataCellStyle="Currency"/>
    <tableColumn id="7" name="Accounts Payable_x000a_Balance" totalsRowFunction="sum" dataDxfId="618" totalsRowDxfId="617"/>
    <tableColumn id="8" name="Established_x000a_Accounts Receivable" totalsRowLabel="$0" dataDxfId="616" totalsRowDxfId="615" dataCellStyle="Currency"/>
    <tableColumn id="9" name="Less: Recovered Amount" totalsRowLabel="$0" dataDxfId="614" totalsRowDxfId="613" dataCellStyle="Currency"/>
    <tableColumn id="10" name="Accounts Receivable_x000a_Balance" totalsRowLabel="$0" dataDxfId="612" totalsRowDxfId="611" dataCellStyle="Currency"/>
    <tableColumn id="11" name="Net_x000a_Balance" totalsRowFunction="sum" dataDxfId="610" totalsRowDxfId="60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2: Detail of UnFunded State-Mandated Programs. As of April 1, 2020. Local Agencies."/>
    </ext>
  </extLst>
</table>
</file>

<file path=xl/tables/table111.xml><?xml version="1.0" encoding="utf-8"?>
<table xmlns="http://schemas.openxmlformats.org/spreadsheetml/2006/main" id="112" name="local358" displayName="local358" ref="A76:K93" totalsRowCount="1" headerRowDxfId="608" dataDxfId="606" headerRowBorderDxfId="607" tableBorderDxfId="605" headerRowCellStyle="Currency">
  <autoFilter ref="A76:K92"/>
  <tableColumns count="11">
    <tableColumn id="1" name="Program_x000a_Name" totalsRowLabel="Interagency Child Abuse and Neglect Investigation Reports Total" dataDxfId="604" totalsRowDxfId="603"/>
    <tableColumn id="2" name="Legal_x000a_Reference_x000a_(Ch./Year)" totalsRowLabel="N/A" dataDxfId="602" totalsRowDxfId="601"/>
    <tableColumn id="3" name="Program Number" totalsRowLabel="N/A" dataDxfId="600" totalsRowDxfId="599"/>
    <tableColumn id="4" name="Fiscal_x000a_Year" totalsRowLabel="N/A" dataDxfId="598" totalsRowDxfId="597"/>
    <tableColumn id="5" name="Program_x000a_Costs" totalsRowFunction="sum" dataDxfId="596" totalsRowDxfId="595"/>
    <tableColumn id="6" name="Less: Net Payments and Offsets" totalsRowLabel="$0" dataDxfId="594" totalsRowDxfId="593" dataCellStyle="Currency"/>
    <tableColumn id="7" name="Accounts Payable_x000a_Balance" totalsRowFunction="sum" dataDxfId="592" totalsRowDxfId="591"/>
    <tableColumn id="8" name="Established_x000a_Accounts Receivable" totalsRowLabel="$0" dataDxfId="590" totalsRowDxfId="589" dataCellStyle="Currency"/>
    <tableColumn id="9" name="Less: Recovered Amount" totalsRowLabel="$0" dataDxfId="588" totalsRowDxfId="587" dataCellStyle="Currency"/>
    <tableColumn id="10" name="Accounts Receivable_x000a_Balance" totalsRowLabel="$0" dataDxfId="586" totalsRowDxfId="585" dataCellStyle="Currency"/>
    <tableColumn id="11" name="Net_x000a_Balance" totalsRowFunction="sum" dataDxfId="584" totalsRowDxfId="58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2: Detail of UnFunded State-Mandated Programs. As of April 1, 2020. Local Agencies."/>
    </ext>
  </extLst>
</table>
</file>

<file path=xl/tables/table112.xml><?xml version="1.0" encoding="utf-8"?>
<table xmlns="http://schemas.openxmlformats.org/spreadsheetml/2006/main" id="113" name="local371" displayName="local371" ref="A95:K100" totalsRowCount="1" headerRowDxfId="582" dataDxfId="580" headerRowBorderDxfId="581" tableBorderDxfId="579" headerRowCellStyle="Currency">
  <autoFilter ref="A95:K99"/>
  <tableColumns count="11">
    <tableColumn id="1" name="Program_x000a_Name" totalsRowLabel="Local Agency Employee Organizations: Impasse Procedures II Total" dataDxfId="578" totalsRowDxfId="577"/>
    <tableColumn id="2" name="Legal_x000a_Reference_x000a_(Ch./Year)" totalsRowLabel="N/A" dataDxfId="576" totalsRowDxfId="575"/>
    <tableColumn id="3" name="Program Number" totalsRowLabel="N/A" dataDxfId="574" totalsRowDxfId="573"/>
    <tableColumn id="4" name="Fiscal_x000a_Year" totalsRowLabel="N/A" dataDxfId="572" totalsRowDxfId="571"/>
    <tableColumn id="5" name="Program_x000a_Costs" totalsRowFunction="sum" dataDxfId="570" totalsRowDxfId="569"/>
    <tableColumn id="6" name="Less: Net Payments and Offsets" totalsRowLabel="$0" dataDxfId="568" totalsRowDxfId="567" dataCellStyle="Currency"/>
    <tableColumn id="7" name="Accounts Payable_x000a_Balance" totalsRowFunction="sum" dataDxfId="566" totalsRowDxfId="565"/>
    <tableColumn id="8" name="Established_x000a_Accounts Receivable" totalsRowLabel="$0" dataDxfId="564" totalsRowDxfId="563" dataCellStyle="Currency"/>
    <tableColumn id="9" name="Less: Recovered Amount" totalsRowLabel="$0" dataDxfId="562" totalsRowDxfId="561" dataCellStyle="Currency"/>
    <tableColumn id="10" name="Accounts Receivable_x000a_Balance" totalsRowLabel="$0" dataDxfId="560" totalsRowDxfId="559" dataCellStyle="Currency"/>
    <tableColumn id="11" name="Net_x000a_Balance" totalsRowFunction="sum" dataDxfId="558" totalsRowDxfId="55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2: Detail of UnFunded State-Mandated Programs. As of April 1, 2020. Local Agencies."/>
    </ext>
  </extLst>
</table>
</file>

<file path=xl/tables/table113.xml><?xml version="1.0" encoding="utf-8"?>
<table xmlns="http://schemas.openxmlformats.org/spreadsheetml/2006/main" id="114" name="local259" displayName="local259" ref="A102:K105" totalsRowCount="1" headerRowDxfId="556" dataDxfId="554" headerRowBorderDxfId="555" tableBorderDxfId="553" headerRowCellStyle="Currency">
  <autoFilter ref="A102:K104"/>
  <tableColumns count="11">
    <tableColumn id="1" name="Program_x000a_Name" totalsRowLabel="Local Elections: Consolidation Total" dataDxfId="552" totalsRowDxfId="551"/>
    <tableColumn id="2" name="Legal_x000a_Reference_x000a_(Ch./Year)" totalsRowLabel="N/A" dataDxfId="550" totalsRowDxfId="549"/>
    <tableColumn id="3" name="Program Number" totalsRowLabel="N/A" dataDxfId="548" totalsRowDxfId="547"/>
    <tableColumn id="4" name="Fiscal_x000a_Year" totalsRowLabel="N/A" dataDxfId="546" totalsRowDxfId="545"/>
    <tableColumn id="5" name="Program_x000a_Costs" totalsRowFunction="sum" dataDxfId="544" totalsRowDxfId="543"/>
    <tableColumn id="6" name="Less: Net Payments and Offsets" totalsRowLabel="$0" dataDxfId="542" totalsRowDxfId="541" dataCellStyle="Currency"/>
    <tableColumn id="7" name="Accounts Payable_x000a_Balance" totalsRowFunction="sum" dataDxfId="540" totalsRowDxfId="539"/>
    <tableColumn id="8" name="Established_x000a_Accounts Receivable" totalsRowLabel="$0" dataDxfId="538" totalsRowDxfId="537" dataCellStyle="Currency"/>
    <tableColumn id="9" name="Less: Recovered Amount" totalsRowLabel="$0" dataDxfId="536" totalsRowDxfId="535" dataCellStyle="Currency"/>
    <tableColumn id="10" name="Accounts Receivable_x000a_Balance" totalsRowLabel="$0" dataDxfId="534" totalsRowDxfId="533" dataCellStyle="Currency"/>
    <tableColumn id="11" name="Net_x000a_Balance" totalsRowFunction="sum" dataDxfId="532" totalsRowDxfId="53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2: Detail of UnFunded State-Mandated Programs. As of April 1, 2020. Local Agencies."/>
    </ext>
  </extLst>
</table>
</file>

<file path=xl/tables/table114.xml><?xml version="1.0" encoding="utf-8"?>
<table xmlns="http://schemas.openxmlformats.org/spreadsheetml/2006/main" id="115" name="local298" displayName="local298" ref="A107:K126" totalsRowCount="1" headerRowDxfId="530" dataDxfId="528" headerRowBorderDxfId="529" tableBorderDxfId="527" headerRowCellStyle="Currency">
  <autoFilter ref="A107:K125"/>
  <tableColumns count="11">
    <tableColumn id="1" name="Program_x000a_Name" totalsRowLabel="Local Government Employee Relations Total" dataDxfId="526" totalsRowDxfId="525"/>
    <tableColumn id="2" name="Legal_x000a_Reference_x000a_(Ch./Year)" totalsRowLabel="N/A" dataDxfId="524" totalsRowDxfId="523"/>
    <tableColumn id="3" name="Program Number" totalsRowLabel="N/A" dataDxfId="522" totalsRowDxfId="521"/>
    <tableColumn id="4" name="Fiscal_x000a_Year" totalsRowLabel="N/A" dataDxfId="520" totalsRowDxfId="519"/>
    <tableColumn id="5" name="Program_x000a_Costs" totalsRowFunction="sum" dataDxfId="518" totalsRowDxfId="517"/>
    <tableColumn id="6" name="Less: Net Payments and Offsets" totalsRowLabel="$0" dataDxfId="516" totalsRowDxfId="515" dataCellStyle="Currency"/>
    <tableColumn id="7" name="Accounts Payable_x000a_Balance" totalsRowFunction="sum" dataDxfId="514" totalsRowDxfId="513"/>
    <tableColumn id="8" name="Established_x000a_Accounts Receivable" totalsRowLabel="$0" dataDxfId="512" totalsRowDxfId="511" dataCellStyle="Currency"/>
    <tableColumn id="9" name="Less: Recovered Amount" totalsRowLabel="$0" dataDxfId="510" totalsRowDxfId="509" dataCellStyle="Currency"/>
    <tableColumn id="10" name="Accounts Receivable_x000a_Balance" totalsRowLabel="$0" dataDxfId="508" totalsRowDxfId="507" dataCellStyle="Currency"/>
    <tableColumn id="11" name="Net_x000a_Balance" totalsRowFunction="sum" dataDxfId="506" totalsRowDxfId="50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2: Detail of UnFunded State-Mandated Programs. As of April 1, 2020. Local Agencies."/>
    </ext>
  </extLst>
</table>
</file>

<file path=xl/tables/table115.xml><?xml version="1.0" encoding="utf-8"?>
<table xmlns="http://schemas.openxmlformats.org/spreadsheetml/2006/main" id="116" name="local281" displayName="local281" ref="A128:K139" totalsRowCount="1" headerRowDxfId="504" dataDxfId="502" headerRowBorderDxfId="503" tableBorderDxfId="501" headerRowCellStyle="Currency">
  <autoFilter ref="A128:K138"/>
  <tableColumns count="11">
    <tableColumn id="1" name="Program_x000a_Name" totalsRowLabel="Mentally Disordered Offenders: Treatment as a Condition of Parole Total" dataDxfId="500" totalsRowDxfId="499"/>
    <tableColumn id="2" name="Legal_x000a_Reference_x000a_(Ch./Year)" totalsRowLabel="N/A" dataDxfId="498" totalsRowDxfId="497"/>
    <tableColumn id="3" name="Program Number" totalsRowLabel="N/A" dataDxfId="496" totalsRowDxfId="495"/>
    <tableColumn id="4" name="Fiscal_x000a_Year" totalsRowLabel="N/A" dataDxfId="494" totalsRowDxfId="493"/>
    <tableColumn id="5" name="Program_x000a_Costs" totalsRowFunction="sum" dataDxfId="492" totalsRowDxfId="491"/>
    <tableColumn id="6" name="Less: Net Payments and Offsets" totalsRowLabel="$0" dataDxfId="490" totalsRowDxfId="489" dataCellStyle="Currency"/>
    <tableColumn id="7" name="Accounts Payable_x000a_Balance" totalsRowFunction="sum" dataDxfId="488" totalsRowDxfId="487"/>
    <tableColumn id="8" name="Established_x000a_Accounts Receivable" totalsRowLabel="$0" dataDxfId="486" totalsRowDxfId="485" dataCellStyle="Currency"/>
    <tableColumn id="9" name="Less: Recovered Amount" totalsRowLabel="$0" dataDxfId="484" totalsRowDxfId="483" dataCellStyle="Currency"/>
    <tableColumn id="10" name="Accounts Receivable_x000a_Balance" totalsRowLabel="$0" dataDxfId="482" totalsRowDxfId="481" dataCellStyle="Currency"/>
    <tableColumn id="11" name="Net_x000a_Balance" totalsRowFunction="sum" dataDxfId="480" totalsRowDxfId="47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2: Detail of UnFunded State-Mandated Programs. As of April 1, 2020. Local Agencies."/>
    </ext>
  </extLst>
</table>
</file>

<file path=xl/tables/table116.xml><?xml version="1.0" encoding="utf-8"?>
<table xmlns="http://schemas.openxmlformats.org/spreadsheetml/2006/main" id="117" name="local323" displayName="local323" ref="A141:K149" totalsRowCount="1" headerRowDxfId="478" dataDxfId="476" headerRowBorderDxfId="477" tableBorderDxfId="475" headerRowCellStyle="Currency">
  <autoFilter ref="A141:K148"/>
  <tableColumns count="11">
    <tableColumn id="1" name="Program_x000a_Name" totalsRowLabel="Modified Primary Election Total" dataDxfId="474" totalsRowDxfId="473"/>
    <tableColumn id="2" name="Legal_x000a_Reference_x000a_(Ch./Year)" totalsRowLabel="N/A" dataDxfId="472" totalsRowDxfId="471"/>
    <tableColumn id="3" name="Program Number" totalsRowLabel="N/A" dataDxfId="470" totalsRowDxfId="469"/>
    <tableColumn id="4" name="Fiscal_x000a_Year" totalsRowLabel="N/A" dataDxfId="468" totalsRowDxfId="467"/>
    <tableColumn id="5" name="Program_x000a_Costs" totalsRowFunction="sum" dataDxfId="466" totalsRowDxfId="465"/>
    <tableColumn id="6" name="Less: Net Payments and Offsets" totalsRowLabel="$0" dataDxfId="464" totalsRowDxfId="463" dataCellStyle="Currency"/>
    <tableColumn id="7" name="Accounts Payable_x000a_Balance" totalsRowFunction="sum" dataDxfId="462" totalsRowDxfId="461"/>
    <tableColumn id="8" name="Established_x000a_Accounts Receivable" totalsRowLabel="$0" dataDxfId="460" totalsRowDxfId="459" dataCellStyle="Currency"/>
    <tableColumn id="9" name="Less: Recovered Amount" totalsRowLabel="$0" dataDxfId="458" totalsRowDxfId="457" dataCellStyle="Currency"/>
    <tableColumn id="10" name="Accounts Receivable_x000a_Balance" totalsRowLabel="$0" dataDxfId="456" totalsRowDxfId="455" dataCellStyle="Currency"/>
    <tableColumn id="11" name="Net_x000a_Balance" totalsRowFunction="sum" dataDxfId="454" totalsRowDxfId="45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2: Detail of UnFunded State-Mandated Programs. As of April 1, 2020. Local Agencies."/>
    </ext>
  </extLst>
</table>
</file>

<file path=xl/tables/table117.xml><?xml version="1.0" encoding="utf-8"?>
<table xmlns="http://schemas.openxmlformats.org/spreadsheetml/2006/main" id="118" name="local314" displayName="local314" ref="A151:K163" totalsRowCount="1" headerRowDxfId="452" dataDxfId="450" headerRowBorderDxfId="451" tableBorderDxfId="449" headerRowCellStyle="Currency">
  <autoFilter ref="A151:K162"/>
  <tableColumns count="11">
    <tableColumn id="1" name="Program_x000a_Name" totalsRowLabel="Municipal Storm Water and Urban Runoff Discharges Total" dataDxfId="448" totalsRowDxfId="447"/>
    <tableColumn id="2" name="Legal_x000a_Reference_x000a_(Ch./Year)" totalsRowLabel="N/A" dataDxfId="446" totalsRowDxfId="445"/>
    <tableColumn id="3" name="Program Number" totalsRowLabel="N/A" dataDxfId="444" totalsRowDxfId="443"/>
    <tableColumn id="4" name="Fiscal_x000a_Year" totalsRowLabel="N/A" dataDxfId="442" totalsRowDxfId="441"/>
    <tableColumn id="5" name="Program_x000a_Costs" totalsRowFunction="sum" dataDxfId="440" totalsRowDxfId="439"/>
    <tableColumn id="6" name="Less: Net Payments and Offsets" totalsRowLabel="$0" dataDxfId="438" totalsRowDxfId="437" dataCellStyle="Currency"/>
    <tableColumn id="7" name="Accounts Payable_x000a_Balance" totalsRowFunction="sum" dataDxfId="436" totalsRowDxfId="435"/>
    <tableColumn id="8" name="Established_x000a_Accounts Receivable" totalsRowLabel="$0" dataDxfId="434" totalsRowDxfId="433" dataCellStyle="Currency"/>
    <tableColumn id="9" name="Less: Recovered Amount" totalsRowLabel="$0" dataDxfId="432" totalsRowDxfId="431" dataCellStyle="Currency"/>
    <tableColumn id="10" name="Accounts Receivable_x000a_Balance" totalsRowLabel="$0" dataDxfId="430" totalsRowDxfId="429" dataCellStyle="Currency"/>
    <tableColumn id="11" name="Net_x000a_Balance" totalsRowFunction="sum" dataDxfId="428" totalsRowDxfId="42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2: Detail of UnFunded State-Mandated Programs. As of April 1, 2020. Local Agencies."/>
    </ext>
  </extLst>
</table>
</file>

<file path=xl/tables/table118.xml><?xml version="1.0" encoding="utf-8"?>
<table xmlns="http://schemas.openxmlformats.org/spreadsheetml/2006/main" id="119" name="local356" displayName="local356" ref="A165:K183" totalsRowCount="1" headerRowDxfId="426" dataDxfId="424" headerRowBorderDxfId="425" tableBorderDxfId="423" headerRowCellStyle="Currency">
  <autoFilter ref="A165:K182"/>
  <tableColumns count="11">
    <tableColumn id="1" name="Program_x000a_Name" totalsRowLabel="Peace Officers Procedural Bill of Rights II Total" dataDxfId="422" totalsRowDxfId="421"/>
    <tableColumn id="2" name="Legal_x000a_Reference_x000a_(Ch./Year)" totalsRowLabel="N/A" dataDxfId="420" totalsRowDxfId="419"/>
    <tableColumn id="3" name="Program Number" totalsRowLabel="N/A" dataDxfId="418" totalsRowDxfId="417"/>
    <tableColumn id="4" name="Fiscal_x000a_Year" totalsRowLabel="N/A" dataDxfId="416" totalsRowDxfId="415"/>
    <tableColumn id="5" name="Program_x000a_Costs" totalsRowFunction="sum" dataDxfId="414" totalsRowDxfId="413"/>
    <tableColumn id="6" name="Less: Net Payments and Offsets" totalsRowLabel="$0" dataDxfId="412" totalsRowDxfId="411" dataCellStyle="Currency"/>
    <tableColumn id="7" name="Accounts Payable_x000a_Balance" totalsRowFunction="sum" dataDxfId="410" totalsRowDxfId="409"/>
    <tableColumn id="8" name="Established_x000a_Accounts Receivable" totalsRowLabel="$0" dataDxfId="408" totalsRowDxfId="407" dataCellStyle="Currency"/>
    <tableColumn id="9" name="Less: Recovered Amount" totalsRowLabel="$0" dataDxfId="406" totalsRowDxfId="405" dataCellStyle="Currency"/>
    <tableColumn id="10" name="Accounts Receivable_x000a_Balance" totalsRowLabel="$0" dataDxfId="404" totalsRowDxfId="403" dataCellStyle="Currency"/>
    <tableColumn id="11" name="Net_x000a_Balance" totalsRowFunction="sum" dataDxfId="402" totalsRowDxfId="40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2: Detail of UnFunded State-Mandated Programs. As of April 1, 2020. Local Agencies."/>
    </ext>
  </extLst>
</table>
</file>

<file path=xl/tables/table119.xml><?xml version="1.0" encoding="utf-8"?>
<table xmlns="http://schemas.openxmlformats.org/spreadsheetml/2006/main" id="120" name="local324" displayName="local324" ref="A185:K197" totalsRowCount="1" headerRowDxfId="400" dataDxfId="398" headerRowBorderDxfId="399" tableBorderDxfId="397" headerRowCellStyle="Currency">
  <autoFilter ref="A185:K196"/>
  <tableColumns count="11">
    <tableColumn id="1" name="Program_x000a_Name" totalsRowLabel="Permanent Absent Voters II Total" dataDxfId="396" totalsRowDxfId="395"/>
    <tableColumn id="2" name="Legal_x000a_Reference_x000a_(Ch./Year)" totalsRowLabel="N/A" dataDxfId="394" totalsRowDxfId="393"/>
    <tableColumn id="3" name="Program Number" totalsRowLabel="N/A" dataDxfId="392" totalsRowDxfId="391"/>
    <tableColumn id="4" name="Fiscal_x000a_Year" totalsRowLabel="N/A" dataDxfId="390" totalsRowDxfId="389"/>
    <tableColumn id="5" name="Program_x000a_Costs" totalsRowFunction="sum" dataDxfId="388" totalsRowDxfId="387"/>
    <tableColumn id="6" name="Less: Net Payments and Offsets" totalsRowLabel="$0" dataDxfId="386" totalsRowDxfId="385" dataCellStyle="Currency"/>
    <tableColumn id="7" name="Accounts Payable_x000a_Balance" totalsRowFunction="sum" dataDxfId="384" totalsRowDxfId="383"/>
    <tableColumn id="8" name="Established_x000a_Accounts Receivable" totalsRowLabel="$0" dataDxfId="382" totalsRowDxfId="381" dataCellStyle="Currency"/>
    <tableColumn id="9" name="Less: Recovered Amount" totalsRowLabel="$0" dataDxfId="380" totalsRowDxfId="379" dataCellStyle="Currency"/>
    <tableColumn id="10" name="Accounts Receivable_x000a_Balance" totalsRowLabel="$0" dataDxfId="378" totalsRowDxfId="377" dataCellStyle="Currency"/>
    <tableColumn id="11" name="Net_x000a_Balance" totalsRowFunction="sum" dataDxfId="376" totalsRowDxfId="37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2: Detail of UnFunded State-Mandated Programs. As of April 1, 2020. Local Agencies."/>
    </ext>
  </extLst>
</table>
</file>

<file path=xl/tables/table12.xml><?xml version="1.0" encoding="utf-8"?>
<table xmlns="http://schemas.openxmlformats.org/spreadsheetml/2006/main" id="13" name="localmotor18" displayName="localmotor18" ref="A64:I66" totalsRowCount="1" headerRowDxfId="3374" headerRowBorderDxfId="3373" tableBorderDxfId="3372" totalsRowBorderDxfId="3371">
  <autoFilter ref="A64:I65"/>
  <tableColumns count="9">
    <tableColumn id="1" name="Program Category_x000a_and Type of Payment" totalsRowLabel="0044-8885-2018-295-98 Total" dataDxfId="3370" totalsRowDxfId="3369"/>
    <tableColumn id="2" name="Fiscal _x000a_Year" totalsRowLabel="N/A" dataDxfId="3368" totalsRowDxfId="3367"/>
    <tableColumn id="3" name="Appropriation _x000a_Number" totalsRowLabel="N/A" dataDxfId="3366" totalsRowDxfId="3365"/>
    <tableColumn id="4" name="Program _x000a_Name" totalsRowLabel="N/A" dataDxfId="3364" totalsRowDxfId="3363"/>
    <tableColumn id="5" name="Legal _x000a_Reference_x000a_(Ch./Year)" totalsRowLabel="N/A" dataDxfId="3362" totalsRowDxfId="3361"/>
    <tableColumn id="6" name="Program_x000a_ Number" totalsRowLabel="N/A" dataDxfId="3360" totalsRowDxfId="3359"/>
    <tableColumn id="7" name="Program _x000a_Payments and Offsets" totalsRowFunction="sum" dataDxfId="3358" totalsRowDxfId="3357"/>
    <tableColumn id="8" name="Interest_x000a_Payments and Offsets" totalsRowLabel="$0 " dataDxfId="3356" totalsRowDxfId="3355" dataCellStyle="Currency"/>
    <tableColumn id="9" name="Total _x000a_Payments" totalsRowFunction="sum" dataDxfId="3354" totalsRowDxfId="3353" dataCellStyle="Currency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A1: Detail of State-Mandated Program Payments by Fiscal Year. As of April 1, 2020. Local Agencies-Annual Claim."/>
    </ext>
  </extLst>
</table>
</file>

<file path=xl/tables/table120.xml><?xml version="1.0" encoding="utf-8"?>
<table xmlns="http://schemas.openxmlformats.org/spreadsheetml/2006/main" id="121" name="local372" displayName="local372" ref="A199:K203" totalsRowCount="1" headerRowDxfId="374" dataDxfId="372" headerRowBorderDxfId="373" tableBorderDxfId="371" headerRowCellStyle="Currency">
  <autoFilter ref="A199:K202"/>
  <tableColumns count="11">
    <tableColumn id="1" name="Program_x000a_Name" totalsRowLabel="U Visa 918 Form, Victims of Crime: Nonimmigrant Status Total" dataDxfId="370" totalsRowDxfId="369"/>
    <tableColumn id="2" name="Legal_x000a_Reference_x000a_(Ch./Year)" totalsRowLabel="N/A" dataDxfId="368" totalsRowDxfId="367"/>
    <tableColumn id="3" name="Program Number" totalsRowLabel="N/A" dataDxfId="366" totalsRowDxfId="365"/>
    <tableColumn id="4" name="Fiscal_x000a_Year" totalsRowLabel="N/A" dataDxfId="364" totalsRowDxfId="363"/>
    <tableColumn id="5" name="Program_x000a_Costs" totalsRowFunction="sum" dataDxfId="362" totalsRowDxfId="361"/>
    <tableColumn id="6" name="Less: Net Payments and Offsets" totalsRowLabel="$0" dataDxfId="360" totalsRowDxfId="359" dataCellStyle="Currency"/>
    <tableColumn id="7" name="Accounts Payable_x000a_Balance" totalsRowFunction="sum" dataDxfId="358" totalsRowDxfId="357"/>
    <tableColumn id="8" name="Established_x000a_Accounts Receivable" totalsRowLabel="$0" dataDxfId="356" totalsRowDxfId="355" dataCellStyle="Currency"/>
    <tableColumn id="9" name="Less: Recovered Amount" totalsRowLabel="$0" dataDxfId="354" totalsRowDxfId="353" dataCellStyle="Currency"/>
    <tableColumn id="10" name="Accounts Receivable_x000a_Balance" totalsRowLabel="$0" dataDxfId="352" totalsRowDxfId="351" dataCellStyle="Currency"/>
    <tableColumn id="11" name="Net_x000a_Balance" totalsRowFunction="sum" dataDxfId="350" totalsRowDxfId="34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2: Detail of UnFunded State-Mandated Programs. As of April 1, 2020. Local Agencies."/>
    </ext>
  </extLst>
</table>
</file>

<file path=xl/tables/table121.xml><?xml version="1.0" encoding="utf-8"?>
<table xmlns="http://schemas.openxmlformats.org/spreadsheetml/2006/main" id="122" name="local331" displayName="local331" ref="A205:K217" totalsRowCount="1" headerRowDxfId="348" dataDxfId="346" headerRowBorderDxfId="347" tableBorderDxfId="345" headerRowCellStyle="Currency">
  <autoFilter ref="A205:K216"/>
  <tableColumns count="11">
    <tableColumn id="1" name="Program_x000a_Name" totalsRowLabel="Voter Identification Procedures Total" dataDxfId="344" totalsRowDxfId="343"/>
    <tableColumn id="2" name="Legal_x000a_Reference_x000a_(Ch./Year)" totalsRowLabel="N/A" dataDxfId="342" totalsRowDxfId="341"/>
    <tableColumn id="3" name="Program Number" totalsRowLabel="N/A" dataDxfId="340" totalsRowDxfId="339"/>
    <tableColumn id="4" name="Fiscal_x000a_Year" totalsRowLabel="N/A" dataDxfId="338" totalsRowDxfId="337"/>
    <tableColumn id="5" name="Program_x000a_Costs" totalsRowFunction="sum" dataDxfId="336" totalsRowDxfId="335"/>
    <tableColumn id="6" name="Less: Net Payments and Offsets" totalsRowLabel="$0" dataDxfId="334" totalsRowDxfId="333" dataCellStyle="Currency"/>
    <tableColumn id="7" name="Accounts Payable_x000a_Balance" totalsRowFunction="sum" dataDxfId="332" totalsRowDxfId="331"/>
    <tableColumn id="8" name="Established_x000a_Accounts Receivable" totalsRowLabel="$0" dataDxfId="330" totalsRowDxfId="329" dataCellStyle="Currency"/>
    <tableColumn id="9" name="Less: Recovered Amount" totalsRowLabel="$0" dataDxfId="328" totalsRowDxfId="327" dataCellStyle="Currency"/>
    <tableColumn id="10" name="Accounts Receivable_x000a_Balance" totalsRowLabel="$0" dataDxfId="326" totalsRowDxfId="325" dataCellStyle="Currency"/>
    <tableColumn id="11" name="Net_x000a_Balance" totalsRowFunction="sum" dataDxfId="324" totalsRowDxfId="32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2: Detail of UnFunded State-Mandated Programs. As of April 1, 2020. Local Agencies."/>
    </ext>
  </extLst>
</table>
</file>

<file path=xl/tables/table122.xml><?xml version="1.0" encoding="utf-8"?>
<table xmlns="http://schemas.openxmlformats.org/spreadsheetml/2006/main" id="123" name="localunfundedgrandtotal" displayName="localunfundedgrandtotal" ref="A219:K237" totalsRowCount="1" headerRowDxfId="322" dataDxfId="320" headerRowBorderDxfId="321" tableBorderDxfId="319" headerRowCellStyle="Currency">
  <autoFilter ref="A219:K236"/>
  <tableColumns count="11">
    <tableColumn id="1" name="Program_x000a_Name" totalsRowLabel="Total Local Agencies" dataDxfId="318" totalsRowDxfId="317"/>
    <tableColumn id="2" name="Legal_x000a_Reference_x000a_(Ch./Year)" totalsRowLabel="N/A" dataDxfId="316" totalsRowDxfId="315"/>
    <tableColumn id="3" name="Program Number" totalsRowLabel="N/A" dataDxfId="314" totalsRowDxfId="313"/>
    <tableColumn id="4" name="Fiscal_x000a_Year" totalsRowLabel="N/A" dataDxfId="312" totalsRowDxfId="311"/>
    <tableColumn id="5" name="Program_x000a_Costs" totalsRowFunction="sum" dataDxfId="310" totalsRowDxfId="309"/>
    <tableColumn id="6" name="Less: Net Payments and Offsets" totalsRowLabel="$0" dataDxfId="308" totalsRowDxfId="307"/>
    <tableColumn id="7" name="Accounts Payable_x000a_Balance" totalsRowFunction="sum" dataDxfId="306" totalsRowDxfId="305"/>
    <tableColumn id="8" name="Established_x000a_Accounts Receivable" totalsRowLabel="$0" dataDxfId="304" totalsRowDxfId="303"/>
    <tableColumn id="9" name="Less: Recovered Amount" totalsRowLabel="$0" dataDxfId="302" totalsRowDxfId="301"/>
    <tableColumn id="10" name="Accounts Receivable_x000a_Balance" totalsRowLabel="$0" dataDxfId="300" totalsRowDxfId="299"/>
    <tableColumn id="11" name="Net_x000a_Balance" totalsRowFunction="sum" dataDxfId="298" totalsRowDxfId="29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2: Detail of UnFunded State-Mandated Programs. As of April 1, 2020. Local Agencies Grand Totals."/>
    </ext>
  </extLst>
</table>
</file>

<file path=xl/tables/table123.xml><?xml version="1.0" encoding="utf-8"?>
<table xmlns="http://schemas.openxmlformats.org/spreadsheetml/2006/main" id="124" name="school370" displayName="school370" ref="A2:K5" totalsRowCount="1" headerRowDxfId="296" dataDxfId="294" headerRowBorderDxfId="295" tableBorderDxfId="293" headerRowCellStyle="Currency">
  <autoFilter ref="A2:K4"/>
  <tableColumns count="11">
    <tableColumn id="1" name="Program_x000a_Name" totalsRowLabel="Cal Grant: Opt-Out Notice and Grade Point Average Submission Total" dataDxfId="292" totalsRowDxfId="291"/>
    <tableColumn id="2" name="Legal_x000a_Reference_x000a_(Ch./Year)" totalsRowLabel="N/A" dataDxfId="290" totalsRowDxfId="289"/>
    <tableColumn id="3" name="Program Number" totalsRowLabel="N/A" dataDxfId="288" totalsRowDxfId="287"/>
    <tableColumn id="4" name="Fiscal_x000a_Year" totalsRowLabel="N/A" dataDxfId="286" totalsRowDxfId="285"/>
    <tableColumn id="5" name="Program_x000a_Costs" totalsRowFunction="sum" dataDxfId="284" totalsRowDxfId="283"/>
    <tableColumn id="6" name="Less: Net Payments and Offsets" totalsRowLabel="$0" dataDxfId="282" totalsRowDxfId="281" dataCellStyle="Currency"/>
    <tableColumn id="7" name="Accounts Payable_x000a_Balance" totalsRowFunction="sum" dataDxfId="280" totalsRowDxfId="279"/>
    <tableColumn id="8" name="Established_x000a_Accounts Receivable" totalsRowLabel="$0" dataDxfId="278" totalsRowDxfId="277" dataCellStyle="Currency"/>
    <tableColumn id="9" name="Less: Recovered Amount" totalsRowLabel="$0" dataDxfId="276" totalsRowDxfId="275" dataCellStyle="Currency"/>
    <tableColumn id="10" name="Accounts Receivable_x000a_Balance" totalsRowLabel="$0" dataDxfId="274" totalsRowDxfId="273" dataCellStyle="Currency"/>
    <tableColumn id="11" name="Net_x000a_Balance" totalsRowFunction="sum" dataDxfId="272" totalsRowDxfId="27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2: Detail of UnFunded State-Mandated Programs. As of April 1, 2020. School Districts."/>
    </ext>
  </extLst>
</table>
</file>

<file path=xl/tables/table124.xml><?xml version="1.0" encoding="utf-8"?>
<table xmlns="http://schemas.openxmlformats.org/spreadsheetml/2006/main" id="125" name="schoolunfundedgrandtotal" displayName="schoolunfundedgrandtotal" ref="A7:K9" totalsRowCount="1" headerRowDxfId="270" dataDxfId="268" headerRowBorderDxfId="269" tableBorderDxfId="267" headerRowCellStyle="Currency">
  <autoFilter ref="A7:K8"/>
  <tableColumns count="11">
    <tableColumn id="1" name="Program_x000a_Name" totalsRowLabel="Total School Districts" dataDxfId="266" totalsRowDxfId="265"/>
    <tableColumn id="2" name="Legal_x000a_Reference_x000a_(Ch./Year)" totalsRowLabel="N/A" dataDxfId="264" totalsRowDxfId="263"/>
    <tableColumn id="3" name="Program Number" totalsRowLabel="N/A" dataDxfId="262" totalsRowDxfId="261"/>
    <tableColumn id="4" name="Fiscal_x000a_Year" totalsRowLabel="N/A" dataDxfId="260" totalsRowDxfId="259"/>
    <tableColumn id="5" name="Program_x000a_Costs" totalsRowFunction="sum" dataDxfId="258" totalsRowDxfId="257">
      <calculatedColumnFormula>school370[[#Totals],[Program
Costs]]</calculatedColumnFormula>
    </tableColumn>
    <tableColumn id="6" name="Less: Net Payments and Offsets" totalsRowLabel="$0" dataDxfId="256" totalsRowDxfId="255">
      <calculatedColumnFormula>school370[[#Totals],[Less: Net Payments and Offsets]]</calculatedColumnFormula>
    </tableColumn>
    <tableColumn id="7" name="Accounts Payable_x000a_Balance" totalsRowFunction="sum" dataDxfId="254" totalsRowDxfId="253">
      <calculatedColumnFormula>school370[[#Totals],[Accounts Payable
Balance]]</calculatedColumnFormula>
    </tableColumn>
    <tableColumn id="8" name="Established_x000a_Accounts Receivable" totalsRowLabel="$0" dataDxfId="252" totalsRowDxfId="251">
      <calculatedColumnFormula>school370[[#Totals],[Established
Accounts Receivable]]</calculatedColumnFormula>
    </tableColumn>
    <tableColumn id="9" name="Less: Recovered Amount" totalsRowLabel="$0" dataDxfId="250" totalsRowDxfId="249">
      <calculatedColumnFormula>school370[[#Totals],[Less: Recovered Amount]]</calculatedColumnFormula>
    </tableColumn>
    <tableColumn id="10" name="Accounts Receivable_x000a_Balance" totalsRowLabel="$0" dataDxfId="248" totalsRowDxfId="247">
      <calculatedColumnFormula>school370[[#Totals],[Accounts Receivable
Balance]]</calculatedColumnFormula>
    </tableColumn>
    <tableColumn id="11" name="Net_x000a_Balance" totalsRowFunction="sum" dataDxfId="246" totalsRowDxfId="245">
      <calculatedColumnFormula>school370[[#Totals],[Net
Balance]]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2: Detail of UnFunded State-Mandated Programs. As of April 1, 2020. School Districts Grand Totals."/>
    </ext>
  </extLst>
</table>
</file>

<file path=xl/tables/table125.xml><?xml version="1.0" encoding="utf-8"?>
<table xmlns="http://schemas.openxmlformats.org/spreadsheetml/2006/main" id="126" name="college307" displayName="college307" ref="A2:K4" totalsRowCount="1" headerRowDxfId="244" dataDxfId="242" headerRowBorderDxfId="243" tableBorderDxfId="241" totalsRowBorderDxfId="240" headerRowCellStyle="Currency">
  <autoFilter ref="A2:K3"/>
  <tableColumns count="11">
    <tableColumn id="1" name="Program_x000a_Name" totalsRowLabel="Student Records Total" dataDxfId="239" totalsRowDxfId="238"/>
    <tableColumn id="2" name="Legal_x000a_Reference_x000a_(Ch./Year)" totalsRowLabel="N/A" dataDxfId="237" totalsRowDxfId="236"/>
    <tableColumn id="3" name="Program Number" totalsRowLabel="N/A" dataDxfId="235" totalsRowDxfId="234"/>
    <tableColumn id="4" name="Fiscal_x000a_Year" totalsRowLabel="N/A" dataDxfId="233" totalsRowDxfId="232"/>
    <tableColumn id="5" name="Program_x000a_Costs" totalsRowFunction="sum" dataDxfId="231" totalsRowDxfId="230"/>
    <tableColumn id="6" name="Less: Net Payments and Offsets" totalsRowLabel="$0" dataDxfId="229" totalsRowDxfId="228" dataCellStyle="Currency"/>
    <tableColumn id="7" name="Accounts Payable_x000a_Balance" totalsRowFunction="sum" dataDxfId="227" totalsRowDxfId="226"/>
    <tableColumn id="8" name="Established_x000a_Accounts Receivable" totalsRowLabel="$0" dataDxfId="225" totalsRowDxfId="224" dataCellStyle="Currency"/>
    <tableColumn id="9" name="Less: Recovered Amount" totalsRowLabel="$0" dataDxfId="223" totalsRowDxfId="222" dataCellStyle="Currency"/>
    <tableColumn id="10" name="Accounts Receivable_x000a_Balance" totalsRowLabel="$0" dataDxfId="221" totalsRowDxfId="220" dataCellStyle="Currency"/>
    <tableColumn id="11" name="Net_x000a_Balance" totalsRowFunction="sum" dataDxfId="219" totalsRowDxfId="21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2: Detail of UnFunded State-Mandated Programs. As of April 1, 2020. Community College Districts."/>
    </ext>
  </extLst>
</table>
</file>

<file path=xl/tables/table126.xml><?xml version="1.0" encoding="utf-8"?>
<table xmlns="http://schemas.openxmlformats.org/spreadsheetml/2006/main" id="127" name="collegeunfundedgrandtotal" displayName="collegeunfundedgrandtotal" ref="A6:K8" totalsRowCount="1" headerRowDxfId="217" dataDxfId="215" totalsRowDxfId="213" headerRowBorderDxfId="216" tableBorderDxfId="214" headerRowCellStyle="Currency">
  <autoFilter ref="A6:K7"/>
  <tableColumns count="11">
    <tableColumn id="1" name="Program_x000a_Name" totalsRowLabel="Total Community College Districts" dataDxfId="212" totalsRowDxfId="211"/>
    <tableColumn id="2" name="Legal_x000a_Reference_x000a_(Ch./Year)" totalsRowLabel="N/A" dataDxfId="210" totalsRowDxfId="209"/>
    <tableColumn id="3" name="Program Number" totalsRowLabel="N/A" dataDxfId="208" totalsRowDxfId="207"/>
    <tableColumn id="4" name="Fiscal_x000a_Year" totalsRowLabel="N/A" dataDxfId="206" totalsRowDxfId="205"/>
    <tableColumn id="5" name="Program_x000a_Costs" totalsRowFunction="sum" dataDxfId="204" totalsRowDxfId="203">
      <calculatedColumnFormula>college307[[#Totals],[Program
Costs]]</calculatedColumnFormula>
    </tableColumn>
    <tableColumn id="6" name="Less: Net Payments and Offsets" totalsRowLabel="$0" dataDxfId="202" totalsRowDxfId="201">
      <calculatedColumnFormula>college307[[#Totals],[Less: Net Payments and Offsets]]</calculatedColumnFormula>
    </tableColumn>
    <tableColumn id="7" name="Accounts Payable_x000a_Balance" totalsRowFunction="sum" dataDxfId="200" totalsRowDxfId="199">
      <calculatedColumnFormula>college307[[#Totals],[Accounts Payable
Balance]]</calculatedColumnFormula>
    </tableColumn>
    <tableColumn id="8" name="Established_x000a_Accounts Receivable" totalsRowLabel="$0" dataDxfId="198" totalsRowDxfId="197">
      <calculatedColumnFormula>college307[[#Totals],[Established
Accounts Receivable]]</calculatedColumnFormula>
    </tableColumn>
    <tableColumn id="9" name="Less: Recovered Amount" totalsRowLabel="$0" dataDxfId="196" totalsRowDxfId="195">
      <calculatedColumnFormula>college307[[#Totals],[Less: Recovered Amount]]</calculatedColumnFormula>
    </tableColumn>
    <tableColumn id="10" name="Accounts Receivable_x000a_Balance" totalsRowLabel="$0" dataDxfId="194" totalsRowDxfId="193">
      <calculatedColumnFormula>college307[[#Totals],[Accounts Receivable
Balance]]</calculatedColumnFormula>
    </tableColumn>
    <tableColumn id="11" name="Net_x000a_Balance" totalsRowFunction="sum" dataDxfId="192" totalsRowDxfId="191">
      <calculatedColumnFormula>college307[[#Totals],[Net
Balance]]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2: Detail of UnFunded State-Mandated Programs. As of April 1, 2020. Community College Districts Grand Totals."/>
    </ext>
  </extLst>
</table>
</file>

<file path=xl/tables/table127.xml><?xml version="1.0" encoding="utf-8"?>
<table xmlns="http://schemas.openxmlformats.org/spreadsheetml/2006/main" id="128" name="totalunfunded" displayName="totalunfunded" ref="A10:K14" totalsRowCount="1" headerRowDxfId="190" dataDxfId="188" totalsRowDxfId="186" headerRowBorderDxfId="189" tableBorderDxfId="187" headerRowCellStyle="Currency">
  <autoFilter ref="A10:K13"/>
  <tableColumns count="11">
    <tableColumn id="1" name="Program_x000a_Name" totalsRowLabel="Total Unfunded Mandates " totalsRowDxfId="185"/>
    <tableColumn id="2" name="Legal_x000a_Reference_x000a_(Ch./Year)" totalsRowLabel="N/A" dataDxfId="184" totalsRowDxfId="183"/>
    <tableColumn id="3" name="Program Number" totalsRowLabel="N/A" dataDxfId="182" totalsRowDxfId="181"/>
    <tableColumn id="4" name="Fiscal_x000a_Year" totalsRowLabel="N/A" dataDxfId="180" totalsRowDxfId="179"/>
    <tableColumn id="5" name="Program_x000a_Costs" totalsRowFunction="sum" dataDxfId="178" totalsRowDxfId="177"/>
    <tableColumn id="6" name="Less: Net Payments and Offsets" totalsRowLabel="$0" dataDxfId="176" totalsRowDxfId="175"/>
    <tableColumn id="7" name="Accounts Payable_x000a_Balance" totalsRowFunction="sum" dataDxfId="174" totalsRowDxfId="173"/>
    <tableColumn id="8" name="Established_x000a_Accounts Receivable" totalsRowLabel="$0" dataDxfId="172" totalsRowDxfId="171"/>
    <tableColumn id="9" name="Less: Recovered Amount" totalsRowLabel="$0" dataDxfId="170" totalsRowDxfId="169"/>
    <tableColumn id="10" name="Accounts Receivable_x000a_Balance" totalsRowLabel="$0" dataDxfId="168" totalsRowDxfId="167"/>
    <tableColumn id="11" name="Net_x000a_Balance" totalsRowFunction="sum" dataDxfId="166" totalsRowDxfId="16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2: Detail of UnFunded State-Mandated Programs. As of April 1, 2020. Total Unfunded Mandates."/>
    </ext>
  </extLst>
</table>
</file>

<file path=xl/tables/table13.xml><?xml version="1.0" encoding="utf-8"?>
<table xmlns="http://schemas.openxmlformats.org/spreadsheetml/2006/main" id="14" name="localpest19" displayName="localpest19" ref="A68:I70" totalsRowCount="1" headerRowDxfId="3352" headerRowBorderDxfId="3351" tableBorderDxfId="3350" totalsRowBorderDxfId="3349">
  <autoFilter ref="A68:I69"/>
  <tableColumns count="9">
    <tableColumn id="1" name="Program Category_x000a_and Type of Payment" totalsRowLabel="0106-8885-2019-295-98 Total" dataDxfId="3348" totalsRowDxfId="3347"/>
    <tableColumn id="2" name="Fiscal _x000a_Year" totalsRowLabel="N/A" dataDxfId="3346" totalsRowDxfId="3345"/>
    <tableColumn id="3" name="Appropriation _x000a_Number" totalsRowLabel="N/A" dataDxfId="3344" totalsRowDxfId="3343"/>
    <tableColumn id="4" name="Program _x000a_Name" totalsRowLabel="N/A" dataDxfId="3342" totalsRowDxfId="3341"/>
    <tableColumn id="5" name="Legal _x000a_Reference_x000a_(Ch./Year)" totalsRowLabel="N/A" dataDxfId="3340" totalsRowDxfId="3339"/>
    <tableColumn id="6" name="Program_x000a_ Number" totalsRowLabel="N/A" dataDxfId="3338" totalsRowDxfId="3337"/>
    <tableColumn id="7" name="Program _x000a_Payments and Offsets" totalsRowFunction="sum" dataDxfId="3336" totalsRowDxfId="3335" dataCellStyle="Currency"/>
    <tableColumn id="8" name="Interest_x000a_Payments and Offsets" totalsRowLabel="$0 " dataDxfId="3334" totalsRowDxfId="3333" dataCellStyle="Currency"/>
    <tableColumn id="9" name="Total _x000a_Payments" totalsRowFunction="sum" dataDxfId="3332" totalsRowDxfId="3331" dataCellStyle="Currency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A1: Detail of State-Mandated Program Payments by Fiscal Year. As of April 1, 2020. Local Agencies-Pesticide."/>
    </ext>
  </extLst>
</table>
</file>

<file path=xl/tables/table14.xml><?xml version="1.0" encoding="utf-8"?>
<table xmlns="http://schemas.openxmlformats.org/spreadsheetml/2006/main" id="15" name="localgrandtotala1" displayName="localgrandtotala1" ref="A72:I80" totalsRowCount="1" headerRowDxfId="3330" headerRowBorderDxfId="3329" tableBorderDxfId="3328" totalsRowBorderDxfId="3327">
  <autoFilter ref="A72:I79"/>
  <tableColumns count="9">
    <tableColumn id="1" name="Program Category_x000a_and Type of Payment" totalsRowLabel="Grand Total" dataDxfId="3326" totalsRowDxfId="3325"/>
    <tableColumn id="2" name="Fiscal _x000a_Year" totalsRowLabel="N/A" dataDxfId="3324" totalsRowDxfId="3323"/>
    <tableColumn id="3" name="Appropriation _x000a_Number" totalsRowLabel=" N/A " dataDxfId="3322" totalsRowDxfId="3321"/>
    <tableColumn id="4" name="Program _x000a_Name" totalsRowLabel=" N/A " dataDxfId="3320" totalsRowDxfId="3319"/>
    <tableColumn id="5" name="Legal _x000a_Reference_x000a_(Ch./Year)" totalsRowLabel=" N/A " dataDxfId="3318" totalsRowDxfId="3317"/>
    <tableColumn id="6" name="Program_x000a_ Number" totalsRowLabel="N/A" dataDxfId="3316" totalsRowDxfId="3315"/>
    <tableColumn id="7" name="Program _x000a_Payments and Offsets" totalsRowFunction="sum" dataDxfId="3314" totalsRowDxfId="3313"/>
    <tableColumn id="8" name="Interest_x000a_Payments and Offsets" totalsRowFunction="sum" dataDxfId="3312" totalsRowDxfId="3311"/>
    <tableColumn id="9" name="Total _x000a_Payments" totalsRowFunction="sum" dataDxfId="3310" totalsRowDxfId="3309">
      <calculatedColumnFormula>H73+G73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A1: Detail of State-Mandated Program Payments by Fiscal Year. As of April 1, 2020. Grand Totals."/>
    </ext>
  </extLst>
</table>
</file>

<file path=xl/tables/table15.xml><?xml version="1.0" encoding="utf-8"?>
<table xmlns="http://schemas.openxmlformats.org/spreadsheetml/2006/main" id="16" name="schoolannualclaim" displayName="schoolannualclaim" ref="A2:I36" totalsRowCount="1" headerRowDxfId="3308" headerRowBorderDxfId="3307" tableBorderDxfId="3306" totalsRowBorderDxfId="3305">
  <autoFilter ref="A2:I35"/>
  <tableColumns count="9">
    <tableColumn id="1" name="Program Category_x000a_and Type of Payment" totalsRowLabel="Total School Districts" dataDxfId="3304" totalsRowDxfId="3303"/>
    <tableColumn id="2" name="Fiscal _x000a_Year" totalsRowLabel="N/A" dataDxfId="3302" totalsRowDxfId="3301"/>
    <tableColumn id="3" name="Appropriation _x000a_Number" totalsRowLabel="N/A" dataDxfId="3300" totalsRowDxfId="3299"/>
    <tableColumn id="4" name="Program _x000a_Name" totalsRowLabel="N/A" dataDxfId="3298" totalsRowDxfId="3297"/>
    <tableColumn id="5" name="Legal _x000a_Reference_x000a_(Ch./Year)" totalsRowLabel="N/A" dataDxfId="3296" totalsRowDxfId="3295"/>
    <tableColumn id="6" name="Program_x000a_ Number" totalsRowLabel="N/A" dataDxfId="3294" totalsRowDxfId="3293"/>
    <tableColumn id="7" name="Program _x000a_Payments and Offsets" totalsRowFunction="sum" dataDxfId="3292" totalsRowDxfId="3291" dataCellStyle="Currency"/>
    <tableColumn id="8" name="Interest_x000a_Payments and Offsets" totalsRowLabel="$0 " dataDxfId="3290" totalsRowDxfId="3289" dataCellStyle="Currency"/>
    <tableColumn id="9" name="Total_x000a_Payments" totalsRowFunction="sum" dataDxfId="3288" totalsRowDxfId="3287" dataCellStyle="Currency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A1: Detail of State-Mandated Program Payments by Fiscal Year. As of April 1, 2020. School District-Annual Claim."/>
    </ext>
  </extLst>
</table>
</file>

<file path=xl/tables/table16.xml><?xml version="1.0" encoding="utf-8"?>
<table xmlns="http://schemas.openxmlformats.org/spreadsheetml/2006/main" id="17" name="schoolgrandtotala1" displayName="schoolgrandtotala1" ref="A38:I41" totalsRowCount="1" headerRowDxfId="3286" dataDxfId="3284" headerRowBorderDxfId="3285" tableBorderDxfId="3283" totalsRowBorderDxfId="3282">
  <autoFilter ref="A38:I40"/>
  <tableColumns count="9">
    <tableColumn id="1" name="Program Category_x000a_and Type of Payment" totalsRowLabel="Grant Total Local Agencies and School Districts 4" totalsRowDxfId="150" dataCellStyle="Hyperlink"/>
    <tableColumn id="2" name="Fiscal _x000a_Year" totalsRowLabel="Comment: All community colleges participated in the block grant program. No payments were made to community colleges districts.  " dataDxfId="3281" totalsRowDxfId="149"/>
    <tableColumn id="3" name="Appropriation _x000a_Number" totalsRowLabel="N/A" dataDxfId="3280" totalsRowDxfId="148"/>
    <tableColumn id="4" name="Program _x000a_Name" totalsRowLabel="N/A" dataDxfId="3279" totalsRowDxfId="147"/>
    <tableColumn id="5" name="Legal _x000a_Reference_x000a_(Ch./Year)" totalsRowLabel="N/A" dataDxfId="3278" totalsRowDxfId="146"/>
    <tableColumn id="6" name="Program_x000a_ Number" totalsRowLabel="N/A" dataDxfId="3277" totalsRowDxfId="145"/>
    <tableColumn id="7" name="Program _x000a_Payments and Offsets" totalsRowFunction="sum" dataDxfId="3276" totalsRowDxfId="144">
      <calculatedColumnFormula>schoolannualclaim[[#Totals],[Program 
Payments and Offsets]]</calculatedColumnFormula>
    </tableColumn>
    <tableColumn id="8" name="Interest_x000a_Payments and Offsets" totalsRowFunction="sum" dataDxfId="3275" totalsRowDxfId="143">
      <calculatedColumnFormula>schoolannualclaim[[#Totals],[Interest
Payments and Offsets]]</calculatedColumnFormula>
    </tableColumn>
    <tableColumn id="9" name="Total_x000a_Payments" totalsRowFunction="sum" dataDxfId="3274" totalsRowDxfId="142">
      <calculatedColumnFormula>schoolannualclaim[[#Totals],[Total
Payments]]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A1: Detail of State-Mandated Program Payments by Fiscal Year. As of April 1, 2020. Grand total local agencies and school districts."/>
    </ext>
  </extLst>
</table>
</file>

<file path=xl/tables/table17.xml><?xml version="1.0" encoding="utf-8"?>
<table xmlns="http://schemas.openxmlformats.org/spreadsheetml/2006/main" id="18" name="scheduleblocalfunded" displayName="scheduleblocalfunded" ref="A2:P5" totalsRowCount="1" headerRowDxfId="3273" totalsRowDxfId="3270" headerRowBorderDxfId="3272" tableBorderDxfId="3271" totalsRowBorderDxfId="3269">
  <autoFilter ref="A2:P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name="Program_x000a_Category" totalsRowLabel="Total Local Agencies" dataDxfId="3268" totalsRowDxfId="109"/>
    <tableColumn id="2" name="Comment" totalsRowLabel="N/A" dataDxfId="3267" totalsRowDxfId="108"/>
    <tableColumn id="3" name="Fiscal_x000a_Year" totalsRowLabel="N/A" dataDxfId="3266" totalsRowDxfId="107"/>
    <tableColumn id="4" name="Schedules" totalsRowLabel="N/A" dataDxfId="3265" totalsRowDxfId="106"/>
    <tableColumn id="5" name="Program_x000a_Costs" totalsRowFunction="sum" dataDxfId="3264" totalsRowDxfId="105"/>
    <tableColumn id="6" name="Less: Net Payments and Offsets 1" totalsRowFunction="sum" dataDxfId="3263" totalsRowDxfId="104"/>
    <tableColumn id="7" name="Comment: The state's liability was reduced by $124.7 million in one-time funding for offsets from Chapters 29, 32, and 39, Statutes of 2018. The one-time funding offsets did not apply to       local agencies and community college districts." totalsRowLabel=" N/A " dataDxfId="3262" totalsRowDxfId="103"/>
    <tableColumn id="8" name="Accounts Payable_x000a_Balance 2" totalsRowFunction="sum" dataDxfId="3261" totalsRowDxfId="102"/>
    <tableColumn id="9" name="Comment: Amount due to local agencies, school districts, and community college districts." totalsRowLabel=" N/A " dataDxfId="3260" totalsRowDxfId="101"/>
    <tableColumn id="10" name="Established_x000a_Accounts _x000a_Receivable 3" totalsRowFunction="sum" dataDxfId="3259" totalsRowDxfId="100"/>
    <tableColumn id="11" name="Comment: Total accounts receivable established due to desk reviews and field audit claim adjustments." totalsRowLabel=" N/A " dataDxfId="3258" totalsRowDxfId="99"/>
    <tableColumn id="12" name="Less: Recovered_x000a_Amount" totalsRowFunction="sum" dataDxfId="3257" totalsRowDxfId="98"/>
    <tableColumn id="13" name="Accounts Receivable_x000a_Balance 4" totalsRowFunction="sum" dataDxfId="3256" totalsRowDxfId="97"/>
    <tableColumn id="14" name="Comment: Amount due from local agencies, school districts (includes ineligible charter schools), and community college districts." totalsRowLabel=" N/A " dataDxfId="3255" totalsRowDxfId="96"/>
    <tableColumn id="15" name="Net_x000a_Balance 5 " totalsRowFunction="sum" dataDxfId="3254" totalsRowDxfId="95"/>
    <tableColumn id="16" name="Comment: Net amount of deficiencies and surpluses (A/P Balance less A/R Balance equals Net Balance) " totalsRowLabel="N/A" dataDxfId="3253" totalsRowDxfId="9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: Summary of Funded and Unfunded State-Mandated Programs. As of April 1, 2020. Local Agencies-Funded."/>
    </ext>
  </extLst>
</table>
</file>

<file path=xl/tables/table18.xml><?xml version="1.0" encoding="utf-8"?>
<table xmlns="http://schemas.openxmlformats.org/spreadsheetml/2006/main" id="19" name="schedulebsdandccdfunded" displayName="schedulebsdandccdfunded" ref="A7:P11" totalsRowCount="1" headerRowDxfId="3252" headerRowBorderDxfId="3251" tableBorderDxfId="3250" totalsRowBorderDxfId="3249">
  <autoFilter ref="A7:P10"/>
  <tableColumns count="16">
    <tableColumn id="1" name="Program_x000a_Category" totalsRowLabel="Total School Districts and Community College Districts" totalsRowDxfId="93"/>
    <tableColumn id="2" name="Comment" totalsRowLabel="N/A" dataDxfId="3248" totalsRowDxfId="92"/>
    <tableColumn id="3" name="Fiscal_x000a_Year" totalsRowLabel="N/A" dataDxfId="3247" totalsRowDxfId="91"/>
    <tableColumn id="4" name="Schedules" totalsRowLabel="N/A" dataDxfId="3246" totalsRowDxfId="90"/>
    <tableColumn id="5" name="Program_x000a_Costs" totalsRowFunction="sum" dataDxfId="3245" totalsRowDxfId="89"/>
    <tableColumn id="6" name="Less: Net Payments and Offsets 1" totalsRowFunction="sum" dataDxfId="3244" totalsRowDxfId="88"/>
    <tableColumn id="7" name="Comment1" totalsRowLabel=" N/A " dataDxfId="3243" totalsRowDxfId="87"/>
    <tableColumn id="8" name="Accounts Payable_x000a_Balance 2" totalsRowFunction="sum" totalsRowDxfId="86"/>
    <tableColumn id="9" name="Comment2" totalsRowLabel=" N/A " dataDxfId="3242" totalsRowDxfId="85"/>
    <tableColumn id="10" name="Established_x000a_Accounts _x000a_Receivable 3" totalsRowFunction="sum" totalsRowDxfId="84"/>
    <tableColumn id="11" name="Comment3" totalsRowLabel=" N/A " dataDxfId="3241" totalsRowDxfId="83"/>
    <tableColumn id="12" name="Less: Recovered_x000a_Amount" totalsRowFunction="sum" totalsRowDxfId="82"/>
    <tableColumn id="13" name="Accounts Receivable_x000a_Balance 4" totalsRowFunction="sum" totalsRowDxfId="81"/>
    <tableColumn id="14" name="Comment4" totalsRowLabel=" N/A " dataDxfId="3240" totalsRowDxfId="80"/>
    <tableColumn id="15" name="Net_x000a_Balance 5 " totalsRowFunction="sum" totalsRowDxfId="79"/>
    <tableColumn id="16" name="Comment5" totalsRowLabel="N/A" totalsRowDxfId="7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: Summary of Funded and Unfunded State-Mandated Programs. As of April 1, 2020. School District and Community College Districts-Funded."/>
    </ext>
  </extLst>
</table>
</file>

<file path=xl/tables/table19.xml><?xml version="1.0" encoding="utf-8"?>
<table xmlns="http://schemas.openxmlformats.org/spreadsheetml/2006/main" id="20" name="scheduleblocalunfunded" displayName="scheduleblocalunfunded" ref="A19:P22" totalsRowCount="1" headerRowDxfId="3239" headerRowBorderDxfId="3238" tableBorderDxfId="3237" totalsRowBorderDxfId="3236">
  <autoFilter ref="A19:P21"/>
  <tableColumns count="16">
    <tableColumn id="1" name="Program_x000a_Category" totalsRowLabel="Total Local Agencies" totalsRowDxfId="3235"/>
    <tableColumn id="2" name="Comment" totalsRowLabel="N/A" dataDxfId="3234" totalsRowDxfId="3233"/>
    <tableColumn id="3" name="Fiscal_x000a_Year" totalsRowLabel="N/A" totalsRowDxfId="3232"/>
    <tableColumn id="4" name="Schedules" totalsRowLabel="N/A" totalsRowDxfId="3231"/>
    <tableColumn id="5" name="Program_x000a_Costs" totalsRowFunction="sum" totalsRowDxfId="3230"/>
    <tableColumn id="6" name="Less: Net Payments and Offsets 1" totalsRowLabel="$0 " totalsRowDxfId="3229"/>
    <tableColumn id="7" name="Comment1" totalsRowLabel=" N/A " dataDxfId="3228" totalsRowDxfId="3227"/>
    <tableColumn id="8" name="Accounts Payable_x000a_Balance 2" totalsRowFunction="sum" totalsRowDxfId="3226"/>
    <tableColumn id="9" name="Comment2" totalsRowLabel=" N/A " dataDxfId="3225" totalsRowDxfId="3224"/>
    <tableColumn id="10" name="Established_x000a_Accounts _x000a_Receivable 3" totalsRowLabel="$0 " totalsRowDxfId="3223"/>
    <tableColumn id="11" name="Comment3" totalsRowLabel=" N/A " dataDxfId="3222" totalsRowDxfId="3221"/>
    <tableColumn id="12" name="Less: Recovered_x000a_Amount" totalsRowLabel="$0 " totalsRowDxfId="3220"/>
    <tableColumn id="13" name="Accounts Receivable_x000a_Balance 4" totalsRowLabel="$0 " totalsRowDxfId="3219"/>
    <tableColumn id="14" name="Comment4" totalsRowLabel=" N/A " dataDxfId="3218" totalsRowDxfId="3217"/>
    <tableColumn id="15" name="Net_x000a_Balance 5 " totalsRowFunction="sum" totalsRowDxfId="3216"/>
    <tableColumn id="16" name="Comment5" totalsRowLabel=" N/A " dataDxfId="3215" totalsRowDxfId="321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: Summary of Funded and Unfunded State-Mandated Programs. As of April 1, 2020. Local Agencies-Unfunded."/>
    </ext>
  </extLst>
</table>
</file>

<file path=xl/tables/table2.xml><?xml version="1.0" encoding="utf-8"?>
<table xmlns="http://schemas.openxmlformats.org/spreadsheetml/2006/main" id="5" name="dmvnongeneralfund" displayName="dmvnongeneralfund" ref="A8:N12" totalsRowCount="1" totalsRowDxfId="3605" headerRowBorderDxfId="3607" tableBorderDxfId="3606" totalsRowBorderDxfId="3604">
  <autoFilter ref="A8:N11"/>
  <tableColumns count="14">
    <tableColumn id="1" name="Program Category _x000a_and Fund" totalsRowLabel="Total Motor Vehicle Account-Non-General Fund" dataDxfId="3603" totalsRowDxfId="3602"/>
    <tableColumn id="2" name="Appropriation_x000a_Number" totalsRowLabel="N/A" totalsRowDxfId="3601"/>
    <tableColumn id="3" name="Legal _x000a_Reference_x000a_(Ch./Year)" totalsRowLabel="N/A" dataDxfId="3600" totalsRowDxfId="3599"/>
    <tableColumn id="4" name="Fiscal Year of _x000a_Claims Paid" totalsRowLabel="N/A" totalsRowDxfId="3598"/>
    <tableColumn id="5" name="Reversion _x000a_Date" totalsRowLabel="N/A" dataDxfId="3597" totalsRowDxfId="3596"/>
    <tableColumn id="6" name="Original                         Appropriation                  Amount" totalsRowFunction="sum" totalsRowDxfId="3595"/>
    <tableColumn id="7" name="Appropriation Balances_x000a_as of 07/01/2019" totalsRowFunction="sum" totalsRowDxfId="3594"/>
    <tableColumn id="8" name="Budget Adjustments        " totalsRowLabel="$0 " dataDxfId="3593" totalsRowDxfId="3592" dataCellStyle="Currency"/>
    <tableColumn id="9" name="Comment" totalsRowLabel="N/A" totalsRowDxfId="3591"/>
    <tableColumn id="10" name="Add: Receipts               and Recovered Amounts" totalsRowFunction="sum" totalsRowDxfId="3590"/>
    <tableColumn id="11" name="Less: Mandated Program Payments, _x000a_Offsets, and Interest   _x000a_ (see Schedule A1) 2" totalsRowFunction="sum" totalsRowDxfId="3589"/>
    <tableColumn id="12" name="Comment2" totalsRowLabel="N/A" totalsRowDxfId="3588"/>
    <tableColumn id="13" name="Less: Reappropriations 3" totalsRowLabel="$0 " dataDxfId="3587" totalsRowDxfId="3586" dataCellStyle="Currency"/>
    <tableColumn id="14" name="Appropriation Balances_x000a_as of 04/01/2020" totalsRowFunction="sum" dataDxfId="3585" totalsRowDxfId="3584" dataCellStyle="Currency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A: Summary of State-Mandated Program Appropriations, Receipts, and Payments. As of April 1, 2020. For Motor Vehicle Account-Non General Fund."/>
    </ext>
  </extLst>
</table>
</file>

<file path=xl/tables/table20.xml><?xml version="1.0" encoding="utf-8"?>
<table xmlns="http://schemas.openxmlformats.org/spreadsheetml/2006/main" id="21" name="schedulebsdandccdunfunded" displayName="schedulebsdandccdunfunded" ref="A24:P28" totalsRowCount="1" headerRowDxfId="3213" headerRowBorderDxfId="3212" tableBorderDxfId="3211" totalsRowBorderDxfId="3210">
  <autoFilter ref="A24:P27"/>
  <tableColumns count="16">
    <tableColumn id="1" name="Program_x000a_Category" totalsRowLabel="Total School Districts and Community College Districts" totalsRowDxfId="3209"/>
    <tableColumn id="2" name="Comment" totalsRowLabel="N/A" dataDxfId="3208" totalsRowDxfId="3207"/>
    <tableColumn id="3" name="Fiscal_x000a_Year" totalsRowLabel="N/A" totalsRowDxfId="3206"/>
    <tableColumn id="4" name="Schedules" totalsRowLabel="N/A" dataDxfId="3205" totalsRowDxfId="3204"/>
    <tableColumn id="5" name="Program_x000a_Costs" totalsRowFunction="sum" totalsRowDxfId="3203"/>
    <tableColumn id="6" name="Less: Net Payments and Offsets 1" totalsRowLabel="$0 " totalsRowDxfId="3202"/>
    <tableColumn id="7" name="Comment1" totalsRowLabel=" N/A " totalsRowDxfId="3201"/>
    <tableColumn id="8" name="Accounts Payable_x000a_Balance 2" totalsRowFunction="sum" totalsRowDxfId="3200"/>
    <tableColumn id="9" name="Comment2" totalsRowLabel=" N/A " dataDxfId="3199" totalsRowDxfId="3198"/>
    <tableColumn id="10" name="Established_x000a_Accounts _x000a_Receivable 3" totalsRowLabel="$0 " totalsRowDxfId="3197"/>
    <tableColumn id="11" name="Comment3" totalsRowLabel=" N/A " totalsRowDxfId="3196"/>
    <tableColumn id="12" name="Less: Recovered_x000a_Amount" totalsRowLabel="$0 " totalsRowDxfId="3195"/>
    <tableColumn id="13" name="Accounts Receivable_x000a_Balance 4" totalsRowLabel="$0 " totalsRowDxfId="3194"/>
    <tableColumn id="14" name="Comment4" totalsRowLabel=" N/A " totalsRowDxfId="3193"/>
    <tableColumn id="15" name="Net_x000a_Balance 5 " totalsRowFunction="sum" totalsRowDxfId="3192"/>
    <tableColumn id="16" name="Comment5" totalsRowLabel=" N/A " totalsRowDxfId="319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: Summary of Funded and Unfunded State-Mandated Programs. As of April 1, 2020. School District and Community College Districts-Unfunded."/>
    </ext>
  </extLst>
</table>
</file>

<file path=xl/tables/table21.xml><?xml version="1.0" encoding="utf-8"?>
<table xmlns="http://schemas.openxmlformats.org/spreadsheetml/2006/main" id="22" name="schedulebfunded" displayName="schedulebfunded" ref="A13:P17" totalsRowCount="1" headerRowDxfId="3190" dataDxfId="3188" headerRowBorderDxfId="3189" tableBorderDxfId="3187" totalsRowBorderDxfId="3186">
  <autoFilter ref="A13:P16"/>
  <tableColumns count="16">
    <tableColumn id="1" name="Program_x000a_Category" totalsRowLabel="Total Schedule B1: Funded Mandates 6" totalsRowDxfId="141" dataCellStyle="Hyperlink"/>
    <tableColumn id="2" name="Comment" totalsRowLabel="Comment: State-mandated programs appropriated for payments in the Budget Act (funded) and programs without appropriations (unfunded)." dataDxfId="3185" totalsRowDxfId="140"/>
    <tableColumn id="3" name="Fiscal_x000a_Year" totalsRowLabel="N/A" dataDxfId="3184" totalsRowDxfId="139"/>
    <tableColumn id="4" name="Schedules" totalsRowLabel="N/A" dataDxfId="3183" totalsRowDxfId="138"/>
    <tableColumn id="5" name="Program_x000a_Costs" totalsRowFunction="sum" dataDxfId="3182" totalsRowDxfId="137">
      <calculatedColumnFormula>E8</calculatedColumnFormula>
    </tableColumn>
    <tableColumn id="6" name="Less: Net Payments and Offsets 1" totalsRowFunction="sum" dataDxfId="3181" totalsRowDxfId="136">
      <calculatedColumnFormula>F8</calculatedColumnFormula>
    </tableColumn>
    <tableColumn id="7" name="Comment1" totalsRowLabel=" N/A " dataDxfId="3180" totalsRowDxfId="135"/>
    <tableColumn id="8" name="Accounts Payable_x000a_Balance 2" totalsRowFunction="sum" dataDxfId="3179" totalsRowDxfId="134">
      <calculatedColumnFormula>H8</calculatedColumnFormula>
    </tableColumn>
    <tableColumn id="9" name="Comment2" totalsRowLabel=" N/A " dataDxfId="3178" totalsRowDxfId="133"/>
    <tableColumn id="10" name="Established_x000a_Accounts _x000a_Receivable 3" totalsRowFunction="sum" dataDxfId="3177" totalsRowDxfId="132">
      <calculatedColumnFormula>J8</calculatedColumnFormula>
    </tableColumn>
    <tableColumn id="11" name="Comment3" totalsRowLabel=" N/A " dataDxfId="3176" totalsRowDxfId="131"/>
    <tableColumn id="12" name="Less: Recovered_x000a_Amount" totalsRowFunction="sum" dataDxfId="3175" totalsRowDxfId="130">
      <calculatedColumnFormula>L8</calculatedColumnFormula>
    </tableColumn>
    <tableColumn id="13" name="Accounts Receivable_x000a_Balance 4" totalsRowFunction="sum" dataDxfId="3174" totalsRowDxfId="129">
      <calculatedColumnFormula>M8</calculatedColumnFormula>
    </tableColumn>
    <tableColumn id="14" name="Comment4" totalsRowLabel=" N/A " dataDxfId="3173" totalsRowDxfId="128"/>
    <tableColumn id="15" name="Net_x000a_Balance 5 " totalsRowFunction="sum" dataDxfId="3172" totalsRowDxfId="127">
      <calculatedColumnFormula>O8</calculatedColumnFormula>
    </tableColumn>
    <tableColumn id="16" name="Comment5" totalsRowLabel=" N/A " dataDxfId="3171" totalsRowDxfId="12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: Summary of Funded and Unfunded State-Mandated Programs. As of April 1, 2020. Total Funded."/>
    </ext>
  </extLst>
</table>
</file>

<file path=xl/tables/table22.xml><?xml version="1.0" encoding="utf-8"?>
<table xmlns="http://schemas.openxmlformats.org/spreadsheetml/2006/main" id="23" name="schedulebunfunded" displayName="schedulebunfunded" ref="A30:P34" totalsRowCount="1" headerRowDxfId="3170" dataDxfId="3168" headerRowBorderDxfId="3169" tableBorderDxfId="3167" totalsRowBorderDxfId="3166">
  <autoFilter ref="A30:P33"/>
  <tableColumns count="16">
    <tableColumn id="1" name="Program_x000a_Category" totalsRowLabel="Total Schedule B2: Unfunded Mandates 6" dataDxfId="3165" totalsRowDxfId="125" dataCellStyle="Hyperlink"/>
    <tableColumn id="2" name="Comment" totalsRowLabel="Comment: State-mandated programs appropriated for payments in the Budget Act (funded) and programs without appropriations (unfunded)." dataDxfId="3164" totalsRowDxfId="124"/>
    <tableColumn id="3" name="Fiscal_x000a_Year" totalsRowLabel="N/A" totalsRowDxfId="123"/>
    <tableColumn id="4" name="Schedules" totalsRowLabel="N/A" dataDxfId="3163" totalsRowDxfId="122"/>
    <tableColumn id="5" name="Program_x000a_Costs" totalsRowFunction="sum" dataDxfId="3162" totalsRowDxfId="121">
      <calculatedColumnFormula>E25</calculatedColumnFormula>
    </tableColumn>
    <tableColumn id="6" name="Less: Net Payments and Offsets 1" totalsRowLabel="$0 " dataDxfId="3161" totalsRowDxfId="120" dataCellStyle="Currency"/>
    <tableColumn id="7" name="Comment1" totalsRowLabel=" N/A " dataDxfId="3160" totalsRowDxfId="119"/>
    <tableColumn id="8" name="Accounts Payable_x000a_Balance 2" totalsRowFunction="sum" dataDxfId="3159" totalsRowDxfId="118">
      <calculatedColumnFormula>H25</calculatedColumnFormula>
    </tableColumn>
    <tableColumn id="9" name="Comment2" totalsRowLabel=" N/A " dataDxfId="3158" totalsRowDxfId="117"/>
    <tableColumn id="10" name="Established_x000a_Accounts _x000a_Receivable 3" totalsRowLabel="$0 " dataDxfId="3157" totalsRowDxfId="116" dataCellStyle="Currency"/>
    <tableColumn id="11" name="Comment3" totalsRowLabel=" N/A " dataDxfId="3156" totalsRowDxfId="115"/>
    <tableColumn id="12" name="Less: Recovered_x000a_Amount" totalsRowLabel="$0 " dataDxfId="3155" totalsRowDxfId="114" dataCellStyle="Currency"/>
    <tableColumn id="13" name="Accounts Receivable_x000a_Balance 4" totalsRowLabel="$0 " dataDxfId="3154" totalsRowDxfId="113" dataCellStyle="Currency"/>
    <tableColumn id="14" name="Comment4" totalsRowLabel=" N/A " dataDxfId="3153" totalsRowDxfId="112"/>
    <tableColumn id="15" name="Net_x000a_Balance 5 " totalsRowFunction="sum" dataDxfId="3152" totalsRowDxfId="111">
      <calculatedColumnFormula>O25</calculatedColumnFormula>
    </tableColumn>
    <tableColumn id="16" name="Comment5" totalsRowLabel=" N/A " dataDxfId="3151" totalsRowDxfId="110" dataCellStyle="Currency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: Summary of Funded and Unfunded State-Mandated Programs. As of April 1, 2020. Total Unfunded."/>
    </ext>
  </extLst>
</table>
</file>

<file path=xl/tables/table23.xml><?xml version="1.0" encoding="utf-8"?>
<table xmlns="http://schemas.openxmlformats.org/spreadsheetml/2006/main" id="24" name="schedulebgrandtotal" displayName="schedulebgrandtotal" ref="A36:P40" totalsRowCount="1" headerRowDxfId="3150" dataDxfId="3148" headerRowBorderDxfId="3149" totalsRowBorderDxfId="3147">
  <autoFilter ref="A36:P39"/>
  <tableColumns count="16">
    <tableColumn id="1" name="Program_x000a_Category" totalsRowLabel="Grand Total Local Agencies, School Districts, and Community College Districts" dataDxfId="3146" totalsRowDxfId="3145"/>
    <tableColumn id="2" name="Comment" totalsRowLabel="N/A" dataDxfId="3144" totalsRowDxfId="3143"/>
    <tableColumn id="3" name="Fiscal_x000a_Year" totalsRowLabel="N/A" dataDxfId="3142" totalsRowDxfId="3141"/>
    <tableColumn id="4" name="Schedules" totalsRowLabel="N/A" dataDxfId="3140" totalsRowDxfId="3139"/>
    <tableColumn id="5" name="Program_x000a_Costs" totalsRowFunction="sum" dataDxfId="3138" totalsRowDxfId="3137">
      <calculatedColumnFormula>E14+E25</calculatedColumnFormula>
    </tableColumn>
    <tableColumn id="6" name="Less: Net Payments and Offsets 1" totalsRowFunction="sum" dataDxfId="3136" totalsRowDxfId="3135">
      <calculatedColumnFormula>F8+F25</calculatedColumnFormula>
    </tableColumn>
    <tableColumn id="7" name="Comment1" totalsRowLabel=" N/A " dataDxfId="3134" totalsRowDxfId="3133"/>
    <tableColumn id="8" name="Accounts Payable_x000a_Balance 2" totalsRowFunction="sum" dataDxfId="3132" totalsRowDxfId="3131"/>
    <tableColumn id="9" name="Comment2" totalsRowLabel=" N/A " dataDxfId="3130" totalsRowDxfId="3129"/>
    <tableColumn id="10" name="Established_x000a_Accounts _x000a_Receivable 3" totalsRowFunction="sum" dataDxfId="3128" totalsRowDxfId="3127">
      <calculatedColumnFormula>J8+J25</calculatedColumnFormula>
    </tableColumn>
    <tableColumn id="11" name="Comment3" totalsRowLabel=" N/A " dataDxfId="3126" totalsRowDxfId="3125"/>
    <tableColumn id="12" name="Less: Recovered_x000a_Amount" totalsRowFunction="sum" dataDxfId="3124" totalsRowDxfId="3123">
      <calculatedColumnFormula>L8+L25</calculatedColumnFormula>
    </tableColumn>
    <tableColumn id="13" name="Accounts Receivable_x000a_Balance 4" totalsRowFunction="sum" dataDxfId="3122" totalsRowDxfId="3121">
      <calculatedColumnFormula>M8+M25</calculatedColumnFormula>
    </tableColumn>
    <tableColumn id="14" name="Comment4" totalsRowLabel=" N/A " dataDxfId="3120" totalsRowDxfId="3119"/>
    <tableColumn id="15" name="Net_x000a_Balance 5 " totalsRowFunction="sum" dataDxfId="3118" totalsRowDxfId="3117"/>
    <tableColumn id="16" name="Comment5" totalsRowLabel=" N/A " dataDxfId="3116" totalsRowDxfId="311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: Summary of Funded and Unfunded State-Mandated Programs. As of April 1, 2020. Grand total."/>
    </ext>
  </extLst>
</table>
</file>

<file path=xl/tables/table24.xml><?xml version="1.0" encoding="utf-8"?>
<table xmlns="http://schemas.openxmlformats.org/spreadsheetml/2006/main" id="25" name="local201819" displayName="local201819" ref="A2:M23" totalsRowCount="1" headerRowDxfId="3114" dataDxfId="3112" headerRowBorderDxfId="3113" tableBorderDxfId="3111" headerRowCellStyle="Currency">
  <autoFilter ref="A2:M22"/>
  <tableColumns count="13">
    <tableColumn id="1" name="Fiscal_x000a_Year" totalsRowLabel="2018-19 Total" dataDxfId="3110" totalsRowDxfId="77"/>
    <tableColumn id="2" name="Program_x000a_Name" totalsRowLabel="N/A" dataDxfId="3109" totalsRowDxfId="76"/>
    <tableColumn id="3" name="Legal_x000a_Reference_x000a_(Ch./Year)" totalsRowLabel="N/A" dataDxfId="3108" totalsRowDxfId="75"/>
    <tableColumn id="4" name="Program Number" totalsRowLabel="N/A" dataDxfId="3107" totalsRowDxfId="74"/>
    <tableColumn id="5" name="Program_x000a_Costs" totalsRowFunction="sum" dataDxfId="3106" totalsRowDxfId="73"/>
    <tableColumn id="6" name="Less: Net Payments and Offsets 7" totalsRowLabel="$0 " dataDxfId="3105" totalsRowDxfId="72" dataCellStyle="Currency"/>
    <tableColumn id="13" name="Comment: Local agencies did not receive one-time funding offsets." totalsRowLabel=" N/A " dataDxfId="3104" totalsRowDxfId="71"/>
    <tableColumn id="7" name="Accounts Payable_x000a_Balance" totalsRowFunction="sum" dataDxfId="3103" totalsRowDxfId="70"/>
    <tableColumn id="8" name="Established_x000a_Accounts Receivable" totalsRowLabel="$0 " dataDxfId="3102" totalsRowDxfId="69" dataCellStyle="Currency"/>
    <tableColumn id="9" name="Less: Recovered Amount" totalsRowLabel="$0 " dataDxfId="3101" totalsRowDxfId="68" dataCellStyle="Currency"/>
    <tableColumn id="10" name="Accounts Receivable_x000a_Balance" totalsRowLabel="$0 " dataDxfId="3100" totalsRowDxfId="67" dataCellStyle="Currency"/>
    <tableColumn id="11" name="Net_x000a_Balance" totalsRowFunction="sum" dataDxfId="3099" totalsRowDxfId="66"/>
    <tableColumn id="12" name="Comment2" totalsRowLabel="  N/A  " dataDxfId="3098" totalsRowDxfId="6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Local Agencies"/>
    </ext>
  </extLst>
</table>
</file>

<file path=xl/tables/table25.xml><?xml version="1.0" encoding="utf-8"?>
<table xmlns="http://schemas.openxmlformats.org/spreadsheetml/2006/main" id="26" name="local201718" displayName="local201718" ref="A25:M39" totalsRowCount="1" headerRowDxfId="3097" dataDxfId="3095" headerRowBorderDxfId="3096" tableBorderDxfId="3094" headerRowCellStyle="Currency">
  <autoFilter ref="A25:M38"/>
  <tableColumns count="13">
    <tableColumn id="1" name="Fiscal_x000a_Year" totalsRowLabel="2017-18 Total" dataDxfId="3093" totalsRowDxfId="3092"/>
    <tableColumn id="2" name="Program_x000a_Name" totalsRowLabel="N/A" dataDxfId="3091" totalsRowDxfId="3090"/>
    <tableColumn id="3" name="Legal_x000a_Reference_x000a_(Ch./Year)" totalsRowLabel="N/A" dataDxfId="3089" totalsRowDxfId="3088"/>
    <tableColumn id="4" name="Program Number" totalsRowLabel="N/A" dataDxfId="3087" totalsRowDxfId="3086"/>
    <tableColumn id="5" name="Program_x000a_Costs" totalsRowFunction="sum" dataDxfId="3085" totalsRowDxfId="3084"/>
    <tableColumn id="6" name="Less: Net Payments and Offsets 7" totalsRowFunction="sum" dataDxfId="3083" totalsRowDxfId="3082"/>
    <tableColumn id="7" name="Comment" totalsRowLabel=" N/A " dataDxfId="3081" totalsRowDxfId="3080"/>
    <tableColumn id="8" name="Accounts Payable_x000a_Balance" totalsRowFunction="sum" dataDxfId="3079" totalsRowDxfId="3078"/>
    <tableColumn id="9" name="Established_x000a_Accounts Receivable" totalsRowFunction="sum" dataDxfId="3077" totalsRowDxfId="3076"/>
    <tableColumn id="10" name="Less: Recovered Amount" totalsRowFunction="sum" dataDxfId="3075" totalsRowDxfId="3074"/>
    <tableColumn id="11" name="Accounts Receivable_x000a_Balance" totalsRowFunction="sum" dataDxfId="3073" totalsRowDxfId="3072"/>
    <tableColumn id="12" name="Net_x000a_Balance" totalsRowFunction="sum" dataDxfId="3071" totalsRowDxfId="3070"/>
    <tableColumn id="13" name="Comment2" totalsRowLabel=" N/A " dataDxfId="3069" totalsRowDxfId="306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Local Agencies"/>
    </ext>
  </extLst>
</table>
</file>

<file path=xl/tables/table26.xml><?xml version="1.0" encoding="utf-8"?>
<table xmlns="http://schemas.openxmlformats.org/spreadsheetml/2006/main" id="27" name="Local201617" displayName="Local201617" ref="A41:M45" totalsRowCount="1" headerRowDxfId="3067" dataDxfId="3065" totalsRowDxfId="3063" headerRowBorderDxfId="3066" tableBorderDxfId="3064" headerRowCellStyle="Currency">
  <autoFilter ref="A41:M44"/>
  <tableColumns count="13">
    <tableColumn id="1" name="Fiscal_x000a_Year" totalsRowLabel="2016-17 Total" dataDxfId="3062" totalsRowDxfId="3061"/>
    <tableColumn id="2" name="Program_x000a_Name" totalsRowLabel="N/A" dataDxfId="3060" totalsRowDxfId="3059"/>
    <tableColumn id="3" name="Legal_x000a_Reference_x000a_(Ch./Year)" totalsRowLabel="N/A" dataDxfId="3058" totalsRowDxfId="3057"/>
    <tableColumn id="4" name="Program Number" totalsRowLabel="N/A" dataDxfId="3056" totalsRowDxfId="3055"/>
    <tableColumn id="5" name="Program_x000a_Costs" totalsRowFunction="sum" dataDxfId="3054" totalsRowDxfId="3053"/>
    <tableColumn id="6" name="Less: Net Payments and Offsets 7" totalsRowFunction="sum" dataDxfId="3052" totalsRowDxfId="3051"/>
    <tableColumn id="7" name="Comment" totalsRowLabel=" N/A " dataDxfId="3050" totalsRowDxfId="3049"/>
    <tableColumn id="8" name="Accounts Payable_x000a_Balance" totalsRowFunction="sum" dataDxfId="3048" totalsRowDxfId="3047"/>
    <tableColumn id="9" name="Established_x000a_Accounts Receivable" totalsRowFunction="sum" dataDxfId="3046" totalsRowDxfId="3045"/>
    <tableColumn id="10" name="Less: Recovered Amount" totalsRowFunction="sum" dataDxfId="3044" totalsRowDxfId="3043"/>
    <tableColumn id="11" name="Accounts Receivable_x000a_Balance" totalsRowFunction="sum" dataDxfId="3042" totalsRowDxfId="3041"/>
    <tableColumn id="12" name="Net_x000a_Balance" totalsRowFunction="sum" dataDxfId="3040" totalsRowDxfId="3039"/>
    <tableColumn id="13" name="Comment2" totalsRowLabel=" N/A " dataDxfId="3038" totalsRowDxfId="303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Local Agencies"/>
    </ext>
  </extLst>
</table>
</file>

<file path=xl/tables/table27.xml><?xml version="1.0" encoding="utf-8"?>
<table xmlns="http://schemas.openxmlformats.org/spreadsheetml/2006/main" id="28" name="local201516" displayName="local201516" ref="A47:M50" totalsRowCount="1" headerRowDxfId="3036" dataDxfId="3034" totalsRowDxfId="3032" headerRowBorderDxfId="3035" tableBorderDxfId="3033" headerRowCellStyle="Currency">
  <autoFilter ref="A47:M49"/>
  <tableColumns count="13">
    <tableColumn id="1" name="Fiscal_x000a_Year" totalsRowLabel="2015-16 Total" dataDxfId="3031" totalsRowDxfId="3030"/>
    <tableColumn id="2" name="Program_x000a_Name" totalsRowLabel="N/A" dataDxfId="3029" totalsRowDxfId="3028"/>
    <tableColumn id="3" name="Legal_x000a_Reference_x000a_(Ch./Year)" totalsRowLabel="N/A" dataDxfId="3027" totalsRowDxfId="3026"/>
    <tableColumn id="4" name="Program Number" totalsRowLabel="N/A" dataDxfId="3025" totalsRowDxfId="3024"/>
    <tableColumn id="5" name="Program_x000a_Costs" totalsRowFunction="sum" dataDxfId="3023" totalsRowDxfId="3022"/>
    <tableColumn id="6" name="Less: Net Payments and Offsets 7" totalsRowFunction="sum" dataDxfId="3021" totalsRowDxfId="3020"/>
    <tableColumn id="7" name="Comment" totalsRowLabel=" N/A " dataDxfId="3019" totalsRowDxfId="3018"/>
    <tableColumn id="8" name="Accounts Payable_x000a_Balance" totalsRowFunction="sum" dataDxfId="3017" totalsRowDxfId="3016"/>
    <tableColumn id="9" name="Established_x000a_Accounts Receivable" totalsRowFunction="sum" dataDxfId="3015" totalsRowDxfId="3014"/>
    <tableColumn id="10" name="Less: Recovered Amount" totalsRowFunction="sum" dataDxfId="3013" totalsRowDxfId="3012"/>
    <tableColumn id="11" name="Accounts Receivable_x000a_Balance" totalsRowFunction="sum" dataDxfId="3011" totalsRowDxfId="3010"/>
    <tableColumn id="12" name="Net_x000a_Balance" totalsRowFunction="sum" dataDxfId="3009" totalsRowDxfId="3008"/>
    <tableColumn id="13" name="Comment2" totalsRowLabel=" N/A " dataDxfId="3007" totalsRowDxfId="300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Local Agencies"/>
    </ext>
  </extLst>
</table>
</file>

<file path=xl/tables/table28.xml><?xml version="1.0" encoding="utf-8"?>
<table xmlns="http://schemas.openxmlformats.org/spreadsheetml/2006/main" id="29" name="local201415" displayName="local201415" ref="A52:M56" totalsRowCount="1" headerRowDxfId="3005" dataDxfId="3003" totalsRowDxfId="3001" headerRowBorderDxfId="3004" tableBorderDxfId="3002" headerRowCellStyle="Currency">
  <autoFilter ref="A52:M55"/>
  <tableColumns count="13">
    <tableColumn id="1" name="Fiscal_x000a_Year" totalsRowLabel="2014-15 Total" dataDxfId="3000" totalsRowDxfId="2999"/>
    <tableColumn id="2" name="Program_x000a_Name" totalsRowLabel="N/A" dataDxfId="2998" totalsRowDxfId="2997"/>
    <tableColumn id="3" name="Legal_x000a_Reference_x000a_(Ch./Year)" totalsRowLabel="N/A" dataDxfId="2996" totalsRowDxfId="2995"/>
    <tableColumn id="4" name="Program Number" totalsRowLabel="N/A" dataDxfId="2994" totalsRowDxfId="2993"/>
    <tableColumn id="5" name="Program_x000a_Costs" totalsRowFunction="sum" dataDxfId="2992" totalsRowDxfId="2991"/>
    <tableColumn id="6" name="Less: Net Payments and Offsets 7" totalsRowFunction="sum" dataDxfId="2990" totalsRowDxfId="2989"/>
    <tableColumn id="7" name="Comment" totalsRowLabel=" N/A " dataDxfId="2988" totalsRowDxfId="2987"/>
    <tableColumn id="8" name="Accounts Payable_x000a_Balance" totalsRowFunction="sum" dataDxfId="2986" totalsRowDxfId="2985"/>
    <tableColumn id="9" name="Established_x000a_Accounts Receivable" totalsRowFunction="sum" dataDxfId="2984" totalsRowDxfId="2983"/>
    <tableColumn id="10" name="Less: Recovered Amount" totalsRowFunction="sum" dataDxfId="2982" totalsRowDxfId="2981"/>
    <tableColumn id="11" name="Accounts Receivable_x000a_Balance" totalsRowFunction="sum" dataDxfId="2980" totalsRowDxfId="2979"/>
    <tableColumn id="12" name="Net_x000a_Balance" totalsRowFunction="sum" dataDxfId="2978" totalsRowDxfId="2977"/>
    <tableColumn id="13" name="Comment2" totalsRowLabel=" N/A " dataDxfId="2976" totalsRowDxfId="297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Local Agencies"/>
    </ext>
  </extLst>
</table>
</file>

<file path=xl/tables/table29.xml><?xml version="1.0" encoding="utf-8"?>
<table xmlns="http://schemas.openxmlformats.org/spreadsheetml/2006/main" id="30" name="local201314" displayName="local201314" ref="A58:M61" totalsRowCount="1" headerRowDxfId="2974" dataDxfId="2972" totalsRowDxfId="2970" headerRowBorderDxfId="2973" tableBorderDxfId="2971" headerRowCellStyle="Currency">
  <autoFilter ref="A58:M60"/>
  <tableColumns count="13">
    <tableColumn id="1" name="Fiscal_x000a_Year" totalsRowLabel="2013-14 Total" dataDxfId="2969" totalsRowDxfId="2968"/>
    <tableColumn id="2" name="Program_x000a_Name" totalsRowLabel="N/A" dataDxfId="2967" totalsRowDxfId="2966"/>
    <tableColumn id="3" name="Legal_x000a_Reference_x000a_(Ch./Year)" totalsRowLabel="N/A" dataDxfId="2965" totalsRowDxfId="2964"/>
    <tableColumn id="4" name="Program Number" totalsRowLabel="N/A" dataDxfId="2963" totalsRowDxfId="2962"/>
    <tableColumn id="5" name="Program_x000a_Costs" totalsRowFunction="sum" dataDxfId="2961" totalsRowDxfId="2960"/>
    <tableColumn id="6" name="Less: Net Payments and Offsets 7" totalsRowFunction="sum" dataDxfId="2959" totalsRowDxfId="2958"/>
    <tableColumn id="7" name="Comment" totalsRowLabel=" N/A " dataDxfId="2957" totalsRowDxfId="2956"/>
    <tableColumn id="8" name="Accounts Payable_x000a_Balance" totalsRowFunction="sum" dataDxfId="2955" totalsRowDxfId="2954"/>
    <tableColumn id="9" name="Established_x000a_Accounts Receivable" totalsRowFunction="sum" dataDxfId="2953" totalsRowDxfId="2952"/>
    <tableColumn id="10" name="Less: Recovered Amount" totalsRowFunction="sum" dataDxfId="2951" totalsRowDxfId="2950"/>
    <tableColumn id="11" name="Accounts Receivable_x000a_Balance" totalsRowFunction="sum" dataDxfId="2949" totalsRowDxfId="2948"/>
    <tableColumn id="12" name="Net_x000a_Balance" totalsRowFunction="sum" dataDxfId="2947" totalsRowDxfId="2946"/>
    <tableColumn id="13" name="Comment2" totalsRowLabel=" N/A " dataDxfId="2945" totalsRowDxfId="294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Local Agencies"/>
    </ext>
  </extLst>
</table>
</file>

<file path=xl/tables/table3.xml><?xml version="1.0" encoding="utf-8"?>
<table xmlns="http://schemas.openxmlformats.org/spreadsheetml/2006/main" id="6" name="pestnongeneralfund" displayName="pestnongeneralfund" ref="A14:N18" totalsRowCount="1" totalsRowDxfId="3581" headerRowBorderDxfId="3583" tableBorderDxfId="3582" totalsRowBorderDxfId="3580">
  <autoFilter ref="A14:N17"/>
  <tableColumns count="14">
    <tableColumn id="1" name="Program Category _x000a_and Fund" totalsRowLabel="Total Pesticide Regulation-Non-General Fund" dataDxfId="3579" totalsRowDxfId="3578"/>
    <tableColumn id="2" name="Appropriation_x000a_Number" totalsRowLabel="N/A" totalsRowDxfId="3577"/>
    <tableColumn id="3" name="Legal _x000a_Reference_x000a_(Ch./Year)" totalsRowLabel="N/A" totalsRowDxfId="3576"/>
    <tableColumn id="4" name="Fiscal Year of _x000a_Claims Paid" totalsRowLabel="N/A" totalsRowDxfId="3575"/>
    <tableColumn id="5" name="Reversion_x000a_ Date" totalsRowLabel="N/A" totalsRowDxfId="3574"/>
    <tableColumn id="6" name="Original                         Appropriation                  Amount" totalsRowFunction="sum" totalsRowDxfId="3573"/>
    <tableColumn id="7" name="Appropriation Balances_x000a_as of 07/01/2019" totalsRowFunction="sum" totalsRowDxfId="3572"/>
    <tableColumn id="8" name="Budget Adjustments        " totalsRowLabel="$0 " dataDxfId="3571" totalsRowDxfId="3570" dataCellStyle="Currency"/>
    <tableColumn id="9" name="Comment" totalsRowLabel=" N/A " totalsRowDxfId="3569"/>
    <tableColumn id="10" name="Add: Receipts               and Recovered Amounts" totalsRowLabel="$0 " dataDxfId="3568" totalsRowDxfId="3567" dataCellStyle="Currency"/>
    <tableColumn id="11" name="Less: Mandated Program Payments, _x000a_Offsets, and Interest   _x000a_ (see Schedule A1) 2" totalsRowFunction="sum" totalsRowDxfId="3566"/>
    <tableColumn id="12" name="Comment2" totalsRowLabel=" N/A " totalsRowDxfId="3565"/>
    <tableColumn id="13" name="Less: Reappropriations 3" totalsRowLabel="$0 " dataDxfId="3564" totalsRowDxfId="3563" dataCellStyle="Currency"/>
    <tableColumn id="14" name="Appropriation Balances_x000a_as of 04/01/2020" totalsRowFunction="sum" dataDxfId="3562" totalsRowDxfId="3561" dataCellStyle="Currency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A: Summary of State-Mandated Program Appropriations, Receipts, and Payments. As of April 1, 2020. For Pesticide Regulation-Non General Fund."/>
    </ext>
  </extLst>
</table>
</file>

<file path=xl/tables/table30.xml><?xml version="1.0" encoding="utf-8"?>
<table xmlns="http://schemas.openxmlformats.org/spreadsheetml/2006/main" id="31" name="local201213" displayName="local201213" ref="A63:M65" totalsRowCount="1" headerRowDxfId="2943" dataDxfId="2941" headerRowBorderDxfId="2942" tableBorderDxfId="2940" headerRowCellStyle="Currency">
  <autoFilter ref="A63:M64"/>
  <tableColumns count="13">
    <tableColumn id="1" name="Fiscal_x000a_Year" totalsRowLabel="2012-13 Total" dataDxfId="2939" totalsRowDxfId="2938"/>
    <tableColumn id="2" name="Program_x000a_Name" totalsRowLabel="N/A" dataDxfId="2937" totalsRowDxfId="2936"/>
    <tableColumn id="3" name="Legal_x000a_Reference_x000a_(Ch./Year)" totalsRowLabel="N/A" dataDxfId="2935" totalsRowDxfId="2934"/>
    <tableColumn id="4" name="Program Number" totalsRowLabel="N/A" dataDxfId="2933" totalsRowDxfId="2932"/>
    <tableColumn id="5" name="Program_x000a_Costs" totalsRowFunction="sum" dataDxfId="2931" totalsRowDxfId="2930"/>
    <tableColumn id="6" name="Less: Net Payments and Offsets 7" totalsRowLabel="$0 " dataDxfId="2929" totalsRowDxfId="2928" dataCellStyle="Currency"/>
    <tableColumn id="7" name="Comment" totalsRowLabel=" N/A " dataDxfId="2927" totalsRowDxfId="2926"/>
    <tableColumn id="8" name="Accounts Payable_x000a_Balance" totalsRowFunction="sum" dataDxfId="2925" totalsRowDxfId="2924"/>
    <tableColumn id="9" name="Established_x000a_Accounts Receivable" totalsRowLabel="$0 " dataDxfId="2923" totalsRowDxfId="2922" dataCellStyle="Currency"/>
    <tableColumn id="10" name="Less: Recovered Amount" totalsRowLabel="$0 " dataDxfId="2921" totalsRowDxfId="2920" dataCellStyle="Currency"/>
    <tableColumn id="11" name="Accounts Receivable_x000a_Balance" totalsRowLabel="$0 " dataDxfId="2919" totalsRowDxfId="2918" dataCellStyle="Currency"/>
    <tableColumn id="12" name="Net_x000a_Balance" totalsRowFunction="sum" dataDxfId="2917" totalsRowDxfId="2916"/>
    <tableColumn id="13" name="Comment2" totalsRowLabel=" N/A " dataDxfId="2915" totalsRowDxfId="291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Local Agencies"/>
    </ext>
  </extLst>
</table>
</file>

<file path=xl/tables/table31.xml><?xml version="1.0" encoding="utf-8"?>
<table xmlns="http://schemas.openxmlformats.org/spreadsheetml/2006/main" id="32" name="local201112" displayName="local201112" ref="A67:M70" totalsRowCount="1" headerRowDxfId="2913" dataDxfId="2911" totalsRowDxfId="2909" headerRowBorderDxfId="2912" tableBorderDxfId="2910" headerRowCellStyle="Currency">
  <autoFilter ref="A67:M69"/>
  <tableColumns count="13">
    <tableColumn id="1" name="Fiscal_x000a_Year" totalsRowLabel="2011-12 Total" dataDxfId="2908" totalsRowDxfId="2907"/>
    <tableColumn id="2" name="Program_x000a_Name" totalsRowLabel="N/A" dataDxfId="2906" totalsRowDxfId="2905"/>
    <tableColumn id="3" name="Legal_x000a_Reference_x000a_(Ch./Year)" totalsRowLabel="N/A" dataDxfId="2904" totalsRowDxfId="2903"/>
    <tableColumn id="4" name="Program Number" totalsRowLabel="N/A" dataDxfId="2902" totalsRowDxfId="2901"/>
    <tableColumn id="5" name="Program_x000a_Costs" totalsRowFunction="sum" dataDxfId="2900" totalsRowDxfId="2899"/>
    <tableColumn id="6" name="Less: Net Payments and Offsets 7" totalsRowLabel="$0 " dataDxfId="2898" totalsRowDxfId="2897" dataCellStyle="Currency"/>
    <tableColumn id="7" name="Comment" totalsRowLabel=" N/A " dataDxfId="2896" totalsRowDxfId="2895"/>
    <tableColumn id="8" name="Accounts Payable_x000a_Balance" totalsRowFunction="sum" dataDxfId="2894" totalsRowDxfId="2893"/>
    <tableColumn id="9" name="Established_x000a_Accounts Receivable" totalsRowLabel="$0 " dataDxfId="2892" totalsRowDxfId="2891" dataCellStyle="Currency"/>
    <tableColumn id="10" name="Less: Recovered Amount" totalsRowLabel="$0 " dataDxfId="2890" totalsRowDxfId="2889" dataCellStyle="Currency"/>
    <tableColumn id="11" name="Accounts Receivable_x000a_Balance" totalsRowLabel="$0 " dataDxfId="2888" totalsRowDxfId="2887" dataCellStyle="Currency"/>
    <tableColumn id="12" name="Net_x000a_Balance" totalsRowFunction="sum" dataDxfId="2886" totalsRowDxfId="2885"/>
    <tableColumn id="13" name="Comment2" totalsRowLabel=" N/A " dataDxfId="2884" totalsRowDxfId="288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Local Agencies"/>
    </ext>
  </extLst>
</table>
</file>

<file path=xl/tables/table32.xml><?xml version="1.0" encoding="utf-8"?>
<table xmlns="http://schemas.openxmlformats.org/spreadsheetml/2006/main" id="33" name="local201011" displayName="local201011" ref="A72:M81" totalsRowCount="1" headerRowDxfId="2882" dataDxfId="2880" totalsRowDxfId="2878" headerRowBorderDxfId="2881" tableBorderDxfId="2879" headerRowCellStyle="Currency">
  <autoFilter ref="A72:M80"/>
  <tableColumns count="13">
    <tableColumn id="1" name="Fiscal_x000a_Year" totalsRowLabel="2010-11 Total" dataDxfId="2877" totalsRowDxfId="2876"/>
    <tableColumn id="2" name="Program_x000a_Name" totalsRowLabel="N/A" dataDxfId="2875" totalsRowDxfId="2874"/>
    <tableColumn id="3" name="Legal_x000a_Reference_x000a_(Ch./Year)" totalsRowLabel="N/A" dataDxfId="2873" totalsRowDxfId="2872"/>
    <tableColumn id="4" name="Program Number" totalsRowLabel="N/A" dataDxfId="2871" totalsRowDxfId="2870"/>
    <tableColumn id="5" name="Program_x000a_Costs" totalsRowFunction="sum" dataDxfId="2869" totalsRowDxfId="2868"/>
    <tableColumn id="6" name="Less: Net Payments and Offsets 7" totalsRowFunction="sum" dataDxfId="2867" totalsRowDxfId="2866"/>
    <tableColumn id="7" name="Comment" totalsRowLabel=" N/A " dataDxfId="2865" totalsRowDxfId="2864"/>
    <tableColumn id="8" name="Accounts Payable_x000a_Balance" totalsRowFunction="sum" dataDxfId="2863" totalsRowDxfId="2862"/>
    <tableColumn id="9" name="Established_x000a_Accounts Receivable" totalsRowFunction="sum" dataDxfId="2861" totalsRowDxfId="2860"/>
    <tableColumn id="10" name="Less: Recovered Amount" totalsRowLabel="$0 " dataDxfId="2859" totalsRowDxfId="2858" dataCellStyle="Currency"/>
    <tableColumn id="11" name="Accounts Receivable_x000a_Balance" totalsRowFunction="sum" dataDxfId="2857" totalsRowDxfId="2856"/>
    <tableColumn id="12" name="Net_x000a_Balance" totalsRowFunction="sum" dataDxfId="2855" totalsRowDxfId="2854"/>
    <tableColumn id="13" name="Comment2" totalsRowLabel=" N/A " dataDxfId="2853" totalsRowDxfId="285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Local Agencies"/>
    </ext>
  </extLst>
</table>
</file>

<file path=xl/tables/table33.xml><?xml version="1.0" encoding="utf-8"?>
<table xmlns="http://schemas.openxmlformats.org/spreadsheetml/2006/main" id="34" name="local200910" displayName="local200910" ref="A83:M110" totalsRowCount="1" headerRowDxfId="2851" dataDxfId="2849" totalsRowDxfId="2847" headerRowBorderDxfId="2850" tableBorderDxfId="2848" headerRowCellStyle="Currency">
  <autoFilter ref="A83:M109"/>
  <tableColumns count="13">
    <tableColumn id="1" name="Fiscal_x000a_Year" totalsRowLabel="2009-10 Total" dataDxfId="2846" totalsRowDxfId="2845"/>
    <tableColumn id="2" name="Program_x000a_Name" totalsRowLabel="N/A" dataDxfId="2844" totalsRowDxfId="2843"/>
    <tableColumn id="3" name="Legal_x000a_Reference_x000a_(Ch./Year)" totalsRowLabel="N/A" dataDxfId="2842" totalsRowDxfId="2841"/>
    <tableColumn id="4" name="Program Number" totalsRowLabel="N/A" dataDxfId="2840" totalsRowDxfId="2839"/>
    <tableColumn id="5" name="Program_x000a_Costs" totalsRowFunction="sum" dataDxfId="2838" totalsRowDxfId="2837"/>
    <tableColumn id="6" name="Less: Net Payments and Offsets 7" totalsRowFunction="sum" dataDxfId="2836" totalsRowDxfId="2835" dataCellStyle="Currency"/>
    <tableColumn id="7" name="Comment" totalsRowLabel="N/A" dataDxfId="2834" totalsRowDxfId="2833"/>
    <tableColumn id="8" name="Accounts Payable_x000a_Balance" totalsRowFunction="sum" dataDxfId="2832" totalsRowDxfId="2831"/>
    <tableColumn id="9" name="Established_x000a_Accounts Receivable" totalsRowFunction="sum" dataDxfId="2830" totalsRowDxfId="2829" dataCellStyle="Currency"/>
    <tableColumn id="10" name="Less: Recovered Amount" totalsRowFunction="sum" dataDxfId="2828" totalsRowDxfId="2827" dataCellStyle="Currency"/>
    <tableColumn id="11" name="Accounts Receivable_x000a_Balance" totalsRowFunction="sum" dataDxfId="2826" totalsRowDxfId="2825" dataCellStyle="Currency"/>
    <tableColumn id="12" name="Net_x000a_Balance" totalsRowFunction="sum" dataDxfId="2824" totalsRowDxfId="2823"/>
    <tableColumn id="13" name="Comment2" totalsRowLabel="N/A" dataDxfId="2822" totalsRowDxfId="282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Local Agencies"/>
    </ext>
  </extLst>
</table>
</file>

<file path=xl/tables/table34.xml><?xml version="1.0" encoding="utf-8"?>
<table xmlns="http://schemas.openxmlformats.org/spreadsheetml/2006/main" id="35" name="local200809" displayName="local200809" ref="A112:M136" totalsRowCount="1" headerRowDxfId="2820" dataDxfId="2818" totalsRowDxfId="2816" headerRowBorderDxfId="2819" tableBorderDxfId="2817" headerRowCellStyle="Currency">
  <autoFilter ref="A112:M135"/>
  <tableColumns count="13">
    <tableColumn id="1" name="Fiscal_x000a_Year" totalsRowLabel="2008-09 Total" dataDxfId="2815" totalsRowDxfId="2814"/>
    <tableColumn id="2" name="Program_x000a_Name" totalsRowLabel="N/A" dataDxfId="2813" totalsRowDxfId="2812"/>
    <tableColumn id="3" name="Legal_x000a_Reference_x000a_(Ch./Year)" totalsRowLabel="N/A" dataDxfId="2811" totalsRowDxfId="2810"/>
    <tableColumn id="4" name="Program Number" totalsRowLabel="N/A" dataDxfId="2809" totalsRowDxfId="2808"/>
    <tableColumn id="5" name="Program_x000a_Costs" totalsRowFunction="sum" dataDxfId="2807" totalsRowDxfId="2806"/>
    <tableColumn id="6" name="Less: Net Payments and Offsets 7" totalsRowFunction="sum" dataDxfId="2805" totalsRowDxfId="2804"/>
    <tableColumn id="7" name="Comment" totalsRowLabel=" N/A " dataDxfId="2803" totalsRowDxfId="2802"/>
    <tableColumn id="8" name="Accounts Payable_x000a_Balance" totalsRowFunction="sum" dataDxfId="2801" totalsRowDxfId="2800"/>
    <tableColumn id="9" name="Established_x000a_Accounts Receivable" totalsRowFunction="sum" dataDxfId="2799" totalsRowDxfId="2798"/>
    <tableColumn id="10" name="Less: Recovered Amount" totalsRowLabel="$0 " dataDxfId="2797" totalsRowDxfId="2796" dataCellStyle="Currency"/>
    <tableColumn id="11" name="Accounts Receivable_x000a_Balance" totalsRowFunction="sum" dataDxfId="2795" totalsRowDxfId="2794"/>
    <tableColumn id="12" name="Net_x000a_Balance" totalsRowFunction="sum" dataDxfId="2793" totalsRowDxfId="2792"/>
    <tableColumn id="13" name="Comment2" totalsRowLabel=" N/A " dataDxfId="2791" totalsRowDxfId="279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Local Agencies"/>
    </ext>
  </extLst>
</table>
</file>

<file path=xl/tables/table35.xml><?xml version="1.0" encoding="utf-8"?>
<table xmlns="http://schemas.openxmlformats.org/spreadsheetml/2006/main" id="36" name="local200708" displayName="local200708" ref="A138:M165" totalsRowCount="1" headerRowDxfId="2789" dataDxfId="2787" headerRowBorderDxfId="2788" tableBorderDxfId="2786" headerRowCellStyle="Currency">
  <autoFilter ref="A138:M164"/>
  <tableColumns count="13">
    <tableColumn id="1" name="Fiscal_x000a_Year" totalsRowLabel="2007-08 Total" dataDxfId="2785" totalsRowDxfId="2784"/>
    <tableColumn id="2" name="Program_x000a_Name" totalsRowLabel="N/A" dataDxfId="2783" totalsRowDxfId="2782"/>
    <tableColumn id="3" name="Legal_x000a_Reference_x000a_(Ch./Year)" totalsRowLabel="N/A" dataDxfId="2781" totalsRowDxfId="2780"/>
    <tableColumn id="4" name="Program Number" totalsRowLabel="N/A" dataDxfId="2779" totalsRowDxfId="2778"/>
    <tableColumn id="5" name="Program_x000a_Costs" totalsRowFunction="sum" dataDxfId="2777" totalsRowDxfId="2776"/>
    <tableColumn id="6" name="Less: Net Payments and Offsets 7" totalsRowFunction="sum" dataDxfId="2775" totalsRowDxfId="2774"/>
    <tableColumn id="7" name="Comment" totalsRowLabel=" N/A " dataDxfId="2773" totalsRowDxfId="2772"/>
    <tableColumn id="8" name="Accounts Payable_x000a_Balance" totalsRowFunction="sum" dataDxfId="2771" totalsRowDxfId="2770"/>
    <tableColumn id="9" name="Established_x000a_Accounts Receivable" totalsRowFunction="sum" dataDxfId="2769" totalsRowDxfId="2768"/>
    <tableColumn id="10" name="Less: Recovered Amount" totalsRowLabel="$0 " dataDxfId="2767" totalsRowDxfId="2766" dataCellStyle="Currency"/>
    <tableColumn id="11" name="Accounts Receivable_x000a_Balance" totalsRowFunction="sum" dataDxfId="2765" totalsRowDxfId="2764"/>
    <tableColumn id="12" name="Net_x000a_Balance" totalsRowFunction="sum" dataDxfId="2763" totalsRowDxfId="2762"/>
    <tableColumn id="13" name="Comment2" totalsRowLabel=" N/A " dataDxfId="2761" totalsRowDxfId="276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Local Agencies"/>
    </ext>
  </extLst>
</table>
</file>

<file path=xl/tables/table36.xml><?xml version="1.0" encoding="utf-8"?>
<table xmlns="http://schemas.openxmlformats.org/spreadsheetml/2006/main" id="37" name="Local200607" displayName="Local200607" ref="A167:M179" totalsRowCount="1" headerRowDxfId="2759" dataDxfId="2757" headerRowBorderDxfId="2758" tableBorderDxfId="2756" headerRowCellStyle="Currency">
  <autoFilter ref="A167:M178"/>
  <tableColumns count="13">
    <tableColumn id="1" name="Fiscal_x000a_Year" totalsRowLabel="2006-07 Total" dataDxfId="2755" totalsRowDxfId="2754"/>
    <tableColumn id="2" name="Program_x000a_Name" totalsRowLabel="N/A" dataDxfId="2753" totalsRowDxfId="2752"/>
    <tableColumn id="3" name="Legal_x000a_Reference_x000a_(Ch./Year)" totalsRowLabel="N/A" dataDxfId="2751" totalsRowDxfId="2750"/>
    <tableColumn id="4" name="Program Number" totalsRowLabel="N/A" dataDxfId="2749" totalsRowDxfId="2748"/>
    <tableColumn id="5" name="Program_x000a_Costs" totalsRowFunction="sum" dataDxfId="2747" totalsRowDxfId="2746"/>
    <tableColumn id="6" name="Less: Net Payments and Offsets 7" totalsRowFunction="sum" dataDxfId="2745" totalsRowDxfId="2744"/>
    <tableColumn id="7" name="Comment" totalsRowLabel=" N/A " dataDxfId="2743" totalsRowDxfId="2742"/>
    <tableColumn id="8" name="Accounts Payable_x000a_Balance" totalsRowFunction="sum" dataDxfId="2741" totalsRowDxfId="2740"/>
    <tableColumn id="9" name="Established_x000a_Accounts Receivable" totalsRowFunction="sum" dataDxfId="2739" totalsRowDxfId="2738"/>
    <tableColumn id="10" name="Less: Recovered Amount" totalsRowFunction="sum" dataDxfId="2737" totalsRowDxfId="2736"/>
    <tableColumn id="11" name="Accounts Receivable_x000a_Balance" totalsRowFunction="sum" dataDxfId="2735" totalsRowDxfId="2734"/>
    <tableColumn id="12" name="Net_x000a_Balance" totalsRowFunction="sum" dataDxfId="2733" totalsRowDxfId="2732"/>
    <tableColumn id="13" name="Comment2" totalsRowLabel="N/A" dataDxfId="2731" totalsRowDxfId="273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Local Agencies"/>
    </ext>
  </extLst>
</table>
</file>

<file path=xl/tables/table37.xml><?xml version="1.0" encoding="utf-8"?>
<table xmlns="http://schemas.openxmlformats.org/spreadsheetml/2006/main" id="38" name="local200506" displayName="local200506" ref="A181:M189" totalsRowCount="1" headerRowDxfId="2729" dataDxfId="2727" headerRowBorderDxfId="2728" tableBorderDxfId="2726" headerRowCellStyle="Currency">
  <autoFilter ref="A181:M188"/>
  <tableColumns count="13">
    <tableColumn id="1" name="Fiscal_x000a_Year" totalsRowLabel="2005-06 Total" dataDxfId="2725" totalsRowDxfId="2724"/>
    <tableColumn id="2" name="Program_x000a_Name" totalsRowLabel="N/A" dataDxfId="2723" totalsRowDxfId="2722"/>
    <tableColumn id="3" name="Legal_x000a_Reference_x000a_(Ch./Year)" totalsRowLabel="N/A" dataDxfId="2721" totalsRowDxfId="2720"/>
    <tableColumn id="4" name="Program Number" totalsRowLabel="N/A" dataDxfId="2719" totalsRowDxfId="2718"/>
    <tableColumn id="5" name="Program_x000a_Costs" totalsRowFunction="sum" dataDxfId="2717" totalsRowDxfId="2716"/>
    <tableColumn id="6" name="Less: Net Payments and Offsets 7" totalsRowFunction="sum" dataDxfId="2715" totalsRowDxfId="2714"/>
    <tableColumn id="7" name="Comment" totalsRowLabel=" N/A " dataDxfId="2713" totalsRowDxfId="2712"/>
    <tableColumn id="8" name="Accounts Payable_x000a_Balance" totalsRowFunction="sum" dataDxfId="2711" totalsRowDxfId="2710"/>
    <tableColumn id="9" name="Established_x000a_Accounts Receivable" totalsRowFunction="sum" dataDxfId="2709" totalsRowDxfId="2708"/>
    <tableColumn id="10" name="Less: Recovered Amount" totalsRowFunction="sum" dataDxfId="2707" totalsRowDxfId="2706"/>
    <tableColumn id="11" name="Accounts Receivable_x000a_Balance" totalsRowFunction="sum" dataDxfId="2705" totalsRowDxfId="2704"/>
    <tableColumn id="12" name="Net_x000a_Balance" totalsRowFunction="sum" dataDxfId="2703" totalsRowDxfId="2702"/>
    <tableColumn id="13" name="Comment2" totalsRowLabel=" N/A " dataDxfId="2701" totalsRowDxfId="270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Local Agencies"/>
    </ext>
  </extLst>
</table>
</file>

<file path=xl/tables/table38.xml><?xml version="1.0" encoding="utf-8"?>
<table xmlns="http://schemas.openxmlformats.org/spreadsheetml/2006/main" id="39" name="local200405" displayName="local200405" ref="A191:M198" totalsRowCount="1" headerRowDxfId="2699" dataDxfId="2697" totalsRowDxfId="2695" headerRowBorderDxfId="2698" tableBorderDxfId="2696" headerRowCellStyle="Currency">
  <autoFilter ref="A191:M197"/>
  <tableColumns count="13">
    <tableColumn id="1" name="Fiscal_x000a_Year" totalsRowLabel="2004-05 Total" dataDxfId="2694" totalsRowDxfId="2693"/>
    <tableColumn id="2" name="Program_x000a_Name" totalsRowLabel="N/A" dataDxfId="2692" totalsRowDxfId="2691"/>
    <tableColumn id="3" name="Legal_x000a_Reference_x000a_(Ch./Year)" totalsRowLabel="N/A" dataDxfId="2690" totalsRowDxfId="2689"/>
    <tableColumn id="4" name="Program Number" totalsRowLabel="N/A" dataDxfId="2688" totalsRowDxfId="2687"/>
    <tableColumn id="5" name="Program_x000a_Costs" totalsRowFunction="sum" dataDxfId="2686" totalsRowDxfId="2685"/>
    <tableColumn id="6" name="Less: Net Payments and Offsets 7" totalsRowFunction="sum" dataDxfId="2684" totalsRowDxfId="2683"/>
    <tableColumn id="7" name="Comment" totalsRowLabel=" N/A " dataDxfId="2682" totalsRowDxfId="2681"/>
    <tableColumn id="8" name="Accounts Payable_x000a_Balance" totalsRowFunction="sum" dataDxfId="2680" totalsRowDxfId="2679"/>
    <tableColumn id="9" name="Established_x000a_Accounts Receivable" totalsRowFunction="sum" dataDxfId="2678" totalsRowDxfId="2677"/>
    <tableColumn id="10" name="Less: Recovered Amount" totalsRowFunction="sum" dataDxfId="2676" totalsRowDxfId="2675"/>
    <tableColumn id="11" name="Accounts Receivable_x000a_Balance" totalsRowFunction="sum" dataDxfId="2674" totalsRowDxfId="2673"/>
    <tableColumn id="12" name="Net_x000a_Balance" totalsRowFunction="sum" dataDxfId="2672" totalsRowDxfId="2671"/>
    <tableColumn id="13" name="Comment2" totalsRowLabel=" N/A " dataDxfId="2670" totalsRowDxfId="266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Local Agencies"/>
    </ext>
  </extLst>
</table>
</file>

<file path=xl/tables/table39.xml><?xml version="1.0" encoding="utf-8"?>
<table xmlns="http://schemas.openxmlformats.org/spreadsheetml/2006/main" id="40" name="local200304" displayName="local200304" ref="A200:M203" totalsRowCount="1" headerRowDxfId="2668" dataDxfId="2666" totalsRowDxfId="2664" headerRowBorderDxfId="2667" tableBorderDxfId="2665" headerRowCellStyle="Currency">
  <autoFilter ref="A200:M202"/>
  <tableColumns count="13">
    <tableColumn id="1" name="Fiscal_x000a_Year" totalsRowLabel="2003-04 Total" dataDxfId="2663" totalsRowDxfId="2662"/>
    <tableColumn id="2" name="Program_x000a_Name" totalsRowLabel="N/A" dataDxfId="2661" totalsRowDxfId="2660"/>
    <tableColumn id="3" name="Legal_x000a_Reference_x000a_(Ch./Year)" totalsRowLabel="N/A" dataDxfId="2659" totalsRowDxfId="2658"/>
    <tableColumn id="4" name="Program Number" totalsRowLabel="N/A" dataDxfId="2657" totalsRowDxfId="2656"/>
    <tableColumn id="5" name="Program_x000a_Costs" totalsRowFunction="sum" dataDxfId="2655" totalsRowDxfId="2654"/>
    <tableColumn id="6" name="Less: Net Payments and Offsets 7" totalsRowFunction="sum" dataDxfId="2653" totalsRowDxfId="2652"/>
    <tableColumn id="7" name="Comment" totalsRowLabel=" N/A " dataDxfId="2651" totalsRowDxfId="2650"/>
    <tableColumn id="8" name="Accounts Payable_x000a_Balance" totalsRowFunction="sum" dataDxfId="2649" totalsRowDxfId="2648"/>
    <tableColumn id="9" name="Established_x000a_Accounts Receivable" totalsRowLabel="$0 " dataDxfId="2647" totalsRowDxfId="2646" dataCellStyle="Currency"/>
    <tableColumn id="10" name="Less: Recovered Amount" totalsRowLabel="$0 " dataDxfId="2645" totalsRowDxfId="2644" dataCellStyle="Currency"/>
    <tableColumn id="11" name="Accounts Receivable_x000a_Balance" totalsRowLabel="$0 " dataDxfId="2643" totalsRowDxfId="2642" dataCellStyle="Currency"/>
    <tableColumn id="12" name="Net_x000a_Balance" totalsRowFunction="sum" dataDxfId="2641" totalsRowDxfId="2640"/>
    <tableColumn id="13" name="Comment2" totalsRowLabel=" N/A " dataDxfId="2639" totalsRowDxfId="263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Local Agencies"/>
    </ext>
  </extLst>
</table>
</file>

<file path=xl/tables/table4.xml><?xml version="1.0" encoding="utf-8"?>
<table xmlns="http://schemas.openxmlformats.org/spreadsheetml/2006/main" id="7" name="sdgeneralfund" displayName="sdgeneralfund" ref="A20:N24" totalsRowCount="1" headerRowBorderDxfId="3560" tableBorderDxfId="3559" totalsRowBorderDxfId="3558">
  <autoFilter ref="A20:N23"/>
  <tableColumns count="14">
    <tableColumn id="1" name="Program Category _x000a_and Fund" totalsRowLabel="Total School Districts-General Fund" dataDxfId="3557" totalsRowDxfId="3556"/>
    <tableColumn id="2" name="Appropriation_x000a_Number" totalsRowLabel="N/A" totalsRowDxfId="3555"/>
    <tableColumn id="3" name="Legal _x000a_Reference_x000a_(Ch./Year)" totalsRowLabel="N/A" totalsRowDxfId="3554"/>
    <tableColumn id="4" name="Fiscal Year of _x000a_Claims Paid" totalsRowLabel="N/A" totalsRowDxfId="3553"/>
    <tableColumn id="5" name="Reversion_x000a_ Date" totalsRowLabel="N/A" totalsRowDxfId="3552"/>
    <tableColumn id="6" name="Original                         Appropriation                  Amount" totalsRowFunction="sum" totalsRowDxfId="3551"/>
    <tableColumn id="7" name="Appropriation Balances_x000a_as of 07/01/2019" totalsRowFunction="sum" dataDxfId="3550" totalsRowDxfId="3549"/>
    <tableColumn id="8" name="Budget Adjustments        " totalsRowLabel="$0 " dataDxfId="3548" totalsRowDxfId="3547" dataCellStyle="Currency"/>
    <tableColumn id="9" name="Comment" totalsRowLabel=" N/A " totalsRowDxfId="3546"/>
    <tableColumn id="10" name="Add: Receipts               and Recovered Amounts" totalsRowLabel="$0 " dataDxfId="3545" totalsRowDxfId="3544" dataCellStyle="Currency"/>
    <tableColumn id="11" name="Less: Mandated Program Payments, _x000a_Offsets, and Interest   _x000a_ (see Schedule A1) 2" totalsRowFunction="sum" totalsRowDxfId="3543"/>
    <tableColumn id="12" name="Comment2" totalsRowLabel=" N/A " totalsRowDxfId="3542"/>
    <tableColumn id="13" name="Less: Reappropriations 3" totalsRowLabel="$0 " dataDxfId="3541" totalsRowDxfId="3540" dataCellStyle="Currency"/>
    <tableColumn id="14" name="Appropriation Balances_x000a_as of 04/01/2020" totalsRowFunction="sum" dataDxfId="3539" totalsRowDxfId="3538" dataCellStyle="Currency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A: Summary of State-Mandated Program Appropriations, Receipts, and Payments. As of April 1, 2020. For School Districts-General Fund."/>
    </ext>
  </extLst>
</table>
</file>

<file path=xl/tables/table40.xml><?xml version="1.0" encoding="utf-8"?>
<table xmlns="http://schemas.openxmlformats.org/spreadsheetml/2006/main" id="41" name="local200203" displayName="local200203" ref="A205:M208" totalsRowCount="1" headerRowDxfId="2637" dataDxfId="2635" totalsRowDxfId="2633" headerRowBorderDxfId="2636" tableBorderDxfId="2634" headerRowCellStyle="Currency">
  <autoFilter ref="A205:M207"/>
  <tableColumns count="13">
    <tableColumn id="1" name="Fiscal_x000a_Year" totalsRowLabel="2002-03 Total" dataDxfId="2632" totalsRowDxfId="2631"/>
    <tableColumn id="2" name="Program_x000a_Name" totalsRowLabel="N/A" dataDxfId="2630" totalsRowDxfId="2629"/>
    <tableColumn id="3" name="Legal_x000a_Reference_x000a_(Ch./Year)" totalsRowLabel="N/A" dataDxfId="2628" totalsRowDxfId="2627"/>
    <tableColumn id="4" name="Program Number" totalsRowLabel="N/A" dataDxfId="2626" totalsRowDxfId="2625"/>
    <tableColumn id="5" name="Program_x000a_Costs" totalsRowFunction="sum" dataDxfId="2624" totalsRowDxfId="2623"/>
    <tableColumn id="6" name="Less: Net Payments and Offsets 7" totalsRowFunction="sum" dataDxfId="2622" totalsRowDxfId="2621"/>
    <tableColumn id="7" name="Comment" totalsRowLabel=" N/A " dataDxfId="2620" totalsRowDxfId="2619"/>
    <tableColumn id="8" name="Accounts Payable_x000a_Balance" totalsRowFunction="sum" dataDxfId="2618" totalsRowDxfId="2617"/>
    <tableColumn id="9" name="Established_x000a_Accounts Receivable" totalsRowLabel="$0 " dataDxfId="2616" totalsRowDxfId="2615" dataCellStyle="Currency"/>
    <tableColumn id="10" name="Less: Recovered Amount" totalsRowLabel="$0 " dataDxfId="2614" totalsRowDxfId="2613" dataCellStyle="Currency"/>
    <tableColumn id="11" name="Accounts Receivable_x000a_Balance" totalsRowLabel="$0 " dataDxfId="2612" totalsRowDxfId="2611" dataCellStyle="Currency"/>
    <tableColumn id="12" name="Net_x000a_Balance" totalsRowFunction="sum" dataDxfId="2610" totalsRowDxfId="2609"/>
    <tableColumn id="13" name="Comment2" totalsRowLabel=" N/A " dataDxfId="2608" totalsRowDxfId="260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Local Agencies"/>
    </ext>
  </extLst>
</table>
</file>

<file path=xl/tables/table41.xml><?xml version="1.0" encoding="utf-8"?>
<table xmlns="http://schemas.openxmlformats.org/spreadsheetml/2006/main" id="42" name="local200102" displayName="local200102" ref="A210:M215" totalsRowCount="1" headerRowDxfId="2606" dataDxfId="2604" headerRowBorderDxfId="2605" tableBorderDxfId="2603" headerRowCellStyle="Currency">
  <autoFilter ref="A210:M214"/>
  <tableColumns count="13">
    <tableColumn id="1" name="Fiscal_x000a_Year" totalsRowLabel="2001-02 Total" dataDxfId="2602" totalsRowDxfId="2601"/>
    <tableColumn id="2" name="Program_x000a_Name" totalsRowLabel="N/A" dataDxfId="2600" totalsRowDxfId="2599"/>
    <tableColumn id="3" name="Legal_x000a_Reference_x000a_(Ch./Year)" totalsRowLabel="N/A" dataDxfId="2598" totalsRowDxfId="2597"/>
    <tableColumn id="4" name="Program Number" totalsRowLabel="N/A" dataDxfId="2596" totalsRowDxfId="2595"/>
    <tableColumn id="5" name="Program_x000a_Costs" totalsRowFunction="sum" dataDxfId="2594" totalsRowDxfId="2593"/>
    <tableColumn id="6" name="Less: Net Payments and Offsets 7" totalsRowFunction="sum" dataDxfId="2592" totalsRowDxfId="2591"/>
    <tableColumn id="7" name="Comment" totalsRowLabel=" N/A " dataDxfId="2590" totalsRowDxfId="2589"/>
    <tableColumn id="8" name="Accounts Payable_x000a_Balance" totalsRowFunction="sum" dataDxfId="2588" totalsRowDxfId="2587"/>
    <tableColumn id="9" name="Established_x000a_Accounts Receivable" totalsRowFunction="sum" dataDxfId="2586" totalsRowDxfId="2585"/>
    <tableColumn id="10" name="Less: Recovered Amount" totalsRowFunction="sum" dataDxfId="2584" totalsRowDxfId="2583"/>
    <tableColumn id="11" name="Accounts Receivable_x000a_Balance" totalsRowFunction="sum" dataDxfId="2582" totalsRowDxfId="2581"/>
    <tableColumn id="12" name="Net_x000a_Balance" totalsRowFunction="sum" dataDxfId="2580" totalsRowDxfId="2579"/>
    <tableColumn id="13" name="Comment2" totalsRowLabel=" N/A " dataDxfId="2578" totalsRowDxfId="257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Local Agencies"/>
    </ext>
  </extLst>
</table>
</file>

<file path=xl/tables/table42.xml><?xml version="1.0" encoding="utf-8"?>
<table xmlns="http://schemas.openxmlformats.org/spreadsheetml/2006/main" id="43" name="local200001" displayName="local200001" ref="A217:M219" totalsRowCount="1" headerRowDxfId="2576" dataDxfId="2574" totalsRowDxfId="2572" headerRowBorderDxfId="2575" tableBorderDxfId="2573" headerRowCellStyle="Currency">
  <autoFilter ref="A217:M218"/>
  <tableColumns count="13">
    <tableColumn id="1" name="Fiscal_x000a_Year" totalsRowLabel="2000-01 Total" totalsRowDxfId="2571"/>
    <tableColumn id="2" name="Program_x000a_Name" totalsRowLabel="N/A" totalsRowDxfId="2570"/>
    <tableColumn id="3" name="Legal_x000a_Reference_x000a_(Ch./Year)" totalsRowLabel="N/A" totalsRowDxfId="2569"/>
    <tableColumn id="4" name="Program Number" totalsRowLabel="N/A" totalsRowDxfId="2568"/>
    <tableColumn id="5" name="Program_x000a_Costs" totalsRowFunction="sum" totalsRowDxfId="2567"/>
    <tableColumn id="6" name="Less: Net Payments and Offsets 7" totalsRowLabel="$0 " dataDxfId="2566" totalsRowDxfId="2565" dataCellStyle="Currency"/>
    <tableColumn id="7" name="Comment" totalsRowLabel=" N/A " dataDxfId="2564" totalsRowDxfId="2563"/>
    <tableColumn id="8" name="Accounts Payable_x000a_Balance" totalsRowFunction="sum" totalsRowDxfId="2562"/>
    <tableColumn id="9" name="Established_x000a_Accounts Receivable" totalsRowLabel="$0 " dataDxfId="2561" totalsRowDxfId="2560" dataCellStyle="Currency"/>
    <tableColumn id="10" name="Less: Recovered Amount" totalsRowLabel="$0 " dataDxfId="2559" totalsRowDxfId="2558" dataCellStyle="Currency"/>
    <tableColumn id="11" name="Accounts Receivable_x000a_Balance" totalsRowLabel="$0 " dataDxfId="2557" totalsRowDxfId="2556" dataCellStyle="Currency"/>
    <tableColumn id="12" name="Net_x000a_Balance" totalsRowFunction="sum" totalsRowDxfId="2555"/>
    <tableColumn id="13" name="Comment2" totalsRowLabel=" N/A " dataDxfId="2554" totalsRowDxfId="255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Local Agencies"/>
    </ext>
  </extLst>
</table>
</file>

<file path=xl/tables/table43.xml><?xml version="1.0" encoding="utf-8"?>
<table xmlns="http://schemas.openxmlformats.org/spreadsheetml/2006/main" id="44" name="local199900" displayName="local199900" ref="A221:M226" totalsRowCount="1" headerRowDxfId="2552" dataDxfId="2550" totalsRowDxfId="2548" headerRowBorderDxfId="2551" tableBorderDxfId="2549" headerRowCellStyle="Currency">
  <autoFilter ref="A221:M225"/>
  <tableColumns count="13">
    <tableColumn id="1" name="Fiscal_x000a_Year" totalsRowLabel="1999-00 Total" dataDxfId="2547" totalsRowDxfId="2546"/>
    <tableColumn id="2" name="Program_x000a_Name" totalsRowLabel="N/A" dataDxfId="2545" totalsRowDxfId="2544"/>
    <tableColumn id="3" name="Legal_x000a_Reference_x000a_(Ch./Year)" totalsRowLabel="N/A" dataDxfId="2543" totalsRowDxfId="2542"/>
    <tableColumn id="4" name="Program Number" totalsRowLabel="N/A" dataDxfId="2541" totalsRowDxfId="2540"/>
    <tableColumn id="5" name="Program_x000a_Costs" totalsRowFunction="sum" dataDxfId="2539" totalsRowDxfId="2538"/>
    <tableColumn id="6" name="Less: Net Payments and Offsets 7" totalsRowFunction="sum" dataDxfId="2537" totalsRowDxfId="2536"/>
    <tableColumn id="7" name="Comment" totalsRowLabel=" N/A " dataDxfId="2535" totalsRowDxfId="2534"/>
    <tableColumn id="8" name="Accounts Payable_x000a_Balance" totalsRowFunction="sum" dataDxfId="2533" totalsRowDxfId="2532"/>
    <tableColumn id="9" name="Established_x000a_Accounts Receivable" totalsRowFunction="sum" dataDxfId="2531" totalsRowDxfId="2530"/>
    <tableColumn id="10" name="Less: Recovered Amount" totalsRowFunction="sum" dataDxfId="2529" totalsRowDxfId="2528"/>
    <tableColumn id="11" name="Accounts Receivable_x000a_Balance" totalsRowFunction="sum" dataDxfId="2527" totalsRowDxfId="2526"/>
    <tableColumn id="12" name="Net_x000a_Balance" totalsRowFunction="sum" dataDxfId="2525" totalsRowDxfId="2524"/>
    <tableColumn id="13" name="Comment2" totalsRowLabel=" N/A " dataDxfId="2523" totalsRowDxfId="252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Local Agencies"/>
    </ext>
  </extLst>
</table>
</file>

<file path=xl/tables/table44.xml><?xml version="1.0" encoding="utf-8"?>
<table xmlns="http://schemas.openxmlformats.org/spreadsheetml/2006/main" id="45" name="local199899" displayName="local199899" ref="A228:M232" totalsRowCount="1" headerRowDxfId="2521" dataDxfId="2519" totalsRowDxfId="2517" headerRowBorderDxfId="2520" tableBorderDxfId="2518" headerRowCellStyle="Currency">
  <autoFilter ref="A228:M231"/>
  <tableColumns count="13">
    <tableColumn id="1" name="Fiscal_x000a_Year" totalsRowLabel="1998-99 Total" dataDxfId="2516" totalsRowDxfId="2515"/>
    <tableColumn id="2" name="Program_x000a_Name" totalsRowLabel="N/A" dataDxfId="2514" totalsRowDxfId="2513"/>
    <tableColumn id="3" name="Legal_x000a_Reference_x000a_(Ch./Year)" totalsRowLabel="N/A" dataDxfId="2512" totalsRowDxfId="2511"/>
    <tableColumn id="4" name="Program Number" totalsRowLabel="N/A" dataDxfId="2510" totalsRowDxfId="2509"/>
    <tableColumn id="5" name="Program_x000a_Costs" totalsRowFunction="sum" dataDxfId="2508" totalsRowDxfId="2507"/>
    <tableColumn id="6" name="Less: Net Payments and Offsets 7" totalsRowFunction="sum" dataDxfId="2506" totalsRowDxfId="2505"/>
    <tableColumn id="7" name="Comment" totalsRowLabel=" N/A " dataDxfId="2504" totalsRowDxfId="2503"/>
    <tableColumn id="8" name="Accounts Payable_x000a_Balance" totalsRowFunction="sum" dataDxfId="2502" totalsRowDxfId="2501"/>
    <tableColumn id="9" name="Established_x000a_Accounts Receivable" totalsRowFunction="sum" dataDxfId="2500" totalsRowDxfId="2499"/>
    <tableColumn id="10" name="Less: Recovered Amount" totalsRowFunction="sum" dataDxfId="2498" totalsRowDxfId="2497"/>
    <tableColumn id="11" name="Accounts Receivable_x000a_Balance" totalsRowFunction="sum" dataDxfId="2496" totalsRowDxfId="2495"/>
    <tableColumn id="12" name="Net_x000a_Balance" totalsRowFunction="sum" dataDxfId="2494" totalsRowDxfId="2493"/>
    <tableColumn id="13" name="Comment2" totalsRowLabel=" N/A " dataDxfId="2492" totalsRowDxfId="249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Local Agencies"/>
    </ext>
  </extLst>
</table>
</file>

<file path=xl/tables/table45.xml><?xml version="1.0" encoding="utf-8"?>
<table xmlns="http://schemas.openxmlformats.org/spreadsheetml/2006/main" id="46" name="local199798" displayName="local199798" ref="A234:M237" totalsRowCount="1" headerRowDxfId="2490" dataDxfId="2488" totalsRowDxfId="2486" headerRowBorderDxfId="2489" tableBorderDxfId="2487" headerRowCellStyle="Currency">
  <autoFilter ref="A234:M236"/>
  <tableColumns count="13">
    <tableColumn id="1" name="Fiscal_x000a_Year" totalsRowLabel="1997-98 Total" dataDxfId="2485" totalsRowDxfId="2484"/>
    <tableColumn id="2" name="Program_x000a_Name" totalsRowLabel="N/A" dataDxfId="2483" totalsRowDxfId="2482"/>
    <tableColumn id="3" name="Legal_x000a_Reference_x000a_(Ch./Year)" totalsRowLabel="N/A" dataDxfId="2481" totalsRowDxfId="2480"/>
    <tableColumn id="4" name="Program Number" totalsRowLabel="N/A" dataDxfId="2479" totalsRowDxfId="2478"/>
    <tableColumn id="5" name="Program_x000a_Costs" totalsRowFunction="sum" dataDxfId="2477" totalsRowDxfId="2476"/>
    <tableColumn id="6" name="Less: Net Payments and Offsets 7" totalsRowFunction="sum" dataDxfId="2475" totalsRowDxfId="2474"/>
    <tableColumn id="7" name="Comment" totalsRowLabel=" N/A " dataDxfId="2473" totalsRowDxfId="2472"/>
    <tableColumn id="8" name="Accounts Payable_x000a_Balance" totalsRowLabel="$0 " dataDxfId="2471" totalsRowDxfId="2470" dataCellStyle="Currency"/>
    <tableColumn id="9" name="Established_x000a_Accounts Receivable" totalsRowFunction="sum" dataDxfId="2469" totalsRowDxfId="2468"/>
    <tableColumn id="10" name="Less: Recovered Amount" totalsRowFunction="sum" dataDxfId="2467" totalsRowDxfId="2466"/>
    <tableColumn id="11" name="Accounts Receivable_x000a_Balance" totalsRowFunction="sum" dataDxfId="2465" totalsRowDxfId="2464"/>
    <tableColumn id="12" name="Net_x000a_Balance" totalsRowFunction="sum" dataDxfId="2463" totalsRowDxfId="2462"/>
    <tableColumn id="13" name="Comment2" totalsRowLabel=" N/A " dataDxfId="2461" totalsRowDxfId="246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 Deficiency Report" altTextSummary="Schedule B1: Detail of Funded State-Mandated Programs by Fiscal Year. As of April 1, 2020. Local Agencies"/>
    </ext>
  </extLst>
</table>
</file>

<file path=xl/tables/table46.xml><?xml version="1.0" encoding="utf-8"?>
<table xmlns="http://schemas.openxmlformats.org/spreadsheetml/2006/main" id="47" name="local199697" displayName="local199697" ref="A239:M241" totalsRowCount="1" headerRowDxfId="2459" dataDxfId="2457" headerRowBorderDxfId="2458" tableBorderDxfId="2456" headerRowCellStyle="Currency">
  <autoFilter ref="A239:M240"/>
  <tableColumns count="13">
    <tableColumn id="1" name="Fiscal_x000a_Year" totalsRowLabel="1996-97 Total" dataDxfId="2455" totalsRowDxfId="2454"/>
    <tableColumn id="2" name="Program_x000a_Name" totalsRowLabel="N/A" dataDxfId="2453" totalsRowDxfId="2452"/>
    <tableColumn id="3" name="Legal_x000a_Reference_x000a_(Ch./Year)" totalsRowLabel="N/A" dataDxfId="2451" totalsRowDxfId="2450"/>
    <tableColumn id="4" name="Program Number" totalsRowLabel="N/A" dataDxfId="2449" totalsRowDxfId="2448"/>
    <tableColumn id="5" name="Program_x000a_Costs" totalsRowFunction="sum" dataDxfId="2447" totalsRowDxfId="2446"/>
    <tableColumn id="6" name="Less: Net Payments and Offsets 7" totalsRowFunction="sum" dataDxfId="2445" totalsRowDxfId="2444"/>
    <tableColumn id="7" name="Comment" totalsRowLabel=" N/A " dataDxfId="2443" totalsRowDxfId="2442"/>
    <tableColumn id="8" name="Accounts Payable_x000a_Balance" totalsRowLabel="$0 " dataDxfId="2441" totalsRowDxfId="2440" dataCellStyle="Currency"/>
    <tableColumn id="9" name="Established_x000a_Accounts Receivable" totalsRowFunction="sum" dataDxfId="2439" totalsRowDxfId="2438"/>
    <tableColumn id="10" name="Less: Recovered Amount" totalsRowFunction="sum" dataDxfId="2437" totalsRowDxfId="2436"/>
    <tableColumn id="11" name="Accounts Receivable_x000a_Balance" totalsRowFunction="sum" dataDxfId="2435" totalsRowDxfId="2434"/>
    <tableColumn id="12" name="Net_x000a_Balance" totalsRowFunction="sum" dataDxfId="2433" totalsRowDxfId="2432"/>
    <tableColumn id="13" name="Comment2" totalsRowLabel=" N/A " dataDxfId="2431" totalsRowDxfId="243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Local Agencies"/>
    </ext>
  </extLst>
</table>
</file>

<file path=xl/tables/table47.xml><?xml version="1.0" encoding="utf-8"?>
<table xmlns="http://schemas.openxmlformats.org/spreadsheetml/2006/main" id="48" name="local199596" displayName="local199596" ref="A243:M246" totalsRowCount="1" headerRowDxfId="2429" dataDxfId="2427" headerRowBorderDxfId="2428" tableBorderDxfId="2426" headerRowCellStyle="Currency">
  <autoFilter ref="A243:M245"/>
  <tableColumns count="13">
    <tableColumn id="1" name="Fiscal_x000a_Year" totalsRowLabel="1995-96 Total" dataDxfId="2425" totalsRowDxfId="2424"/>
    <tableColumn id="2" name="Program_x000a_Name" totalsRowLabel="N/A" dataDxfId="2423" totalsRowDxfId="2422"/>
    <tableColumn id="3" name="Legal_x000a_Reference_x000a_(Ch./Year)" totalsRowLabel="N/A" dataDxfId="2421" totalsRowDxfId="2420"/>
    <tableColumn id="4" name="Program Number" totalsRowLabel="N/A" dataDxfId="2419" totalsRowDxfId="2418"/>
    <tableColumn id="5" name="Program_x000a_Costs" totalsRowFunction="sum" dataDxfId="2417" totalsRowDxfId="2416"/>
    <tableColumn id="6" name="Less: Net Payments and Offsets 7" totalsRowFunction="sum" dataDxfId="2415" totalsRowDxfId="2414"/>
    <tableColumn id="7" name="Comment" totalsRowLabel=" N/A " dataDxfId="2413" totalsRowDxfId="2412"/>
    <tableColumn id="8" name="Accounts Payable_x000a_Balance" totalsRowLabel="$0 " dataDxfId="2411" totalsRowDxfId="2410" dataCellStyle="Currency"/>
    <tableColumn id="9" name="Established_x000a_Accounts Receivable" totalsRowFunction="sum" dataDxfId="2409" totalsRowDxfId="2408"/>
    <tableColumn id="10" name="Less: Recovered Amount" totalsRowFunction="sum" dataDxfId="2407" totalsRowDxfId="2406"/>
    <tableColumn id="11" name="Accounts Receivable_x000a_Balance" totalsRowFunction="sum" dataDxfId="2405" totalsRowDxfId="2404"/>
    <tableColumn id="12" name="Net_x000a_Balance" totalsRowFunction="sum" dataDxfId="2403" totalsRowDxfId="2402"/>
    <tableColumn id="13" name="Comment2" totalsRowLabel=" N/A " dataDxfId="2401" totalsRowDxfId="240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Local Agencies"/>
    </ext>
  </extLst>
</table>
</file>

<file path=xl/tables/table48.xml><?xml version="1.0" encoding="utf-8"?>
<table xmlns="http://schemas.openxmlformats.org/spreadsheetml/2006/main" id="49" name="local199495" displayName="local199495" ref="A248:M250" totalsRowCount="1" headerRowDxfId="2399" dataDxfId="2397" totalsRowDxfId="2395" headerRowBorderDxfId="2398" tableBorderDxfId="2396" headerRowCellStyle="Currency">
  <autoFilter ref="A248:M249"/>
  <tableColumns count="13">
    <tableColumn id="1" name="Fiscal_x000a_Year" totalsRowLabel="1994-95 Total" dataDxfId="2394" totalsRowDxfId="2393"/>
    <tableColumn id="2" name="Program_x000a_Name" totalsRowLabel="N/A" dataDxfId="2392" totalsRowDxfId="2391"/>
    <tableColumn id="3" name="Legal_x000a_Reference_x000a_(Ch./Year)" totalsRowLabel="N/A" dataDxfId="2390" totalsRowDxfId="2389"/>
    <tableColumn id="4" name="Program Number" totalsRowLabel="N/A" dataDxfId="2388" totalsRowDxfId="2387"/>
    <tableColumn id="5" name="Program_x000a_Costs" totalsRowFunction="sum" dataDxfId="2386" totalsRowDxfId="2385"/>
    <tableColumn id="6" name="Less: Net Payments and Offsets 7" totalsRowFunction="sum" dataDxfId="2384" totalsRowDxfId="2383"/>
    <tableColumn id="7" name="Comment" totalsRowLabel=" N/A " dataDxfId="2382" totalsRowDxfId="2381"/>
    <tableColumn id="8" name="Accounts Payable_x000a_Balance" totalsRowLabel="$0 " dataDxfId="2380" totalsRowDxfId="2379" dataCellStyle="Currency"/>
    <tableColumn id="9" name="Established_x000a_Accounts Receivable" totalsRowFunction="sum" dataDxfId="2378" totalsRowDxfId="2377"/>
    <tableColumn id="10" name="Less: Recovered Amount" totalsRowFunction="sum" dataDxfId="2376" totalsRowDxfId="2375"/>
    <tableColumn id="11" name="Accounts Receivable_x000a_Balance" totalsRowFunction="sum" dataDxfId="2374" totalsRowDxfId="2373"/>
    <tableColumn id="12" name="Net_x000a_Balance" totalsRowFunction="sum" dataDxfId="2372" totalsRowDxfId="2371"/>
    <tableColumn id="13" name="Comment2" totalsRowLabel=" N/A " dataDxfId="2370" totalsRowDxfId="236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Local Agencies"/>
    </ext>
  </extLst>
</table>
</file>

<file path=xl/tables/table49.xml><?xml version="1.0" encoding="utf-8"?>
<table xmlns="http://schemas.openxmlformats.org/spreadsheetml/2006/main" id="50" name="local199293" displayName="local199293" ref="A252:M255" totalsRowCount="1" headerRowDxfId="2368" dataDxfId="2366" totalsRowDxfId="2364" headerRowBorderDxfId="2367" tableBorderDxfId="2365" headerRowCellStyle="Currency">
  <autoFilter ref="A252:M254"/>
  <tableColumns count="13">
    <tableColumn id="1" name="Fiscal_x000a_Year" totalsRowLabel="1992-93 Total" dataDxfId="2363" totalsRowDxfId="2362"/>
    <tableColumn id="2" name="Program_x000a_Name" totalsRowLabel="N/A" dataDxfId="2361" totalsRowDxfId="2360"/>
    <tableColumn id="3" name="Legal_x000a_Reference_x000a_(Ch./Year)" totalsRowLabel="N/A" dataDxfId="2359" totalsRowDxfId="2358"/>
    <tableColumn id="4" name="Program Number" totalsRowLabel="N/A" dataDxfId="2357" totalsRowDxfId="2356"/>
    <tableColumn id="5" name="Program_x000a_Costs" totalsRowFunction="sum" dataDxfId="2355" totalsRowDxfId="2354"/>
    <tableColumn id="6" name="Less: Net Payments and Offsets 7" totalsRowFunction="sum" dataDxfId="2353" totalsRowDxfId="2352"/>
    <tableColumn id="7" name="Comment" totalsRowLabel=" N/A " dataDxfId="2351" totalsRowDxfId="2350"/>
    <tableColumn id="8" name="Accounts Payable_x000a_Balance" totalsRowLabel="$0 " dataDxfId="2349" totalsRowDxfId="2348" dataCellStyle="Currency"/>
    <tableColumn id="9" name="Established_x000a_Accounts Receivable" totalsRowFunction="sum" dataDxfId="2347" totalsRowDxfId="2346"/>
    <tableColumn id="10" name="Less: Recovered Amount" totalsRowLabel="$0 " dataDxfId="2345" totalsRowDxfId="2344" dataCellStyle="Currency"/>
    <tableColumn id="11" name="Accounts Receivable_x000a_Balance" totalsRowFunction="sum" dataDxfId="2343" totalsRowDxfId="2342"/>
    <tableColumn id="12" name="Net_x000a_Balance" totalsRowFunction="sum" dataDxfId="2341" totalsRowDxfId="2340"/>
    <tableColumn id="13" name="Comment2" totalsRowLabel=" N/A " dataDxfId="2339" totalsRowDxfId="233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Local Agencies"/>
    </ext>
  </extLst>
</table>
</file>

<file path=xl/tables/table5.xml><?xml version="1.0" encoding="utf-8"?>
<table xmlns="http://schemas.openxmlformats.org/spreadsheetml/2006/main" id="8" name="ccdgeneralfund" displayName="ccdgeneralfund" ref="A26:N30" totalsRowCount="1" totalsRowDxfId="3535" headerRowBorderDxfId="3537" tableBorderDxfId="3536" totalsRowBorderDxfId="3534">
  <autoFilter ref="A26:N29"/>
  <tableColumns count="14">
    <tableColumn id="1" name="Program Category _x000a_and Fund" totalsRowLabel="Total Community College Districts-General Fund" dataDxfId="3533" totalsRowDxfId="3532"/>
    <tableColumn id="2" name="Appropriation_x000a_Number" totalsRowLabel="N/A" totalsRowDxfId="3531"/>
    <tableColumn id="3" name="Legal _x000a_Reference_x000a_(Ch./Year)" totalsRowLabel="N/A" totalsRowDxfId="3530"/>
    <tableColumn id="4" name="Fiscal Year of _x000a_Claims Paid" totalsRowLabel="N/A" totalsRowDxfId="3529"/>
    <tableColumn id="5" name="Reversion_x000a_ Date" totalsRowLabel="N/A" totalsRowDxfId="3528"/>
    <tableColumn id="6" name="Original                         Appropriation                  Amount" totalsRowFunction="sum" dataDxfId="3527" totalsRowDxfId="3526"/>
    <tableColumn id="7" name="Appropriation Balances_x000a_as of 07/01/2019" totalsRowFunction="sum" dataDxfId="3525" totalsRowDxfId="3524"/>
    <tableColumn id="8" name="Budget Adjustments        " totalsRowLabel="$0 " dataDxfId="3523" totalsRowDxfId="3522" dataCellStyle="Currency"/>
    <tableColumn id="9" name="Comment" totalsRowLabel=" N/A " totalsRowDxfId="3521"/>
    <tableColumn id="10" name="Add: Receipts               and Recovered Amounts" totalsRowLabel="$0 " dataDxfId="3520" totalsRowDxfId="3519" dataCellStyle="Currency"/>
    <tableColumn id="11" name="Less: Mandated Program Payments, _x000a_Offsets, and Interest   _x000a_ (see Schedule A1) 2" totalsRowLabel="$0 " dataDxfId="3518" totalsRowDxfId="3517" dataCellStyle="Currency"/>
    <tableColumn id="12" name="Comment2" totalsRowLabel=" N/A " totalsRowDxfId="3516"/>
    <tableColumn id="13" name="Less: Reappropriations 3" totalsRowFunction="sum" dataDxfId="3515" totalsRowDxfId="3514"/>
    <tableColumn id="14" name="Appropriation Balances_x000a_as of 04/01/2020" totalsRowFunction="sum" dataDxfId="3513" totalsRowDxfId="3512" dataCellStyle="Currency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A: Summary of State-Mandated Program Appropriations, Receipts, and Payments. As of April 1, 2020. For Community College Districts-General Fund."/>
    </ext>
  </extLst>
</table>
</file>

<file path=xl/tables/table50.xml><?xml version="1.0" encoding="utf-8"?>
<table xmlns="http://schemas.openxmlformats.org/spreadsheetml/2006/main" id="51" name="local199192" displayName="local199192" ref="A257:M261" totalsRowCount="1" headerRowDxfId="2337" dataDxfId="2335" totalsRowDxfId="2333" headerRowBorderDxfId="2336" tableBorderDxfId="2334" headerRowCellStyle="Currency">
  <autoFilter ref="A257:M260"/>
  <tableColumns count="13">
    <tableColumn id="1" name="Fiscal_x000a_Year" totalsRowLabel="1991-92 Total" dataDxfId="2332" totalsRowDxfId="2331"/>
    <tableColumn id="2" name="Program_x000a_Name" totalsRowLabel="N/A" dataDxfId="2330" totalsRowDxfId="2329"/>
    <tableColumn id="3" name="Legal_x000a_Reference_x000a_(Ch./Year)" totalsRowLabel="N/A" dataDxfId="2328" totalsRowDxfId="2327"/>
    <tableColumn id="4" name="Program Number" totalsRowLabel="N/A" dataDxfId="2326" totalsRowDxfId="2325"/>
    <tableColumn id="5" name="Program_x000a_Costs" totalsRowFunction="sum" dataDxfId="2324" totalsRowDxfId="2323"/>
    <tableColumn id="6" name="Less: Net Payments and Offsets 7" totalsRowFunction="sum" dataDxfId="2322" totalsRowDxfId="2321"/>
    <tableColumn id="7" name="Comment" totalsRowLabel=" N/A " dataDxfId="2320" totalsRowDxfId="2319"/>
    <tableColumn id="8" name="Accounts Payable_x000a_Balance" totalsRowLabel="$0 " dataDxfId="2318" totalsRowDxfId="2317" dataCellStyle="Currency"/>
    <tableColumn id="9" name="Established_x000a_Accounts Receivable" totalsRowFunction="sum" dataDxfId="2316" totalsRowDxfId="2315"/>
    <tableColumn id="10" name="Less: Recovered Amount" totalsRowFunction="sum" dataDxfId="2314" totalsRowDxfId="2313"/>
    <tableColumn id="11" name="Accounts Receivable_x000a_Balance" totalsRowFunction="sum" dataDxfId="2312" totalsRowDxfId="2311"/>
    <tableColumn id="12" name="Net_x000a_Balance" totalsRowFunction="sum" dataDxfId="2310" totalsRowDxfId="2309"/>
    <tableColumn id="13" name="Comment2" totalsRowLabel=" N/A " dataDxfId="2308" totalsRowDxfId="230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Local Agencies"/>
    </ext>
  </extLst>
</table>
</file>

<file path=xl/tables/table51.xml><?xml version="1.0" encoding="utf-8"?>
<table xmlns="http://schemas.openxmlformats.org/spreadsheetml/2006/main" id="52" name="localgrandtotal" displayName="localgrandtotal" ref="A263:M291" totalsRowCount="1" headerRowDxfId="2306" dataDxfId="2304" headerRowBorderDxfId="2305" tableBorderDxfId="2303" headerRowCellStyle="Currency">
  <autoFilter ref="A263:M290"/>
  <tableColumns count="13">
    <tableColumn id="1" name="Fiscal_x000a_Year" totalsRowLabel="Total Local Agencies" dataDxfId="2302" totalsRowDxfId="64"/>
    <tableColumn id="2" name="Program_x000a_Name" totalsRowLabel="N/A" dataDxfId="2301" totalsRowDxfId="63"/>
    <tableColumn id="3" name="Legal_x000a_Reference_x000a_(Ch./Year)" totalsRowLabel="N/A" dataDxfId="2300" totalsRowDxfId="62"/>
    <tableColumn id="4" name="Program Number" totalsRowLabel="N/A" dataDxfId="2299" totalsRowDxfId="61"/>
    <tableColumn id="5" name="Program_x000a_Costs" totalsRowFunction="sum" dataDxfId="2298" totalsRowDxfId="60"/>
    <tableColumn id="6" name="Less: Net Payments and Offsets 7" totalsRowFunction="sum" dataDxfId="2297" totalsRowDxfId="59"/>
    <tableColumn id="7" name="Comment" totalsRowLabel=" N/A " dataDxfId="2296" totalsRowDxfId="58"/>
    <tableColumn id="8" name="Accounts Payable_x000a_Balance" totalsRowFunction="sum" dataDxfId="2295" totalsRowDxfId="57"/>
    <tableColumn id="9" name="Established_x000a_Accounts Receivable" totalsRowFunction="sum" dataDxfId="2294" totalsRowDxfId="56"/>
    <tableColumn id="10" name="Less: Recovered Amount" totalsRowFunction="sum" dataDxfId="2293" totalsRowDxfId="55"/>
    <tableColumn id="11" name="Accounts Receivable_x000a_Balance" totalsRowFunction="sum" dataDxfId="2292" totalsRowDxfId="54"/>
    <tableColumn id="12" name="Net_x000a_Balance" totalsRowFunction="sum" dataDxfId="2291" totalsRowDxfId="53"/>
    <tableColumn id="13" name="Comment2" totalsRowLabel="7" dataDxfId="2290" totalsRowDxfId="5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Local Agencies Grand Totals."/>
    </ext>
  </extLst>
</table>
</file>

<file path=xl/tables/table52.xml><?xml version="1.0" encoding="utf-8"?>
<table xmlns="http://schemas.openxmlformats.org/spreadsheetml/2006/main" id="53" name="school201819" displayName="school201819" ref="A2:M34" totalsRowCount="1" headerRowDxfId="2289" dataDxfId="2287" totalsRowDxfId="2285" headerRowBorderDxfId="2288" tableBorderDxfId="2286">
  <autoFilter ref="A2:M33"/>
  <tableColumns count="13">
    <tableColumn id="1" name="Fiscal_x000a_Year" totalsRowLabel="2018-19 Total" dataDxfId="2284" totalsRowDxfId="51"/>
    <tableColumn id="2" name="Program_x000a_Name" totalsRowLabel="N/A" dataDxfId="2283" totalsRowDxfId="50"/>
    <tableColumn id="3" name="Legal_x000a_Reference_x000a_(Ch./Year)" totalsRowLabel="N/A" dataDxfId="2282" totalsRowDxfId="49"/>
    <tableColumn id="4" name="Program Number" totalsRowLabel="N/A" dataDxfId="2281" totalsRowDxfId="48"/>
    <tableColumn id="5" name="Program_x000a_Costs" totalsRowFunction="sum" dataDxfId="2280" totalsRowDxfId="47"/>
    <tableColumn id="6" name="Less: Net Payments and Offsets 8" totalsRowLabel="$0 " dataDxfId="2279" totalsRowDxfId="46" dataCellStyle="Currency"/>
    <tableColumn id="7" name="Comment: The state's liability was reduced by $124.7 million in one-time funding for offsets from Chapters 29, 32, and 39, Statutes of 2018." totalsRowLabel=" N/A " dataDxfId="2278" totalsRowDxfId="45"/>
    <tableColumn id="8" name="Accounts Payable_x000a_Balance" totalsRowFunction="sum" dataDxfId="2277" totalsRowDxfId="44"/>
    <tableColumn id="9" name="Established_x000a_Accounts Receivable" totalsRowLabel="$0 " dataDxfId="2276" totalsRowDxfId="43" dataCellStyle="Currency"/>
    <tableColumn id="10" name="Less: Recovered Amount" totalsRowLabel="$0 " dataDxfId="2275" totalsRowDxfId="42" dataCellStyle="Currency"/>
    <tableColumn id="11" name="Accounts Receivable_x000a_Balance" totalsRowLabel="$0 " dataDxfId="2274" totalsRowDxfId="41" dataCellStyle="Currency"/>
    <tableColumn id="12" name="Net_x000a_Balance" totalsRowFunction="sum" dataDxfId="2273" totalsRowDxfId="40"/>
    <tableColumn id="13" name="Comment2" totalsRowLabel=" N/A " dataDxfId="2272" totalsRowDxfId="3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53.xml><?xml version="1.0" encoding="utf-8"?>
<table xmlns="http://schemas.openxmlformats.org/spreadsheetml/2006/main" id="54" name="school201718" displayName="school201718" ref="A36:M70" totalsRowCount="1" headerRowDxfId="2271" dataDxfId="2269" totalsRowDxfId="2267" headerRowBorderDxfId="2270" tableBorderDxfId="2268">
  <autoFilter ref="A36:M69"/>
  <tableColumns count="13">
    <tableColumn id="1" name="Fiscal_x000a_Year" totalsRowLabel="2017-18 Total" dataDxfId="2266" totalsRowDxfId="2265"/>
    <tableColumn id="2" name="Program_x000a_Name" totalsRowLabel="N/A" dataDxfId="2264" totalsRowDxfId="2263"/>
    <tableColumn id="3" name="Legal_x000a_Reference_x000a_(Ch./Year)" totalsRowLabel="N/A" dataDxfId="2262" totalsRowDxfId="2261"/>
    <tableColumn id="4" name="Program Number" totalsRowLabel="N/A" dataDxfId="2260" totalsRowDxfId="2259"/>
    <tableColumn id="5" name="Program_x000a_Costs" totalsRowFunction="sum" dataDxfId="2258" totalsRowDxfId="2257"/>
    <tableColumn id="6" name="Less: Net Payments and Offsets 8" totalsRowFunction="sum" dataDxfId="2256" totalsRowDxfId="2255"/>
    <tableColumn id="7" name="Comment" totalsRowLabel=" N/A " dataDxfId="2254" totalsRowDxfId="2253"/>
    <tableColumn id="8" name="Accounts Payable_x000a_Balance" totalsRowFunction="sum" dataDxfId="2252" totalsRowDxfId="2251"/>
    <tableColumn id="9" name="Established_x000a_Accounts Receivable" totalsRowFunction="sum" dataDxfId="2250" totalsRowDxfId="2249"/>
    <tableColumn id="10" name="Less: Recovered Amount" totalsRowLabel="$0" dataDxfId="2248" totalsRowDxfId="2247" dataCellStyle="Currency"/>
    <tableColumn id="11" name="Accounts Receivable_x000a_Balance" totalsRowFunction="sum" dataDxfId="2246" totalsRowDxfId="2245"/>
    <tableColumn id="12" name="Net_x000a_Balance" totalsRowFunction="sum" dataDxfId="2244" totalsRowDxfId="2243"/>
    <tableColumn id="13" name="Comment2" totalsRowLabel=" N/A " dataDxfId="2242" totalsRowDxfId="224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54.xml><?xml version="1.0" encoding="utf-8"?>
<table xmlns="http://schemas.openxmlformats.org/spreadsheetml/2006/main" id="55" name="school201617" displayName="school201617" ref="A72:M105" totalsRowCount="1" dataDxfId="2239" totalsRowDxfId="2237" headerRowBorderDxfId="2240" tableBorderDxfId="2238">
  <autoFilter ref="A72:M104"/>
  <tableColumns count="13">
    <tableColumn id="1" name="Fiscal_x000a_Year" totalsRowLabel="2016-17 Total" dataDxfId="2236" totalsRowDxfId="2235"/>
    <tableColumn id="2" name="Program_x000a_Name" totalsRowLabel="N/A" dataDxfId="2234" totalsRowDxfId="2233"/>
    <tableColumn id="3" name="Legal_x000a_Reference_x000a_(Ch./Year)" totalsRowLabel="N/A" dataDxfId="2232" totalsRowDxfId="2231"/>
    <tableColumn id="4" name="Program Number" totalsRowLabel="N/A" dataDxfId="2230" totalsRowDxfId="2229"/>
    <tableColumn id="5" name="Program_x000a_Costs" totalsRowFunction="sum" dataDxfId="2228" totalsRowDxfId="2227"/>
    <tableColumn id="6" name="Less: Net Payments and Offsets 8" totalsRowFunction="sum" dataDxfId="2226" totalsRowDxfId="2225"/>
    <tableColumn id="7" name="Comment" totalsRowLabel="N/A" dataDxfId="2224" totalsRowDxfId="2223"/>
    <tableColumn id="8" name="Accounts Payable_x000a_Balance" totalsRowFunction="sum" dataDxfId="2222" totalsRowDxfId="2221"/>
    <tableColumn id="9" name="Established_x000a_Accounts Receivable" totalsRowLabel="$0" dataDxfId="2220" totalsRowDxfId="2219" dataCellStyle="Currency"/>
    <tableColumn id="10" name="Less: Recovered Amount" totalsRowLabel="$0" dataDxfId="2218" totalsRowDxfId="2217" dataCellStyle="Currency"/>
    <tableColumn id="11" name="Accounts Receivable_x000a_Balance" totalsRowLabel="$0" dataDxfId="2216" totalsRowDxfId="2215" dataCellStyle="Currency"/>
    <tableColumn id="12" name="Net_x000a_Balance" totalsRowFunction="sum" dataDxfId="2214" totalsRowDxfId="2213"/>
    <tableColumn id="13" name="Comment2" totalsRowLabel="N/A" dataDxfId="2212" totalsRowDxfId="221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55.xml><?xml version="1.0" encoding="utf-8"?>
<table xmlns="http://schemas.openxmlformats.org/spreadsheetml/2006/main" id="56" name="school201516" displayName="school201516" ref="A107:M140" totalsRowCount="1" dataDxfId="2209" totalsRowDxfId="2207" headerRowBorderDxfId="2210" tableBorderDxfId="2208">
  <autoFilter ref="A107:M139"/>
  <tableColumns count="13">
    <tableColumn id="1" name="Fiscal_x000a_Year" totalsRowLabel="2015-16 Total" dataDxfId="2206" totalsRowDxfId="2205"/>
    <tableColumn id="2" name="Program_x000a_Name" totalsRowLabel="N/A" dataDxfId="2204" totalsRowDxfId="2203"/>
    <tableColumn id="3" name="Legal_x000a_Reference_x000a_(Ch./Year)" totalsRowLabel="N/A" dataDxfId="2202" totalsRowDxfId="2201"/>
    <tableColumn id="4" name="Program Number" totalsRowLabel="N/A" dataDxfId="2200" totalsRowDxfId="2199"/>
    <tableColumn id="5" name="Program_x000a_Costs" totalsRowFunction="sum" dataDxfId="2198" totalsRowDxfId="2197"/>
    <tableColumn id="6" name="Less: Net Payments and Offsets 8" totalsRowFunction="sum" dataDxfId="2196" totalsRowDxfId="2195"/>
    <tableColumn id="7" name="Comment" totalsRowLabel=" N/A " dataDxfId="2194" totalsRowDxfId="2193"/>
    <tableColumn id="8" name="Accounts Payable_x000a_Balance" totalsRowFunction="sum" dataDxfId="2192" totalsRowDxfId="2191"/>
    <tableColumn id="9" name="Established_x000a_Accounts Receivable" totalsRowFunction="sum" dataDxfId="2190" totalsRowDxfId="2189"/>
    <tableColumn id="10" name="Less: Recovered Amount" totalsRowLabel="$0" dataDxfId="2188" totalsRowDxfId="2187" dataCellStyle="Currency"/>
    <tableColumn id="11" name="Accounts Receivable_x000a_Balance" totalsRowFunction="sum" dataDxfId="2186" totalsRowDxfId="2185"/>
    <tableColumn id="12" name="Net_x000a_Balance" totalsRowFunction="sum" dataDxfId="2184" totalsRowDxfId="2183"/>
    <tableColumn id="13" name="Comment2" totalsRowLabel=" N/A " dataDxfId="2182" totalsRowDxfId="218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56.xml><?xml version="1.0" encoding="utf-8"?>
<table xmlns="http://schemas.openxmlformats.org/spreadsheetml/2006/main" id="57" name="school201415" displayName="school201415" ref="A142:M183" totalsRowCount="1" dataDxfId="2179" totalsRowDxfId="2177" headerRowBorderDxfId="2180" tableBorderDxfId="2178">
  <autoFilter ref="A142:M182"/>
  <tableColumns count="13">
    <tableColumn id="1" name="Fiscal_x000a_Year" totalsRowLabel="2014-15 Total" dataDxfId="2176" totalsRowDxfId="2175"/>
    <tableColumn id="2" name="Program_x000a_Name" totalsRowLabel="N/A" dataDxfId="2174" totalsRowDxfId="2173"/>
    <tableColumn id="3" name="Legal_x000a_Reference_x000a_(Ch./Year)" totalsRowLabel="N/A" dataDxfId="2172" totalsRowDxfId="2171"/>
    <tableColumn id="4" name="Program Number" totalsRowLabel="N/A" dataDxfId="2170" totalsRowDxfId="2169"/>
    <tableColumn id="5" name="Program_x000a_Costs" totalsRowFunction="sum" dataDxfId="2168" totalsRowDxfId="2167"/>
    <tableColumn id="6" name="Less: Net Payments and Offsets 8" totalsRowFunction="sum" dataDxfId="2166" totalsRowDxfId="2165"/>
    <tableColumn id="7" name="Comment" totalsRowLabel=" N/A " dataDxfId="2164" totalsRowDxfId="2163"/>
    <tableColumn id="8" name="Accounts Payable_x000a_Balance" totalsRowFunction="sum" dataDxfId="2162" totalsRowDxfId="2161"/>
    <tableColumn id="9" name="Established_x000a_Accounts Receivable" totalsRowLabel="$0" dataDxfId="2160" totalsRowDxfId="2159" dataCellStyle="Currency"/>
    <tableColumn id="10" name="Less: Recovered Amount" totalsRowLabel="$0" dataDxfId="2158" totalsRowDxfId="2157" dataCellStyle="Currency"/>
    <tableColumn id="11" name="Accounts Receivable_x000a_Balance" totalsRowLabel="$0" dataDxfId="2156" totalsRowDxfId="2155" dataCellStyle="Currency"/>
    <tableColumn id="12" name="Net_x000a_Balance" totalsRowFunction="sum" dataDxfId="2154" totalsRowDxfId="2153"/>
    <tableColumn id="13" name="Comment2" totalsRowLabel=" N/A " dataDxfId="2152" totalsRowDxfId="215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57.xml><?xml version="1.0" encoding="utf-8"?>
<table xmlns="http://schemas.openxmlformats.org/spreadsheetml/2006/main" id="58" name="school201314" displayName="school201314" ref="A185:M228" totalsRowCount="1" dataDxfId="2149" totalsRowDxfId="2147" headerRowBorderDxfId="2150" tableBorderDxfId="2148">
  <autoFilter ref="A185:M227"/>
  <tableColumns count="13">
    <tableColumn id="1" name="Fiscal_x000a_Year" totalsRowLabel="2013-14 Total" dataDxfId="2146" totalsRowDxfId="2145"/>
    <tableColumn id="2" name="Program_x000a_Name" totalsRowLabel="N/A" dataDxfId="2144" totalsRowDxfId="2143"/>
    <tableColumn id="3" name="Legal_x000a_Reference_x000a_(Ch./Year)" totalsRowLabel="N/A" dataDxfId="2142" totalsRowDxfId="2141"/>
    <tableColumn id="4" name="Program Number" totalsRowLabel="N/A" dataDxfId="2140" totalsRowDxfId="2139"/>
    <tableColumn id="5" name="Program_x000a_Costs" totalsRowFunction="sum" dataDxfId="2138" totalsRowDxfId="2137"/>
    <tableColumn id="6" name="Less: Net Payments and Offsets 8" totalsRowFunction="sum" dataDxfId="2136" totalsRowDxfId="2135"/>
    <tableColumn id="7" name="Comment" totalsRowLabel=" N/A " dataDxfId="2134" totalsRowDxfId="2133"/>
    <tableColumn id="8" name="Accounts Payable_x000a_Balance" totalsRowFunction="sum" dataDxfId="2132" totalsRowDxfId="2131"/>
    <tableColumn id="9" name="Established_x000a_Accounts Receivable" totalsRowLabel="$0" dataDxfId="2130" totalsRowDxfId="2129" dataCellStyle="Currency"/>
    <tableColumn id="10" name="Less: Recovered Amount" totalsRowLabel="$0" dataDxfId="2128" totalsRowDxfId="2127" dataCellStyle="Currency"/>
    <tableColumn id="11" name="Accounts Receivable_x000a_Balance" totalsRowLabel="$0" dataDxfId="2126" totalsRowDxfId="2125" dataCellStyle="Currency"/>
    <tableColumn id="12" name="Net_x000a_Balance" totalsRowFunction="sum" dataDxfId="2124" totalsRowDxfId="2123"/>
    <tableColumn id="13" name="Comment2" totalsRowLabel=" N/A " dataDxfId="2122" totalsRowDxfId="212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58.xml><?xml version="1.0" encoding="utf-8"?>
<table xmlns="http://schemas.openxmlformats.org/spreadsheetml/2006/main" id="59" name="school201213" displayName="school201213" ref="A230:M275" totalsRowCount="1" dataDxfId="2119" totalsRowDxfId="2117" headerRowBorderDxfId="2120" tableBorderDxfId="2118">
  <autoFilter ref="A230:M274"/>
  <tableColumns count="13">
    <tableColumn id="1" name="Fiscal_x000a_Year" totalsRowLabel="2012-13 Total" dataDxfId="2116" totalsRowDxfId="2115"/>
    <tableColumn id="2" name="Program_x000a_Name" totalsRowLabel="N/A" dataDxfId="2114" totalsRowDxfId="2113"/>
    <tableColumn id="3" name="Legal_x000a_Reference_x000a_(Ch./Year)" totalsRowLabel="N/A" dataDxfId="2112" totalsRowDxfId="2111"/>
    <tableColumn id="4" name="Program Number" totalsRowLabel="N/A" dataDxfId="2110" totalsRowDxfId="2109"/>
    <tableColumn id="5" name="Program_x000a_Costs" totalsRowFunction="sum" dataDxfId="2108" totalsRowDxfId="2107"/>
    <tableColumn id="6" name="Less: Net Payments and Offsets 8" totalsRowFunction="sum" dataDxfId="2106" totalsRowDxfId="2105"/>
    <tableColumn id="7" name="Comment" totalsRowLabel=" N/A " dataDxfId="2104" totalsRowDxfId="2103"/>
    <tableColumn id="8" name="Accounts Payable_x000a_Balance" totalsRowFunction="sum" dataDxfId="2102" totalsRowDxfId="2101"/>
    <tableColumn id="9" name="Established_x000a_Accounts Receivable" totalsRowFunction="sum" dataDxfId="2100" totalsRowDxfId="2099"/>
    <tableColumn id="10" name="Less: Recovered Amount" totalsRowFunction="sum" dataDxfId="2098" totalsRowDxfId="2097"/>
    <tableColumn id="11" name="Accounts Receivable_x000a_Balance" totalsRowLabel="$0" dataDxfId="2096" totalsRowDxfId="2095" dataCellStyle="Currency"/>
    <tableColumn id="12" name="Net_x000a_Balance" totalsRowFunction="sum" dataDxfId="2094" totalsRowDxfId="2093"/>
    <tableColumn id="13" name="Comment2" totalsRowLabel=" N/A " dataDxfId="2092" totalsRowDxfId="209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59.xml><?xml version="1.0" encoding="utf-8"?>
<table xmlns="http://schemas.openxmlformats.org/spreadsheetml/2006/main" id="60" name="school201112" displayName="school201112" ref="A277:M322" totalsRowCount="1" dataDxfId="2089" totalsRowDxfId="2087" headerRowBorderDxfId="2090" tableBorderDxfId="2088">
  <autoFilter ref="A277:M321"/>
  <tableColumns count="13">
    <tableColumn id="1" name="Fiscal_x000a_Year" totalsRowLabel="2011-12 Total" dataDxfId="2086" totalsRowDxfId="2085"/>
    <tableColumn id="2" name="Program_x000a_Name" totalsRowLabel="N/A" dataDxfId="2084" totalsRowDxfId="2083"/>
    <tableColumn id="3" name="Legal_x000a_Reference_x000a_(Ch./Year)" totalsRowLabel="N/A" dataDxfId="2082" totalsRowDxfId="2081"/>
    <tableColumn id="4" name="Program Number" totalsRowLabel="N/A" dataDxfId="2080" totalsRowDxfId="2079"/>
    <tableColumn id="5" name="Program_x000a_Costs" totalsRowFunction="sum" dataDxfId="2078" totalsRowDxfId="2077"/>
    <tableColumn id="6" name="Less: Net Payments and Offsets 8" totalsRowFunction="sum" dataDxfId="2076" totalsRowDxfId="2075"/>
    <tableColumn id="7" name="Comment" totalsRowLabel=" N/A " dataDxfId="2074" totalsRowDxfId="2073"/>
    <tableColumn id="8" name="Accounts Payable_x000a_Balance" totalsRowFunction="sum" dataDxfId="2072" totalsRowDxfId="2071"/>
    <tableColumn id="9" name="Established_x000a_Accounts Receivable" totalsRowLabel="$0" dataDxfId="2070" totalsRowDxfId="2069" dataCellStyle="Currency"/>
    <tableColumn id="10" name="Less: Recovered Amount" totalsRowLabel="$0" dataDxfId="2068" totalsRowDxfId="2067" dataCellStyle="Currency"/>
    <tableColumn id="11" name="Accounts Receivable_x000a_Balance" totalsRowLabel="$0" dataDxfId="2066" totalsRowDxfId="2065" dataCellStyle="Currency"/>
    <tableColumn id="12" name="Net_x000a_Balance" totalsRowFunction="sum" dataDxfId="2064" totalsRowDxfId="2063"/>
    <tableColumn id="13" name="Comment2" totalsRowLabel=" N/A " dataDxfId="2062" totalsRowDxfId="206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6.xml><?xml version="1.0" encoding="utf-8"?>
<table xmlns="http://schemas.openxmlformats.org/spreadsheetml/2006/main" id="9" name="grandtotala" displayName="grandtotala" ref="A32:N38" totalsRowCount="1" dataDxfId="3510" headerRowBorderDxfId="3511" tableBorderDxfId="3509" totalsRowBorderDxfId="3508">
  <autoFilter ref="A32:N37"/>
  <tableColumns count="14">
    <tableColumn id="1" name="Program Category _x000a_and Fund" totalsRowLabel="Grand Total" totalsRowDxfId="3507"/>
    <tableColumn id="2" name="Appropriation_x000a_Number" totalsRowLabel="N/A" dataDxfId="3506" totalsRowDxfId="3505"/>
    <tableColumn id="3" name="Legal _x000a_Reference_x000a_(Ch./Year)" totalsRowLabel="N/A" dataDxfId="3504" totalsRowDxfId="3503"/>
    <tableColumn id="4" name="Fiscal Year of _x000a_Claims Paid" totalsRowLabel="N/A" dataDxfId="3502" totalsRowDxfId="3501"/>
    <tableColumn id="5" name="Reversion_x000a_ Date" totalsRowLabel="N/A" dataDxfId="3500" totalsRowDxfId="3499"/>
    <tableColumn id="6" name="Original                         Appropriation                  Amount" totalsRowFunction="sum" dataDxfId="3498" totalsRowDxfId="3497"/>
    <tableColumn id="7" name="Appropriation Balances_x000a_as of 07/01/2019" totalsRowFunction="sum" dataDxfId="3496" totalsRowDxfId="3495"/>
    <tableColumn id="8" name="Budget Adjustments        " totalsRowLabel="$0 " dataDxfId="3494" totalsRowDxfId="3493" dataCellStyle="Currency"/>
    <tableColumn id="9" name="Comment" totalsRowLabel=" N/A " dataDxfId="3492" totalsRowDxfId="3491"/>
    <tableColumn id="10" name="Add: Receipts               and Recovered Amounts" totalsRowFunction="sum" dataDxfId="3490" totalsRowDxfId="3489"/>
    <tableColumn id="11" name="Less: Mandated Program Payments, _x000a_Offsets, and Interest   _x000a_ (see Schedule A1) 2" totalsRowFunction="sum" dataDxfId="3488" totalsRowDxfId="3487"/>
    <tableColumn id="12" name="Comment2" totalsRowLabel=" N/A " dataDxfId="3486" totalsRowDxfId="3485"/>
    <tableColumn id="13" name="Less: Reappropriations 3" totalsRowFunction="sum" dataDxfId="3484" totalsRowDxfId="3483"/>
    <tableColumn id="14" name="Appropriation Balances_x000a_as of 04/01/2020" totalsRowFunction="sum" dataDxfId="3482" totalsRowDxfId="348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A: Summary of State-Mandated Program Appropriations, Receipts, and Payments. As of April 1, 2020. Grand Total for all."/>
    </ext>
  </extLst>
</table>
</file>

<file path=xl/tables/table60.xml><?xml version="1.0" encoding="utf-8"?>
<table xmlns="http://schemas.openxmlformats.org/spreadsheetml/2006/main" id="61" name="school201011" displayName="school201011" ref="A324:M374" totalsRowCount="1" dataDxfId="2059" totalsRowDxfId="2057" headerRowBorderDxfId="2060" tableBorderDxfId="2058">
  <autoFilter ref="A324:M373"/>
  <tableColumns count="13">
    <tableColumn id="1" name="Fiscal_x000a_Year" totalsRowLabel="2010-11 Total" dataDxfId="2056" totalsRowDxfId="2055"/>
    <tableColumn id="2" name="Program_x000a_Name" totalsRowLabel="N/A" dataDxfId="2054" totalsRowDxfId="2053"/>
    <tableColumn id="3" name="Legal_x000a_Reference_x000a_(Ch./Year)" totalsRowLabel="N/A" dataDxfId="2052" totalsRowDxfId="2051"/>
    <tableColumn id="4" name="Program Number" totalsRowLabel="N/A" dataDxfId="2050" totalsRowDxfId="2049"/>
    <tableColumn id="5" name="Program_x000a_Costs" totalsRowFunction="sum" dataDxfId="2048" totalsRowDxfId="2047"/>
    <tableColumn id="6" name="Less: Net Payments and Offsets 8" totalsRowFunction="sum" dataDxfId="2046" totalsRowDxfId="2045"/>
    <tableColumn id="7" name="Comment" totalsRowLabel=" N/A " dataDxfId="2044" totalsRowDxfId="2043"/>
    <tableColumn id="8" name="Accounts Payable_x000a_Balance" totalsRowFunction="sum" dataDxfId="2042" totalsRowDxfId="2041"/>
    <tableColumn id="9" name="Established_x000a_Accounts Receivable" totalsRowLabel="$0" dataDxfId="2040" totalsRowDxfId="2039" dataCellStyle="Currency"/>
    <tableColumn id="10" name="Less: Recovered Amount" totalsRowLabel="$0" dataDxfId="2038" totalsRowDxfId="2037" dataCellStyle="Currency"/>
    <tableColumn id="11" name="Accounts Receivable_x000a_Balance" totalsRowLabel="$0" dataDxfId="2036" totalsRowDxfId="2035" dataCellStyle="Currency"/>
    <tableColumn id="12" name="Net_x000a_Balance" totalsRowFunction="sum" dataDxfId="2034" totalsRowDxfId="2033"/>
    <tableColumn id="13" name="Comment2" totalsRowLabel=" N/A " dataDxfId="2032" totalsRowDxfId="203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61.xml><?xml version="1.0" encoding="utf-8"?>
<table xmlns="http://schemas.openxmlformats.org/spreadsheetml/2006/main" id="62" name="school200910" displayName="school200910" ref="A376:M421" totalsRowCount="1" dataDxfId="2029" totalsRowDxfId="2027" headerRowBorderDxfId="2030" tableBorderDxfId="2028">
  <autoFilter ref="A376:M420"/>
  <tableColumns count="13">
    <tableColumn id="1" name="Fiscal_x000a_Year" totalsRowLabel="2009-10 Total" dataDxfId="2026" totalsRowDxfId="2025"/>
    <tableColumn id="2" name="Program_x000a_Name" totalsRowLabel="N/A" dataDxfId="2024" totalsRowDxfId="2023"/>
    <tableColumn id="3" name="Legal_x000a_Reference_x000a_(Ch./Year)" totalsRowLabel="N/A" dataDxfId="2022" totalsRowDxfId="2021"/>
    <tableColumn id="4" name="Program Number" totalsRowLabel="N/A" dataDxfId="2020" totalsRowDxfId="2019"/>
    <tableColumn id="5" name="Program_x000a_Costs" totalsRowFunction="sum" dataDxfId="2018" totalsRowDxfId="2017"/>
    <tableColumn id="6" name="Less: Net Payments and Offsets 8" totalsRowFunction="sum" dataDxfId="2016" totalsRowDxfId="2015"/>
    <tableColumn id="7" name="Comment" totalsRowLabel=" N/A " dataDxfId="2014" totalsRowDxfId="2013"/>
    <tableColumn id="8" name="Accounts Payable_x000a_Balance" totalsRowFunction="sum" dataDxfId="2012" totalsRowDxfId="2011"/>
    <tableColumn id="9" name="Established_x000a_Accounts Receivable" totalsRowFunction="sum" dataDxfId="2010" totalsRowDxfId="2009"/>
    <tableColumn id="10" name="Less: Recovered Amount" totalsRowFunction="sum" dataDxfId="2008" totalsRowDxfId="2007"/>
    <tableColumn id="11" name="Accounts Receivable_x000a_Balance" totalsRowFunction="sum" dataDxfId="2006" totalsRowDxfId="2005"/>
    <tableColumn id="12" name="Net_x000a_Balance" totalsRowFunction="sum" dataDxfId="2004" totalsRowDxfId="2003"/>
    <tableColumn id="13" name="Comment2" totalsRowLabel=" N/A " dataDxfId="2002" totalsRowDxfId="200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62.xml><?xml version="1.0" encoding="utf-8"?>
<table xmlns="http://schemas.openxmlformats.org/spreadsheetml/2006/main" id="63" name="school200809" displayName="school200809" ref="A423:M471" totalsRowCount="1" dataDxfId="1999" totalsRowDxfId="1997" headerRowBorderDxfId="2000" tableBorderDxfId="1998">
  <autoFilter ref="A423:M470"/>
  <tableColumns count="13">
    <tableColumn id="1" name="Fiscal_x000a_Year" totalsRowLabel="2008-09 Total" dataDxfId="1996" totalsRowDxfId="1995"/>
    <tableColumn id="2" name="Program_x000a_Name" totalsRowLabel="N/A" dataDxfId="1994" totalsRowDxfId="1993"/>
    <tableColumn id="3" name="Legal_x000a_Reference_x000a_(Ch./Year)" totalsRowLabel="N/A" dataDxfId="1992" totalsRowDxfId="1991"/>
    <tableColumn id="4" name="Program Number" totalsRowLabel="N/A" dataDxfId="1990" totalsRowDxfId="1989"/>
    <tableColumn id="5" name="Program_x000a_Costs" totalsRowFunction="sum" dataDxfId="1988" totalsRowDxfId="1987"/>
    <tableColumn id="6" name="Less: Net Payments and Offsets 8" totalsRowFunction="sum" dataDxfId="1986" totalsRowDxfId="1985"/>
    <tableColumn id="7" name="Comment" totalsRowLabel=" N/A " dataDxfId="1984" totalsRowDxfId="1983"/>
    <tableColumn id="8" name="Accounts Payable_x000a_Balance" totalsRowFunction="sum" dataDxfId="1982" totalsRowDxfId="1981"/>
    <tableColumn id="9" name="Established_x000a_Accounts Receivable" totalsRowFunction="sum" dataDxfId="1980" totalsRowDxfId="1979"/>
    <tableColumn id="10" name="Less: Recovered Amount" totalsRowFunction="sum" dataDxfId="1978" totalsRowDxfId="1977"/>
    <tableColumn id="11" name="Accounts Receivable_x000a_Balance" totalsRowFunction="sum" dataDxfId="1976" totalsRowDxfId="1975"/>
    <tableColumn id="12" name="Net_x000a_Balance" totalsRowFunction="sum" dataDxfId="1974" totalsRowDxfId="1973"/>
    <tableColumn id="13" name="Comment2" totalsRowLabel=" N/A " dataDxfId="1972" totalsRowDxfId="197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63.xml><?xml version="1.0" encoding="utf-8"?>
<table xmlns="http://schemas.openxmlformats.org/spreadsheetml/2006/main" id="64" name="school200708" displayName="school200708" ref="A473:M523" totalsRowCount="1" dataDxfId="1969" totalsRowDxfId="1967" headerRowBorderDxfId="1970" tableBorderDxfId="1968">
  <autoFilter ref="A473:M522"/>
  <tableColumns count="13">
    <tableColumn id="1" name="Fiscal_x000a_Year" totalsRowLabel="2007-08 Total" dataDxfId="1966" totalsRowDxfId="1965"/>
    <tableColumn id="2" name="Program_x000a_Name" totalsRowLabel="N/A" dataDxfId="1964" totalsRowDxfId="1963"/>
    <tableColumn id="3" name="Legal_x000a_Reference_x000a_(Ch./Year)" totalsRowLabel="N/A" dataDxfId="1962" totalsRowDxfId="1961"/>
    <tableColumn id="4" name="Program Number" totalsRowLabel="N/A" dataDxfId="1960" totalsRowDxfId="1959"/>
    <tableColumn id="5" name="Program_x000a_Costs" totalsRowFunction="sum" dataDxfId="1958" totalsRowDxfId="1957"/>
    <tableColumn id="6" name="Less: Net Payments and Offsets 8" totalsRowFunction="sum" dataDxfId="1956" totalsRowDxfId="1955"/>
    <tableColumn id="7" name="Comment" totalsRowLabel=" N/A " dataDxfId="1954" totalsRowDxfId="1953"/>
    <tableColumn id="8" name="Accounts Payable_x000a_Balance" totalsRowFunction="sum" dataDxfId="1952" totalsRowDxfId="1951"/>
    <tableColumn id="9" name="Established_x000a_Accounts Receivable" totalsRowFunction="sum" dataDxfId="1950" totalsRowDxfId="1949"/>
    <tableColumn id="10" name="Less: Recovered Amount" totalsRowFunction="sum" dataDxfId="1948" totalsRowDxfId="1947"/>
    <tableColumn id="11" name="Accounts Receivable_x000a_Balance" totalsRowFunction="sum" dataDxfId="1946" totalsRowDxfId="1945"/>
    <tableColumn id="12" name="Net_x000a_Balance" totalsRowFunction="sum" dataDxfId="1944" totalsRowDxfId="1943"/>
    <tableColumn id="13" name="Comment2" totalsRowLabel=" N/A " dataDxfId="1942" totalsRowDxfId="194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64.xml><?xml version="1.0" encoding="utf-8"?>
<table xmlns="http://schemas.openxmlformats.org/spreadsheetml/2006/main" id="65" name="school200607" displayName="school200607" ref="A525:M576" totalsRowCount="1" dataDxfId="1939" totalsRowDxfId="1937" headerRowBorderDxfId="1940" tableBorderDxfId="1938">
  <autoFilter ref="A525:M575"/>
  <tableColumns count="13">
    <tableColumn id="1" name="Fiscal_x000a_Year" totalsRowLabel="2006-07 Total" dataDxfId="1936" totalsRowDxfId="1935"/>
    <tableColumn id="2" name="Program_x000a_Name" totalsRowLabel="N/A" dataDxfId="1934" totalsRowDxfId="1933"/>
    <tableColumn id="3" name="Legal_x000a_Reference_x000a_(Ch./Year)" totalsRowLabel="N/A" dataDxfId="1932" totalsRowDxfId="1931"/>
    <tableColumn id="4" name="Program Number" totalsRowLabel="N/A" dataDxfId="1930" totalsRowDxfId="1929"/>
    <tableColumn id="5" name="Program_x000a_Costs" totalsRowFunction="sum" dataDxfId="1928" totalsRowDxfId="1927"/>
    <tableColumn id="6" name="Less: Net Payments and Offsets 8" totalsRowFunction="sum" dataDxfId="1926" totalsRowDxfId="1925"/>
    <tableColumn id="7" name="Comment" totalsRowLabel=" N/A " dataDxfId="1924" totalsRowDxfId="1923"/>
    <tableColumn id="8" name="Accounts Payable_x000a_Balance" totalsRowFunction="sum" dataDxfId="1922" totalsRowDxfId="1921"/>
    <tableColumn id="9" name="Established_x000a_Accounts Receivable" totalsRowFunction="sum" dataDxfId="1920" totalsRowDxfId="1919"/>
    <tableColumn id="10" name="Less: Recovered Amount" totalsRowFunction="sum" dataDxfId="1918" totalsRowDxfId="1917"/>
    <tableColumn id="11" name="Accounts Receivable_x000a_Balance" totalsRowFunction="sum" dataDxfId="1916" totalsRowDxfId="1915"/>
    <tableColumn id="12" name="Net_x000a_Balance" totalsRowFunction="sum" dataDxfId="1914" totalsRowDxfId="1913"/>
    <tableColumn id="13" name="Comment2" totalsRowLabel=" N/A " dataDxfId="1912" totalsRowDxfId="191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65.xml><?xml version="1.0" encoding="utf-8"?>
<table xmlns="http://schemas.openxmlformats.org/spreadsheetml/2006/main" id="66" name="school200506" displayName="school200506" ref="A578:M625" totalsRowCount="1" dataDxfId="1909" totalsRowDxfId="1907" headerRowBorderDxfId="1910" tableBorderDxfId="1908" dataCellStyle="Currency">
  <autoFilter ref="A578:M624"/>
  <tableColumns count="13">
    <tableColumn id="1" name="Fiscal_x000a_Year" totalsRowLabel="2005-06 Total" dataDxfId="1906" totalsRowDxfId="1905"/>
    <tableColumn id="2" name="Program_x000a_Name" totalsRowLabel="N/A" dataDxfId="1904" totalsRowDxfId="1903"/>
    <tableColumn id="3" name="Legal_x000a_Reference_x000a_(Ch./Year)" totalsRowLabel="N/A" dataDxfId="1902" totalsRowDxfId="1901"/>
    <tableColumn id="4" name="Program Number" totalsRowLabel="N/A" dataDxfId="1900" totalsRowDxfId="1899"/>
    <tableColumn id="5" name="Program_x000a_Costs" totalsRowFunction="sum" dataDxfId="1898" totalsRowDxfId="1897"/>
    <tableColumn id="6" name="Less: Net Payments and Offsets 8" totalsRowFunction="sum" dataDxfId="1896" totalsRowDxfId="1895"/>
    <tableColumn id="7" name="Comment" totalsRowLabel=" N/A " dataDxfId="1894" totalsRowDxfId="1893"/>
    <tableColumn id="8" name="Accounts Payable_x000a_Balance" totalsRowFunction="sum" dataDxfId="1892" totalsRowDxfId="1891"/>
    <tableColumn id="9" name="Established_x000a_Accounts Receivable" totalsRowFunction="sum" dataDxfId="1890" totalsRowDxfId="1889" dataCellStyle="Currency"/>
    <tableColumn id="10" name="Less: Recovered Amount" totalsRowFunction="sum" dataDxfId="1888" totalsRowDxfId="1887" dataCellStyle="Currency"/>
    <tableColumn id="11" name="Accounts Receivable_x000a_Balance" totalsRowFunction="sum" dataDxfId="1886" totalsRowDxfId="1885" dataCellStyle="Currency"/>
    <tableColumn id="12" name="Net_x000a_Balance" totalsRowFunction="sum" dataDxfId="1884" totalsRowDxfId="1883"/>
    <tableColumn id="13" name="Comment2" totalsRowLabel=" N/A " dataDxfId="1882" totalsRowDxfId="188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66.xml><?xml version="1.0" encoding="utf-8"?>
<table xmlns="http://schemas.openxmlformats.org/spreadsheetml/2006/main" id="67" name="school200405" displayName="school200405" ref="A627:M668" totalsRowCount="1" dataDxfId="1879" totalsRowDxfId="1877" headerRowBorderDxfId="1880" tableBorderDxfId="1878">
  <autoFilter ref="A627:M667"/>
  <tableColumns count="13">
    <tableColumn id="1" name="Fiscal_x000a_Year" totalsRowLabel="2004-05 Total" dataDxfId="1876" totalsRowDxfId="1875"/>
    <tableColumn id="2" name="Program_x000a_Name" totalsRowLabel="N/A" dataDxfId="1874" totalsRowDxfId="1873"/>
    <tableColumn id="3" name="Legal_x000a_Reference_x000a_(Ch./Year)" totalsRowLabel="N/A" dataDxfId="1872" totalsRowDxfId="1871"/>
    <tableColumn id="4" name="Program Number" totalsRowLabel="N/A" dataDxfId="1870" totalsRowDxfId="1869"/>
    <tableColumn id="5" name="Program_x000a_Costs" totalsRowFunction="sum" dataDxfId="1868" totalsRowDxfId="1867"/>
    <tableColumn id="6" name="Less: Net Payments and Offsets 8" totalsRowFunction="sum" dataDxfId="1866" totalsRowDxfId="1865"/>
    <tableColumn id="7" name="Comment" totalsRowLabel=" N/A " dataDxfId="1864" totalsRowDxfId="1863"/>
    <tableColumn id="8" name="Accounts Payable_x000a_Balance" totalsRowFunction="sum" dataDxfId="1862" totalsRowDxfId="1861"/>
    <tableColumn id="9" name="Established_x000a_Accounts Receivable" totalsRowFunction="sum" dataDxfId="1860" totalsRowDxfId="1859"/>
    <tableColumn id="10" name="Less: Recovered Amount" totalsRowFunction="sum" dataDxfId="1858" totalsRowDxfId="1857"/>
    <tableColumn id="11" name="Accounts Receivable_x000a_Balance" totalsRowFunction="sum" dataDxfId="1856" totalsRowDxfId="1855"/>
    <tableColumn id="12" name="Net_x000a_Balance" totalsRowFunction="sum" dataDxfId="1854" totalsRowDxfId="1853"/>
    <tableColumn id="13" name="Comment2" totalsRowLabel=" N/A " dataDxfId="1852" totalsRowDxfId="185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67.xml><?xml version="1.0" encoding="utf-8"?>
<table xmlns="http://schemas.openxmlformats.org/spreadsheetml/2006/main" id="68" name="school200304" displayName="school200304" ref="A670:M687" totalsRowCount="1" dataDxfId="1849" totalsRowDxfId="1847" headerRowBorderDxfId="1850" tableBorderDxfId="1848">
  <autoFilter ref="A670:M686"/>
  <tableColumns count="13">
    <tableColumn id="1" name="Fiscal_x000a_Year" totalsRowLabel="2003-04 Total" dataDxfId="1846" totalsRowDxfId="1845"/>
    <tableColumn id="2" name="Program_x000a_Name" totalsRowLabel="N/A" dataDxfId="1844" totalsRowDxfId="1843"/>
    <tableColumn id="3" name="Legal_x000a_Reference_x000a_(Ch./Year)" totalsRowLabel="N/A" dataDxfId="1842" totalsRowDxfId="1841"/>
    <tableColumn id="4" name="Program Number" totalsRowLabel="N/A" dataDxfId="1840" totalsRowDxfId="1839"/>
    <tableColumn id="5" name="Program_x000a_Costs" totalsRowFunction="sum" dataDxfId="1838" totalsRowDxfId="1837"/>
    <tableColumn id="6" name="Less: Net Payments and Offsets 8" totalsRowFunction="sum" dataDxfId="1836" totalsRowDxfId="1835"/>
    <tableColumn id="7" name="Comment" totalsRowLabel=" N/A " dataDxfId="1834" totalsRowDxfId="1833"/>
    <tableColumn id="8" name="Accounts Payable_x000a_Balance" totalsRowFunction="sum" dataDxfId="1832" totalsRowDxfId="1831"/>
    <tableColumn id="9" name="Established_x000a_Accounts Receivable" totalsRowFunction="sum" dataDxfId="1830" totalsRowDxfId="1829"/>
    <tableColumn id="10" name="Less: Recovered Amount" totalsRowFunction="sum" dataDxfId="1828" totalsRowDxfId="1827"/>
    <tableColumn id="11" name="Accounts Receivable_x000a_Balance" totalsRowFunction="sum" dataDxfId="1826" totalsRowDxfId="1825"/>
    <tableColumn id="12" name="Net_x000a_Balance" totalsRowFunction="sum" dataDxfId="1824" totalsRowDxfId="1823"/>
    <tableColumn id="13" name="Comment2" totalsRowLabel=" N/A " dataDxfId="1822" totalsRowDxfId="182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68.xml><?xml version="1.0" encoding="utf-8"?>
<table xmlns="http://schemas.openxmlformats.org/spreadsheetml/2006/main" id="69" name="school200203" displayName="school200203" ref="A689:M704" totalsRowCount="1" dataDxfId="1819" headerRowBorderDxfId="1820" tableBorderDxfId="1818">
  <autoFilter ref="A689:M703"/>
  <tableColumns count="13">
    <tableColumn id="1" name="Fiscal_x000a_Year" totalsRowLabel="2002-03 Total" dataDxfId="1817" totalsRowDxfId="1816"/>
    <tableColumn id="2" name="Program_x000a_Name" totalsRowLabel="N/A" dataDxfId="1815" totalsRowDxfId="1814"/>
    <tableColumn id="3" name="Legal_x000a_Reference_x000a_(Ch./Year)" totalsRowLabel="N/A" dataDxfId="1813" totalsRowDxfId="1812"/>
    <tableColumn id="4" name="Program Number" totalsRowLabel="N/A" dataDxfId="1811" totalsRowDxfId="1810"/>
    <tableColumn id="5" name="Program_x000a_Costs" totalsRowFunction="sum" dataDxfId="1809" totalsRowDxfId="1808"/>
    <tableColumn id="6" name="Less: Net Payments and Offsets 8" totalsRowFunction="sum" dataDxfId="1807" totalsRowDxfId="1806"/>
    <tableColumn id="7" name="Comment" totalsRowLabel=" N/A " dataDxfId="1805" totalsRowDxfId="1804"/>
    <tableColumn id="8" name="Accounts Payable_x000a_Balance" totalsRowFunction="sum" dataDxfId="1803" totalsRowDxfId="1802"/>
    <tableColumn id="9" name="Established_x000a_Accounts Receivable" totalsRowFunction="sum" dataDxfId="1801" totalsRowDxfId="1800"/>
    <tableColumn id="10" name="Less: Recovered Amount" totalsRowFunction="sum" dataDxfId="1799" totalsRowDxfId="1798"/>
    <tableColumn id="11" name="Accounts Receivable_x000a_Balance" totalsRowFunction="sum" dataDxfId="1797" totalsRowDxfId="1796"/>
    <tableColumn id="12" name="Net_x000a_Balance" totalsRowFunction="sum" dataDxfId="1795" totalsRowDxfId="1794"/>
    <tableColumn id="13" name="Comment2" totalsRowLabel=" N/A " dataDxfId="1793" totalsRowDxfId="179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69.xml><?xml version="1.0" encoding="utf-8"?>
<table xmlns="http://schemas.openxmlformats.org/spreadsheetml/2006/main" id="70" name="school200102" displayName="school200102" ref="A706:M738" totalsRowCount="1" dataDxfId="1790" totalsRowDxfId="1788" headerRowBorderDxfId="1791" tableBorderDxfId="1789">
  <autoFilter ref="A706:M737"/>
  <tableColumns count="13">
    <tableColumn id="1" name="Fiscal_x000a_Year" totalsRowLabel="2001-02 Total" dataDxfId="1787" totalsRowDxfId="1786"/>
    <tableColumn id="2" name="Program_x000a_Name" totalsRowLabel="N/A" dataDxfId="1785" totalsRowDxfId="1784"/>
    <tableColumn id="3" name="Legal_x000a_Reference_x000a_(Ch./Year)" totalsRowLabel="N/A" dataDxfId="1783" totalsRowDxfId="1782"/>
    <tableColumn id="4" name="Program Number" totalsRowLabel="N/A" dataDxfId="1781" totalsRowDxfId="1780"/>
    <tableColumn id="5" name="Program_x000a_Costs" totalsRowFunction="sum" dataDxfId="1779" totalsRowDxfId="1778"/>
    <tableColumn id="6" name="Less: Net Payments and Offsets 8" totalsRowFunction="sum" dataDxfId="1777" totalsRowDxfId="1776"/>
    <tableColumn id="7" name="Comment" totalsRowLabel=" N/A " dataDxfId="1775" totalsRowDxfId="1774"/>
    <tableColumn id="8" name="Accounts Payable_x000a_Balance" totalsRowFunction="sum" dataDxfId="1773" totalsRowDxfId="1772"/>
    <tableColumn id="9" name="Established_x000a_Accounts Receivable" totalsRowFunction="sum" dataDxfId="1771" totalsRowDxfId="1770"/>
    <tableColumn id="10" name="Less: Recovered Amount" totalsRowFunction="sum" dataDxfId="1769" totalsRowDxfId="1768"/>
    <tableColumn id="11" name="Accounts Receivable_x000a_Balance" totalsRowFunction="sum" dataDxfId="1767" totalsRowDxfId="1766"/>
    <tableColumn id="12" name="Net_x000a_Balance" totalsRowFunction="sum" dataDxfId="1765" totalsRowDxfId="1764"/>
    <tableColumn id="13" name="Comment2" totalsRowLabel=" N/A " dataDxfId="1763" totalsRowDxfId="176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7.xml><?xml version="1.0" encoding="utf-8"?>
<table xmlns="http://schemas.openxmlformats.org/spreadsheetml/2006/main" id="2" name="localannualclaim19" displayName="localannualclaim19" ref="A2:I19" totalsRowCount="1" headerRowDxfId="3480" totalsRowDxfId="3477" headerRowBorderDxfId="3479" tableBorderDxfId="3478" totalsRowBorderDxfId="3476">
  <autoFilter ref="A2:I18"/>
  <tableColumns count="9">
    <tableColumn id="1" name="Program Category_x000a_and Type of Payment" totalsRowLabel="Annual Claim Payments Total" dataDxfId="3475" totalsRowDxfId="3474"/>
    <tableColumn id="9" name="Fiscal _x000a_Year" totalsRowLabel="N/A" dataDxfId="3473" totalsRowDxfId="3472"/>
    <tableColumn id="8" name="Appropriation _x000a_Number" totalsRowLabel="N/A" totalsRowDxfId="3471"/>
    <tableColumn id="2" name="Program _x000a_Name" totalsRowLabel="N/A" dataDxfId="3470" totalsRowDxfId="3469"/>
    <tableColumn id="3" name="Legal _x000a_Reference_x000a_(Ch./Year)" totalsRowLabel="N/A" totalsRowDxfId="3468"/>
    <tableColumn id="4" name="Program_x000a_ Number" totalsRowLabel="N/A" totalsRowDxfId="3467"/>
    <tableColumn id="5" name="Program _x000a_Payments and Offsets" totalsRowFunction="sum" totalsRowDxfId="3466"/>
    <tableColumn id="6" name="Interest_x000a_Payments and Offsets" totalsRowLabel="$0 " dataDxfId="3465" totalsRowDxfId="3464" dataCellStyle="Currency"/>
    <tableColumn id="7" name="Total _x000a_Payments" totalsRowFunction="sum" totalsRowDxfId="346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A1: Detail of State-Mandated Program Payments by Fiscal Year. As of April 1, 2020. Local Agencies-Annual Claim."/>
    </ext>
  </extLst>
</table>
</file>

<file path=xl/tables/table70.xml><?xml version="1.0" encoding="utf-8"?>
<table xmlns="http://schemas.openxmlformats.org/spreadsheetml/2006/main" id="71" name="school200001" displayName="school200001" ref="A740:M762" totalsRowCount="1" dataDxfId="1760" headerRowBorderDxfId="1761" tableBorderDxfId="1759">
  <autoFilter ref="A740:M761"/>
  <tableColumns count="13">
    <tableColumn id="1" name="Fiscal_x000a_Year" totalsRowLabel="2000-01 Total" dataDxfId="1758" totalsRowDxfId="1757"/>
    <tableColumn id="2" name="Program_x000a_Name" totalsRowLabel="N/A" dataDxfId="1756" totalsRowDxfId="1755"/>
    <tableColumn id="3" name="Legal_x000a_Reference_x000a_(Ch./Year)" totalsRowLabel="N/A" dataDxfId="1754" totalsRowDxfId="1753"/>
    <tableColumn id="4" name="Program Number" totalsRowLabel="N/A" dataDxfId="1752" totalsRowDxfId="1751"/>
    <tableColumn id="5" name="Program_x000a_Costs" totalsRowFunction="sum" dataDxfId="1750" totalsRowDxfId="1749"/>
    <tableColumn id="6" name="Less: Net Payments and Offsets 8" totalsRowFunction="sum" dataDxfId="1748" totalsRowDxfId="1747"/>
    <tableColumn id="7" name="Comment" totalsRowLabel=" N/A " dataDxfId="1746" totalsRowDxfId="1745"/>
    <tableColumn id="8" name="Accounts Payable_x000a_Balance" totalsRowFunction="sum" dataDxfId="1744" totalsRowDxfId="1743"/>
    <tableColumn id="9" name="Established_x000a_Accounts Receivable" totalsRowFunction="sum" dataDxfId="1742" totalsRowDxfId="1741"/>
    <tableColumn id="10" name="Less: Recovered Amount" totalsRowFunction="sum" dataDxfId="1740" totalsRowDxfId="1739"/>
    <tableColumn id="11" name="Accounts Receivable_x000a_Balance" totalsRowFunction="sum" dataDxfId="1738" totalsRowDxfId="1737"/>
    <tableColumn id="12" name="Net_x000a_Balance" totalsRowFunction="sum" dataDxfId="1736" totalsRowDxfId="1735"/>
    <tableColumn id="13" name="Comment2" totalsRowLabel=" N/A " dataDxfId="1734" totalsRowDxfId="173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71.xml><?xml version="1.0" encoding="utf-8"?>
<table xmlns="http://schemas.openxmlformats.org/spreadsheetml/2006/main" id="72" name="school199900" displayName="school199900" ref="A764:M776" totalsRowCount="1" dataDxfId="1731" headerRowBorderDxfId="1732" tableBorderDxfId="1730">
  <autoFilter ref="A764:M775"/>
  <tableColumns count="13">
    <tableColumn id="1" name="Fiscal_x000a_Year" totalsRowLabel="1999-00 Total" dataDxfId="1729" totalsRowDxfId="1728"/>
    <tableColumn id="2" name="Program_x000a_Name" totalsRowLabel="N/A" dataDxfId="1727" totalsRowDxfId="1726"/>
    <tableColumn id="3" name="Legal_x000a_Reference_x000a_(Ch./Year)" totalsRowLabel="N/A" dataDxfId="1725" totalsRowDxfId="1724"/>
    <tableColumn id="4" name="Program Number" totalsRowLabel="N/A" dataDxfId="1723" totalsRowDxfId="1722"/>
    <tableColumn id="5" name="Program_x000a_Costs" totalsRowFunction="sum" dataDxfId="1721" totalsRowDxfId="1720"/>
    <tableColumn id="6" name="Less: Net Payments and Offsets 8" totalsRowFunction="sum" dataDxfId="1719" totalsRowDxfId="1718"/>
    <tableColumn id="7" name="Comment" totalsRowLabel=" N/A " dataDxfId="1717" totalsRowDxfId="1716"/>
    <tableColumn id="8" name="Accounts Payable_x000a_Balance" totalsRowFunction="sum" dataDxfId="1715" totalsRowDxfId="1714"/>
    <tableColumn id="9" name="Established_x000a_Accounts Receivable" totalsRowFunction="sum" dataDxfId="1713" totalsRowDxfId="1712"/>
    <tableColumn id="10" name="Less: Recovered Amount" totalsRowFunction="sum" dataDxfId="1711" totalsRowDxfId="1710"/>
    <tableColumn id="11" name="Accounts Receivable_x000a_Balance" totalsRowFunction="sum" dataDxfId="1709" totalsRowDxfId="1708"/>
    <tableColumn id="12" name="Net_x000a_Balance" totalsRowFunction="sum" dataDxfId="1707" totalsRowDxfId="1706"/>
    <tableColumn id="13" name="Comment2" totalsRowLabel=" N/A " dataDxfId="1705" totalsRowDxfId="170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72.xml><?xml version="1.0" encoding="utf-8"?>
<table xmlns="http://schemas.openxmlformats.org/spreadsheetml/2006/main" id="73" name="school199899" displayName="school199899" ref="A778:M785" totalsRowCount="1" dataDxfId="1702" totalsRowDxfId="1700" headerRowBorderDxfId="1703" tableBorderDxfId="1701">
  <autoFilter ref="A778:M784"/>
  <tableColumns count="13">
    <tableColumn id="1" name="Fiscal_x000a_Year" totalsRowLabel="1998-99 Total" dataDxfId="1699" totalsRowDxfId="1698"/>
    <tableColumn id="2" name="Program_x000a_Name" totalsRowLabel="N/A" dataDxfId="1697" totalsRowDxfId="1696"/>
    <tableColumn id="3" name="Legal_x000a_Reference_x000a_(Ch./Year)" totalsRowLabel="N/A" dataDxfId="1695" totalsRowDxfId="1694"/>
    <tableColumn id="4" name="Program Number" totalsRowLabel="N/A" dataDxfId="1693" totalsRowDxfId="1692"/>
    <tableColumn id="5" name="Program_x000a_Costs" totalsRowFunction="sum" dataDxfId="1691" totalsRowDxfId="1690"/>
    <tableColumn id="6" name="Less: Net Payments and Offsets 8" totalsRowFunction="sum" dataDxfId="1689" totalsRowDxfId="1688"/>
    <tableColumn id="7" name="Comment" totalsRowLabel=" N/A " dataDxfId="1687" totalsRowDxfId="1686"/>
    <tableColumn id="8" name="Accounts Payable_x000a_Balance" totalsRowFunction="sum" dataDxfId="1685" totalsRowDxfId="1684"/>
    <tableColumn id="9" name="Established_x000a_Accounts Receivable" totalsRowFunction="sum" dataDxfId="1683" totalsRowDxfId="1682"/>
    <tableColumn id="10" name="Less: Recovered Amount" totalsRowFunction="sum" dataDxfId="1681" totalsRowDxfId="1680"/>
    <tableColumn id="11" name="Accounts Receivable_x000a_Balance" totalsRowFunction="sum" dataDxfId="1679" totalsRowDxfId="1678"/>
    <tableColumn id="12" name="Net_x000a_Balance" totalsRowFunction="sum" dataDxfId="1677" totalsRowDxfId="1676"/>
    <tableColumn id="13" name="Comment2" totalsRowLabel=" N/A " dataDxfId="1675" totalsRowDxfId="167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73.xml><?xml version="1.0" encoding="utf-8"?>
<table xmlns="http://schemas.openxmlformats.org/spreadsheetml/2006/main" id="74" name="school199798" displayName="school199798" ref="A787:M794" totalsRowCount="1" dataDxfId="1672" totalsRowDxfId="1670" headerRowBorderDxfId="1673" tableBorderDxfId="1671">
  <autoFilter ref="A787:M793"/>
  <tableColumns count="13">
    <tableColumn id="1" name="Fiscal_x000a_Year" totalsRowLabel="1997-98 Total" dataDxfId="1669" totalsRowDxfId="1668"/>
    <tableColumn id="2" name="Program_x000a_Name" totalsRowLabel="N/A" dataDxfId="1667" totalsRowDxfId="1666"/>
    <tableColumn id="3" name="Legal_x000a_Reference_x000a_(Ch./Year)" totalsRowLabel="N/A" dataDxfId="1665" totalsRowDxfId="1664"/>
    <tableColumn id="4" name="Program Number" totalsRowLabel="N/A" dataDxfId="1663" totalsRowDxfId="1662"/>
    <tableColumn id="5" name="Program_x000a_Costs" totalsRowFunction="sum" dataDxfId="1661" totalsRowDxfId="1660"/>
    <tableColumn id="6" name="Less: Net Payments and Offsets 8" totalsRowFunction="sum" dataDxfId="1659" totalsRowDxfId="1658"/>
    <tableColumn id="7" name="Comment" totalsRowLabel=" N/A " dataDxfId="1657" totalsRowDxfId="1656"/>
    <tableColumn id="8" name="Accounts Payable_x000a_Balance" totalsRowFunction="sum" dataDxfId="1655" totalsRowDxfId="1654"/>
    <tableColumn id="9" name="Established_x000a_Accounts Receivable" totalsRowFunction="sum" dataDxfId="1653" totalsRowDxfId="1652"/>
    <tableColumn id="10" name="Less: Recovered Amount" totalsRowFunction="sum" dataDxfId="1651" totalsRowDxfId="1650"/>
    <tableColumn id="11" name="Accounts Receivable_x000a_Balance" totalsRowFunction="sum" dataDxfId="1649" totalsRowDxfId="1648"/>
    <tableColumn id="12" name="Net_x000a_Balance" totalsRowFunction="sum" dataDxfId="1647" totalsRowDxfId="1646"/>
    <tableColumn id="13" name="Comment2" totalsRowLabel=" N/A " dataDxfId="1645" totalsRowDxfId="164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74.xml><?xml version="1.0" encoding="utf-8"?>
<table xmlns="http://schemas.openxmlformats.org/spreadsheetml/2006/main" id="75" name="school199697" displayName="school199697" ref="A796:M802" totalsRowCount="1" dataDxfId="1642" totalsRowDxfId="1640" headerRowBorderDxfId="1643" tableBorderDxfId="1641">
  <autoFilter ref="A796:M801"/>
  <tableColumns count="13">
    <tableColumn id="1" name="Fiscal_x000a_Year" totalsRowLabel="1996-97 Total" dataDxfId="1639" totalsRowDxfId="1638"/>
    <tableColumn id="2" name="Program_x000a_Name" totalsRowLabel="N/A" dataDxfId="1637" totalsRowDxfId="1636"/>
    <tableColumn id="3" name="Legal_x000a_Reference_x000a_(Ch./Year)" totalsRowLabel="N/A" dataDxfId="1635" totalsRowDxfId="1634"/>
    <tableColumn id="4" name="Program Number" totalsRowLabel="N/A" dataDxfId="1633" totalsRowDxfId="1632"/>
    <tableColumn id="5" name="Program_x000a_Costs" totalsRowFunction="sum" dataDxfId="1631" totalsRowDxfId="1630"/>
    <tableColumn id="6" name="Less: Net Payments and Offsets 8" totalsRowFunction="sum" dataDxfId="1629" totalsRowDxfId="1628"/>
    <tableColumn id="7" name="Comment" totalsRowLabel=" N/A " dataDxfId="1627" totalsRowDxfId="1626"/>
    <tableColumn id="8" name="Accounts Payable_x000a_Balance" totalsRowFunction="sum" dataDxfId="1625" totalsRowDxfId="1624"/>
    <tableColumn id="9" name="Established_x000a_Accounts Receivable" totalsRowFunction="sum" dataDxfId="1623" totalsRowDxfId="1622"/>
    <tableColumn id="10" name="Less: Recovered Amount" totalsRowFunction="sum" dataDxfId="1621" totalsRowDxfId="1620"/>
    <tableColumn id="11" name="Accounts Receivable_x000a_Balance" totalsRowFunction="sum" dataDxfId="1619" totalsRowDxfId="1618"/>
    <tableColumn id="12" name="Net_x000a_Balance" totalsRowFunction="sum" dataDxfId="1617" totalsRowDxfId="1616"/>
    <tableColumn id="13" name="Comment2" totalsRowLabel=" N/A " dataDxfId="1615" totalsRowDxfId="161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75.xml><?xml version="1.0" encoding="utf-8"?>
<table xmlns="http://schemas.openxmlformats.org/spreadsheetml/2006/main" id="76" name="school199596" displayName="school199596" ref="A804:M813" totalsRowCount="1" dataDxfId="1612" totalsRowDxfId="1610" headerRowBorderDxfId="1613" tableBorderDxfId="1611">
  <autoFilter ref="A804:M812"/>
  <tableColumns count="13">
    <tableColumn id="1" name="Fiscal_x000a_Year" totalsRowLabel="1995-96 Total" dataDxfId="1609" totalsRowDxfId="1608"/>
    <tableColumn id="2" name="Program_x000a_Name" totalsRowLabel="N/A" dataDxfId="1607" totalsRowDxfId="1606"/>
    <tableColumn id="3" name="Legal_x000a_Reference_x000a_(Ch./Year)" totalsRowLabel="N/A" dataDxfId="1605" totalsRowDxfId="1604"/>
    <tableColumn id="4" name="Program Number" totalsRowLabel="N/A" dataDxfId="1603" totalsRowDxfId="1602"/>
    <tableColumn id="5" name="Program_x000a_Costs" totalsRowFunction="sum" dataDxfId="1601" totalsRowDxfId="1600"/>
    <tableColumn id="6" name="Less: Net Payments and Offsets 8" totalsRowFunction="sum" dataDxfId="1599" totalsRowDxfId="1598"/>
    <tableColumn id="7" name="Comment" totalsRowLabel=" N/A " dataDxfId="1597" totalsRowDxfId="1596"/>
    <tableColumn id="8" name="Accounts Payable_x000a_Balance" totalsRowFunction="sum" dataDxfId="1595" totalsRowDxfId="1594"/>
    <tableColumn id="9" name="Established_x000a_Accounts Receivable" totalsRowFunction="sum" dataDxfId="1593" totalsRowDxfId="1592"/>
    <tableColumn id="10" name="Less: Recovered Amount" totalsRowFunction="sum" dataDxfId="1591" totalsRowDxfId="1590"/>
    <tableColumn id="11" name="Accounts Receivable_x000a_Balance" totalsRowFunction="sum" dataDxfId="1589" totalsRowDxfId="1588"/>
    <tableColumn id="12" name="Net_x000a_Balance" totalsRowFunction="sum" dataDxfId="1587" totalsRowDxfId="1586"/>
    <tableColumn id="13" name="Comment2" totalsRowLabel=" N/A " dataDxfId="1585" totalsRowDxfId="158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76.xml><?xml version="1.0" encoding="utf-8"?>
<table xmlns="http://schemas.openxmlformats.org/spreadsheetml/2006/main" id="77" name="school199495" displayName="school199495" ref="A815:M820" totalsRowCount="1" dataDxfId="1582" headerRowBorderDxfId="1583" tableBorderDxfId="1581">
  <autoFilter ref="A815:M819"/>
  <tableColumns count="13">
    <tableColumn id="1" name="Fiscal_x000a_Year" totalsRowLabel="1994-95 Total" dataDxfId="1580" totalsRowDxfId="1579"/>
    <tableColumn id="2" name="Program_x000a_Name" totalsRowLabel="N/A" dataDxfId="1578" totalsRowDxfId="1577"/>
    <tableColumn id="3" name="Legal_x000a_Reference_x000a_(Ch./Year)" totalsRowLabel="N/A" dataDxfId="1576" totalsRowDxfId="1575"/>
    <tableColumn id="4" name="Program Number" totalsRowLabel="N/A" dataDxfId="1574" totalsRowDxfId="1573"/>
    <tableColumn id="5" name="Program_x000a_Costs" totalsRowFunction="sum" dataDxfId="1572" totalsRowDxfId="1571"/>
    <tableColumn id="6" name="Less: Net Payments and Offsets 8" totalsRowFunction="sum" dataDxfId="1570" totalsRowDxfId="1569"/>
    <tableColumn id="7" name="Comment" totalsRowLabel=" N/A " dataDxfId="1568" totalsRowDxfId="1567"/>
    <tableColumn id="8" name="Accounts Payable_x000a_Balance" totalsRowFunction="sum" dataDxfId="1566" totalsRowDxfId="1565"/>
    <tableColumn id="9" name="Established_x000a_Accounts Receivable" totalsRowFunction="sum" dataDxfId="1564" totalsRowDxfId="1563"/>
    <tableColumn id="10" name="Less: Recovered Amount" totalsRowFunction="sum" dataDxfId="1562" totalsRowDxfId="1561"/>
    <tableColumn id="11" name="Accounts Receivable_x000a_Balance" totalsRowFunction="sum" dataDxfId="1560" totalsRowDxfId="1559"/>
    <tableColumn id="12" name="Net_x000a_Balance" totalsRowFunction="sum" dataDxfId="1558" totalsRowDxfId="1557"/>
    <tableColumn id="13" name="Comment2" totalsRowLabel=" N/A " dataDxfId="1556" totalsRowDxfId="155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77.xml><?xml version="1.0" encoding="utf-8"?>
<table xmlns="http://schemas.openxmlformats.org/spreadsheetml/2006/main" id="78" name="school199394" displayName="school199394" ref="A822:M827" totalsRowCount="1" dataDxfId="1553" totalsRowDxfId="1551" headerRowBorderDxfId="1554" tableBorderDxfId="1552">
  <autoFilter ref="A822:M826"/>
  <tableColumns count="13">
    <tableColumn id="1" name="Fiscal_x000a_Year" totalsRowLabel="1993-94 Total" dataDxfId="1550" totalsRowDxfId="1549"/>
    <tableColumn id="2" name="Program_x000a_Name" totalsRowLabel="N/A" dataDxfId="1548" totalsRowDxfId="1547"/>
    <tableColumn id="3" name="Legal_x000a_Reference_x000a_(Ch./Year)" totalsRowLabel="N/A" dataDxfId="1546" totalsRowDxfId="1545"/>
    <tableColumn id="4" name="Program Number" totalsRowLabel="N/A" dataDxfId="1544" totalsRowDxfId="1543"/>
    <tableColumn id="5" name="Program_x000a_Costs" totalsRowFunction="sum" dataDxfId="1542" totalsRowDxfId="1541"/>
    <tableColumn id="6" name="Less: Net Payments and Offsets 8" totalsRowFunction="sum" dataDxfId="1540" totalsRowDxfId="1539"/>
    <tableColumn id="7" name="Comment" totalsRowLabel=" N/A " dataDxfId="1538" totalsRowDxfId="1537"/>
    <tableColumn id="8" name="Accounts Payable_x000a_Balance" totalsRowFunction="sum" dataDxfId="1536" totalsRowDxfId="1535"/>
    <tableColumn id="9" name="Established_x000a_Accounts Receivable" totalsRowFunction="sum" dataDxfId="1534" totalsRowDxfId="1533"/>
    <tableColumn id="10" name="Less: Recovered Amount" totalsRowFunction="sum" dataDxfId="1532" totalsRowDxfId="1531"/>
    <tableColumn id="11" name="Accounts Receivable_x000a_Balance" totalsRowFunction="sum" dataDxfId="1530" totalsRowDxfId="1529"/>
    <tableColumn id="12" name="Net_x000a_Balance" totalsRowFunction="sum" dataDxfId="1528" totalsRowDxfId="1527"/>
    <tableColumn id="13" name="Comment2" totalsRowLabel=" N/A " dataDxfId="1526" totalsRowDxfId="152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78.xml><?xml version="1.0" encoding="utf-8"?>
<table xmlns="http://schemas.openxmlformats.org/spreadsheetml/2006/main" id="79" name="school199293" displayName="school199293" ref="A829:M833" totalsRowCount="1" dataDxfId="1523" totalsRowDxfId="1521" headerRowBorderDxfId="1524" tableBorderDxfId="1522">
  <autoFilter ref="A829:M832"/>
  <tableColumns count="13">
    <tableColumn id="1" name="Fiscal_x000a_Year" totalsRowLabel="1992-93 Total" dataDxfId="1520" totalsRowDxfId="1519"/>
    <tableColumn id="2" name="Program_x000a_Name" totalsRowLabel="N/A" dataDxfId="1518" totalsRowDxfId="1517"/>
    <tableColumn id="3" name="Legal_x000a_Reference_x000a_(Ch./Year)" totalsRowLabel="N/A" dataDxfId="1516" totalsRowDxfId="1515"/>
    <tableColumn id="4" name="Program Number" totalsRowLabel="N/A" dataDxfId="1514" totalsRowDxfId="1513"/>
    <tableColumn id="5" name="Program_x000a_Costs" totalsRowFunction="sum" dataDxfId="1512" totalsRowDxfId="1511"/>
    <tableColumn id="6" name="Less: Net Payments and Offsets 8" totalsRowFunction="sum" dataDxfId="1510" totalsRowDxfId="1509"/>
    <tableColumn id="7" name="Comment" totalsRowLabel=" N/A " dataDxfId="1508" totalsRowDxfId="1507"/>
    <tableColumn id="8" name="Accounts Payable_x000a_Balance" totalsRowLabel="$0" dataDxfId="1506" totalsRowDxfId="1505" dataCellStyle="Currency"/>
    <tableColumn id="9" name="Established_x000a_Accounts Receivable" totalsRowFunction="sum" dataDxfId="1504" totalsRowDxfId="1503"/>
    <tableColumn id="10" name="Less: Recovered Amount" totalsRowFunction="sum" dataDxfId="1502" totalsRowDxfId="1501"/>
    <tableColumn id="11" name="Accounts Receivable_x000a_Balance" totalsRowFunction="sum" dataDxfId="1500" totalsRowDxfId="1499"/>
    <tableColumn id="12" name="Net_x000a_Balance" totalsRowFunction="sum" dataDxfId="1498" totalsRowDxfId="1497"/>
    <tableColumn id="13" name="Comment2" totalsRowLabel=" N/A " dataDxfId="1496" totalsRowDxfId="149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79.xml><?xml version="1.0" encoding="utf-8"?>
<table xmlns="http://schemas.openxmlformats.org/spreadsheetml/2006/main" id="80" name="school199192" displayName="school199192" ref="A835:M838" totalsRowCount="1" dataDxfId="1493" totalsRowDxfId="1491" headerRowBorderDxfId="1494" tableBorderDxfId="1492">
  <autoFilter ref="A835:M837"/>
  <tableColumns count="13">
    <tableColumn id="1" name="Fiscal_x000a_Year" totalsRowLabel="1991-92 Total" dataDxfId="1490" totalsRowDxfId="1489"/>
    <tableColumn id="2" name="Program_x000a_Name" totalsRowLabel="N/A" dataDxfId="1488" totalsRowDxfId="1487"/>
    <tableColumn id="3" name="Legal_x000a_Reference_x000a_(Ch./Year)" totalsRowLabel="N/A" dataDxfId="1486" totalsRowDxfId="1485"/>
    <tableColumn id="4" name="Program Number" totalsRowLabel="N/A" dataDxfId="1484" totalsRowDxfId="1483"/>
    <tableColumn id="5" name="Program_x000a_Costs" totalsRowFunction="sum" dataDxfId="1482" totalsRowDxfId="1481"/>
    <tableColumn id="6" name="Less: Net Payments and Offsets 8" totalsRowFunction="sum" dataDxfId="1480" totalsRowDxfId="1479"/>
    <tableColumn id="7" name="Comment" totalsRowLabel=" N/A " dataDxfId="1478" totalsRowDxfId="1477"/>
    <tableColumn id="8" name="Accounts Payable_x000a_Balance" totalsRowLabel="$0" dataDxfId="1476" totalsRowDxfId="1475" dataCellStyle="Currency"/>
    <tableColumn id="9" name="Established_x000a_Accounts Receivable" totalsRowFunction="sum" dataDxfId="1474" totalsRowDxfId="1473"/>
    <tableColumn id="10" name="Less: Recovered Amount" totalsRowFunction="sum" dataDxfId="1472" totalsRowDxfId="1471"/>
    <tableColumn id="11" name="Accounts Receivable_x000a_Balance" totalsRowFunction="sum" dataDxfId="1470" totalsRowDxfId="1469"/>
    <tableColumn id="12" name="Net_x000a_Balance" totalsRowFunction="sum" dataDxfId="1468" totalsRowDxfId="1467"/>
    <tableColumn id="13" name="Comment2" totalsRowLabel=" N/A " dataDxfId="1466" totalsRowDxfId="146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8.xml><?xml version="1.0" encoding="utf-8"?>
<table xmlns="http://schemas.openxmlformats.org/spreadsheetml/2006/main" id="3" name="localexpiredandrepealed" displayName="localexpiredandrepealed" ref="A21:I49" totalsRowCount="1" headerRowDxfId="3462" headerRowBorderDxfId="3461" tableBorderDxfId="3460" totalsRowBorderDxfId="3459">
  <autoFilter ref="A21:I48"/>
  <tableColumns count="9">
    <tableColumn id="1" name="Program Category_x000a_and Type of Payment" totalsRowLabel="Expired and Repealed Mandated Payments Total" dataDxfId="3458" totalsRowDxfId="3457"/>
    <tableColumn id="2" name="Fiscal _x000a_Year" totalsRowLabel="N/A" dataDxfId="3456" totalsRowDxfId="3455"/>
    <tableColumn id="3" name="Appropriation _x000a_Number" totalsRowLabel="N/A" dataDxfId="3454" totalsRowDxfId="3453"/>
    <tableColumn id="4" name="Program _x000a_Name" totalsRowLabel="N/A" dataDxfId="3452" totalsRowDxfId="3451"/>
    <tableColumn id="5" name="Legal _x000a_Reference_x000a_(Ch./Year)" totalsRowLabel="N/A" dataDxfId="3450" totalsRowDxfId="3449"/>
    <tableColumn id="6" name="Program_x000a_ Number" totalsRowLabel="N/A" dataDxfId="3448" totalsRowDxfId="3447"/>
    <tableColumn id="7" name="Program _x000a_Payments and Offsets" totalsRowFunction="sum" dataDxfId="3446" totalsRowDxfId="3445" dataCellStyle="Currency"/>
    <tableColumn id="8" name="Interest_x000a_Payments and Offsets" totalsRowFunction="sum" dataDxfId="3444" totalsRowDxfId="3443" dataCellStyle="Currency"/>
    <tableColumn id="9" name="Total _x000a_Payments" totalsRowFunction="sum" dataDxfId="3442" totalsRowDxfId="3441" dataCellStyle="Currency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A1: Detail of State-Mandated Program Payments by Fiscal Year. As of April 1, 2020. Local Agencies-Expiried and Repealed."/>
    </ext>
  </extLst>
</table>
</file>

<file path=xl/tables/table80.xml><?xml version="1.0" encoding="utf-8"?>
<table xmlns="http://schemas.openxmlformats.org/spreadsheetml/2006/main" id="81" name="school199091" displayName="school199091" ref="A840:M843" totalsRowCount="1" dataDxfId="1463" totalsRowDxfId="1461" headerRowBorderDxfId="1464" tableBorderDxfId="1462">
  <autoFilter ref="A840:M842"/>
  <tableColumns count="13">
    <tableColumn id="1" name="Fiscal_x000a_Year" totalsRowLabel="1990-91 Total" dataDxfId="1460" totalsRowDxfId="1459"/>
    <tableColumn id="2" name="Program_x000a_Name" totalsRowLabel="N/A" dataDxfId="1458" totalsRowDxfId="1457"/>
    <tableColumn id="3" name="Legal_x000a_Reference_x000a_(Ch./Year)" totalsRowLabel="N/A" dataDxfId="1456" totalsRowDxfId="1455"/>
    <tableColumn id="4" name="Program Number" totalsRowLabel="N/A" dataDxfId="1454" totalsRowDxfId="1453"/>
    <tableColumn id="5" name="Program_x000a_Costs" totalsRowFunction="sum" dataDxfId="1452" totalsRowDxfId="1451"/>
    <tableColumn id="6" name="Less: Net Payments and Offsets 8" totalsRowFunction="sum" dataDxfId="1450" totalsRowDxfId="1449"/>
    <tableColumn id="7" name="Comment" totalsRowLabel=" N/A " dataDxfId="1448" totalsRowDxfId="1447"/>
    <tableColumn id="8" name="Accounts Payable_x000a_Balance" totalsRowLabel="$0" dataDxfId="1446" totalsRowDxfId="1445" dataCellStyle="Currency"/>
    <tableColumn id="9" name="Established_x000a_Accounts Receivable" totalsRowFunction="sum" dataDxfId="1444" totalsRowDxfId="1443"/>
    <tableColumn id="10" name="Less: Recovered Amount" totalsRowFunction="sum" dataDxfId="1442" totalsRowDxfId="1441"/>
    <tableColumn id="11" name="Accounts Receivable_x000a_Balance" totalsRowFunction="sum" dataDxfId="1440" totalsRowDxfId="1439"/>
    <tableColumn id="12" name="Net_x000a_Balance" totalsRowFunction="sum" dataDxfId="1438" totalsRowDxfId="1437"/>
    <tableColumn id="13" name="Comment2" totalsRowLabel=" N/A " dataDxfId="1436" totalsRowDxfId="143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81.xml><?xml version="1.0" encoding="utf-8"?>
<table xmlns="http://schemas.openxmlformats.org/spreadsheetml/2006/main" id="82" name="school198990" displayName="school198990" ref="A845:M848" totalsRowCount="1" dataDxfId="1433" totalsRowDxfId="1431" headerRowBorderDxfId="1434" tableBorderDxfId="1432">
  <autoFilter ref="A845:M847"/>
  <tableColumns count="13">
    <tableColumn id="1" name="Fiscal_x000a_Year" totalsRowLabel="1989-90 Total" totalsRowDxfId="1430"/>
    <tableColumn id="2" name="Program_x000a_Name" totalsRowLabel="N/A" totalsRowDxfId="1429"/>
    <tableColumn id="3" name="Legal_x000a_Reference_x000a_(Ch./Year)" totalsRowLabel="N/A" totalsRowDxfId="1428"/>
    <tableColumn id="4" name="Program Number" totalsRowLabel="N/A" totalsRowDxfId="1427"/>
    <tableColumn id="5" name="Program_x000a_Costs" totalsRowFunction="sum" totalsRowDxfId="1426"/>
    <tableColumn id="6" name="Less: Net Payments and Offsets 8" totalsRowFunction="sum" totalsRowDxfId="1425"/>
    <tableColumn id="7" name="Comment" totalsRowLabel=" N/A " totalsRowDxfId="1424"/>
    <tableColumn id="8" name="Accounts Payable_x000a_Balance" totalsRowLabel="$0" dataDxfId="1423" totalsRowDxfId="1422" dataCellStyle="Currency"/>
    <tableColumn id="9" name="Established_x000a_Accounts Receivable" totalsRowFunction="sum" totalsRowDxfId="1421"/>
    <tableColumn id="10" name="Less: Recovered Amount" totalsRowFunction="sum" totalsRowDxfId="1420"/>
    <tableColumn id="11" name="Accounts Receivable_x000a_Balance" totalsRowFunction="sum" totalsRowDxfId="1419"/>
    <tableColumn id="12" name="Net_x000a_Balance" totalsRowFunction="sum" totalsRowDxfId="1418"/>
    <tableColumn id="13" name="Comment2" totalsRowLabel=" N/A " totalsRowDxfId="141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82.xml><?xml version="1.0" encoding="utf-8"?>
<table xmlns="http://schemas.openxmlformats.org/spreadsheetml/2006/main" id="83" name="school198889" displayName="school198889" ref="A850:M852" totalsRowCount="1" dataDxfId="1415" totalsRowDxfId="1413" headerRowBorderDxfId="1416" tableBorderDxfId="1414">
  <autoFilter ref="A850:M851"/>
  <tableColumns count="13">
    <tableColumn id="1" name="Fiscal_x000a_Year" totalsRowLabel="1988-89 Total" dataDxfId="1412" totalsRowDxfId="1411"/>
    <tableColumn id="2" name="Program_x000a_Name" totalsRowLabel="N/A" dataDxfId="1410" totalsRowDxfId="1409"/>
    <tableColumn id="3" name="Legal_x000a_Reference_x000a_(Ch./Year)" totalsRowLabel="N/A" dataDxfId="1408" totalsRowDxfId="1407"/>
    <tableColumn id="4" name="Program Number" totalsRowLabel="N/A" dataDxfId="1406" totalsRowDxfId="1405"/>
    <tableColumn id="5" name="Program_x000a_Costs" totalsRowFunction="sum" dataDxfId="1404" totalsRowDxfId="1403"/>
    <tableColumn id="6" name="Less: Net Payments and Offsets 8" totalsRowFunction="sum" dataDxfId="1402" totalsRowDxfId="1401"/>
    <tableColumn id="7" name="Comment" totalsRowLabel=" N/A " dataDxfId="1400" totalsRowDxfId="1399"/>
    <tableColumn id="8" name="Accounts Payable_x000a_Balance" totalsRowLabel="$0" dataDxfId="1398" totalsRowDxfId="1397" dataCellStyle="Currency"/>
    <tableColumn id="9" name="Established_x000a_Accounts Receivable" totalsRowFunction="sum" dataDxfId="1396" totalsRowDxfId="1395"/>
    <tableColumn id="10" name="Less: Recovered Amount" totalsRowFunction="sum" dataDxfId="1394" totalsRowDxfId="1393"/>
    <tableColumn id="11" name="Accounts Receivable_x000a_Balance" totalsRowFunction="sum" dataDxfId="1392" totalsRowDxfId="1391"/>
    <tableColumn id="12" name="Net_x000a_Balance" totalsRowFunction="sum" dataDxfId="1390" totalsRowDxfId="1389"/>
    <tableColumn id="13" name="Comment2" totalsRowLabel=" N/A " dataDxfId="1388" totalsRowDxfId="138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83.xml><?xml version="1.0" encoding="utf-8"?>
<table xmlns="http://schemas.openxmlformats.org/spreadsheetml/2006/main" id="85" name="school198788" displayName="school198788" ref="A854:M856" totalsRowCount="1" dataDxfId="1385" totalsRowDxfId="1383" headerRowBorderDxfId="1386" tableBorderDxfId="1384">
  <autoFilter ref="A854:M855"/>
  <tableColumns count="13">
    <tableColumn id="1" name="Fiscal_x000a_Year" totalsRowLabel="1987-88 Total" dataDxfId="1382" totalsRowDxfId="1381"/>
    <tableColumn id="2" name="Program_x000a_Name" totalsRowLabel="N/A" dataDxfId="1380" totalsRowDxfId="1379"/>
    <tableColumn id="3" name="Legal_x000a_Reference_x000a_(Ch./Year)" totalsRowLabel="N/A" dataDxfId="1378" totalsRowDxfId="1377"/>
    <tableColumn id="4" name="Program Number" totalsRowLabel="N/A" dataDxfId="1376" totalsRowDxfId="1375"/>
    <tableColumn id="5" name="Program_x000a_Costs" totalsRowFunction="sum" dataDxfId="1374" totalsRowDxfId="1373"/>
    <tableColumn id="6" name="Less: Net Payments and Offsets 8" totalsRowFunction="sum" dataDxfId="1372" totalsRowDxfId="1371"/>
    <tableColumn id="7" name="Comment" totalsRowLabel=" N/A " dataDxfId="1370" totalsRowDxfId="1369"/>
    <tableColumn id="8" name="Accounts Payable_x000a_Balance" totalsRowLabel="$0" dataDxfId="1368" totalsRowDxfId="1367" dataCellStyle="Currency"/>
    <tableColumn id="9" name="Established_x000a_Accounts Receivable" totalsRowFunction="sum" dataDxfId="1366" totalsRowDxfId="1365"/>
    <tableColumn id="10" name="Less: Recovered Amount" totalsRowFunction="sum" dataDxfId="1364" totalsRowDxfId="1363"/>
    <tableColumn id="11" name="Accounts Receivable_x000a_Balance" totalsRowFunction="sum" dataDxfId="1362" totalsRowDxfId="1361"/>
    <tableColumn id="12" name="Net_x000a_Balance" totalsRowFunction="sum" dataDxfId="1360" totalsRowDxfId="1359"/>
    <tableColumn id="13" name="Comment2" totalsRowLabel=" N/A " dataDxfId="1358" totalsRowDxfId="135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84.xml><?xml version="1.0" encoding="utf-8"?>
<table xmlns="http://schemas.openxmlformats.org/spreadsheetml/2006/main" id="86" name="school198687" displayName="school198687" ref="A858:M860" totalsRowCount="1" dataDxfId="1355" totalsRowDxfId="1353" headerRowBorderDxfId="1356" tableBorderDxfId="1354">
  <autoFilter ref="A858:M859"/>
  <tableColumns count="13">
    <tableColumn id="1" name="Fiscal_x000a_Year" totalsRowLabel="1986-87 Total" dataDxfId="1352" totalsRowDxfId="1351"/>
    <tableColumn id="2" name="Program_x000a_Name" totalsRowLabel="N/A" dataDxfId="1350" totalsRowDxfId="1349"/>
    <tableColumn id="3" name="Legal_x000a_Reference_x000a_(Ch./Year)" totalsRowLabel="N/A" dataDxfId="1348" totalsRowDxfId="1347"/>
    <tableColumn id="4" name="Program Number" totalsRowLabel="N/A" dataDxfId="1346" totalsRowDxfId="1345"/>
    <tableColumn id="5" name="Program_x000a_Costs" totalsRowFunction="sum" dataDxfId="1344" totalsRowDxfId="1343"/>
    <tableColumn id="6" name="Less: Net Payments and Offsets 8" totalsRowFunction="sum" dataDxfId="1342" totalsRowDxfId="1341"/>
    <tableColumn id="7" name="Comment" totalsRowLabel=" N/A " dataDxfId="1340" totalsRowDxfId="1339"/>
    <tableColumn id="8" name="Accounts Payable_x000a_Balance" totalsRowLabel="$0" dataDxfId="1338" totalsRowDxfId="1337" dataCellStyle="Currency"/>
    <tableColumn id="9" name="Established_x000a_Accounts Receivable" totalsRowFunction="sum" dataDxfId="1336" totalsRowDxfId="1335"/>
    <tableColumn id="10" name="Less: Recovered Amount" totalsRowFunction="sum" dataDxfId="1334" totalsRowDxfId="1333"/>
    <tableColumn id="11" name="Accounts Receivable_x000a_Balance" totalsRowFunction="sum" dataDxfId="1332" totalsRowDxfId="1331"/>
    <tableColumn id="12" name="Net_x000a_Balance" totalsRowFunction="sum" dataDxfId="1330" totalsRowDxfId="1329"/>
    <tableColumn id="13" name="Comment2" totalsRowLabel=" N/A " dataDxfId="1328" totalsRowDxfId="132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85.xml><?xml version="1.0" encoding="utf-8"?>
<table xmlns="http://schemas.openxmlformats.org/spreadsheetml/2006/main" id="87" name="school198586" displayName="school198586" ref="A862:M864" totalsRowCount="1" dataDxfId="1325" totalsRowDxfId="1323" headerRowBorderDxfId="1326" tableBorderDxfId="1324">
  <autoFilter ref="A862:M863"/>
  <tableColumns count="13">
    <tableColumn id="1" name="Fiscal_x000a_Year" totalsRowLabel="1985-86 Total" dataDxfId="1322" totalsRowDxfId="1321"/>
    <tableColumn id="2" name="Program_x000a_Name" totalsRowLabel="N/A" dataDxfId="1320" totalsRowDxfId="1319"/>
    <tableColumn id="3" name="Legal_x000a_Reference_x000a_(Ch./Year)" totalsRowLabel="N/A" dataDxfId="1318" totalsRowDxfId="1317"/>
    <tableColumn id="4" name="Program Number" totalsRowLabel="N/A" dataDxfId="1316" totalsRowDxfId="1315"/>
    <tableColumn id="5" name="Program_x000a_Costs" totalsRowFunction="sum" dataDxfId="1314" totalsRowDxfId="1313"/>
    <tableColumn id="6" name="Less: Net Payments and Offsets 8" totalsRowFunction="sum" dataDxfId="1312" totalsRowDxfId="1311"/>
    <tableColumn id="7" name="Comment" totalsRowLabel=" N/A " dataDxfId="1310" totalsRowDxfId="1309"/>
    <tableColumn id="8" name="Accounts Payable_x000a_Balance" totalsRowLabel="$0" dataDxfId="1308" totalsRowDxfId="1307" dataCellStyle="Currency"/>
    <tableColumn id="9" name="Established_x000a_Accounts Receivable" totalsRowFunction="sum" dataDxfId="1306" totalsRowDxfId="1305"/>
    <tableColumn id="10" name="Less: Recovered Amount" totalsRowFunction="sum" dataDxfId="1304" totalsRowDxfId="1303"/>
    <tableColumn id="11" name="Accounts Receivable_x000a_Balance" totalsRowFunction="sum" dataDxfId="1302" totalsRowDxfId="1301"/>
    <tableColumn id="12" name="Net_x000a_Balance" totalsRowFunction="sum" dataDxfId="1300" totalsRowDxfId="1299"/>
    <tableColumn id="13" name="Comment2" totalsRowLabel=" N/A " dataDxfId="1298" totalsRowDxfId="129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."/>
    </ext>
  </extLst>
</table>
</file>

<file path=xl/tables/table86.xml><?xml version="1.0" encoding="utf-8"?>
<table xmlns="http://schemas.openxmlformats.org/spreadsheetml/2006/main" id="88" name="schoolgrandtotal" displayName="schoolgrandtotal" ref="A866:M901" totalsRowCount="1" dataDxfId="1295" totalsRowDxfId="1293" headerRowBorderDxfId="1296" tableBorderDxfId="1294">
  <autoFilter ref="A866:M900"/>
  <tableColumns count="13">
    <tableColumn id="1" name="Fiscal_x000a_Year" totalsRowLabel="Total School Districts" dataDxfId="1292" totalsRowDxfId="38"/>
    <tableColumn id="2" name="Program_x000a_Name" totalsRowLabel="N/A" dataDxfId="1291" totalsRowDxfId="37"/>
    <tableColumn id="3" name="Legal_x000a_Reference_x000a_(Ch./Year)" totalsRowLabel="N/A" dataDxfId="1290" totalsRowDxfId="36"/>
    <tableColumn id="4" name="Program Number" totalsRowLabel="N/A" dataDxfId="1289" totalsRowDxfId="35"/>
    <tableColumn id="5" name="Program_x000a_Costs" totalsRowFunction="sum" dataDxfId="1288" totalsRowDxfId="34"/>
    <tableColumn id="6" name="Less: Net Payments and Offsets 8" totalsRowFunction="sum" dataDxfId="1287" totalsRowDxfId="33"/>
    <tableColumn id="7" name="Comment" totalsRowLabel=" N/A " dataDxfId="1286" totalsRowDxfId="32"/>
    <tableColumn id="8" name="Accounts Payable_x000a_Balance" totalsRowFunction="sum" dataDxfId="1285" totalsRowDxfId="31"/>
    <tableColumn id="9" name="Established_x000a_Accounts Receivable" totalsRowFunction="sum" dataDxfId="1284" totalsRowDxfId="30"/>
    <tableColumn id="10" name="Less: Recovered Amount" totalsRowFunction="sum" dataDxfId="1283" totalsRowDxfId="29"/>
    <tableColumn id="11" name="Accounts Receivable_x000a_Balance" totalsRowFunction="sum" dataDxfId="1282" totalsRowDxfId="28"/>
    <tableColumn id="12" name="Net_x000a_Balance" totalsRowFunction="sum" dataDxfId="1281" totalsRowDxfId="27"/>
    <tableColumn id="13" name="Comment2" totalsRowLabel="8" dataDxfId="1280" totalsRowDxfId="26" dataCellStyle="Hyperlink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School Districts Grand Totals."/>
    </ext>
  </extLst>
</table>
</file>

<file path=xl/tables/table87.xml><?xml version="1.0" encoding="utf-8"?>
<table xmlns="http://schemas.openxmlformats.org/spreadsheetml/2006/main" id="84" name="college201415" displayName="college201415" ref="A2:M6" totalsRowCount="1" headerRowDxfId="1279" dataDxfId="1277" totalsRowDxfId="1275" headerRowBorderDxfId="1278" tableBorderDxfId="1276">
  <autoFilter ref="A2:M5"/>
  <tableColumns count="13">
    <tableColumn id="1" name="Fiscal_x000a_Year" totalsRowLabel="2014-15 Total" dataDxfId="1274" totalsRowDxfId="12"/>
    <tableColumn id="2" name="Program_x000a_Name" totalsRowLabel="N/A" dataDxfId="1273" totalsRowDxfId="11"/>
    <tableColumn id="3" name="Legal_x000a_Reference_x000a_(Ch./Year)" totalsRowLabel="N/A" dataDxfId="1272" totalsRowDxfId="10"/>
    <tableColumn id="4" name="Program Number" totalsRowLabel="N/A" dataDxfId="1271" totalsRowDxfId="9"/>
    <tableColumn id="5" name="Program_x000a_Costs" totalsRowFunction="sum" dataDxfId="1270" totalsRowDxfId="8"/>
    <tableColumn id="6" name="Less: Net Payments and Offsets 9" totalsRowFunction="sum" dataDxfId="1269" totalsRowDxfId="7"/>
    <tableColumn id="7" name="Comment: Community college districts did not receive one-time funding offsets." totalsRowLabel=" N/A " dataDxfId="1268" totalsRowDxfId="6"/>
    <tableColumn id="8" name="Accounts Payable_x000a_Balance" totalsRowFunction="sum" dataDxfId="1267" totalsRowDxfId="5"/>
    <tableColumn id="9" name="Established_x000a_Accounts Receivable" totalsRowFunction="sum" dataDxfId="1266" totalsRowDxfId="4"/>
    <tableColumn id="10" name="Less: Recovered Amount" totalsRowLabel="$0" dataDxfId="1265" totalsRowDxfId="3">
      <calculatedColumnFormula>school201819[[#Totals],[Established
Accounts Receivable]]</calculatedColumnFormula>
    </tableColumn>
    <tableColumn id="11" name="Accounts Receivable_x000a_Balance" totalsRowFunction="sum" dataDxfId="1264" totalsRowDxfId="2"/>
    <tableColumn id="12" name="Net_x000a_Balance" totalsRowFunction="sum" dataDxfId="1263" totalsRowDxfId="1"/>
    <tableColumn id="13" name="Comment2" totalsRowLabel=" N/A " dataDxfId="1262" totalsRowDxfId="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Community College Districts."/>
    </ext>
  </extLst>
</table>
</file>

<file path=xl/tables/table88.xml><?xml version="1.0" encoding="utf-8"?>
<table xmlns="http://schemas.openxmlformats.org/spreadsheetml/2006/main" id="89" name="college201314" displayName="college201314" ref="A8:M13" totalsRowCount="1" headerRowDxfId="1261" dataDxfId="1259" totalsRowDxfId="1257" headerRowBorderDxfId="1260" tableBorderDxfId="1258" headerRowCellStyle="Currency">
  <autoFilter ref="A8:M12"/>
  <tableColumns count="13">
    <tableColumn id="1" name="Fiscal_x000a_Year" totalsRowLabel="2013-14 Total" dataDxfId="1256" totalsRowDxfId="1255"/>
    <tableColumn id="2" name="Program_x000a_Name" totalsRowLabel="N/A" dataDxfId="1254" totalsRowDxfId="1253"/>
    <tableColumn id="3" name="Legal_x000a_Reference_x000a_(Ch./Year)" totalsRowLabel="N/A" dataDxfId="1252" totalsRowDxfId="1251"/>
    <tableColumn id="4" name="Program Number" totalsRowLabel="N/A" dataDxfId="1250" totalsRowDxfId="1249"/>
    <tableColumn id="5" name="Program_x000a_Costs" totalsRowFunction="sum" dataDxfId="1248" totalsRowDxfId="1247"/>
    <tableColumn id="6" name="Less: Net Payments and Offsets 9" totalsRowFunction="sum" dataDxfId="1246" totalsRowDxfId="1245"/>
    <tableColumn id="7" name="Comment" totalsRowLabel=" N/A " dataDxfId="1244" totalsRowDxfId="1243"/>
    <tableColumn id="8" name="Accounts Payable_x000a_Balance" totalsRowFunction="sum" dataDxfId="1242" totalsRowDxfId="1241"/>
    <tableColumn id="9" name="Established_x000a_Accounts Receivable" totalsRowFunction="sum" dataDxfId="1240" totalsRowDxfId="1239"/>
    <tableColumn id="10" name="Less: Recovered Amount" totalsRowLabel="$0" dataDxfId="1238" totalsRowDxfId="1237"/>
    <tableColumn id="11" name="Accounts Receivable_x000a_Balance" totalsRowFunction="sum" dataDxfId="1236" totalsRowDxfId="1235"/>
    <tableColumn id="12" name="Net_x000a_Balance" totalsRowFunction="sum" dataDxfId="1234" totalsRowDxfId="1233"/>
    <tableColumn id="13" name="Comment2" totalsRowLabel=" N/A " dataDxfId="1232" totalsRowDxfId="123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Community College Districts."/>
    </ext>
  </extLst>
</table>
</file>

<file path=xl/tables/table89.xml><?xml version="1.0" encoding="utf-8"?>
<table xmlns="http://schemas.openxmlformats.org/spreadsheetml/2006/main" id="90" name="college201213" displayName="college201213" ref="A15:M22" totalsRowCount="1" headerRowDxfId="1230" dataDxfId="1228" totalsRowDxfId="1226" headerRowBorderDxfId="1229" tableBorderDxfId="1227" headerRowCellStyle="Currency">
  <autoFilter ref="A15:M21"/>
  <tableColumns count="13">
    <tableColumn id="1" name="Fiscal_x000a_Year" totalsRowLabel="2012-13 Total" dataDxfId="1225" totalsRowDxfId="1224"/>
    <tableColumn id="2" name="Program_x000a_Name" totalsRowLabel="N/A" dataDxfId="1223" totalsRowDxfId="1222"/>
    <tableColumn id="3" name="Legal_x000a_Reference_x000a_(Ch./Year)" totalsRowLabel="N/A" dataDxfId="1221" totalsRowDxfId="1220"/>
    <tableColumn id="4" name="Program Number" totalsRowLabel="N/A" dataDxfId="1219" totalsRowDxfId="1218"/>
    <tableColumn id="5" name="Program_x000a_Costs" totalsRowFunction="sum" dataDxfId="1217" totalsRowDxfId="1216"/>
    <tableColumn id="6" name="Less: Net Payments and Offsets 9" totalsRowFunction="sum" dataDxfId="1215" totalsRowDxfId="1214"/>
    <tableColumn id="7" name="Comment" totalsRowLabel=" N/A " dataDxfId="1213" totalsRowDxfId="1212"/>
    <tableColumn id="8" name="Accounts Payable_x000a_Balance" totalsRowFunction="sum" dataDxfId="1211" totalsRowDxfId="1210"/>
    <tableColumn id="9" name="Established_x000a_Accounts Receivable" totalsRowFunction="sum" dataDxfId="1209" totalsRowDxfId="1208"/>
    <tableColumn id="10" name="Less: Recovered Amount" totalsRowLabel="$0" dataDxfId="1207" totalsRowDxfId="1206"/>
    <tableColumn id="11" name="Accounts Receivable_x000a_Balance" totalsRowFunction="sum" dataDxfId="1205" totalsRowDxfId="1204"/>
    <tableColumn id="12" name="Net_x000a_Balance" totalsRowFunction="sum" dataDxfId="1203" totalsRowDxfId="1202"/>
    <tableColumn id="13" name="Comment2" totalsRowLabel=" N/A " dataDxfId="1201" totalsRowDxfId="120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Community College Districts."/>
    </ext>
  </extLst>
</table>
</file>

<file path=xl/tables/table9.xml><?xml version="1.0" encoding="utf-8"?>
<table xmlns="http://schemas.openxmlformats.org/spreadsheetml/2006/main" id="10" name="localannualclaim18" displayName="localannualclaim18" ref="A51:I54" totalsRowCount="1" headerRowDxfId="3440" headerRowBorderDxfId="3439" tableBorderDxfId="3438" totalsRowBorderDxfId="3437">
  <autoFilter ref="A51:I53"/>
  <tableColumns count="9">
    <tableColumn id="1" name="Program Category_x000a_and Type of Payment" totalsRowLabel="0001-8885-2018-295-98 Total" dataDxfId="3436" totalsRowDxfId="3435"/>
    <tableColumn id="2" name="Fiscal _x000a_Year" totalsRowLabel="N/A" dataDxfId="3434" totalsRowDxfId="3433"/>
    <tableColumn id="3" name="Appropriation _x000a_Number" totalsRowLabel="N/A" dataDxfId="3432" totalsRowDxfId="3431"/>
    <tableColumn id="4" name="Program _x000a_Name" totalsRowLabel="N/A" dataDxfId="3430" totalsRowDxfId="3429"/>
    <tableColumn id="5" name="Legal _x000a_Reference_x000a_(Ch./Year)" totalsRowLabel="N/A" dataDxfId="3428" totalsRowDxfId="3427"/>
    <tableColumn id="6" name="Program_x000a_ Number" totalsRowLabel="N/A" dataDxfId="3426" totalsRowDxfId="3425"/>
    <tableColumn id="7" name="Program _x000a_Payments and Offsets" totalsRowFunction="sum" dataDxfId="3424" totalsRowDxfId="3423" dataCellStyle="Currency"/>
    <tableColumn id="8" name="Interest_x000a_Payments and Offsets" totalsRowLabel="$0 " dataDxfId="3422" totalsRowDxfId="3421" dataCellStyle="Currency"/>
    <tableColumn id="9" name="Total _x000a_Payments" totalsRowFunction="sum" dataDxfId="3420" totalsRowDxfId="3419" dataCellStyle="Currency">
      <calculatedColumnFormula>G52+H52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A1: Detail of State-Mandated Program Payments by Fiscal Year. As of April 1, 2020. Local Agencies-Annual Claim."/>
    </ext>
  </extLst>
</table>
</file>

<file path=xl/tables/table90.xml><?xml version="1.0" encoding="utf-8"?>
<table xmlns="http://schemas.openxmlformats.org/spreadsheetml/2006/main" id="91" name="college201112" displayName="college201112" ref="A24:M36" totalsRowCount="1" headerRowDxfId="1199" dataDxfId="1197" totalsRowDxfId="1195" headerRowBorderDxfId="1198" tableBorderDxfId="1196" headerRowCellStyle="Currency">
  <autoFilter ref="A24:M35"/>
  <tableColumns count="13">
    <tableColumn id="1" name="Fiscal_x000a_Year" totalsRowLabel="2011-12 Total" dataDxfId="1194" totalsRowDxfId="1193"/>
    <tableColumn id="2" name="Program_x000a_Name" totalsRowLabel="N/A" dataDxfId="1192" totalsRowDxfId="1191"/>
    <tableColumn id="3" name="Legal_x000a_Reference_x000a_(Ch./Year)" totalsRowLabel="N/A" dataDxfId="1190" totalsRowDxfId="1189"/>
    <tableColumn id="4" name="Program Number" totalsRowLabel="N/A" dataDxfId="1188" totalsRowDxfId="1187"/>
    <tableColumn id="5" name="Program_x000a_Costs" totalsRowFunction="sum" dataDxfId="1186" totalsRowDxfId="1185"/>
    <tableColumn id="6" name="Less: Net Payments and Offsets 9" totalsRowFunction="sum" dataDxfId="1184" totalsRowDxfId="1183"/>
    <tableColumn id="7" name="Comment" totalsRowLabel=" N/A " dataDxfId="1182" totalsRowDxfId="1181"/>
    <tableColumn id="8" name="Accounts Payable_x000a_Balance" totalsRowFunction="sum" dataDxfId="1180" totalsRowDxfId="1179"/>
    <tableColumn id="9" name="Established_x000a_Accounts Receivable" totalsRowLabel="$0" dataDxfId="1178" totalsRowDxfId="1177" dataCellStyle="Currency"/>
    <tableColumn id="10" name="Less: Recovered Amount" totalsRowLabel="$0" dataDxfId="1176" totalsRowDxfId="1175" dataCellStyle="Currency"/>
    <tableColumn id="11" name="Accounts Receivable_x000a_Balance" totalsRowLabel="$0" dataDxfId="1174" totalsRowDxfId="1173" dataCellStyle="Currency"/>
    <tableColumn id="12" name="Net_x000a_Balance" totalsRowFunction="sum" dataDxfId="1172" totalsRowDxfId="1171"/>
    <tableColumn id="13" name="Comment2" totalsRowLabel=" N/A " dataDxfId="1170" totalsRowDxfId="116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Community College Districts."/>
    </ext>
  </extLst>
</table>
</file>

<file path=xl/tables/table91.xml><?xml version="1.0" encoding="utf-8"?>
<table xmlns="http://schemas.openxmlformats.org/spreadsheetml/2006/main" id="92" name="college201011" displayName="college201011" ref="A38:M51" totalsRowCount="1" headerRowDxfId="1168" dataDxfId="1166" totalsRowDxfId="1164" headerRowBorderDxfId="1167" tableBorderDxfId="1165" headerRowCellStyle="Currency">
  <autoFilter ref="A38:M50"/>
  <tableColumns count="13">
    <tableColumn id="1" name="Fiscal_x000a_Year" totalsRowLabel="2010-11 Total" dataDxfId="1163" totalsRowDxfId="1162"/>
    <tableColumn id="2" name="Program_x000a_Name" totalsRowLabel="N/A" dataDxfId="1161" totalsRowDxfId="1160"/>
    <tableColumn id="3" name="Legal_x000a_Reference_x000a_(Ch./Year)" totalsRowLabel="N/A" dataDxfId="1159" totalsRowDxfId="1158"/>
    <tableColumn id="4" name="Program Number" totalsRowLabel="N/A" dataDxfId="1157" totalsRowDxfId="1156"/>
    <tableColumn id="5" name="Program_x000a_Costs" totalsRowFunction="sum" dataDxfId="1155" totalsRowDxfId="1154"/>
    <tableColumn id="6" name="Less: Net Payments and Offsets 9" totalsRowFunction="sum" dataDxfId="1153" totalsRowDxfId="1152"/>
    <tableColumn id="7" name="Comment" totalsRowLabel=" N/A " dataDxfId="1151" totalsRowDxfId="1150"/>
    <tableColumn id="8" name="Accounts Payable_x000a_Balance" totalsRowFunction="sum" dataDxfId="1149" totalsRowDxfId="1148"/>
    <tableColumn id="9" name="Established_x000a_Accounts Receivable" totalsRowLabel="$0" dataDxfId="1147" totalsRowDxfId="1146" dataCellStyle="Currency"/>
    <tableColumn id="10" name="Less: Recovered Amount" totalsRowLabel="$0" dataDxfId="1145" totalsRowDxfId="1144" dataCellStyle="Currency"/>
    <tableColumn id="11" name="Accounts Receivable_x000a_Balance" totalsRowLabel="$0" dataDxfId="1143" totalsRowDxfId="1142" dataCellStyle="Currency"/>
    <tableColumn id="12" name="Net_x000a_Balance" totalsRowFunction="sum" dataDxfId="1141" totalsRowDxfId="1140"/>
    <tableColumn id="13" name="Comment2" totalsRowLabel=" N/A " dataDxfId="1139" totalsRowDxfId="113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Community College Districts."/>
    </ext>
  </extLst>
</table>
</file>

<file path=xl/tables/table92.xml><?xml version="1.0" encoding="utf-8"?>
<table xmlns="http://schemas.openxmlformats.org/spreadsheetml/2006/main" id="93" name="college200910" displayName="college200910" ref="A53:M65" totalsRowCount="1" headerRowDxfId="1137" dataDxfId="1135" totalsRowDxfId="1133" headerRowBorderDxfId="1136" tableBorderDxfId="1134" headerRowCellStyle="Currency">
  <autoFilter ref="A53:M64"/>
  <tableColumns count="13">
    <tableColumn id="1" name="Fiscal_x000a_Year" totalsRowLabel="2009-10 Total" dataDxfId="1132" totalsRowDxfId="1131"/>
    <tableColumn id="2" name="Program_x000a_Name" totalsRowLabel="N/A" dataDxfId="1130" totalsRowDxfId="1129"/>
    <tableColumn id="3" name="Legal_x000a_Reference_x000a_(Ch./Year)" totalsRowLabel="N/A" dataDxfId="1128" totalsRowDxfId="1127"/>
    <tableColumn id="4" name="Program Number" totalsRowLabel="N/A" dataDxfId="1126" totalsRowDxfId="1125"/>
    <tableColumn id="5" name="Program_x000a_Costs" totalsRowFunction="sum" dataDxfId="1124" totalsRowDxfId="1123"/>
    <tableColumn id="6" name="Less: Net Payments and Offsets 9" totalsRowFunction="sum" dataDxfId="1122" totalsRowDxfId="1121"/>
    <tableColumn id="7" name="Comment" totalsRowLabel=" N/A " dataDxfId="1120" totalsRowDxfId="1119"/>
    <tableColumn id="8" name="Accounts Payable_x000a_Balance" totalsRowFunction="sum" dataDxfId="1118" totalsRowDxfId="1117"/>
    <tableColumn id="9" name="Established_x000a_Accounts Receivable" totalsRowFunction="sum" dataDxfId="1116" totalsRowDxfId="1115"/>
    <tableColumn id="10" name="Less: Recovered Amount" totalsRowFunction="sum" dataDxfId="1114" totalsRowDxfId="1113"/>
    <tableColumn id="11" name="Accounts Receivable_x000a_Balance" totalsRowFunction="sum" dataDxfId="1112" totalsRowDxfId="1111"/>
    <tableColumn id="12" name="Net_x000a_Balance" totalsRowFunction="sum" dataDxfId="1110" totalsRowDxfId="1109"/>
    <tableColumn id="13" name="Comment2" totalsRowLabel=" N/A " dataDxfId="1108" totalsRowDxfId="110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Community College Districts."/>
    </ext>
  </extLst>
</table>
</file>

<file path=xl/tables/table93.xml><?xml version="1.0" encoding="utf-8"?>
<table xmlns="http://schemas.openxmlformats.org/spreadsheetml/2006/main" id="94" name="college200809" displayName="college200809" ref="A67:M80" totalsRowCount="1" headerRowDxfId="1106" dataDxfId="1104" totalsRowDxfId="1102" headerRowBorderDxfId="1105" tableBorderDxfId="1103" headerRowCellStyle="Currency">
  <autoFilter ref="A67:M79"/>
  <tableColumns count="13">
    <tableColumn id="1" name="Fiscal_x000a_Year" totalsRowLabel="2008-09 Total" dataDxfId="1101" totalsRowDxfId="1100"/>
    <tableColumn id="2" name="Program_x000a_Name" totalsRowLabel="N/A" dataDxfId="1099" totalsRowDxfId="1098"/>
    <tableColumn id="3" name="Legal_x000a_Reference_x000a_(Ch./Year)" totalsRowLabel="N/A" dataDxfId="1097" totalsRowDxfId="1096"/>
    <tableColumn id="4" name="Program Number" totalsRowLabel="N/A" dataDxfId="1095" totalsRowDxfId="1094"/>
    <tableColumn id="5" name="Program_x000a_Costs" totalsRowFunction="sum" dataDxfId="1093" totalsRowDxfId="1092"/>
    <tableColumn id="6" name="Less: Net Payments and Offsets 9" totalsRowFunction="sum" dataDxfId="1091" totalsRowDxfId="1090"/>
    <tableColumn id="7" name="Comment" totalsRowLabel=" N/A " dataDxfId="1089" totalsRowDxfId="1088"/>
    <tableColumn id="8" name="Accounts Payable_x000a_Balance" totalsRowFunction="sum" dataDxfId="1087" totalsRowDxfId="1086"/>
    <tableColumn id="9" name="Established_x000a_Accounts Receivable" totalsRowFunction="sum" dataDxfId="1085" totalsRowDxfId="1084"/>
    <tableColumn id="10" name="Less: Recovered Amount" totalsRowFunction="sum" dataDxfId="1083" totalsRowDxfId="1082"/>
    <tableColumn id="11" name="Accounts Receivable_x000a_Balance" totalsRowFunction="sum" dataDxfId="1081" totalsRowDxfId="1080"/>
    <tableColumn id="12" name="Net_x000a_Balance" totalsRowFunction="sum" dataDxfId="1079" totalsRowDxfId="1078"/>
    <tableColumn id="13" name="Comment2" totalsRowLabel=" N/A " dataDxfId="1077" totalsRowDxfId="107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Community College Districts."/>
    </ext>
  </extLst>
</table>
</file>

<file path=xl/tables/table94.xml><?xml version="1.0" encoding="utf-8"?>
<table xmlns="http://schemas.openxmlformats.org/spreadsheetml/2006/main" id="95" name="college200708" displayName="college200708" ref="A82:M98" totalsRowCount="1" headerRowDxfId="1075" dataDxfId="1073" headerRowBorderDxfId="1074" tableBorderDxfId="1072" headerRowCellStyle="Currency">
  <autoFilter ref="A82:M97"/>
  <tableColumns count="13">
    <tableColumn id="1" name="Fiscal_x000a_Year" totalsRowLabel="2007-08 Total" dataDxfId="1071" totalsRowDxfId="1070"/>
    <tableColumn id="2" name="Program_x000a_Name" totalsRowLabel="N/A" dataDxfId="1069" totalsRowDxfId="1068"/>
    <tableColumn id="3" name="Legal_x000a_Reference_x000a_(Ch./Year)" totalsRowLabel="N/A" dataDxfId="1067" totalsRowDxfId="1066"/>
    <tableColumn id="4" name="Program Number" totalsRowLabel="N/A" dataDxfId="1065" totalsRowDxfId="1064"/>
    <tableColumn id="5" name="Program_x000a_Costs" totalsRowFunction="sum" dataDxfId="1063" totalsRowDxfId="1062"/>
    <tableColumn id="6" name="Less: Net Payments and Offsets 9" totalsRowFunction="sum" dataDxfId="1061" totalsRowDxfId="1060"/>
    <tableColumn id="7" name="Comment" totalsRowLabel=" N/A " dataDxfId="1059" totalsRowDxfId="1058"/>
    <tableColumn id="8" name="Accounts Payable_x000a_Balance" totalsRowFunction="sum" dataDxfId="1057" totalsRowDxfId="1056"/>
    <tableColumn id="9" name="Established_x000a_Accounts Receivable" totalsRowFunction="sum" dataDxfId="1055" totalsRowDxfId="1054"/>
    <tableColumn id="10" name="Less: Recovered Amount" totalsRowFunction="sum" dataDxfId="1053" totalsRowDxfId="1052"/>
    <tableColumn id="11" name="Accounts Receivable_x000a_Balance" totalsRowFunction="sum" dataDxfId="1051" totalsRowDxfId="1050"/>
    <tableColumn id="12" name="Net_x000a_Balance" totalsRowFunction="sum" dataDxfId="1049" totalsRowDxfId="1048"/>
    <tableColumn id="13" name="Comment2" totalsRowLabel=" N/A " dataDxfId="1047" totalsRowDxfId="104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Community College Districts."/>
    </ext>
  </extLst>
</table>
</file>

<file path=xl/tables/table95.xml><?xml version="1.0" encoding="utf-8"?>
<table xmlns="http://schemas.openxmlformats.org/spreadsheetml/2006/main" id="96" name="college200607" displayName="college200607" ref="A100:M109" totalsRowCount="1" headerRowDxfId="1045" dataDxfId="1043" totalsRowDxfId="1041" headerRowBorderDxfId="1044" tableBorderDxfId="1042" headerRowCellStyle="Currency">
  <autoFilter ref="A100:M108"/>
  <tableColumns count="13">
    <tableColumn id="1" name="Fiscal_x000a_Year" totalsRowLabel="2006-07 Total" dataDxfId="1040" totalsRowDxfId="1039"/>
    <tableColumn id="2" name="Program_x000a_Name" totalsRowLabel="N/A" dataDxfId="1038" totalsRowDxfId="1037"/>
    <tableColumn id="3" name="Legal_x000a_Reference_x000a_(Ch./Year)" totalsRowLabel="N/A" dataDxfId="1036" totalsRowDxfId="1035"/>
    <tableColumn id="4" name="Program Number" totalsRowLabel="N/A" dataDxfId="1034" totalsRowDxfId="1033"/>
    <tableColumn id="5" name="Program_x000a_Costs" totalsRowFunction="sum" dataDxfId="1032" totalsRowDxfId="1031"/>
    <tableColumn id="6" name="Less: Net Payments and Offsets 9" totalsRowFunction="sum" dataDxfId="1030" totalsRowDxfId="1029"/>
    <tableColumn id="7" name="Comment" totalsRowLabel=" N/A " dataDxfId="1028" totalsRowDxfId="1027"/>
    <tableColumn id="8" name="Accounts Payable_x000a_Balance" totalsRowFunction="sum" dataDxfId="1026" totalsRowDxfId="1025"/>
    <tableColumn id="9" name="Established_x000a_Accounts Receivable" totalsRowFunction="sum" dataDxfId="1024" totalsRowDxfId="1023"/>
    <tableColumn id="10" name="Less: Recovered Amount" totalsRowFunction="sum" dataDxfId="1022" totalsRowDxfId="1021"/>
    <tableColumn id="11" name="Accounts Receivable_x000a_Balance" totalsRowFunction="sum" dataDxfId="1020" totalsRowDxfId="1019"/>
    <tableColumn id="12" name="Net_x000a_Balance" totalsRowFunction="sum" dataDxfId="1018" totalsRowDxfId="1017"/>
    <tableColumn id="13" name="Comment2" totalsRowLabel=" N/A " dataDxfId="1016" totalsRowDxfId="101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Community College Districts."/>
    </ext>
  </extLst>
</table>
</file>

<file path=xl/tables/table96.xml><?xml version="1.0" encoding="utf-8"?>
<table xmlns="http://schemas.openxmlformats.org/spreadsheetml/2006/main" id="97" name="college200506" displayName="college200506" ref="A111:M115" totalsRowCount="1" headerRowDxfId="1014" dataDxfId="1012" totalsRowDxfId="1010" headerRowBorderDxfId="1013" tableBorderDxfId="1011" headerRowCellStyle="Currency">
  <autoFilter ref="A111:M114"/>
  <tableColumns count="13">
    <tableColumn id="1" name="Fiscal_x000a_Year" totalsRowLabel="2005-06 Total" dataDxfId="1009" totalsRowDxfId="1008"/>
    <tableColumn id="2" name="Program_x000a_Name" totalsRowLabel="N/A" dataDxfId="1007" totalsRowDxfId="1006"/>
    <tableColumn id="3" name="Legal_x000a_Reference_x000a_(Ch./Year)" totalsRowLabel="N/A" dataDxfId="1005" totalsRowDxfId="1004"/>
    <tableColumn id="4" name="Program Number" totalsRowLabel="N/A" dataDxfId="1003" totalsRowDxfId="1002"/>
    <tableColumn id="5" name="Program_x000a_Costs" totalsRowFunction="sum" dataDxfId="1001" totalsRowDxfId="1000"/>
    <tableColumn id="6" name="Less: Net Payments and Offsets 9" totalsRowFunction="sum" dataDxfId="999" totalsRowDxfId="998"/>
    <tableColumn id="7" name="Comment" totalsRowLabel=" N/A " dataDxfId="997" totalsRowDxfId="996"/>
    <tableColumn id="8" name="Accounts Payable_x000a_Balance" totalsRowFunction="sum" dataDxfId="995" totalsRowDxfId="994"/>
    <tableColumn id="9" name="Established_x000a_Accounts Receivable" totalsRowFunction="sum" dataDxfId="993" totalsRowDxfId="992"/>
    <tableColumn id="10" name="Less: Recovered Amount" totalsRowFunction="sum" dataDxfId="991" totalsRowDxfId="990"/>
    <tableColumn id="11" name="Accounts Receivable_x000a_Balance" totalsRowFunction="sum" dataDxfId="989" totalsRowDxfId="988"/>
    <tableColumn id="12" name="Net_x000a_Balance" totalsRowFunction="sum" dataDxfId="987" totalsRowDxfId="986"/>
    <tableColumn id="13" name="Comment2" totalsRowLabel=" N/A " dataDxfId="985" totalsRowDxfId="98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Community College Districts."/>
    </ext>
  </extLst>
</table>
</file>

<file path=xl/tables/table97.xml><?xml version="1.0" encoding="utf-8"?>
<table xmlns="http://schemas.openxmlformats.org/spreadsheetml/2006/main" id="98" name="college200304" displayName="college200304" ref="A117:M119" totalsRowCount="1" headerRowDxfId="983" dataDxfId="981" totalsRowDxfId="979" headerRowBorderDxfId="982" tableBorderDxfId="980" headerRowCellStyle="Currency">
  <autoFilter ref="A117:M118"/>
  <tableColumns count="13">
    <tableColumn id="1" name="Fiscal_x000a_Year" totalsRowLabel="2003-04 Total" dataDxfId="978" totalsRowDxfId="977"/>
    <tableColumn id="2" name="Program_x000a_Name" totalsRowLabel="N/A" dataDxfId="976" totalsRowDxfId="975"/>
    <tableColumn id="3" name="Legal_x000a_Reference_x000a_(Ch./Year)" totalsRowLabel="N/A" dataDxfId="974" totalsRowDxfId="973"/>
    <tableColumn id="4" name="Program Number" totalsRowLabel="N/A" dataDxfId="972" totalsRowDxfId="971"/>
    <tableColumn id="5" name="Program_x000a_Costs" totalsRowFunction="sum" dataDxfId="970" totalsRowDxfId="969"/>
    <tableColumn id="6" name="Less: Net Payments and Offsets 9" totalsRowFunction="sum" dataDxfId="968" totalsRowDxfId="967"/>
    <tableColumn id="7" name="Comment" totalsRowLabel=" N/A " dataDxfId="966" totalsRowDxfId="965"/>
    <tableColumn id="8" name="Accounts Payable_x000a_Balance" totalsRowFunction="sum" dataDxfId="964" totalsRowDxfId="963"/>
    <tableColumn id="9" name="Established_x000a_Accounts Receivable" totalsRowFunction="sum" dataDxfId="962" totalsRowDxfId="961"/>
    <tableColumn id="10" name="Less: Recovered Amount" totalsRowFunction="sum" dataDxfId="960" totalsRowDxfId="959"/>
    <tableColumn id="11" name="Accounts Receivable_x000a_Balance" totalsRowLabel="$0" dataDxfId="958" totalsRowDxfId="957" dataCellStyle="Currency"/>
    <tableColumn id="12" name="Net_x000a_Balance" totalsRowFunction="sum" dataDxfId="956" totalsRowDxfId="955"/>
    <tableColumn id="13" name="Comment2" totalsRowLabel=" N/A " dataDxfId="954" totalsRowDxfId="95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Community College Districts."/>
    </ext>
  </extLst>
</table>
</file>

<file path=xl/tables/table98.xml><?xml version="1.0" encoding="utf-8"?>
<table xmlns="http://schemas.openxmlformats.org/spreadsheetml/2006/main" id="99" name="college200203" displayName="college200203" ref="A121:M125" totalsRowCount="1" headerRowDxfId="952" dataDxfId="950" headerRowBorderDxfId="951" tableBorderDxfId="949" headerRowCellStyle="Currency">
  <autoFilter ref="A121:M124"/>
  <tableColumns count="13">
    <tableColumn id="1" name="Fiscal_x000a_Year" totalsRowLabel="2002-03 Total" dataDxfId="948" totalsRowDxfId="947"/>
    <tableColumn id="2" name="Program_x000a_Name" totalsRowLabel="N/A" dataDxfId="946" totalsRowDxfId="945"/>
    <tableColumn id="3" name="Legal_x000a_Reference_x000a_(Ch./Year)" totalsRowLabel="N/A" dataDxfId="944" totalsRowDxfId="943"/>
    <tableColumn id="4" name="Program Number" totalsRowLabel="N/A" dataDxfId="942" totalsRowDxfId="941"/>
    <tableColumn id="5" name="Program_x000a_Costs" totalsRowFunction="sum" dataDxfId="940" totalsRowDxfId="939"/>
    <tableColumn id="6" name="Less: Net Payments and Offsets 9" totalsRowFunction="sum" dataDxfId="938" totalsRowDxfId="937"/>
    <tableColumn id="7" name="Comment" totalsRowLabel=" N/A " dataDxfId="936" totalsRowDxfId="935"/>
    <tableColumn id="8" name="Accounts Payable_x000a_Balance" totalsRowFunction="sum" dataDxfId="934" totalsRowDxfId="933"/>
    <tableColumn id="9" name="Established_x000a_Accounts Receivable" totalsRowFunction="sum" dataDxfId="932" totalsRowDxfId="931"/>
    <tableColumn id="10" name="Less: Recovered Amount" totalsRowFunction="sum" dataDxfId="930" totalsRowDxfId="929"/>
    <tableColumn id="11" name="Accounts Receivable_x000a_Balance" totalsRowFunction="sum" dataDxfId="928" totalsRowDxfId="927"/>
    <tableColumn id="12" name="Net_x000a_Balance" totalsRowFunction="sum" dataDxfId="926" totalsRowDxfId="925"/>
    <tableColumn id="13" name="Comment2" totalsRowLabel=" N/A " dataDxfId="924" totalsRowDxfId="92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Community College Districts."/>
    </ext>
  </extLst>
</table>
</file>

<file path=xl/tables/table99.xml><?xml version="1.0" encoding="utf-8"?>
<table xmlns="http://schemas.openxmlformats.org/spreadsheetml/2006/main" id="100" name="college200102" displayName="college200102" ref="A127:M131" totalsRowCount="1" headerRowDxfId="922" dataDxfId="920" headerRowBorderDxfId="921" tableBorderDxfId="919" headerRowCellStyle="Currency">
  <autoFilter ref="A127:M130"/>
  <tableColumns count="13">
    <tableColumn id="1" name="Fiscal_x000a_Year" totalsRowLabel="2001-02 Total" dataDxfId="918" totalsRowDxfId="917"/>
    <tableColumn id="2" name="Program_x000a_Name" totalsRowLabel="N/A" dataDxfId="916" totalsRowDxfId="915"/>
    <tableColumn id="3" name="Legal_x000a_Reference_x000a_(Ch./Year)" totalsRowLabel="N/A" dataDxfId="914" totalsRowDxfId="913"/>
    <tableColumn id="4" name="Program Number" totalsRowLabel="N/A" dataDxfId="912" totalsRowDxfId="911"/>
    <tableColumn id="5" name="Program_x000a_Costs" totalsRowFunction="sum" dataDxfId="910" totalsRowDxfId="909"/>
    <tableColumn id="6" name="Less: Net Payments and Offsets 9" totalsRowFunction="sum" dataDxfId="908" totalsRowDxfId="907"/>
    <tableColumn id="7" name="Comment" totalsRowLabel=" N/A " dataDxfId="906" totalsRowDxfId="905"/>
    <tableColumn id="8" name="Accounts Payable_x000a_Balance" totalsRowFunction="sum" dataDxfId="904" totalsRowDxfId="903"/>
    <tableColumn id="9" name="Established_x000a_Accounts Receivable" totalsRowFunction="sum" dataDxfId="902" totalsRowDxfId="901"/>
    <tableColumn id="10" name="Less: Recovered Amount" totalsRowFunction="sum" dataDxfId="900" totalsRowDxfId="899"/>
    <tableColumn id="11" name="Accounts Receivable_x000a_Balance" totalsRowFunction="sum" dataDxfId="898" totalsRowDxfId="897"/>
    <tableColumn id="12" name="Net_x000a_Balance" totalsRowFunction="sum" dataDxfId="896" totalsRowDxfId="895"/>
    <tableColumn id="13" name="Comment2" totalsRowLabel=" N/A " dataDxfId="894" totalsRowDxfId="89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Deficiency Report" altTextSummary="Schedule B1: Detail of Funded State-Mandated Programs by Fiscal Year. As of April 1, 2020. Community College Districts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11.xml"/><Relationship Id="rId13" Type="http://schemas.openxmlformats.org/officeDocument/2006/relationships/table" Target="../tables/table116.xml"/><Relationship Id="rId18" Type="http://schemas.openxmlformats.org/officeDocument/2006/relationships/table" Target="../tables/table121.xml"/><Relationship Id="rId3" Type="http://schemas.openxmlformats.org/officeDocument/2006/relationships/table" Target="../tables/table106.xml"/><Relationship Id="rId7" Type="http://schemas.openxmlformats.org/officeDocument/2006/relationships/table" Target="../tables/table110.xml"/><Relationship Id="rId12" Type="http://schemas.openxmlformats.org/officeDocument/2006/relationships/table" Target="../tables/table115.xml"/><Relationship Id="rId17" Type="http://schemas.openxmlformats.org/officeDocument/2006/relationships/table" Target="../tables/table120.xml"/><Relationship Id="rId2" Type="http://schemas.openxmlformats.org/officeDocument/2006/relationships/table" Target="../tables/table105.xml"/><Relationship Id="rId16" Type="http://schemas.openxmlformats.org/officeDocument/2006/relationships/table" Target="../tables/table119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109.xml"/><Relationship Id="rId11" Type="http://schemas.openxmlformats.org/officeDocument/2006/relationships/table" Target="../tables/table114.xml"/><Relationship Id="rId5" Type="http://schemas.openxmlformats.org/officeDocument/2006/relationships/table" Target="../tables/table108.xml"/><Relationship Id="rId15" Type="http://schemas.openxmlformats.org/officeDocument/2006/relationships/table" Target="../tables/table118.xml"/><Relationship Id="rId10" Type="http://schemas.openxmlformats.org/officeDocument/2006/relationships/table" Target="../tables/table113.xml"/><Relationship Id="rId19" Type="http://schemas.openxmlformats.org/officeDocument/2006/relationships/table" Target="../tables/table122.xml"/><Relationship Id="rId4" Type="http://schemas.openxmlformats.org/officeDocument/2006/relationships/table" Target="../tables/table107.xml"/><Relationship Id="rId9" Type="http://schemas.openxmlformats.org/officeDocument/2006/relationships/table" Target="../tables/table112.xml"/><Relationship Id="rId14" Type="http://schemas.openxmlformats.org/officeDocument/2006/relationships/table" Target="../tables/table11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4.xml"/><Relationship Id="rId2" Type="http://schemas.openxmlformats.org/officeDocument/2006/relationships/table" Target="../tables/table1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6.xml"/><Relationship Id="rId2" Type="http://schemas.openxmlformats.org/officeDocument/2006/relationships/table" Target="../tables/table125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2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Relationship Id="rId9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3.xml"/><Relationship Id="rId3" Type="http://schemas.openxmlformats.org/officeDocument/2006/relationships/table" Target="../tables/table8.xml"/><Relationship Id="rId7" Type="http://schemas.openxmlformats.org/officeDocument/2006/relationships/table" Target="../tables/table12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1.xml"/><Relationship Id="rId5" Type="http://schemas.openxmlformats.org/officeDocument/2006/relationships/table" Target="../tables/table10.xml"/><Relationship Id="rId4" Type="http://schemas.openxmlformats.org/officeDocument/2006/relationships/table" Target="../tables/table9.xml"/><Relationship Id="rId9" Type="http://schemas.openxmlformats.org/officeDocument/2006/relationships/table" Target="../tables/table1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2.xml"/><Relationship Id="rId4" Type="http://schemas.openxmlformats.org/officeDocument/2006/relationships/table" Target="../tables/table16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2.xml"/><Relationship Id="rId3" Type="http://schemas.openxmlformats.org/officeDocument/2006/relationships/table" Target="../tables/table17.xml"/><Relationship Id="rId7" Type="http://schemas.openxmlformats.org/officeDocument/2006/relationships/table" Target="../tables/table2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0.xml"/><Relationship Id="rId5" Type="http://schemas.openxmlformats.org/officeDocument/2006/relationships/table" Target="../tables/table19.xml"/><Relationship Id="rId10" Type="http://schemas.openxmlformats.org/officeDocument/2006/relationships/comments" Target="../comments3.xml"/><Relationship Id="rId4" Type="http://schemas.openxmlformats.org/officeDocument/2006/relationships/table" Target="../tables/table18.xml"/><Relationship Id="rId9" Type="http://schemas.openxmlformats.org/officeDocument/2006/relationships/table" Target="../tables/table23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9.xml"/><Relationship Id="rId13" Type="http://schemas.openxmlformats.org/officeDocument/2006/relationships/table" Target="../tables/table34.xml"/><Relationship Id="rId18" Type="http://schemas.openxmlformats.org/officeDocument/2006/relationships/table" Target="../tables/table39.xml"/><Relationship Id="rId26" Type="http://schemas.openxmlformats.org/officeDocument/2006/relationships/table" Target="../tables/table47.xml"/><Relationship Id="rId3" Type="http://schemas.openxmlformats.org/officeDocument/2006/relationships/table" Target="../tables/table24.xml"/><Relationship Id="rId21" Type="http://schemas.openxmlformats.org/officeDocument/2006/relationships/table" Target="../tables/table42.xml"/><Relationship Id="rId7" Type="http://schemas.openxmlformats.org/officeDocument/2006/relationships/table" Target="../tables/table28.xml"/><Relationship Id="rId12" Type="http://schemas.openxmlformats.org/officeDocument/2006/relationships/table" Target="../tables/table33.xml"/><Relationship Id="rId17" Type="http://schemas.openxmlformats.org/officeDocument/2006/relationships/table" Target="../tables/table38.xml"/><Relationship Id="rId25" Type="http://schemas.openxmlformats.org/officeDocument/2006/relationships/table" Target="../tables/table46.xml"/><Relationship Id="rId2" Type="http://schemas.openxmlformats.org/officeDocument/2006/relationships/vmlDrawing" Target="../drawings/vmlDrawing4.vml"/><Relationship Id="rId16" Type="http://schemas.openxmlformats.org/officeDocument/2006/relationships/table" Target="../tables/table37.xml"/><Relationship Id="rId20" Type="http://schemas.openxmlformats.org/officeDocument/2006/relationships/table" Target="../tables/table41.xml"/><Relationship Id="rId29" Type="http://schemas.openxmlformats.org/officeDocument/2006/relationships/table" Target="../tables/table50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7.xml"/><Relationship Id="rId11" Type="http://schemas.openxmlformats.org/officeDocument/2006/relationships/table" Target="../tables/table32.xml"/><Relationship Id="rId24" Type="http://schemas.openxmlformats.org/officeDocument/2006/relationships/table" Target="../tables/table45.xml"/><Relationship Id="rId5" Type="http://schemas.openxmlformats.org/officeDocument/2006/relationships/table" Target="../tables/table26.xml"/><Relationship Id="rId15" Type="http://schemas.openxmlformats.org/officeDocument/2006/relationships/table" Target="../tables/table36.xml"/><Relationship Id="rId23" Type="http://schemas.openxmlformats.org/officeDocument/2006/relationships/table" Target="../tables/table44.xml"/><Relationship Id="rId28" Type="http://schemas.openxmlformats.org/officeDocument/2006/relationships/table" Target="../tables/table49.xml"/><Relationship Id="rId10" Type="http://schemas.openxmlformats.org/officeDocument/2006/relationships/table" Target="../tables/table31.xml"/><Relationship Id="rId19" Type="http://schemas.openxmlformats.org/officeDocument/2006/relationships/table" Target="../tables/table40.xml"/><Relationship Id="rId31" Type="http://schemas.openxmlformats.org/officeDocument/2006/relationships/comments" Target="../comments4.xml"/><Relationship Id="rId4" Type="http://schemas.openxmlformats.org/officeDocument/2006/relationships/table" Target="../tables/table25.xml"/><Relationship Id="rId9" Type="http://schemas.openxmlformats.org/officeDocument/2006/relationships/table" Target="../tables/table30.xml"/><Relationship Id="rId14" Type="http://schemas.openxmlformats.org/officeDocument/2006/relationships/table" Target="../tables/table35.xml"/><Relationship Id="rId22" Type="http://schemas.openxmlformats.org/officeDocument/2006/relationships/table" Target="../tables/table43.xml"/><Relationship Id="rId27" Type="http://schemas.openxmlformats.org/officeDocument/2006/relationships/table" Target="../tables/table48.xml"/><Relationship Id="rId30" Type="http://schemas.openxmlformats.org/officeDocument/2006/relationships/table" Target="../tables/table51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7.xml"/><Relationship Id="rId13" Type="http://schemas.openxmlformats.org/officeDocument/2006/relationships/table" Target="../tables/table62.xml"/><Relationship Id="rId18" Type="http://schemas.openxmlformats.org/officeDocument/2006/relationships/table" Target="../tables/table67.xml"/><Relationship Id="rId26" Type="http://schemas.openxmlformats.org/officeDocument/2006/relationships/table" Target="../tables/table75.xml"/><Relationship Id="rId3" Type="http://schemas.openxmlformats.org/officeDocument/2006/relationships/table" Target="../tables/table52.xml"/><Relationship Id="rId21" Type="http://schemas.openxmlformats.org/officeDocument/2006/relationships/table" Target="../tables/table70.xml"/><Relationship Id="rId34" Type="http://schemas.openxmlformats.org/officeDocument/2006/relationships/table" Target="../tables/table83.xml"/><Relationship Id="rId7" Type="http://schemas.openxmlformats.org/officeDocument/2006/relationships/table" Target="../tables/table56.xml"/><Relationship Id="rId12" Type="http://schemas.openxmlformats.org/officeDocument/2006/relationships/table" Target="../tables/table61.xml"/><Relationship Id="rId17" Type="http://schemas.openxmlformats.org/officeDocument/2006/relationships/table" Target="../tables/table66.xml"/><Relationship Id="rId25" Type="http://schemas.openxmlformats.org/officeDocument/2006/relationships/table" Target="../tables/table74.xml"/><Relationship Id="rId33" Type="http://schemas.openxmlformats.org/officeDocument/2006/relationships/table" Target="../tables/table82.xml"/><Relationship Id="rId38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6" Type="http://schemas.openxmlformats.org/officeDocument/2006/relationships/table" Target="../tables/table65.xml"/><Relationship Id="rId20" Type="http://schemas.openxmlformats.org/officeDocument/2006/relationships/table" Target="../tables/table69.xml"/><Relationship Id="rId29" Type="http://schemas.openxmlformats.org/officeDocument/2006/relationships/table" Target="../tables/table7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55.xml"/><Relationship Id="rId11" Type="http://schemas.openxmlformats.org/officeDocument/2006/relationships/table" Target="../tables/table60.xml"/><Relationship Id="rId24" Type="http://schemas.openxmlformats.org/officeDocument/2006/relationships/table" Target="../tables/table73.xml"/><Relationship Id="rId32" Type="http://schemas.openxmlformats.org/officeDocument/2006/relationships/table" Target="../tables/table81.xml"/><Relationship Id="rId37" Type="http://schemas.openxmlformats.org/officeDocument/2006/relationships/table" Target="../tables/table86.xml"/><Relationship Id="rId5" Type="http://schemas.openxmlformats.org/officeDocument/2006/relationships/table" Target="../tables/table54.xml"/><Relationship Id="rId15" Type="http://schemas.openxmlformats.org/officeDocument/2006/relationships/table" Target="../tables/table64.xml"/><Relationship Id="rId23" Type="http://schemas.openxmlformats.org/officeDocument/2006/relationships/table" Target="../tables/table72.xml"/><Relationship Id="rId28" Type="http://schemas.openxmlformats.org/officeDocument/2006/relationships/table" Target="../tables/table77.xml"/><Relationship Id="rId36" Type="http://schemas.openxmlformats.org/officeDocument/2006/relationships/table" Target="../tables/table85.xml"/><Relationship Id="rId10" Type="http://schemas.openxmlformats.org/officeDocument/2006/relationships/table" Target="../tables/table59.xml"/><Relationship Id="rId19" Type="http://schemas.openxmlformats.org/officeDocument/2006/relationships/table" Target="../tables/table68.xml"/><Relationship Id="rId31" Type="http://schemas.openxmlformats.org/officeDocument/2006/relationships/table" Target="../tables/table80.xml"/><Relationship Id="rId4" Type="http://schemas.openxmlformats.org/officeDocument/2006/relationships/table" Target="../tables/table53.xml"/><Relationship Id="rId9" Type="http://schemas.openxmlformats.org/officeDocument/2006/relationships/table" Target="../tables/table58.xml"/><Relationship Id="rId14" Type="http://schemas.openxmlformats.org/officeDocument/2006/relationships/table" Target="../tables/table63.xml"/><Relationship Id="rId22" Type="http://schemas.openxmlformats.org/officeDocument/2006/relationships/table" Target="../tables/table71.xml"/><Relationship Id="rId27" Type="http://schemas.openxmlformats.org/officeDocument/2006/relationships/table" Target="../tables/table76.xml"/><Relationship Id="rId30" Type="http://schemas.openxmlformats.org/officeDocument/2006/relationships/table" Target="../tables/table79.xml"/><Relationship Id="rId35" Type="http://schemas.openxmlformats.org/officeDocument/2006/relationships/table" Target="../tables/table84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2.xml"/><Relationship Id="rId13" Type="http://schemas.openxmlformats.org/officeDocument/2006/relationships/table" Target="../tables/table97.xml"/><Relationship Id="rId18" Type="http://schemas.openxmlformats.org/officeDocument/2006/relationships/table" Target="../tables/table102.xml"/><Relationship Id="rId3" Type="http://schemas.openxmlformats.org/officeDocument/2006/relationships/table" Target="../tables/table87.xml"/><Relationship Id="rId21" Type="http://schemas.openxmlformats.org/officeDocument/2006/relationships/comments" Target="../comments6.xml"/><Relationship Id="rId7" Type="http://schemas.openxmlformats.org/officeDocument/2006/relationships/table" Target="../tables/table91.xml"/><Relationship Id="rId12" Type="http://schemas.openxmlformats.org/officeDocument/2006/relationships/table" Target="../tables/table96.xml"/><Relationship Id="rId17" Type="http://schemas.openxmlformats.org/officeDocument/2006/relationships/table" Target="../tables/table101.xml"/><Relationship Id="rId2" Type="http://schemas.openxmlformats.org/officeDocument/2006/relationships/vmlDrawing" Target="../drawings/vmlDrawing6.vml"/><Relationship Id="rId16" Type="http://schemas.openxmlformats.org/officeDocument/2006/relationships/table" Target="../tables/table100.xml"/><Relationship Id="rId20" Type="http://schemas.openxmlformats.org/officeDocument/2006/relationships/table" Target="../tables/table104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90.xml"/><Relationship Id="rId11" Type="http://schemas.openxmlformats.org/officeDocument/2006/relationships/table" Target="../tables/table95.xml"/><Relationship Id="rId5" Type="http://schemas.openxmlformats.org/officeDocument/2006/relationships/table" Target="../tables/table89.xml"/><Relationship Id="rId15" Type="http://schemas.openxmlformats.org/officeDocument/2006/relationships/table" Target="../tables/table99.xml"/><Relationship Id="rId10" Type="http://schemas.openxmlformats.org/officeDocument/2006/relationships/table" Target="../tables/table94.xml"/><Relationship Id="rId19" Type="http://schemas.openxmlformats.org/officeDocument/2006/relationships/table" Target="../tables/table103.xml"/><Relationship Id="rId4" Type="http://schemas.openxmlformats.org/officeDocument/2006/relationships/table" Target="../tables/table88.xml"/><Relationship Id="rId9" Type="http://schemas.openxmlformats.org/officeDocument/2006/relationships/table" Target="../tables/table93.xml"/><Relationship Id="rId14" Type="http://schemas.openxmlformats.org/officeDocument/2006/relationships/table" Target="../tables/table9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6"/>
  <sheetViews>
    <sheetView tabSelected="1" zoomScale="70" zoomScaleNormal="70" workbookViewId="0">
      <selection activeCell="A24" sqref="A24"/>
    </sheetView>
  </sheetViews>
  <sheetFormatPr defaultRowHeight="14.5" x14ac:dyDescent="0.35"/>
  <cols>
    <col min="1" max="1" width="121.36328125" bestFit="1" customWidth="1"/>
  </cols>
  <sheetData>
    <row r="1" spans="1:12" ht="29.5" x14ac:dyDescent="0.35">
      <c r="A1" s="79" t="s">
        <v>513</v>
      </c>
    </row>
    <row r="2" spans="1:12" ht="45" x14ac:dyDescent="0.35">
      <c r="A2" s="80" t="s">
        <v>516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</row>
    <row r="3" spans="1:12" ht="47.5" x14ac:dyDescent="0.35">
      <c r="A3" s="80" t="s">
        <v>517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</row>
    <row r="4" spans="1:12" ht="29.5" x14ac:dyDescent="0.35">
      <c r="A4" s="79" t="s">
        <v>518</v>
      </c>
    </row>
    <row r="5" spans="1:12" ht="29.5" x14ac:dyDescent="0.35">
      <c r="A5" s="79" t="s">
        <v>510</v>
      </c>
    </row>
    <row r="6" spans="1:12" ht="15.5" x14ac:dyDescent="0.35">
      <c r="A6" s="149" t="s">
        <v>529</v>
      </c>
    </row>
    <row r="7" spans="1:12" ht="15.5" x14ac:dyDescent="0.35">
      <c r="A7" s="149" t="s">
        <v>529</v>
      </c>
    </row>
    <row r="8" spans="1:12" ht="15.5" x14ac:dyDescent="0.35">
      <c r="A8" s="149" t="s">
        <v>529</v>
      </c>
    </row>
    <row r="9" spans="1:12" ht="15.5" x14ac:dyDescent="0.35">
      <c r="A9" s="149" t="s">
        <v>529</v>
      </c>
    </row>
    <row r="10" spans="1:12" ht="15.5" x14ac:dyDescent="0.35">
      <c r="A10" s="149" t="s">
        <v>529</v>
      </c>
    </row>
    <row r="11" spans="1:12" ht="15.5" x14ac:dyDescent="0.35">
      <c r="A11" s="149" t="s">
        <v>529</v>
      </c>
    </row>
    <row r="12" spans="1:12" ht="15.5" x14ac:dyDescent="0.35">
      <c r="A12" s="149" t="s">
        <v>529</v>
      </c>
    </row>
    <row r="13" spans="1:12" ht="15.5" x14ac:dyDescent="0.35">
      <c r="A13" s="149" t="s">
        <v>529</v>
      </c>
    </row>
    <row r="14" spans="1:12" ht="15.5" x14ac:dyDescent="0.35">
      <c r="A14" s="149" t="s">
        <v>529</v>
      </c>
    </row>
    <row r="15" spans="1:12" ht="15.5" x14ac:dyDescent="0.35">
      <c r="A15" s="149" t="s">
        <v>529</v>
      </c>
    </row>
    <row r="16" spans="1:12" ht="15.5" x14ac:dyDescent="0.35">
      <c r="A16" s="149" t="s">
        <v>529</v>
      </c>
    </row>
    <row r="17" spans="1:10" ht="15.5" x14ac:dyDescent="0.35">
      <c r="A17" s="149" t="s">
        <v>529</v>
      </c>
    </row>
    <row r="18" spans="1:10" ht="15.5" x14ac:dyDescent="0.35">
      <c r="A18" s="149" t="s">
        <v>529</v>
      </c>
    </row>
    <row r="19" spans="1:10" ht="15.5" x14ac:dyDescent="0.35">
      <c r="A19" s="149" t="s">
        <v>529</v>
      </c>
    </row>
    <row r="20" spans="1:10" ht="15.5" x14ac:dyDescent="0.35">
      <c r="A20" s="149" t="s">
        <v>529</v>
      </c>
    </row>
    <row r="21" spans="1:10" ht="15.5" x14ac:dyDescent="0.35">
      <c r="A21" s="149" t="s">
        <v>529</v>
      </c>
    </row>
    <row r="22" spans="1:10" ht="15.5" x14ac:dyDescent="0.35">
      <c r="A22" s="149" t="s">
        <v>529</v>
      </c>
    </row>
    <row r="23" spans="1:10" ht="15.5" x14ac:dyDescent="0.35">
      <c r="A23" s="149" t="s">
        <v>529</v>
      </c>
      <c r="F23" s="37"/>
      <c r="G23" s="37"/>
      <c r="H23" s="37"/>
    </row>
    <row r="24" spans="1:10" ht="15.5" x14ac:dyDescent="0.35">
      <c r="A24" s="510" t="s">
        <v>521</v>
      </c>
      <c r="D24" s="37"/>
      <c r="E24" s="37"/>
      <c r="F24" s="37"/>
      <c r="G24" s="37"/>
      <c r="H24" s="37"/>
      <c r="I24" s="37"/>
      <c r="J24" s="37"/>
    </row>
    <row r="25" spans="1:10" ht="40" x14ac:dyDescent="0.35">
      <c r="A25" s="81" t="s">
        <v>520</v>
      </c>
    </row>
    <row r="26" spans="1:10" ht="29.5" x14ac:dyDescent="0.35">
      <c r="A26" s="79" t="s">
        <v>519</v>
      </c>
    </row>
  </sheetData>
  <pageMargins left="0.7" right="0.7" top="0.75" bottom="0.75" header="0.3" footer="0.3"/>
  <pageSetup scale="7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7"/>
  <sheetViews>
    <sheetView zoomScaleNormal="100" workbookViewId="0">
      <selection activeCell="H237" sqref="H237"/>
    </sheetView>
  </sheetViews>
  <sheetFormatPr defaultColWidth="9.1796875" defaultRowHeight="14.5" outlineLevelRow="2" x14ac:dyDescent="0.35"/>
  <cols>
    <col min="1" max="1" width="76.54296875" style="14" customWidth="1"/>
    <col min="2" max="2" width="12.6328125" style="4" customWidth="1"/>
    <col min="3" max="3" width="14.6328125" style="26" customWidth="1"/>
    <col min="4" max="4" width="12.6328125" style="4" customWidth="1"/>
    <col min="5" max="5" width="15.6328125" style="16" customWidth="1"/>
    <col min="6" max="6" width="15.6328125" style="17" customWidth="1"/>
    <col min="7" max="7" width="15.6328125" style="16" customWidth="1"/>
    <col min="8" max="9" width="15.6328125" style="17" customWidth="1"/>
    <col min="10" max="11" width="15.6328125" style="16" customWidth="1"/>
    <col min="12" max="16384" width="9.1796875" style="2"/>
  </cols>
  <sheetData>
    <row r="1" spans="1:11" ht="54" x14ac:dyDescent="0.4">
      <c r="A1" s="66" t="s">
        <v>527</v>
      </c>
      <c r="B1" s="54"/>
      <c r="C1" s="56"/>
      <c r="D1" s="54"/>
      <c r="E1" s="55"/>
      <c r="F1" s="55"/>
      <c r="G1" s="55"/>
      <c r="H1" s="55"/>
      <c r="I1" s="55"/>
      <c r="J1" s="55"/>
      <c r="K1" s="55"/>
    </row>
    <row r="2" spans="1:11" ht="62" customHeight="1" outlineLevel="1" x14ac:dyDescent="0.35">
      <c r="A2" s="67" t="s">
        <v>12</v>
      </c>
      <c r="B2" s="67" t="s">
        <v>0</v>
      </c>
      <c r="C2" s="67" t="s">
        <v>132</v>
      </c>
      <c r="D2" s="67" t="s">
        <v>11</v>
      </c>
      <c r="E2" s="403" t="s">
        <v>125</v>
      </c>
      <c r="F2" s="453" t="s">
        <v>355</v>
      </c>
      <c r="G2" s="403" t="s">
        <v>495</v>
      </c>
      <c r="H2" s="403" t="s">
        <v>496</v>
      </c>
      <c r="I2" s="403" t="s">
        <v>134</v>
      </c>
      <c r="J2" s="403" t="s">
        <v>497</v>
      </c>
      <c r="K2" s="403" t="s">
        <v>133</v>
      </c>
    </row>
    <row r="3" spans="1:11" ht="15.5" outlineLevel="2" x14ac:dyDescent="0.35">
      <c r="A3" s="144" t="s">
        <v>356</v>
      </c>
      <c r="B3" s="82" t="s">
        <v>357</v>
      </c>
      <c r="C3" s="69">
        <v>288</v>
      </c>
      <c r="D3" s="69" t="s">
        <v>238</v>
      </c>
      <c r="E3" s="145">
        <v>130288</v>
      </c>
      <c r="F3" s="392">
        <v>0</v>
      </c>
      <c r="G3" s="145">
        <v>130288</v>
      </c>
      <c r="H3" s="392">
        <v>0</v>
      </c>
      <c r="I3" s="392">
        <v>0</v>
      </c>
      <c r="J3" s="392">
        <v>0</v>
      </c>
      <c r="K3" s="145">
        <v>130288</v>
      </c>
    </row>
    <row r="4" spans="1:11" ht="15.5" outlineLevel="2" x14ac:dyDescent="0.35">
      <c r="A4" s="144" t="s">
        <v>356</v>
      </c>
      <c r="B4" s="82" t="s">
        <v>357</v>
      </c>
      <c r="C4" s="69">
        <v>288</v>
      </c>
      <c r="D4" s="69" t="s">
        <v>332</v>
      </c>
      <c r="E4" s="145">
        <v>85888</v>
      </c>
      <c r="F4" s="392">
        <v>0</v>
      </c>
      <c r="G4" s="145">
        <v>85888</v>
      </c>
      <c r="H4" s="392">
        <v>0</v>
      </c>
      <c r="I4" s="392">
        <v>0</v>
      </c>
      <c r="J4" s="392">
        <v>0</v>
      </c>
      <c r="K4" s="145">
        <v>85888</v>
      </c>
    </row>
    <row r="5" spans="1:11" ht="15.5" outlineLevel="1" x14ac:dyDescent="0.35">
      <c r="A5" s="96" t="s">
        <v>358</v>
      </c>
      <c r="B5" s="427" t="s">
        <v>529</v>
      </c>
      <c r="C5" s="428" t="s">
        <v>529</v>
      </c>
      <c r="D5" s="428" t="s">
        <v>529</v>
      </c>
      <c r="E5" s="138">
        <f>SUBTOTAL(109,local288[Program
Costs])</f>
        <v>216176</v>
      </c>
      <c r="F5" s="456" t="s">
        <v>615</v>
      </c>
      <c r="G5" s="138">
        <f>SUBTOTAL(109,local288[Accounts Payable
Balance])</f>
        <v>216176</v>
      </c>
      <c r="H5" s="456" t="s">
        <v>615</v>
      </c>
      <c r="I5" s="456" t="s">
        <v>615</v>
      </c>
      <c r="J5" s="456" t="s">
        <v>615</v>
      </c>
      <c r="K5" s="138">
        <f>SUBTOTAL(109,local288[Net
Balance])</f>
        <v>216176</v>
      </c>
    </row>
    <row r="6" spans="1:11" ht="15.5" outlineLevel="1" x14ac:dyDescent="0.35">
      <c r="A6" s="386" t="s">
        <v>540</v>
      </c>
      <c r="B6" s="139"/>
      <c r="C6" s="139"/>
      <c r="D6" s="139"/>
      <c r="E6" s="140"/>
      <c r="F6" s="140"/>
      <c r="G6" s="140"/>
      <c r="H6" s="140"/>
      <c r="I6" s="140"/>
      <c r="J6" s="140"/>
      <c r="K6" s="140"/>
    </row>
    <row r="7" spans="1:11" ht="47.5" customHeight="1" outlineLevel="2" x14ac:dyDescent="0.35">
      <c r="A7" s="158" t="s">
        <v>12</v>
      </c>
      <c r="B7" s="158" t="s">
        <v>0</v>
      </c>
      <c r="C7" s="158" t="s">
        <v>132</v>
      </c>
      <c r="D7" s="158" t="s">
        <v>11</v>
      </c>
      <c r="E7" s="422" t="s">
        <v>125</v>
      </c>
      <c r="F7" s="423" t="s">
        <v>355</v>
      </c>
      <c r="G7" s="422" t="s">
        <v>495</v>
      </c>
      <c r="H7" s="422" t="s">
        <v>496</v>
      </c>
      <c r="I7" s="422" t="s">
        <v>134</v>
      </c>
      <c r="J7" s="422" t="s">
        <v>497</v>
      </c>
      <c r="K7" s="422" t="s">
        <v>133</v>
      </c>
    </row>
    <row r="8" spans="1:11" ht="15.5" customHeight="1" outlineLevel="2" x14ac:dyDescent="0.35">
      <c r="A8" s="144" t="s">
        <v>359</v>
      </c>
      <c r="B8" s="82" t="s">
        <v>360</v>
      </c>
      <c r="C8" s="69">
        <v>310</v>
      </c>
      <c r="D8" s="69" t="s">
        <v>143</v>
      </c>
      <c r="E8" s="145">
        <v>12874811</v>
      </c>
      <c r="F8" s="392">
        <v>0</v>
      </c>
      <c r="G8" s="145">
        <v>12874811</v>
      </c>
      <c r="H8" s="392">
        <v>0</v>
      </c>
      <c r="I8" s="392">
        <v>0</v>
      </c>
      <c r="J8" s="392">
        <v>0</v>
      </c>
      <c r="K8" s="145">
        <v>12874811</v>
      </c>
    </row>
    <row r="9" spans="1:11" ht="15.5" customHeight="1" outlineLevel="2" x14ac:dyDescent="0.35">
      <c r="A9" s="144" t="s">
        <v>359</v>
      </c>
      <c r="B9" s="82" t="s">
        <v>360</v>
      </c>
      <c r="C9" s="69">
        <v>310</v>
      </c>
      <c r="D9" s="69" t="s">
        <v>41</v>
      </c>
      <c r="E9" s="145">
        <v>14721622</v>
      </c>
      <c r="F9" s="392">
        <v>0</v>
      </c>
      <c r="G9" s="145">
        <v>14721622</v>
      </c>
      <c r="H9" s="392">
        <v>0</v>
      </c>
      <c r="I9" s="392">
        <v>0</v>
      </c>
      <c r="J9" s="392">
        <v>0</v>
      </c>
      <c r="K9" s="145">
        <v>14721622</v>
      </c>
    </row>
    <row r="10" spans="1:11" ht="15.5" customHeight="1" outlineLevel="2" x14ac:dyDescent="0.35">
      <c r="A10" s="144" t="s">
        <v>359</v>
      </c>
      <c r="B10" s="82" t="s">
        <v>360</v>
      </c>
      <c r="C10" s="69">
        <v>310</v>
      </c>
      <c r="D10" s="69" t="s">
        <v>44</v>
      </c>
      <c r="E10" s="145">
        <v>13762197</v>
      </c>
      <c r="F10" s="392">
        <v>0</v>
      </c>
      <c r="G10" s="145">
        <v>13762197</v>
      </c>
      <c r="H10" s="392">
        <v>0</v>
      </c>
      <c r="I10" s="392">
        <v>0</v>
      </c>
      <c r="J10" s="392">
        <v>0</v>
      </c>
      <c r="K10" s="145">
        <v>13762197</v>
      </c>
    </row>
    <row r="11" spans="1:11" ht="15.5" customHeight="1" outlineLevel="2" x14ac:dyDescent="0.35">
      <c r="A11" s="144" t="s">
        <v>359</v>
      </c>
      <c r="B11" s="82" t="s">
        <v>360</v>
      </c>
      <c r="C11" s="69">
        <v>310</v>
      </c>
      <c r="D11" s="69" t="s">
        <v>45</v>
      </c>
      <c r="E11" s="145">
        <v>13063579</v>
      </c>
      <c r="F11" s="392">
        <v>0</v>
      </c>
      <c r="G11" s="145">
        <v>13063579</v>
      </c>
      <c r="H11" s="392">
        <v>0</v>
      </c>
      <c r="I11" s="392">
        <v>0</v>
      </c>
      <c r="J11" s="392">
        <v>0</v>
      </c>
      <c r="K11" s="145">
        <v>13063579</v>
      </c>
    </row>
    <row r="12" spans="1:11" ht="15.5" customHeight="1" outlineLevel="2" x14ac:dyDescent="0.35">
      <c r="A12" s="144" t="s">
        <v>359</v>
      </c>
      <c r="B12" s="82" t="s">
        <v>360</v>
      </c>
      <c r="C12" s="69">
        <v>310</v>
      </c>
      <c r="D12" s="69" t="s">
        <v>46</v>
      </c>
      <c r="E12" s="145">
        <v>12399994</v>
      </c>
      <c r="F12" s="392">
        <v>0</v>
      </c>
      <c r="G12" s="145">
        <v>12399994</v>
      </c>
      <c r="H12" s="392">
        <v>0</v>
      </c>
      <c r="I12" s="392">
        <v>0</v>
      </c>
      <c r="J12" s="392">
        <v>0</v>
      </c>
      <c r="K12" s="145">
        <v>12399994</v>
      </c>
    </row>
    <row r="13" spans="1:11" ht="15.5" customHeight="1" outlineLevel="2" x14ac:dyDescent="0.35">
      <c r="A13" s="144" t="s">
        <v>359</v>
      </c>
      <c r="B13" s="82" t="s">
        <v>360</v>
      </c>
      <c r="C13" s="69">
        <v>310</v>
      </c>
      <c r="D13" s="69" t="s">
        <v>47</v>
      </c>
      <c r="E13" s="145">
        <v>12626376</v>
      </c>
      <c r="F13" s="392">
        <v>0</v>
      </c>
      <c r="G13" s="145">
        <v>12626376</v>
      </c>
      <c r="H13" s="392">
        <v>0</v>
      </c>
      <c r="I13" s="392">
        <v>0</v>
      </c>
      <c r="J13" s="392">
        <v>0</v>
      </c>
      <c r="K13" s="145">
        <v>12626376</v>
      </c>
    </row>
    <row r="14" spans="1:11" ht="15.5" customHeight="1" outlineLevel="2" x14ac:dyDescent="0.35">
      <c r="A14" s="144" t="s">
        <v>359</v>
      </c>
      <c r="B14" s="82" t="s">
        <v>360</v>
      </c>
      <c r="C14" s="69">
        <v>310</v>
      </c>
      <c r="D14" s="69" t="s">
        <v>48</v>
      </c>
      <c r="E14" s="145">
        <v>11800444</v>
      </c>
      <c r="F14" s="392">
        <v>0</v>
      </c>
      <c r="G14" s="145">
        <v>11800444</v>
      </c>
      <c r="H14" s="392">
        <v>0</v>
      </c>
      <c r="I14" s="392">
        <v>0</v>
      </c>
      <c r="J14" s="392">
        <v>0</v>
      </c>
      <c r="K14" s="145">
        <v>11800444</v>
      </c>
    </row>
    <row r="15" spans="1:11" ht="15.5" customHeight="1" outlineLevel="2" x14ac:dyDescent="0.35">
      <c r="A15" s="144" t="s">
        <v>359</v>
      </c>
      <c r="B15" s="82" t="s">
        <v>360</v>
      </c>
      <c r="C15" s="69">
        <v>310</v>
      </c>
      <c r="D15" s="69" t="s">
        <v>49</v>
      </c>
      <c r="E15" s="145">
        <v>11683456</v>
      </c>
      <c r="F15" s="392">
        <v>0</v>
      </c>
      <c r="G15" s="145">
        <v>11683456</v>
      </c>
      <c r="H15" s="392">
        <v>0</v>
      </c>
      <c r="I15" s="392">
        <v>0</v>
      </c>
      <c r="J15" s="392">
        <v>0</v>
      </c>
      <c r="K15" s="145">
        <v>11683456</v>
      </c>
    </row>
    <row r="16" spans="1:11" ht="15.5" customHeight="1" outlineLevel="2" x14ac:dyDescent="0.35">
      <c r="A16" s="144" t="s">
        <v>359</v>
      </c>
      <c r="B16" s="82" t="s">
        <v>360</v>
      </c>
      <c r="C16" s="69">
        <v>310</v>
      </c>
      <c r="D16" s="69" t="s">
        <v>50</v>
      </c>
      <c r="E16" s="145">
        <v>10823623</v>
      </c>
      <c r="F16" s="392">
        <v>0</v>
      </c>
      <c r="G16" s="145">
        <v>10823623</v>
      </c>
      <c r="H16" s="392">
        <v>0</v>
      </c>
      <c r="I16" s="392">
        <v>0</v>
      </c>
      <c r="J16" s="392">
        <v>0</v>
      </c>
      <c r="K16" s="145">
        <v>10823623</v>
      </c>
    </row>
    <row r="17" spans="1:11" ht="15.5" customHeight="1" outlineLevel="2" x14ac:dyDescent="0.35">
      <c r="A17" s="144" t="s">
        <v>359</v>
      </c>
      <c r="B17" s="82" t="s">
        <v>360</v>
      </c>
      <c r="C17" s="69">
        <v>310</v>
      </c>
      <c r="D17" s="69" t="s">
        <v>51</v>
      </c>
      <c r="E17" s="145">
        <v>9901392</v>
      </c>
      <c r="F17" s="392">
        <v>0</v>
      </c>
      <c r="G17" s="145">
        <v>9901392</v>
      </c>
      <c r="H17" s="392">
        <v>0</v>
      </c>
      <c r="I17" s="392">
        <v>0</v>
      </c>
      <c r="J17" s="392">
        <v>0</v>
      </c>
      <c r="K17" s="145">
        <v>9901392</v>
      </c>
    </row>
    <row r="18" spans="1:11" ht="15.5" customHeight="1" outlineLevel="1" x14ac:dyDescent="0.35">
      <c r="A18" s="144" t="s">
        <v>359</v>
      </c>
      <c r="B18" s="82" t="s">
        <v>360</v>
      </c>
      <c r="C18" s="69">
        <v>310</v>
      </c>
      <c r="D18" s="69" t="s">
        <v>52</v>
      </c>
      <c r="E18" s="145">
        <v>9452117</v>
      </c>
      <c r="F18" s="392">
        <v>0</v>
      </c>
      <c r="G18" s="145">
        <v>9452117</v>
      </c>
      <c r="H18" s="392">
        <v>0</v>
      </c>
      <c r="I18" s="392">
        <v>0</v>
      </c>
      <c r="J18" s="392">
        <v>0</v>
      </c>
      <c r="K18" s="145">
        <v>9452117</v>
      </c>
    </row>
    <row r="19" spans="1:11" ht="15.5" outlineLevel="2" x14ac:dyDescent="0.35">
      <c r="A19" s="96" t="s">
        <v>361</v>
      </c>
      <c r="B19" s="427" t="s">
        <v>529</v>
      </c>
      <c r="C19" s="428" t="s">
        <v>529</v>
      </c>
      <c r="D19" s="428" t="s">
        <v>529</v>
      </c>
      <c r="E19" s="138">
        <f>SUBTOTAL(109,local310[Program
Costs])</f>
        <v>133109611</v>
      </c>
      <c r="F19" s="456" t="s">
        <v>615</v>
      </c>
      <c r="G19" s="138">
        <f>SUBTOTAL(109,local310[Accounts Payable
Balance])</f>
        <v>133109611</v>
      </c>
      <c r="H19" s="456" t="s">
        <v>615</v>
      </c>
      <c r="I19" s="456" t="s">
        <v>615</v>
      </c>
      <c r="J19" s="456" t="s">
        <v>615</v>
      </c>
      <c r="K19" s="138">
        <f>SUBTOTAL(109,local310[Net
Balance])</f>
        <v>133109611</v>
      </c>
    </row>
    <row r="20" spans="1:11" ht="15.5" outlineLevel="2" x14ac:dyDescent="0.35">
      <c r="A20" s="386" t="s">
        <v>540</v>
      </c>
      <c r="B20" s="139"/>
      <c r="C20" s="139"/>
      <c r="D20" s="139"/>
      <c r="E20" s="140"/>
      <c r="F20" s="140"/>
      <c r="G20" s="140"/>
      <c r="H20" s="140"/>
      <c r="I20" s="140"/>
      <c r="J20" s="140"/>
      <c r="K20" s="140"/>
    </row>
    <row r="21" spans="1:11" ht="46.5" customHeight="1" outlineLevel="2" x14ac:dyDescent="0.35">
      <c r="A21" s="158" t="s">
        <v>12</v>
      </c>
      <c r="B21" s="158" t="s">
        <v>0</v>
      </c>
      <c r="C21" s="158" t="s">
        <v>132</v>
      </c>
      <c r="D21" s="158" t="s">
        <v>11</v>
      </c>
      <c r="E21" s="422" t="s">
        <v>125</v>
      </c>
      <c r="F21" s="423" t="s">
        <v>355</v>
      </c>
      <c r="G21" s="422" t="s">
        <v>495</v>
      </c>
      <c r="H21" s="422" t="s">
        <v>496</v>
      </c>
      <c r="I21" s="422" t="s">
        <v>134</v>
      </c>
      <c r="J21" s="422" t="s">
        <v>497</v>
      </c>
      <c r="K21" s="422" t="s">
        <v>133</v>
      </c>
    </row>
    <row r="22" spans="1:11" ht="15.5" outlineLevel="2" x14ac:dyDescent="0.35">
      <c r="A22" s="144" t="s">
        <v>362</v>
      </c>
      <c r="B22" s="82" t="s">
        <v>363</v>
      </c>
      <c r="C22" s="69">
        <v>306</v>
      </c>
      <c r="D22" s="69" t="s">
        <v>41</v>
      </c>
      <c r="E22" s="145">
        <v>57816</v>
      </c>
      <c r="F22" s="392">
        <v>0</v>
      </c>
      <c r="G22" s="145">
        <v>57816</v>
      </c>
      <c r="H22" s="392">
        <v>0</v>
      </c>
      <c r="I22" s="392">
        <v>0</v>
      </c>
      <c r="J22" s="392">
        <v>0</v>
      </c>
      <c r="K22" s="145">
        <v>57816</v>
      </c>
    </row>
    <row r="23" spans="1:11" ht="15.5" outlineLevel="2" x14ac:dyDescent="0.35">
      <c r="A23" s="144" t="s">
        <v>362</v>
      </c>
      <c r="B23" s="82" t="s">
        <v>363</v>
      </c>
      <c r="C23" s="69">
        <v>306</v>
      </c>
      <c r="D23" s="69" t="s">
        <v>44</v>
      </c>
      <c r="E23" s="145">
        <v>297792</v>
      </c>
      <c r="F23" s="392">
        <v>0</v>
      </c>
      <c r="G23" s="145">
        <v>297792</v>
      </c>
      <c r="H23" s="392">
        <v>0</v>
      </c>
      <c r="I23" s="392">
        <v>0</v>
      </c>
      <c r="J23" s="392">
        <v>0</v>
      </c>
      <c r="K23" s="145">
        <v>297792</v>
      </c>
    </row>
    <row r="24" spans="1:11" ht="15.5" outlineLevel="2" x14ac:dyDescent="0.35">
      <c r="A24" s="144" t="s">
        <v>362</v>
      </c>
      <c r="B24" s="82" t="s">
        <v>363</v>
      </c>
      <c r="C24" s="69">
        <v>306</v>
      </c>
      <c r="D24" s="69" t="s">
        <v>45</v>
      </c>
      <c r="E24" s="145">
        <v>263698</v>
      </c>
      <c r="F24" s="392">
        <v>0</v>
      </c>
      <c r="G24" s="145">
        <v>263698</v>
      </c>
      <c r="H24" s="392">
        <v>0</v>
      </c>
      <c r="I24" s="392">
        <v>0</v>
      </c>
      <c r="J24" s="392">
        <v>0</v>
      </c>
      <c r="K24" s="145">
        <v>263698</v>
      </c>
    </row>
    <row r="25" spans="1:11" ht="15.5" outlineLevel="2" x14ac:dyDescent="0.35">
      <c r="A25" s="144" t="s">
        <v>362</v>
      </c>
      <c r="B25" s="82" t="s">
        <v>363</v>
      </c>
      <c r="C25" s="69">
        <v>306</v>
      </c>
      <c r="D25" s="69" t="s">
        <v>46</v>
      </c>
      <c r="E25" s="145">
        <v>275387</v>
      </c>
      <c r="F25" s="392">
        <v>0</v>
      </c>
      <c r="G25" s="145">
        <v>275387</v>
      </c>
      <c r="H25" s="392">
        <v>0</v>
      </c>
      <c r="I25" s="392">
        <v>0</v>
      </c>
      <c r="J25" s="392">
        <v>0</v>
      </c>
      <c r="K25" s="145">
        <v>275387</v>
      </c>
    </row>
    <row r="26" spans="1:11" ht="15.5" outlineLevel="2" x14ac:dyDescent="0.35">
      <c r="A26" s="144" t="s">
        <v>362</v>
      </c>
      <c r="B26" s="82" t="s">
        <v>363</v>
      </c>
      <c r="C26" s="69">
        <v>306</v>
      </c>
      <c r="D26" s="69" t="s">
        <v>47</v>
      </c>
      <c r="E26" s="145">
        <v>253715</v>
      </c>
      <c r="F26" s="392">
        <v>0</v>
      </c>
      <c r="G26" s="145">
        <v>253715</v>
      </c>
      <c r="H26" s="392">
        <v>0</v>
      </c>
      <c r="I26" s="392">
        <v>0</v>
      </c>
      <c r="J26" s="392">
        <v>0</v>
      </c>
      <c r="K26" s="145">
        <v>253715</v>
      </c>
    </row>
    <row r="27" spans="1:11" ht="15.5" outlineLevel="2" x14ac:dyDescent="0.35">
      <c r="A27" s="144" t="s">
        <v>362</v>
      </c>
      <c r="B27" s="82" t="s">
        <v>363</v>
      </c>
      <c r="C27" s="69">
        <v>306</v>
      </c>
      <c r="D27" s="69" t="s">
        <v>48</v>
      </c>
      <c r="E27" s="145">
        <v>228442</v>
      </c>
      <c r="F27" s="392">
        <v>0</v>
      </c>
      <c r="G27" s="145">
        <v>228442</v>
      </c>
      <c r="H27" s="392">
        <v>0</v>
      </c>
      <c r="I27" s="392">
        <v>0</v>
      </c>
      <c r="J27" s="392">
        <v>0</v>
      </c>
      <c r="K27" s="145">
        <v>228442</v>
      </c>
    </row>
    <row r="28" spans="1:11" ht="15.5" outlineLevel="2" x14ac:dyDescent="0.35">
      <c r="A28" s="144" t="s">
        <v>362</v>
      </c>
      <c r="B28" s="82" t="s">
        <v>363</v>
      </c>
      <c r="C28" s="69">
        <v>306</v>
      </c>
      <c r="D28" s="69" t="s">
        <v>49</v>
      </c>
      <c r="E28" s="145">
        <v>222536</v>
      </c>
      <c r="F28" s="392">
        <v>0</v>
      </c>
      <c r="G28" s="145">
        <v>222536</v>
      </c>
      <c r="H28" s="392">
        <v>0</v>
      </c>
      <c r="I28" s="392">
        <v>0</v>
      </c>
      <c r="J28" s="392">
        <v>0</v>
      </c>
      <c r="K28" s="145">
        <v>222536</v>
      </c>
    </row>
    <row r="29" spans="1:11" ht="15.5" outlineLevel="2" x14ac:dyDescent="0.35">
      <c r="A29" s="144" t="s">
        <v>362</v>
      </c>
      <c r="B29" s="82" t="s">
        <v>363</v>
      </c>
      <c r="C29" s="69">
        <v>306</v>
      </c>
      <c r="D29" s="69" t="s">
        <v>50</v>
      </c>
      <c r="E29" s="145">
        <v>198432</v>
      </c>
      <c r="F29" s="392">
        <v>0</v>
      </c>
      <c r="G29" s="145">
        <v>198432</v>
      </c>
      <c r="H29" s="392">
        <v>0</v>
      </c>
      <c r="I29" s="392">
        <v>0</v>
      </c>
      <c r="J29" s="392">
        <v>0</v>
      </c>
      <c r="K29" s="145">
        <v>198432</v>
      </c>
    </row>
    <row r="30" spans="1:11" ht="15.5" outlineLevel="1" x14ac:dyDescent="0.35">
      <c r="A30" s="144" t="s">
        <v>362</v>
      </c>
      <c r="B30" s="82" t="s">
        <v>363</v>
      </c>
      <c r="C30" s="69">
        <v>306</v>
      </c>
      <c r="D30" s="69" t="s">
        <v>51</v>
      </c>
      <c r="E30" s="145">
        <v>159800</v>
      </c>
      <c r="F30" s="392">
        <v>0</v>
      </c>
      <c r="G30" s="145">
        <v>159800</v>
      </c>
      <c r="H30" s="392">
        <v>0</v>
      </c>
      <c r="I30" s="392">
        <v>0</v>
      </c>
      <c r="J30" s="392">
        <v>0</v>
      </c>
      <c r="K30" s="145">
        <v>159800</v>
      </c>
    </row>
    <row r="31" spans="1:11" ht="15" customHeight="1" outlineLevel="2" x14ac:dyDescent="0.35">
      <c r="A31" s="144" t="s">
        <v>362</v>
      </c>
      <c r="B31" s="82" t="s">
        <v>363</v>
      </c>
      <c r="C31" s="69">
        <v>306</v>
      </c>
      <c r="D31" s="69" t="s">
        <v>52</v>
      </c>
      <c r="E31" s="145">
        <v>51990</v>
      </c>
      <c r="F31" s="392">
        <v>0</v>
      </c>
      <c r="G31" s="145">
        <v>51990</v>
      </c>
      <c r="H31" s="392">
        <v>0</v>
      </c>
      <c r="I31" s="392">
        <v>0</v>
      </c>
      <c r="J31" s="392">
        <v>0</v>
      </c>
      <c r="K31" s="145">
        <v>51990</v>
      </c>
    </row>
    <row r="32" spans="1:11" ht="15" customHeight="1" outlineLevel="2" x14ac:dyDescent="0.35">
      <c r="A32" s="500" t="s">
        <v>364</v>
      </c>
      <c r="B32" s="501" t="s">
        <v>529</v>
      </c>
      <c r="C32" s="502" t="s">
        <v>529</v>
      </c>
      <c r="D32" s="502" t="s">
        <v>529</v>
      </c>
      <c r="E32" s="467">
        <f>SUBTOTAL(109,local306[Program
Costs])</f>
        <v>2009608</v>
      </c>
      <c r="F32" s="469" t="s">
        <v>615</v>
      </c>
      <c r="G32" s="467">
        <f>SUBTOTAL(109,local306[Accounts Payable
Balance])</f>
        <v>2009608</v>
      </c>
      <c r="H32" s="469" t="s">
        <v>615</v>
      </c>
      <c r="I32" s="469" t="s">
        <v>615</v>
      </c>
      <c r="J32" s="469" t="s">
        <v>615</v>
      </c>
      <c r="K32" s="467">
        <f>SUBTOTAL(109,local306[Net
Balance])</f>
        <v>2009608</v>
      </c>
    </row>
    <row r="33" spans="1:11" ht="15" customHeight="1" outlineLevel="2" x14ac:dyDescent="0.35">
      <c r="A33" s="386" t="s">
        <v>540</v>
      </c>
      <c r="B33" s="139"/>
      <c r="C33" s="139"/>
      <c r="D33" s="139"/>
      <c r="E33" s="140"/>
      <c r="F33" s="140"/>
      <c r="G33" s="140"/>
      <c r="H33" s="140"/>
      <c r="I33" s="140"/>
      <c r="J33" s="140"/>
      <c r="K33" s="140"/>
    </row>
    <row r="34" spans="1:11" ht="49.5" customHeight="1" outlineLevel="2" x14ac:dyDescent="0.35">
      <c r="A34" s="158" t="s">
        <v>12</v>
      </c>
      <c r="B34" s="158" t="s">
        <v>0</v>
      </c>
      <c r="C34" s="158" t="s">
        <v>132</v>
      </c>
      <c r="D34" s="158" t="s">
        <v>11</v>
      </c>
      <c r="E34" s="422" t="s">
        <v>125</v>
      </c>
      <c r="F34" s="423" t="s">
        <v>355</v>
      </c>
      <c r="G34" s="422" t="s">
        <v>495</v>
      </c>
      <c r="H34" s="422" t="s">
        <v>496</v>
      </c>
      <c r="I34" s="422" t="s">
        <v>134</v>
      </c>
      <c r="J34" s="422" t="s">
        <v>497</v>
      </c>
      <c r="K34" s="422" t="s">
        <v>133</v>
      </c>
    </row>
    <row r="35" spans="1:11" ht="15" customHeight="1" outlineLevel="2" x14ac:dyDescent="0.35">
      <c r="A35" s="82" t="s">
        <v>365</v>
      </c>
      <c r="B35" s="82" t="s">
        <v>366</v>
      </c>
      <c r="C35" s="69">
        <v>322</v>
      </c>
      <c r="D35" s="69" t="s">
        <v>3</v>
      </c>
      <c r="E35" s="145">
        <v>1007989</v>
      </c>
      <c r="F35" s="392">
        <v>0</v>
      </c>
      <c r="G35" s="145">
        <v>1007989</v>
      </c>
      <c r="H35" s="392">
        <v>0</v>
      </c>
      <c r="I35" s="392">
        <v>0</v>
      </c>
      <c r="J35" s="392">
        <v>0</v>
      </c>
      <c r="K35" s="145">
        <v>1007989</v>
      </c>
    </row>
    <row r="36" spans="1:11" ht="15" customHeight="1" outlineLevel="2" x14ac:dyDescent="0.35">
      <c r="A36" s="82" t="s">
        <v>365</v>
      </c>
      <c r="B36" s="82" t="s">
        <v>366</v>
      </c>
      <c r="C36" s="69">
        <v>322</v>
      </c>
      <c r="D36" s="69" t="s">
        <v>143</v>
      </c>
      <c r="E36" s="145">
        <v>1255634</v>
      </c>
      <c r="F36" s="392">
        <v>0</v>
      </c>
      <c r="G36" s="145">
        <v>1255634</v>
      </c>
      <c r="H36" s="392">
        <v>0</v>
      </c>
      <c r="I36" s="392">
        <v>0</v>
      </c>
      <c r="J36" s="392">
        <v>0</v>
      </c>
      <c r="K36" s="145">
        <v>1255634</v>
      </c>
    </row>
    <row r="37" spans="1:11" ht="15" customHeight="1" outlineLevel="2" x14ac:dyDescent="0.35">
      <c r="A37" s="82" t="s">
        <v>365</v>
      </c>
      <c r="B37" s="82" t="s">
        <v>366</v>
      </c>
      <c r="C37" s="69">
        <v>322</v>
      </c>
      <c r="D37" s="69" t="s">
        <v>41</v>
      </c>
      <c r="E37" s="145">
        <v>1272627</v>
      </c>
      <c r="F37" s="392">
        <v>0</v>
      </c>
      <c r="G37" s="145">
        <v>1272627</v>
      </c>
      <c r="H37" s="392">
        <v>0</v>
      </c>
      <c r="I37" s="392">
        <v>0</v>
      </c>
      <c r="J37" s="392">
        <v>0</v>
      </c>
      <c r="K37" s="145">
        <v>1272627</v>
      </c>
    </row>
    <row r="38" spans="1:11" ht="15" customHeight="1" outlineLevel="2" x14ac:dyDescent="0.35">
      <c r="A38" s="82" t="s">
        <v>365</v>
      </c>
      <c r="B38" s="82" t="s">
        <v>366</v>
      </c>
      <c r="C38" s="69">
        <v>322</v>
      </c>
      <c r="D38" s="69" t="s">
        <v>44</v>
      </c>
      <c r="E38" s="145">
        <v>1083952</v>
      </c>
      <c r="F38" s="392">
        <v>0</v>
      </c>
      <c r="G38" s="145">
        <v>1083952</v>
      </c>
      <c r="H38" s="392">
        <v>0</v>
      </c>
      <c r="I38" s="392">
        <v>0</v>
      </c>
      <c r="J38" s="392">
        <v>0</v>
      </c>
      <c r="K38" s="145">
        <v>1083952</v>
      </c>
    </row>
    <row r="39" spans="1:11" ht="15" customHeight="1" outlineLevel="2" x14ac:dyDescent="0.35">
      <c r="A39" s="82" t="s">
        <v>365</v>
      </c>
      <c r="B39" s="82" t="s">
        <v>366</v>
      </c>
      <c r="C39" s="69">
        <v>322</v>
      </c>
      <c r="D39" s="69" t="s">
        <v>45</v>
      </c>
      <c r="E39" s="145">
        <v>1106027</v>
      </c>
      <c r="F39" s="392">
        <v>0</v>
      </c>
      <c r="G39" s="145">
        <v>1106027</v>
      </c>
      <c r="H39" s="392">
        <v>0</v>
      </c>
      <c r="I39" s="392">
        <v>0</v>
      </c>
      <c r="J39" s="392">
        <v>0</v>
      </c>
      <c r="K39" s="145">
        <v>1106027</v>
      </c>
    </row>
    <row r="40" spans="1:11" ht="15" customHeight="1" outlineLevel="2" x14ac:dyDescent="0.35">
      <c r="A40" s="82" t="s">
        <v>365</v>
      </c>
      <c r="B40" s="82" t="s">
        <v>366</v>
      </c>
      <c r="C40" s="69">
        <v>322</v>
      </c>
      <c r="D40" s="69" t="s">
        <v>46</v>
      </c>
      <c r="E40" s="145">
        <v>1058326</v>
      </c>
      <c r="F40" s="392">
        <v>0</v>
      </c>
      <c r="G40" s="145">
        <v>1058326</v>
      </c>
      <c r="H40" s="392">
        <v>0</v>
      </c>
      <c r="I40" s="392">
        <v>0</v>
      </c>
      <c r="J40" s="392">
        <v>0</v>
      </c>
      <c r="K40" s="145">
        <v>1058326</v>
      </c>
    </row>
    <row r="41" spans="1:11" ht="15" customHeight="1" outlineLevel="2" x14ac:dyDescent="0.35">
      <c r="A41" s="82" t="s">
        <v>365</v>
      </c>
      <c r="B41" s="82" t="s">
        <v>366</v>
      </c>
      <c r="C41" s="69">
        <v>322</v>
      </c>
      <c r="D41" s="69" t="s">
        <v>47</v>
      </c>
      <c r="E41" s="145">
        <v>983574</v>
      </c>
      <c r="F41" s="392">
        <v>0</v>
      </c>
      <c r="G41" s="145">
        <v>983574</v>
      </c>
      <c r="H41" s="392">
        <v>0</v>
      </c>
      <c r="I41" s="392">
        <v>0</v>
      </c>
      <c r="J41" s="392">
        <v>0</v>
      </c>
      <c r="K41" s="145">
        <v>983574</v>
      </c>
    </row>
    <row r="42" spans="1:11" ht="15" customHeight="1" outlineLevel="2" x14ac:dyDescent="0.35">
      <c r="A42" s="82" t="s">
        <v>365</v>
      </c>
      <c r="B42" s="82" t="s">
        <v>366</v>
      </c>
      <c r="C42" s="69">
        <v>322</v>
      </c>
      <c r="D42" s="69" t="s">
        <v>48</v>
      </c>
      <c r="E42" s="145">
        <v>963520</v>
      </c>
      <c r="F42" s="392">
        <v>0</v>
      </c>
      <c r="G42" s="145">
        <v>963520</v>
      </c>
      <c r="H42" s="392">
        <v>0</v>
      </c>
      <c r="I42" s="392">
        <v>0</v>
      </c>
      <c r="J42" s="392">
        <v>0</v>
      </c>
      <c r="K42" s="145">
        <v>963520</v>
      </c>
    </row>
    <row r="43" spans="1:11" ht="15" customHeight="1" outlineLevel="2" x14ac:dyDescent="0.35">
      <c r="A43" s="82" t="s">
        <v>365</v>
      </c>
      <c r="B43" s="82" t="s">
        <v>366</v>
      </c>
      <c r="C43" s="69">
        <v>322</v>
      </c>
      <c r="D43" s="69" t="s">
        <v>49</v>
      </c>
      <c r="E43" s="145">
        <v>902976</v>
      </c>
      <c r="F43" s="392">
        <v>0</v>
      </c>
      <c r="G43" s="145">
        <v>902976</v>
      </c>
      <c r="H43" s="392">
        <v>0</v>
      </c>
      <c r="I43" s="392">
        <v>0</v>
      </c>
      <c r="J43" s="392">
        <v>0</v>
      </c>
      <c r="K43" s="145">
        <v>902976</v>
      </c>
    </row>
    <row r="44" spans="1:11" ht="15.5" outlineLevel="1" x14ac:dyDescent="0.35">
      <c r="A44" s="82" t="s">
        <v>365</v>
      </c>
      <c r="B44" s="82" t="s">
        <v>366</v>
      </c>
      <c r="C44" s="69">
        <v>322</v>
      </c>
      <c r="D44" s="69" t="s">
        <v>50</v>
      </c>
      <c r="E44" s="145">
        <v>947582</v>
      </c>
      <c r="F44" s="392">
        <v>0</v>
      </c>
      <c r="G44" s="145">
        <v>947582</v>
      </c>
      <c r="H44" s="392">
        <v>0</v>
      </c>
      <c r="I44" s="392">
        <v>0</v>
      </c>
      <c r="J44" s="392">
        <v>0</v>
      </c>
      <c r="K44" s="145">
        <v>947582</v>
      </c>
    </row>
    <row r="45" spans="1:11" ht="15" customHeight="1" outlineLevel="2" x14ac:dyDescent="0.35">
      <c r="A45" s="82" t="s">
        <v>365</v>
      </c>
      <c r="B45" s="82" t="s">
        <v>366</v>
      </c>
      <c r="C45" s="69">
        <v>322</v>
      </c>
      <c r="D45" s="69" t="s">
        <v>51</v>
      </c>
      <c r="E45" s="145">
        <v>876657</v>
      </c>
      <c r="F45" s="392">
        <v>0</v>
      </c>
      <c r="G45" s="145">
        <v>876657</v>
      </c>
      <c r="H45" s="392">
        <v>0</v>
      </c>
      <c r="I45" s="392">
        <v>0</v>
      </c>
      <c r="J45" s="392">
        <v>0</v>
      </c>
      <c r="K45" s="145">
        <v>876657</v>
      </c>
    </row>
    <row r="46" spans="1:11" ht="15" customHeight="1" outlineLevel="2" x14ac:dyDescent="0.35">
      <c r="A46" s="82" t="s">
        <v>365</v>
      </c>
      <c r="B46" s="82" t="s">
        <v>366</v>
      </c>
      <c r="C46" s="69">
        <v>322</v>
      </c>
      <c r="D46" s="69" t="s">
        <v>52</v>
      </c>
      <c r="E46" s="145">
        <v>468430</v>
      </c>
      <c r="F46" s="392">
        <v>0</v>
      </c>
      <c r="G46" s="145">
        <v>468430</v>
      </c>
      <c r="H46" s="392">
        <v>0</v>
      </c>
      <c r="I46" s="392">
        <v>0</v>
      </c>
      <c r="J46" s="392">
        <v>0</v>
      </c>
      <c r="K46" s="145">
        <v>468430</v>
      </c>
    </row>
    <row r="47" spans="1:11" ht="15" customHeight="1" outlineLevel="2" x14ac:dyDescent="0.35">
      <c r="A47" s="96" t="s">
        <v>367</v>
      </c>
      <c r="B47" s="427" t="s">
        <v>529</v>
      </c>
      <c r="C47" s="428" t="s">
        <v>529</v>
      </c>
      <c r="D47" s="428" t="s">
        <v>529</v>
      </c>
      <c r="E47" s="138">
        <f>SUBTOTAL(109,local322[Program
Costs])</f>
        <v>11927294</v>
      </c>
      <c r="F47" s="456" t="s">
        <v>615</v>
      </c>
      <c r="G47" s="138">
        <f>SUBTOTAL(109,local322[Accounts Payable
Balance])</f>
        <v>11927294</v>
      </c>
      <c r="H47" s="456" t="s">
        <v>615</v>
      </c>
      <c r="I47" s="456" t="s">
        <v>615</v>
      </c>
      <c r="J47" s="456" t="s">
        <v>615</v>
      </c>
      <c r="K47" s="138">
        <f>SUBTOTAL(109,local322[Net
Balance])</f>
        <v>11927294</v>
      </c>
    </row>
    <row r="48" spans="1:11" ht="15" customHeight="1" outlineLevel="2" x14ac:dyDescent="0.35">
      <c r="A48" s="386" t="s">
        <v>540</v>
      </c>
      <c r="B48" s="139"/>
      <c r="C48" s="139"/>
      <c r="D48" s="139"/>
      <c r="E48" s="140"/>
      <c r="F48" s="140"/>
      <c r="G48" s="140"/>
      <c r="H48" s="140"/>
      <c r="I48" s="140"/>
      <c r="J48" s="140"/>
      <c r="K48" s="140"/>
    </row>
    <row r="49" spans="1:11" ht="49.5" customHeight="1" outlineLevel="2" x14ac:dyDescent="0.35">
      <c r="A49" s="158" t="s">
        <v>12</v>
      </c>
      <c r="B49" s="158" t="s">
        <v>0</v>
      </c>
      <c r="C49" s="158" t="s">
        <v>132</v>
      </c>
      <c r="D49" s="158" t="s">
        <v>11</v>
      </c>
      <c r="E49" s="422" t="s">
        <v>125</v>
      </c>
      <c r="F49" s="423" t="s">
        <v>355</v>
      </c>
      <c r="G49" s="422" t="s">
        <v>495</v>
      </c>
      <c r="H49" s="422" t="s">
        <v>496</v>
      </c>
      <c r="I49" s="422" t="s">
        <v>134</v>
      </c>
      <c r="J49" s="422" t="s">
        <v>497</v>
      </c>
      <c r="K49" s="422" t="s">
        <v>133</v>
      </c>
    </row>
    <row r="50" spans="1:11" ht="15" customHeight="1" outlineLevel="2" x14ac:dyDescent="0.35">
      <c r="A50" s="144" t="s">
        <v>411</v>
      </c>
      <c r="B50" s="82" t="s">
        <v>368</v>
      </c>
      <c r="C50" s="69">
        <v>293</v>
      </c>
      <c r="D50" s="69" t="s">
        <v>44</v>
      </c>
      <c r="E50" s="145">
        <v>4732</v>
      </c>
      <c r="F50" s="392">
        <v>0</v>
      </c>
      <c r="G50" s="145">
        <v>4732</v>
      </c>
      <c r="H50" s="392">
        <v>0</v>
      </c>
      <c r="I50" s="392">
        <v>0</v>
      </c>
      <c r="J50" s="392">
        <v>0</v>
      </c>
      <c r="K50" s="145">
        <v>4732</v>
      </c>
    </row>
    <row r="51" spans="1:11" ht="15" customHeight="1" outlineLevel="2" x14ac:dyDescent="0.35">
      <c r="A51" s="144" t="s">
        <v>411</v>
      </c>
      <c r="B51" s="82" t="s">
        <v>368</v>
      </c>
      <c r="C51" s="69">
        <v>293</v>
      </c>
      <c r="D51" s="69" t="s">
        <v>45</v>
      </c>
      <c r="E51" s="145">
        <v>31906</v>
      </c>
      <c r="F51" s="392">
        <v>0</v>
      </c>
      <c r="G51" s="145">
        <v>31906</v>
      </c>
      <c r="H51" s="392">
        <v>0</v>
      </c>
      <c r="I51" s="392">
        <v>0</v>
      </c>
      <c r="J51" s="392">
        <v>0</v>
      </c>
      <c r="K51" s="145">
        <v>31906</v>
      </c>
    </row>
    <row r="52" spans="1:11" ht="15" customHeight="1" outlineLevel="2" x14ac:dyDescent="0.35">
      <c r="A52" s="144" t="s">
        <v>411</v>
      </c>
      <c r="B52" s="82" t="s">
        <v>368</v>
      </c>
      <c r="C52" s="69">
        <v>293</v>
      </c>
      <c r="D52" s="69" t="s">
        <v>46</v>
      </c>
      <c r="E52" s="145">
        <v>27775</v>
      </c>
      <c r="F52" s="392">
        <v>0</v>
      </c>
      <c r="G52" s="145">
        <v>27775</v>
      </c>
      <c r="H52" s="392">
        <v>0</v>
      </c>
      <c r="I52" s="392">
        <v>0</v>
      </c>
      <c r="J52" s="392">
        <v>0</v>
      </c>
      <c r="K52" s="145">
        <v>27775</v>
      </c>
    </row>
    <row r="53" spans="1:11" ht="15" customHeight="1" outlineLevel="2" x14ac:dyDescent="0.35">
      <c r="A53" s="144" t="s">
        <v>411</v>
      </c>
      <c r="B53" s="82" t="s">
        <v>368</v>
      </c>
      <c r="C53" s="69">
        <v>293</v>
      </c>
      <c r="D53" s="69" t="s">
        <v>47</v>
      </c>
      <c r="E53" s="145">
        <v>17343</v>
      </c>
      <c r="F53" s="392">
        <v>0</v>
      </c>
      <c r="G53" s="145">
        <v>17343</v>
      </c>
      <c r="H53" s="392">
        <v>0</v>
      </c>
      <c r="I53" s="392">
        <v>0</v>
      </c>
      <c r="J53" s="392">
        <v>0</v>
      </c>
      <c r="K53" s="145">
        <v>17343</v>
      </c>
    </row>
    <row r="54" spans="1:11" ht="15" customHeight="1" outlineLevel="2" x14ac:dyDescent="0.35">
      <c r="A54" s="144" t="s">
        <v>411</v>
      </c>
      <c r="B54" s="82" t="s">
        <v>368</v>
      </c>
      <c r="C54" s="69">
        <v>293</v>
      </c>
      <c r="D54" s="69" t="s">
        <v>48</v>
      </c>
      <c r="E54" s="145">
        <v>14818</v>
      </c>
      <c r="F54" s="392">
        <v>0</v>
      </c>
      <c r="G54" s="145">
        <v>14818</v>
      </c>
      <c r="H54" s="392">
        <v>0</v>
      </c>
      <c r="I54" s="392">
        <v>0</v>
      </c>
      <c r="J54" s="392">
        <v>0</v>
      </c>
      <c r="K54" s="145">
        <v>14818</v>
      </c>
    </row>
    <row r="55" spans="1:11" ht="15" customHeight="1" outlineLevel="2" x14ac:dyDescent="0.35">
      <c r="A55" s="144" t="s">
        <v>411</v>
      </c>
      <c r="B55" s="82" t="s">
        <v>368</v>
      </c>
      <c r="C55" s="69">
        <v>293</v>
      </c>
      <c r="D55" s="69" t="s">
        <v>49</v>
      </c>
      <c r="E55" s="145">
        <v>9385</v>
      </c>
      <c r="F55" s="392">
        <v>0</v>
      </c>
      <c r="G55" s="145">
        <v>9385</v>
      </c>
      <c r="H55" s="392">
        <v>0</v>
      </c>
      <c r="I55" s="392">
        <v>0</v>
      </c>
      <c r="J55" s="392">
        <v>0</v>
      </c>
      <c r="K55" s="145">
        <v>9385</v>
      </c>
    </row>
    <row r="56" spans="1:11" ht="15.5" outlineLevel="1" x14ac:dyDescent="0.35">
      <c r="A56" s="144" t="s">
        <v>411</v>
      </c>
      <c r="B56" s="82" t="s">
        <v>368</v>
      </c>
      <c r="C56" s="69">
        <v>293</v>
      </c>
      <c r="D56" s="69" t="s">
        <v>50</v>
      </c>
      <c r="E56" s="145">
        <v>10431</v>
      </c>
      <c r="F56" s="392">
        <v>0</v>
      </c>
      <c r="G56" s="145">
        <v>10431</v>
      </c>
      <c r="H56" s="392">
        <v>0</v>
      </c>
      <c r="I56" s="392">
        <v>0</v>
      </c>
      <c r="J56" s="392">
        <v>0</v>
      </c>
      <c r="K56" s="145">
        <v>10431</v>
      </c>
    </row>
    <row r="57" spans="1:11" ht="15" customHeight="1" outlineLevel="2" x14ac:dyDescent="0.35">
      <c r="A57" s="144" t="s">
        <v>411</v>
      </c>
      <c r="B57" s="82" t="s">
        <v>368</v>
      </c>
      <c r="C57" s="69">
        <v>293</v>
      </c>
      <c r="D57" s="69" t="s">
        <v>51</v>
      </c>
      <c r="E57" s="145">
        <v>12410</v>
      </c>
      <c r="F57" s="392">
        <v>0</v>
      </c>
      <c r="G57" s="145">
        <v>12410</v>
      </c>
      <c r="H57" s="392">
        <v>0</v>
      </c>
      <c r="I57" s="392">
        <v>0</v>
      </c>
      <c r="J57" s="392">
        <v>0</v>
      </c>
      <c r="K57" s="145">
        <v>12410</v>
      </c>
    </row>
    <row r="58" spans="1:11" ht="15" customHeight="1" outlineLevel="2" x14ac:dyDescent="0.35">
      <c r="A58" s="144" t="s">
        <v>411</v>
      </c>
      <c r="B58" s="82" t="s">
        <v>368</v>
      </c>
      <c r="C58" s="69">
        <v>293</v>
      </c>
      <c r="D58" s="69" t="s">
        <v>52</v>
      </c>
      <c r="E58" s="145">
        <v>15208</v>
      </c>
      <c r="F58" s="392">
        <v>0</v>
      </c>
      <c r="G58" s="145">
        <v>15208</v>
      </c>
      <c r="H58" s="392">
        <v>0</v>
      </c>
      <c r="I58" s="392">
        <v>0</v>
      </c>
      <c r="J58" s="392">
        <v>0</v>
      </c>
      <c r="K58" s="145">
        <v>15208</v>
      </c>
    </row>
    <row r="59" spans="1:11" ht="15" customHeight="1" outlineLevel="2" x14ac:dyDescent="0.35">
      <c r="A59" s="144" t="s">
        <v>411</v>
      </c>
      <c r="B59" s="82" t="s">
        <v>368</v>
      </c>
      <c r="C59" s="69">
        <v>293</v>
      </c>
      <c r="D59" s="69" t="s">
        <v>53</v>
      </c>
      <c r="E59" s="145">
        <v>13248</v>
      </c>
      <c r="F59" s="392">
        <v>0</v>
      </c>
      <c r="G59" s="145">
        <v>13248</v>
      </c>
      <c r="H59" s="392">
        <v>0</v>
      </c>
      <c r="I59" s="392">
        <v>0</v>
      </c>
      <c r="J59" s="392">
        <v>0</v>
      </c>
      <c r="K59" s="145">
        <v>13248</v>
      </c>
    </row>
    <row r="60" spans="1:11" ht="15" customHeight="1" outlineLevel="2" x14ac:dyDescent="0.35">
      <c r="A60" s="96" t="s">
        <v>626</v>
      </c>
      <c r="B60" s="427" t="s">
        <v>529</v>
      </c>
      <c r="C60" s="428" t="s">
        <v>529</v>
      </c>
      <c r="D60" s="428" t="s">
        <v>529</v>
      </c>
      <c r="E60" s="138">
        <f>SUBTOTAL(109,local293[Program
Costs])</f>
        <v>157256</v>
      </c>
      <c r="F60" s="456" t="s">
        <v>615</v>
      </c>
      <c r="G60" s="138">
        <f>SUBTOTAL(109,local293[Accounts Payable
Balance])</f>
        <v>157256</v>
      </c>
      <c r="H60" s="456" t="s">
        <v>615</v>
      </c>
      <c r="I60" s="456" t="s">
        <v>615</v>
      </c>
      <c r="J60" s="456" t="s">
        <v>615</v>
      </c>
      <c r="K60" s="138">
        <f>SUBTOTAL(109,local293[Net
Balance])</f>
        <v>157256</v>
      </c>
    </row>
    <row r="61" spans="1:11" ht="15" customHeight="1" outlineLevel="2" x14ac:dyDescent="0.35">
      <c r="A61" s="386" t="s">
        <v>540</v>
      </c>
      <c r="B61" s="139"/>
      <c r="C61" s="139"/>
      <c r="D61" s="139"/>
      <c r="E61" s="140"/>
      <c r="F61" s="140"/>
      <c r="G61" s="140"/>
      <c r="H61" s="140"/>
      <c r="I61" s="140"/>
      <c r="J61" s="140"/>
      <c r="K61" s="140"/>
    </row>
    <row r="62" spans="1:11" ht="54" customHeight="1" outlineLevel="2" x14ac:dyDescent="0.35">
      <c r="A62" s="158" t="s">
        <v>12</v>
      </c>
      <c r="B62" s="158" t="s">
        <v>0</v>
      </c>
      <c r="C62" s="158" t="s">
        <v>132</v>
      </c>
      <c r="D62" s="158" t="s">
        <v>11</v>
      </c>
      <c r="E62" s="422" t="s">
        <v>125</v>
      </c>
      <c r="F62" s="423" t="s">
        <v>355</v>
      </c>
      <c r="G62" s="422" t="s">
        <v>495</v>
      </c>
      <c r="H62" s="422" t="s">
        <v>496</v>
      </c>
      <c r="I62" s="422" t="s">
        <v>134</v>
      </c>
      <c r="J62" s="422" t="s">
        <v>497</v>
      </c>
      <c r="K62" s="422" t="s">
        <v>133</v>
      </c>
    </row>
    <row r="63" spans="1:11" ht="15" customHeight="1" outlineLevel="2" x14ac:dyDescent="0.35">
      <c r="A63" s="82" t="s">
        <v>369</v>
      </c>
      <c r="B63" s="82" t="s">
        <v>370</v>
      </c>
      <c r="C63" s="69">
        <v>321</v>
      </c>
      <c r="D63" s="69" t="s">
        <v>3</v>
      </c>
      <c r="E63" s="145">
        <v>9443078</v>
      </c>
      <c r="F63" s="392">
        <v>0</v>
      </c>
      <c r="G63" s="145">
        <v>9443078</v>
      </c>
      <c r="H63" s="392">
        <v>0</v>
      </c>
      <c r="I63" s="392">
        <v>0</v>
      </c>
      <c r="J63" s="392">
        <v>0</v>
      </c>
      <c r="K63" s="145">
        <v>9443078</v>
      </c>
    </row>
    <row r="64" spans="1:11" ht="15" customHeight="1" outlineLevel="2" x14ac:dyDescent="0.35">
      <c r="A64" s="82" t="s">
        <v>369</v>
      </c>
      <c r="B64" s="82" t="s">
        <v>370</v>
      </c>
      <c r="C64" s="69">
        <v>321</v>
      </c>
      <c r="D64" s="69" t="s">
        <v>143</v>
      </c>
      <c r="E64" s="145">
        <v>8668108</v>
      </c>
      <c r="F64" s="392">
        <v>0</v>
      </c>
      <c r="G64" s="145">
        <v>8668108</v>
      </c>
      <c r="H64" s="392">
        <v>0</v>
      </c>
      <c r="I64" s="392">
        <v>0</v>
      </c>
      <c r="J64" s="392">
        <v>0</v>
      </c>
      <c r="K64" s="145">
        <v>8668108</v>
      </c>
    </row>
    <row r="65" spans="1:11" ht="15" customHeight="1" outlineLevel="2" x14ac:dyDescent="0.35">
      <c r="A65" s="82" t="s">
        <v>369</v>
      </c>
      <c r="B65" s="82" t="s">
        <v>370</v>
      </c>
      <c r="C65" s="69">
        <v>321</v>
      </c>
      <c r="D65" s="69" t="s">
        <v>41</v>
      </c>
      <c r="E65" s="145">
        <v>9855256</v>
      </c>
      <c r="F65" s="392">
        <v>0</v>
      </c>
      <c r="G65" s="145">
        <v>9855256</v>
      </c>
      <c r="H65" s="392">
        <v>0</v>
      </c>
      <c r="I65" s="392">
        <v>0</v>
      </c>
      <c r="J65" s="392">
        <v>0</v>
      </c>
      <c r="K65" s="145">
        <v>9855256</v>
      </c>
    </row>
    <row r="66" spans="1:11" ht="15" customHeight="1" outlineLevel="2" x14ac:dyDescent="0.35">
      <c r="A66" s="82" t="s">
        <v>369</v>
      </c>
      <c r="B66" s="82" t="s">
        <v>370</v>
      </c>
      <c r="C66" s="69">
        <v>321</v>
      </c>
      <c r="D66" s="69" t="s">
        <v>44</v>
      </c>
      <c r="E66" s="145">
        <v>9435673</v>
      </c>
      <c r="F66" s="392">
        <v>0</v>
      </c>
      <c r="G66" s="145">
        <v>9435673</v>
      </c>
      <c r="H66" s="392">
        <v>0</v>
      </c>
      <c r="I66" s="392">
        <v>0</v>
      </c>
      <c r="J66" s="392">
        <v>0</v>
      </c>
      <c r="K66" s="145">
        <v>9435673</v>
      </c>
    </row>
    <row r="67" spans="1:11" ht="15" customHeight="1" outlineLevel="2" x14ac:dyDescent="0.35">
      <c r="A67" s="82" t="s">
        <v>369</v>
      </c>
      <c r="B67" s="82" t="s">
        <v>370</v>
      </c>
      <c r="C67" s="69">
        <v>321</v>
      </c>
      <c r="D67" s="69" t="s">
        <v>45</v>
      </c>
      <c r="E67" s="145">
        <v>10262670</v>
      </c>
      <c r="F67" s="392">
        <v>0</v>
      </c>
      <c r="G67" s="145">
        <v>10262670</v>
      </c>
      <c r="H67" s="392">
        <v>0</v>
      </c>
      <c r="I67" s="392">
        <v>0</v>
      </c>
      <c r="J67" s="392">
        <v>0</v>
      </c>
      <c r="K67" s="145">
        <v>10262670</v>
      </c>
    </row>
    <row r="68" spans="1:11" ht="15" customHeight="1" outlineLevel="2" x14ac:dyDescent="0.35">
      <c r="A68" s="82" t="s">
        <v>369</v>
      </c>
      <c r="B68" s="82" t="s">
        <v>370</v>
      </c>
      <c r="C68" s="69">
        <v>321</v>
      </c>
      <c r="D68" s="69" t="s">
        <v>46</v>
      </c>
      <c r="E68" s="145">
        <v>9794385</v>
      </c>
      <c r="F68" s="392">
        <v>0</v>
      </c>
      <c r="G68" s="145">
        <v>9794385</v>
      </c>
      <c r="H68" s="392">
        <v>0</v>
      </c>
      <c r="I68" s="392">
        <v>0</v>
      </c>
      <c r="J68" s="392">
        <v>0</v>
      </c>
      <c r="K68" s="145">
        <v>9794385</v>
      </c>
    </row>
    <row r="69" spans="1:11" ht="15.5" outlineLevel="1" x14ac:dyDescent="0.35">
      <c r="A69" s="82" t="s">
        <v>369</v>
      </c>
      <c r="B69" s="82" t="s">
        <v>370</v>
      </c>
      <c r="C69" s="69">
        <v>321</v>
      </c>
      <c r="D69" s="69" t="s">
        <v>47</v>
      </c>
      <c r="E69" s="145">
        <v>8276681</v>
      </c>
      <c r="F69" s="392">
        <v>0</v>
      </c>
      <c r="G69" s="145">
        <v>8276681</v>
      </c>
      <c r="H69" s="392">
        <v>0</v>
      </c>
      <c r="I69" s="392">
        <v>0</v>
      </c>
      <c r="J69" s="392">
        <v>0</v>
      </c>
      <c r="K69" s="145">
        <v>8276681</v>
      </c>
    </row>
    <row r="70" spans="1:11" ht="15.5" outlineLevel="2" x14ac:dyDescent="0.35">
      <c r="A70" s="82" t="s">
        <v>369</v>
      </c>
      <c r="B70" s="82" t="s">
        <v>370</v>
      </c>
      <c r="C70" s="69">
        <v>321</v>
      </c>
      <c r="D70" s="69" t="s">
        <v>48</v>
      </c>
      <c r="E70" s="145">
        <v>6768753</v>
      </c>
      <c r="F70" s="392">
        <v>0</v>
      </c>
      <c r="G70" s="145">
        <v>6768753</v>
      </c>
      <c r="H70" s="392">
        <v>0</v>
      </c>
      <c r="I70" s="392">
        <v>0</v>
      </c>
      <c r="J70" s="392">
        <v>0</v>
      </c>
      <c r="K70" s="145">
        <v>6768753</v>
      </c>
    </row>
    <row r="71" spans="1:11" ht="15.5" outlineLevel="2" x14ac:dyDescent="0.35">
      <c r="A71" s="82" t="s">
        <v>369</v>
      </c>
      <c r="B71" s="82" t="s">
        <v>370</v>
      </c>
      <c r="C71" s="69">
        <v>321</v>
      </c>
      <c r="D71" s="69" t="s">
        <v>49</v>
      </c>
      <c r="E71" s="145">
        <v>6237029</v>
      </c>
      <c r="F71" s="392">
        <v>0</v>
      </c>
      <c r="G71" s="145">
        <v>6237029</v>
      </c>
      <c r="H71" s="392">
        <v>0</v>
      </c>
      <c r="I71" s="392">
        <v>0</v>
      </c>
      <c r="J71" s="392">
        <v>0</v>
      </c>
      <c r="K71" s="145">
        <v>6237029</v>
      </c>
    </row>
    <row r="72" spans="1:11" ht="15.5" outlineLevel="2" x14ac:dyDescent="0.35">
      <c r="A72" s="82" t="s">
        <v>369</v>
      </c>
      <c r="B72" s="82" t="s">
        <v>370</v>
      </c>
      <c r="C72" s="69">
        <v>321</v>
      </c>
      <c r="D72" s="69" t="s">
        <v>50</v>
      </c>
      <c r="E72" s="145">
        <v>5052895</v>
      </c>
      <c r="F72" s="392">
        <v>0</v>
      </c>
      <c r="G72" s="145">
        <v>5052895</v>
      </c>
      <c r="H72" s="392">
        <v>0</v>
      </c>
      <c r="I72" s="392">
        <v>0</v>
      </c>
      <c r="J72" s="392">
        <v>0</v>
      </c>
      <c r="K72" s="145">
        <v>5052895</v>
      </c>
    </row>
    <row r="73" spans="1:11" ht="15.5" outlineLevel="2" x14ac:dyDescent="0.35">
      <c r="A73" s="82" t="s">
        <v>369</v>
      </c>
      <c r="B73" s="82" t="s">
        <v>370</v>
      </c>
      <c r="C73" s="69">
        <v>321</v>
      </c>
      <c r="D73" s="69" t="s">
        <v>51</v>
      </c>
      <c r="E73" s="145">
        <v>4388401</v>
      </c>
      <c r="F73" s="392">
        <v>0</v>
      </c>
      <c r="G73" s="145">
        <v>4388401</v>
      </c>
      <c r="H73" s="392">
        <v>0</v>
      </c>
      <c r="I73" s="392">
        <v>0</v>
      </c>
      <c r="J73" s="392">
        <v>0</v>
      </c>
      <c r="K73" s="145">
        <v>4388401</v>
      </c>
    </row>
    <row r="74" spans="1:11" ht="15.5" outlineLevel="2" x14ac:dyDescent="0.35">
      <c r="A74" s="96" t="s">
        <v>371</v>
      </c>
      <c r="B74" s="427" t="s">
        <v>529</v>
      </c>
      <c r="C74" s="428" t="s">
        <v>529</v>
      </c>
      <c r="D74" s="428" t="s">
        <v>529</v>
      </c>
      <c r="E74" s="138">
        <f>SUBTOTAL(109,local321[Program
Costs])</f>
        <v>88182929</v>
      </c>
      <c r="F74" s="456" t="s">
        <v>615</v>
      </c>
      <c r="G74" s="138">
        <f>SUBTOTAL(109,local321[Accounts Payable
Balance])</f>
        <v>88182929</v>
      </c>
      <c r="H74" s="456" t="s">
        <v>615</v>
      </c>
      <c r="I74" s="456" t="s">
        <v>615</v>
      </c>
      <c r="J74" s="456" t="s">
        <v>615</v>
      </c>
      <c r="K74" s="138">
        <f>SUBTOTAL(109,local321[Net
Balance])</f>
        <v>88182929</v>
      </c>
    </row>
    <row r="75" spans="1:11" ht="15.5" outlineLevel="2" x14ac:dyDescent="0.35">
      <c r="A75" s="386" t="s">
        <v>540</v>
      </c>
      <c r="B75" s="139"/>
      <c r="C75" s="139"/>
      <c r="D75" s="139"/>
      <c r="E75" s="140"/>
      <c r="F75" s="140"/>
      <c r="G75" s="140"/>
      <c r="H75" s="140"/>
      <c r="I75" s="140"/>
      <c r="J75" s="140"/>
      <c r="K75" s="140"/>
    </row>
    <row r="76" spans="1:11" ht="47.5" customHeight="1" outlineLevel="2" x14ac:dyDescent="0.35">
      <c r="A76" s="158" t="s">
        <v>12</v>
      </c>
      <c r="B76" s="158" t="s">
        <v>0</v>
      </c>
      <c r="C76" s="158" t="s">
        <v>132</v>
      </c>
      <c r="D76" s="158" t="s">
        <v>11</v>
      </c>
      <c r="E76" s="422" t="s">
        <v>125</v>
      </c>
      <c r="F76" s="423" t="s">
        <v>355</v>
      </c>
      <c r="G76" s="422" t="s">
        <v>495</v>
      </c>
      <c r="H76" s="422" t="s">
        <v>496</v>
      </c>
      <c r="I76" s="422" t="s">
        <v>134</v>
      </c>
      <c r="J76" s="422" t="s">
        <v>497</v>
      </c>
      <c r="K76" s="422" t="s">
        <v>133</v>
      </c>
    </row>
    <row r="77" spans="1:11" ht="15.5" customHeight="1" outlineLevel="2" x14ac:dyDescent="0.35">
      <c r="A77" s="144" t="s">
        <v>372</v>
      </c>
      <c r="B77" s="82" t="s">
        <v>373</v>
      </c>
      <c r="C77" s="69">
        <v>358</v>
      </c>
      <c r="D77" s="69" t="s">
        <v>5</v>
      </c>
      <c r="E77" s="145">
        <v>1277673</v>
      </c>
      <c r="F77" s="392">
        <v>0</v>
      </c>
      <c r="G77" s="145">
        <v>1277673</v>
      </c>
      <c r="H77" s="392">
        <v>0</v>
      </c>
      <c r="I77" s="392">
        <v>0</v>
      </c>
      <c r="J77" s="392">
        <v>0</v>
      </c>
      <c r="K77" s="145">
        <v>1277673</v>
      </c>
    </row>
    <row r="78" spans="1:11" ht="15.5" customHeight="1" outlineLevel="2" x14ac:dyDescent="0.35">
      <c r="A78" s="144" t="s">
        <v>372</v>
      </c>
      <c r="B78" s="82" t="s">
        <v>373</v>
      </c>
      <c r="C78" s="69">
        <v>358</v>
      </c>
      <c r="D78" s="69" t="s">
        <v>140</v>
      </c>
      <c r="E78" s="145">
        <v>2876516</v>
      </c>
      <c r="F78" s="392">
        <v>0</v>
      </c>
      <c r="G78" s="145">
        <v>2876516</v>
      </c>
      <c r="H78" s="392">
        <v>0</v>
      </c>
      <c r="I78" s="392">
        <v>0</v>
      </c>
      <c r="J78" s="392">
        <v>0</v>
      </c>
      <c r="K78" s="145">
        <v>2876516</v>
      </c>
    </row>
    <row r="79" spans="1:11" ht="15.5" customHeight="1" outlineLevel="2" x14ac:dyDescent="0.35">
      <c r="A79" s="144" t="s">
        <v>372</v>
      </c>
      <c r="B79" s="82" t="s">
        <v>373</v>
      </c>
      <c r="C79" s="69">
        <v>358</v>
      </c>
      <c r="D79" s="69" t="s">
        <v>3</v>
      </c>
      <c r="E79" s="145">
        <v>1584153</v>
      </c>
      <c r="F79" s="392">
        <v>0</v>
      </c>
      <c r="G79" s="145">
        <v>1584153</v>
      </c>
      <c r="H79" s="392">
        <v>0</v>
      </c>
      <c r="I79" s="392">
        <v>0</v>
      </c>
      <c r="J79" s="392">
        <v>0</v>
      </c>
      <c r="K79" s="145">
        <v>1584153</v>
      </c>
    </row>
    <row r="80" spans="1:11" ht="15.5" customHeight="1" outlineLevel="2" x14ac:dyDescent="0.35">
      <c r="A80" s="144" t="s">
        <v>372</v>
      </c>
      <c r="B80" s="82" t="s">
        <v>373</v>
      </c>
      <c r="C80" s="69">
        <v>358</v>
      </c>
      <c r="D80" s="69" t="s">
        <v>143</v>
      </c>
      <c r="E80" s="145">
        <v>4421465</v>
      </c>
      <c r="F80" s="392">
        <v>0</v>
      </c>
      <c r="G80" s="145">
        <v>4421465</v>
      </c>
      <c r="H80" s="392">
        <v>0</v>
      </c>
      <c r="I80" s="392">
        <v>0</v>
      </c>
      <c r="J80" s="392">
        <v>0</v>
      </c>
      <c r="K80" s="145">
        <v>4421465</v>
      </c>
    </row>
    <row r="81" spans="1:11" ht="15.5" customHeight="1" outlineLevel="2" x14ac:dyDescent="0.35">
      <c r="A81" s="144" t="s">
        <v>372</v>
      </c>
      <c r="B81" s="82" t="s">
        <v>373</v>
      </c>
      <c r="C81" s="69">
        <v>358</v>
      </c>
      <c r="D81" s="69" t="s">
        <v>41</v>
      </c>
      <c r="E81" s="145">
        <v>7666350</v>
      </c>
      <c r="F81" s="392">
        <v>0</v>
      </c>
      <c r="G81" s="145">
        <v>7666350</v>
      </c>
      <c r="H81" s="392">
        <v>0</v>
      </c>
      <c r="I81" s="392">
        <v>0</v>
      </c>
      <c r="J81" s="392">
        <v>0</v>
      </c>
      <c r="K81" s="145">
        <v>7666350</v>
      </c>
    </row>
    <row r="82" spans="1:11" ht="15.5" customHeight="1" outlineLevel="2" x14ac:dyDescent="0.35">
      <c r="A82" s="144" t="s">
        <v>372</v>
      </c>
      <c r="B82" s="82" t="s">
        <v>373</v>
      </c>
      <c r="C82" s="69">
        <v>358</v>
      </c>
      <c r="D82" s="69" t="s">
        <v>44</v>
      </c>
      <c r="E82" s="145">
        <v>7385306</v>
      </c>
      <c r="F82" s="392">
        <v>0</v>
      </c>
      <c r="G82" s="145">
        <v>7385306</v>
      </c>
      <c r="H82" s="392">
        <v>0</v>
      </c>
      <c r="I82" s="392">
        <v>0</v>
      </c>
      <c r="J82" s="392">
        <v>0</v>
      </c>
      <c r="K82" s="145">
        <v>7385306</v>
      </c>
    </row>
    <row r="83" spans="1:11" ht="15.5" customHeight="1" outlineLevel="2" x14ac:dyDescent="0.35">
      <c r="A83" s="144" t="s">
        <v>372</v>
      </c>
      <c r="B83" s="82" t="s">
        <v>373</v>
      </c>
      <c r="C83" s="69">
        <v>358</v>
      </c>
      <c r="D83" s="69" t="s">
        <v>45</v>
      </c>
      <c r="E83" s="145">
        <v>6050852</v>
      </c>
      <c r="F83" s="392">
        <v>0</v>
      </c>
      <c r="G83" s="145">
        <v>6050852</v>
      </c>
      <c r="H83" s="392">
        <v>0</v>
      </c>
      <c r="I83" s="392">
        <v>0</v>
      </c>
      <c r="J83" s="392">
        <v>0</v>
      </c>
      <c r="K83" s="145">
        <v>6050852</v>
      </c>
    </row>
    <row r="84" spans="1:11" ht="15.5" customHeight="1" outlineLevel="2" x14ac:dyDescent="0.35">
      <c r="A84" s="144" t="s">
        <v>372</v>
      </c>
      <c r="B84" s="82" t="s">
        <v>373</v>
      </c>
      <c r="C84" s="69">
        <v>358</v>
      </c>
      <c r="D84" s="69" t="s">
        <v>46</v>
      </c>
      <c r="E84" s="145">
        <v>5451057</v>
      </c>
      <c r="F84" s="392">
        <v>0</v>
      </c>
      <c r="G84" s="145">
        <v>5451057</v>
      </c>
      <c r="H84" s="392">
        <v>0</v>
      </c>
      <c r="I84" s="392">
        <v>0</v>
      </c>
      <c r="J84" s="392">
        <v>0</v>
      </c>
      <c r="K84" s="145">
        <v>5451057</v>
      </c>
    </row>
    <row r="85" spans="1:11" ht="15.5" customHeight="1" outlineLevel="2" x14ac:dyDescent="0.35">
      <c r="A85" s="144" t="s">
        <v>372</v>
      </c>
      <c r="B85" s="82" t="s">
        <v>373</v>
      </c>
      <c r="C85" s="69">
        <v>358</v>
      </c>
      <c r="D85" s="69" t="s">
        <v>47</v>
      </c>
      <c r="E85" s="145">
        <v>4876373</v>
      </c>
      <c r="F85" s="392">
        <v>0</v>
      </c>
      <c r="G85" s="145">
        <v>4876373</v>
      </c>
      <c r="H85" s="392">
        <v>0</v>
      </c>
      <c r="I85" s="392">
        <v>0</v>
      </c>
      <c r="J85" s="392">
        <v>0</v>
      </c>
      <c r="K85" s="145">
        <v>4876373</v>
      </c>
    </row>
    <row r="86" spans="1:11" ht="15.5" customHeight="1" outlineLevel="2" x14ac:dyDescent="0.35">
      <c r="A86" s="144" t="s">
        <v>372</v>
      </c>
      <c r="B86" s="82" t="s">
        <v>373</v>
      </c>
      <c r="C86" s="69">
        <v>358</v>
      </c>
      <c r="D86" s="69" t="s">
        <v>48</v>
      </c>
      <c r="E86" s="145">
        <v>4565612</v>
      </c>
      <c r="F86" s="392">
        <v>0</v>
      </c>
      <c r="G86" s="145">
        <v>4565612</v>
      </c>
      <c r="H86" s="392">
        <v>0</v>
      </c>
      <c r="I86" s="392">
        <v>0</v>
      </c>
      <c r="J86" s="392">
        <v>0</v>
      </c>
      <c r="K86" s="145">
        <v>4565612</v>
      </c>
    </row>
    <row r="87" spans="1:11" ht="15.5" customHeight="1" outlineLevel="1" x14ac:dyDescent="0.35">
      <c r="A87" s="144" t="s">
        <v>372</v>
      </c>
      <c r="B87" s="82" t="s">
        <v>373</v>
      </c>
      <c r="C87" s="69">
        <v>358</v>
      </c>
      <c r="D87" s="69" t="s">
        <v>49</v>
      </c>
      <c r="E87" s="145">
        <v>4248370</v>
      </c>
      <c r="F87" s="392">
        <v>0</v>
      </c>
      <c r="G87" s="145">
        <v>4248370</v>
      </c>
      <c r="H87" s="392">
        <v>0</v>
      </c>
      <c r="I87" s="392">
        <v>0</v>
      </c>
      <c r="J87" s="392">
        <v>0</v>
      </c>
      <c r="K87" s="145">
        <v>4248370</v>
      </c>
    </row>
    <row r="88" spans="1:11" ht="15.5" customHeight="1" outlineLevel="2" x14ac:dyDescent="0.35">
      <c r="A88" s="144" t="s">
        <v>372</v>
      </c>
      <c r="B88" s="82" t="s">
        <v>373</v>
      </c>
      <c r="C88" s="69">
        <v>358</v>
      </c>
      <c r="D88" s="69" t="s">
        <v>50</v>
      </c>
      <c r="E88" s="145">
        <v>3940728</v>
      </c>
      <c r="F88" s="392">
        <v>0</v>
      </c>
      <c r="G88" s="145">
        <v>3940728</v>
      </c>
      <c r="H88" s="392">
        <v>0</v>
      </c>
      <c r="I88" s="392">
        <v>0</v>
      </c>
      <c r="J88" s="392">
        <v>0</v>
      </c>
      <c r="K88" s="145">
        <v>3940728</v>
      </c>
    </row>
    <row r="89" spans="1:11" ht="15.5" customHeight="1" outlineLevel="2" x14ac:dyDescent="0.35">
      <c r="A89" s="144" t="s">
        <v>372</v>
      </c>
      <c r="B89" s="82" t="s">
        <v>373</v>
      </c>
      <c r="C89" s="69">
        <v>358</v>
      </c>
      <c r="D89" s="69" t="s">
        <v>51</v>
      </c>
      <c r="E89" s="145">
        <v>3610850</v>
      </c>
      <c r="F89" s="392">
        <v>0</v>
      </c>
      <c r="G89" s="145">
        <v>3610850</v>
      </c>
      <c r="H89" s="392">
        <v>0</v>
      </c>
      <c r="I89" s="392">
        <v>0</v>
      </c>
      <c r="J89" s="392">
        <v>0</v>
      </c>
      <c r="K89" s="145">
        <v>3610850</v>
      </c>
    </row>
    <row r="90" spans="1:11" ht="15.5" customHeight="1" outlineLevel="2" x14ac:dyDescent="0.35">
      <c r="A90" s="144" t="s">
        <v>372</v>
      </c>
      <c r="B90" s="82" t="s">
        <v>373</v>
      </c>
      <c r="C90" s="69">
        <v>358</v>
      </c>
      <c r="D90" s="69" t="s">
        <v>52</v>
      </c>
      <c r="E90" s="145">
        <v>3244252</v>
      </c>
      <c r="F90" s="392">
        <v>0</v>
      </c>
      <c r="G90" s="145">
        <v>3244252</v>
      </c>
      <c r="H90" s="392">
        <v>0</v>
      </c>
      <c r="I90" s="392">
        <v>0</v>
      </c>
      <c r="J90" s="392">
        <v>0</v>
      </c>
      <c r="K90" s="145">
        <v>3244252</v>
      </c>
    </row>
    <row r="91" spans="1:11" ht="15.5" customHeight="1" outlineLevel="2" x14ac:dyDescent="0.35">
      <c r="A91" s="144" t="s">
        <v>372</v>
      </c>
      <c r="B91" s="82" t="s">
        <v>373</v>
      </c>
      <c r="C91" s="69">
        <v>358</v>
      </c>
      <c r="D91" s="69" t="s">
        <v>53</v>
      </c>
      <c r="E91" s="145">
        <v>3070158</v>
      </c>
      <c r="F91" s="392">
        <v>0</v>
      </c>
      <c r="G91" s="145">
        <v>3070158</v>
      </c>
      <c r="H91" s="392">
        <v>0</v>
      </c>
      <c r="I91" s="392">
        <v>0</v>
      </c>
      <c r="J91" s="392">
        <v>0</v>
      </c>
      <c r="K91" s="145">
        <v>3070158</v>
      </c>
    </row>
    <row r="92" spans="1:11" ht="15.5" customHeight="1" outlineLevel="1" x14ac:dyDescent="0.35">
      <c r="A92" s="144" t="s">
        <v>372</v>
      </c>
      <c r="B92" s="82" t="s">
        <v>373</v>
      </c>
      <c r="C92" s="69">
        <v>358</v>
      </c>
      <c r="D92" s="69" t="s">
        <v>54</v>
      </c>
      <c r="E92" s="145">
        <v>2830440</v>
      </c>
      <c r="F92" s="392">
        <v>0</v>
      </c>
      <c r="G92" s="145">
        <v>2830440</v>
      </c>
      <c r="H92" s="392">
        <v>0</v>
      </c>
      <c r="I92" s="392">
        <v>0</v>
      </c>
      <c r="J92" s="392">
        <v>0</v>
      </c>
      <c r="K92" s="145">
        <v>2830440</v>
      </c>
    </row>
    <row r="93" spans="1:11" ht="15" customHeight="1" outlineLevel="2" x14ac:dyDescent="0.35">
      <c r="A93" s="96" t="s">
        <v>374</v>
      </c>
      <c r="B93" s="427" t="s">
        <v>529</v>
      </c>
      <c r="C93" s="428" t="s">
        <v>529</v>
      </c>
      <c r="D93" s="428" t="s">
        <v>529</v>
      </c>
      <c r="E93" s="138">
        <f>SUBTOTAL(109,local358[Program
Costs])</f>
        <v>67100155</v>
      </c>
      <c r="F93" s="456" t="s">
        <v>615</v>
      </c>
      <c r="G93" s="138">
        <f>SUBTOTAL(109,local358[Accounts Payable
Balance])</f>
        <v>67100155</v>
      </c>
      <c r="H93" s="456" t="s">
        <v>615</v>
      </c>
      <c r="I93" s="456" t="s">
        <v>615</v>
      </c>
      <c r="J93" s="456" t="s">
        <v>615</v>
      </c>
      <c r="K93" s="138">
        <f>SUBTOTAL(109,local358[Net
Balance])</f>
        <v>67100155</v>
      </c>
    </row>
    <row r="94" spans="1:11" ht="15" customHeight="1" outlineLevel="2" x14ac:dyDescent="0.35">
      <c r="A94" s="386" t="s">
        <v>540</v>
      </c>
      <c r="B94" s="139"/>
      <c r="C94" s="139"/>
      <c r="D94" s="139"/>
      <c r="E94" s="140"/>
      <c r="F94" s="140"/>
      <c r="G94" s="140"/>
      <c r="H94" s="140"/>
      <c r="I94" s="140"/>
      <c r="J94" s="140"/>
      <c r="K94" s="140"/>
    </row>
    <row r="95" spans="1:11" ht="49.5" customHeight="1" outlineLevel="2" x14ac:dyDescent="0.35">
      <c r="A95" s="158" t="s">
        <v>12</v>
      </c>
      <c r="B95" s="158" t="s">
        <v>0</v>
      </c>
      <c r="C95" s="158" t="s">
        <v>132</v>
      </c>
      <c r="D95" s="158" t="s">
        <v>11</v>
      </c>
      <c r="E95" s="422" t="s">
        <v>125</v>
      </c>
      <c r="F95" s="423" t="s">
        <v>355</v>
      </c>
      <c r="G95" s="422" t="s">
        <v>495</v>
      </c>
      <c r="H95" s="422" t="s">
        <v>496</v>
      </c>
      <c r="I95" s="422" t="s">
        <v>134</v>
      </c>
      <c r="J95" s="422" t="s">
        <v>497</v>
      </c>
      <c r="K95" s="422" t="s">
        <v>133</v>
      </c>
    </row>
    <row r="96" spans="1:11" ht="15.5" outlineLevel="1" x14ac:dyDescent="0.35">
      <c r="A96" s="144" t="s">
        <v>412</v>
      </c>
      <c r="B96" s="82" t="s">
        <v>413</v>
      </c>
      <c r="C96" s="69">
        <v>371</v>
      </c>
      <c r="D96" s="69" t="s">
        <v>414</v>
      </c>
      <c r="E96" s="145">
        <v>201582</v>
      </c>
      <c r="F96" s="392">
        <v>0</v>
      </c>
      <c r="G96" s="145">
        <v>201582</v>
      </c>
      <c r="H96" s="392">
        <v>0</v>
      </c>
      <c r="I96" s="392">
        <v>0</v>
      </c>
      <c r="J96" s="392">
        <v>0</v>
      </c>
      <c r="K96" s="145">
        <v>201582</v>
      </c>
    </row>
    <row r="97" spans="1:11" ht="15" customHeight="1" outlineLevel="2" x14ac:dyDescent="0.35">
      <c r="A97" s="144" t="s">
        <v>412</v>
      </c>
      <c r="B97" s="82" t="s">
        <v>413</v>
      </c>
      <c r="C97" s="69">
        <v>371</v>
      </c>
      <c r="D97" s="69" t="s">
        <v>399</v>
      </c>
      <c r="E97" s="145">
        <v>484645</v>
      </c>
      <c r="F97" s="392">
        <v>0</v>
      </c>
      <c r="G97" s="145">
        <v>484645</v>
      </c>
      <c r="H97" s="392">
        <v>0</v>
      </c>
      <c r="I97" s="392">
        <v>0</v>
      </c>
      <c r="J97" s="392">
        <v>0</v>
      </c>
      <c r="K97" s="145">
        <v>484645</v>
      </c>
    </row>
    <row r="98" spans="1:11" ht="15" customHeight="1" outlineLevel="2" x14ac:dyDescent="0.35">
      <c r="A98" s="144" t="s">
        <v>412</v>
      </c>
      <c r="B98" s="82" t="s">
        <v>413</v>
      </c>
      <c r="C98" s="69">
        <v>371</v>
      </c>
      <c r="D98" s="69" t="s">
        <v>4</v>
      </c>
      <c r="E98" s="145">
        <v>106277</v>
      </c>
      <c r="F98" s="392">
        <v>0</v>
      </c>
      <c r="G98" s="145">
        <v>106277</v>
      </c>
      <c r="H98" s="392">
        <v>0</v>
      </c>
      <c r="I98" s="392">
        <v>0</v>
      </c>
      <c r="J98" s="392">
        <v>0</v>
      </c>
      <c r="K98" s="145">
        <v>106277</v>
      </c>
    </row>
    <row r="99" spans="1:11" ht="15" customHeight="1" outlineLevel="2" x14ac:dyDescent="0.35">
      <c r="A99" s="144" t="s">
        <v>412</v>
      </c>
      <c r="B99" s="82" t="s">
        <v>413</v>
      </c>
      <c r="C99" s="69">
        <v>371</v>
      </c>
      <c r="D99" s="69" t="s">
        <v>2</v>
      </c>
      <c r="E99" s="145">
        <v>532224</v>
      </c>
      <c r="F99" s="392">
        <v>0</v>
      </c>
      <c r="G99" s="145">
        <v>532224</v>
      </c>
      <c r="H99" s="392">
        <v>0</v>
      </c>
      <c r="I99" s="392">
        <v>0</v>
      </c>
      <c r="J99" s="392">
        <v>0</v>
      </c>
      <c r="K99" s="145">
        <v>532224</v>
      </c>
    </row>
    <row r="100" spans="1:11" ht="15" customHeight="1" outlineLevel="2" x14ac:dyDescent="0.35">
      <c r="A100" s="96" t="s">
        <v>431</v>
      </c>
      <c r="B100" s="427" t="s">
        <v>529</v>
      </c>
      <c r="C100" s="428" t="s">
        <v>529</v>
      </c>
      <c r="D100" s="428" t="s">
        <v>529</v>
      </c>
      <c r="E100" s="138">
        <f>SUBTOTAL(109,local371[Program
Costs])</f>
        <v>1324728</v>
      </c>
      <c r="F100" s="456" t="s">
        <v>615</v>
      </c>
      <c r="G100" s="138">
        <f>SUBTOTAL(109,local371[Accounts Payable
Balance])</f>
        <v>1324728</v>
      </c>
      <c r="H100" s="456" t="s">
        <v>615</v>
      </c>
      <c r="I100" s="456" t="s">
        <v>615</v>
      </c>
      <c r="J100" s="456" t="s">
        <v>615</v>
      </c>
      <c r="K100" s="138">
        <f>SUBTOTAL(109,local371[Net
Balance])</f>
        <v>1324728</v>
      </c>
    </row>
    <row r="101" spans="1:11" ht="15" customHeight="1" outlineLevel="2" x14ac:dyDescent="0.35">
      <c r="A101" s="386" t="s">
        <v>540</v>
      </c>
      <c r="B101" s="139"/>
      <c r="C101" s="139"/>
      <c r="D101" s="139"/>
      <c r="E101" s="140"/>
      <c r="F101" s="140"/>
      <c r="G101" s="140"/>
      <c r="H101" s="140"/>
      <c r="I101" s="140"/>
      <c r="J101" s="140"/>
      <c r="K101" s="140"/>
    </row>
    <row r="102" spans="1:11" ht="49" customHeight="1" outlineLevel="2" x14ac:dyDescent="0.35">
      <c r="A102" s="158" t="s">
        <v>12</v>
      </c>
      <c r="B102" s="158" t="s">
        <v>0</v>
      </c>
      <c r="C102" s="158" t="s">
        <v>132</v>
      </c>
      <c r="D102" s="158" t="s">
        <v>11</v>
      </c>
      <c r="E102" s="422" t="s">
        <v>125</v>
      </c>
      <c r="F102" s="423" t="s">
        <v>355</v>
      </c>
      <c r="G102" s="422" t="s">
        <v>495</v>
      </c>
      <c r="H102" s="422" t="s">
        <v>496</v>
      </c>
      <c r="I102" s="422" t="s">
        <v>134</v>
      </c>
      <c r="J102" s="422" t="s">
        <v>497</v>
      </c>
      <c r="K102" s="422" t="s">
        <v>133</v>
      </c>
    </row>
    <row r="103" spans="1:11" ht="15" customHeight="1" outlineLevel="2" x14ac:dyDescent="0.35">
      <c r="A103" s="82" t="s">
        <v>375</v>
      </c>
      <c r="B103" s="82" t="s">
        <v>376</v>
      </c>
      <c r="C103" s="69">
        <v>259</v>
      </c>
      <c r="D103" s="69" t="s">
        <v>143</v>
      </c>
      <c r="E103" s="145">
        <v>1840</v>
      </c>
      <c r="F103" s="392">
        <v>0</v>
      </c>
      <c r="G103" s="145">
        <v>1840</v>
      </c>
      <c r="H103" s="392">
        <v>0</v>
      </c>
      <c r="I103" s="392">
        <v>0</v>
      </c>
      <c r="J103" s="392">
        <v>0</v>
      </c>
      <c r="K103" s="145">
        <v>1840</v>
      </c>
    </row>
    <row r="104" spans="1:11" ht="15" customHeight="1" outlineLevel="2" x14ac:dyDescent="0.35">
      <c r="A104" s="82" t="s">
        <v>375</v>
      </c>
      <c r="B104" s="82" t="s">
        <v>376</v>
      </c>
      <c r="C104" s="69">
        <v>259</v>
      </c>
      <c r="D104" s="69" t="s">
        <v>41</v>
      </c>
      <c r="E104" s="145">
        <v>3550</v>
      </c>
      <c r="F104" s="392">
        <v>0</v>
      </c>
      <c r="G104" s="145">
        <v>3550</v>
      </c>
      <c r="H104" s="392">
        <v>0</v>
      </c>
      <c r="I104" s="392">
        <v>0</v>
      </c>
      <c r="J104" s="392">
        <v>0</v>
      </c>
      <c r="K104" s="145">
        <v>3550</v>
      </c>
    </row>
    <row r="105" spans="1:11" ht="15" customHeight="1" outlineLevel="2" x14ac:dyDescent="0.35">
      <c r="A105" s="96" t="s">
        <v>377</v>
      </c>
      <c r="B105" s="427" t="s">
        <v>529</v>
      </c>
      <c r="C105" s="428" t="s">
        <v>529</v>
      </c>
      <c r="D105" s="428" t="s">
        <v>529</v>
      </c>
      <c r="E105" s="138">
        <f>SUBTOTAL(109,local259[Program
Costs])</f>
        <v>5390</v>
      </c>
      <c r="F105" s="456" t="s">
        <v>615</v>
      </c>
      <c r="G105" s="138">
        <f>SUBTOTAL(109,local259[Accounts Payable
Balance])</f>
        <v>5390</v>
      </c>
      <c r="H105" s="456" t="s">
        <v>615</v>
      </c>
      <c r="I105" s="456" t="s">
        <v>615</v>
      </c>
      <c r="J105" s="456" t="s">
        <v>615</v>
      </c>
      <c r="K105" s="138">
        <f>SUBTOTAL(109,local259[Net
Balance])</f>
        <v>5390</v>
      </c>
    </row>
    <row r="106" spans="1:11" ht="15" customHeight="1" outlineLevel="2" x14ac:dyDescent="0.35">
      <c r="A106" s="386" t="s">
        <v>540</v>
      </c>
      <c r="B106" s="139"/>
      <c r="C106" s="139"/>
      <c r="D106" s="139"/>
      <c r="E106" s="140"/>
      <c r="F106" s="140"/>
      <c r="G106" s="140"/>
      <c r="H106" s="140"/>
      <c r="I106" s="140"/>
      <c r="J106" s="140"/>
      <c r="K106" s="140"/>
    </row>
    <row r="107" spans="1:11" ht="56" customHeight="1" outlineLevel="2" x14ac:dyDescent="0.35">
      <c r="A107" s="158" t="s">
        <v>12</v>
      </c>
      <c r="B107" s="158" t="s">
        <v>0</v>
      </c>
      <c r="C107" s="158" t="s">
        <v>132</v>
      </c>
      <c r="D107" s="158" t="s">
        <v>11</v>
      </c>
      <c r="E107" s="422" t="s">
        <v>125</v>
      </c>
      <c r="F107" s="423" t="s">
        <v>355</v>
      </c>
      <c r="G107" s="422" t="s">
        <v>495</v>
      </c>
      <c r="H107" s="422" t="s">
        <v>496</v>
      </c>
      <c r="I107" s="422" t="s">
        <v>134</v>
      </c>
      <c r="J107" s="422" t="s">
        <v>497</v>
      </c>
      <c r="K107" s="422" t="s">
        <v>133</v>
      </c>
    </row>
    <row r="108" spans="1:11" ht="15.5" customHeight="1" outlineLevel="2" x14ac:dyDescent="0.35">
      <c r="A108" s="82" t="s">
        <v>378</v>
      </c>
      <c r="B108" s="82" t="s">
        <v>379</v>
      </c>
      <c r="C108" s="69">
        <v>298</v>
      </c>
      <c r="D108" s="69" t="s">
        <v>414</v>
      </c>
      <c r="E108" s="145">
        <v>1657396</v>
      </c>
      <c r="F108" s="392">
        <v>0</v>
      </c>
      <c r="G108" s="145">
        <v>1657396</v>
      </c>
      <c r="H108" s="392">
        <v>0</v>
      </c>
      <c r="I108" s="392">
        <v>0</v>
      </c>
      <c r="J108" s="392">
        <v>0</v>
      </c>
      <c r="K108" s="145">
        <v>1657396</v>
      </c>
    </row>
    <row r="109" spans="1:11" ht="15.5" customHeight="1" outlineLevel="2" x14ac:dyDescent="0.35">
      <c r="A109" s="82" t="s">
        <v>378</v>
      </c>
      <c r="B109" s="82" t="s">
        <v>379</v>
      </c>
      <c r="C109" s="69">
        <v>298</v>
      </c>
      <c r="D109" s="69" t="s">
        <v>399</v>
      </c>
      <c r="E109" s="145">
        <v>1484786</v>
      </c>
      <c r="F109" s="392">
        <v>0</v>
      </c>
      <c r="G109" s="145">
        <v>1484786</v>
      </c>
      <c r="H109" s="392">
        <v>0</v>
      </c>
      <c r="I109" s="392">
        <v>0</v>
      </c>
      <c r="J109" s="392">
        <v>0</v>
      </c>
      <c r="K109" s="145">
        <v>1484786</v>
      </c>
    </row>
    <row r="110" spans="1:11" ht="15.5" customHeight="1" outlineLevel="2" x14ac:dyDescent="0.35">
      <c r="A110" s="82" t="s">
        <v>378</v>
      </c>
      <c r="B110" s="82" t="s">
        <v>379</v>
      </c>
      <c r="C110" s="69">
        <v>298</v>
      </c>
      <c r="D110" s="69" t="s">
        <v>4</v>
      </c>
      <c r="E110" s="145">
        <v>1416419</v>
      </c>
      <c r="F110" s="392">
        <v>0</v>
      </c>
      <c r="G110" s="145">
        <v>1416419</v>
      </c>
      <c r="H110" s="392">
        <v>0</v>
      </c>
      <c r="I110" s="392">
        <v>0</v>
      </c>
      <c r="J110" s="392">
        <v>0</v>
      </c>
      <c r="K110" s="145">
        <v>1416419</v>
      </c>
    </row>
    <row r="111" spans="1:11" ht="15.5" customHeight="1" outlineLevel="2" x14ac:dyDescent="0.35">
      <c r="A111" s="82" t="s">
        <v>378</v>
      </c>
      <c r="B111" s="82" t="s">
        <v>379</v>
      </c>
      <c r="C111" s="69">
        <v>298</v>
      </c>
      <c r="D111" s="69" t="s">
        <v>2</v>
      </c>
      <c r="E111" s="145">
        <v>1726995</v>
      </c>
      <c r="F111" s="392">
        <v>0</v>
      </c>
      <c r="G111" s="145">
        <v>1726995</v>
      </c>
      <c r="H111" s="392">
        <v>0</v>
      </c>
      <c r="I111" s="392">
        <v>0</v>
      </c>
      <c r="J111" s="392">
        <v>0</v>
      </c>
      <c r="K111" s="145">
        <v>1726995</v>
      </c>
    </row>
    <row r="112" spans="1:11" ht="15.5" customHeight="1" outlineLevel="2" x14ac:dyDescent="0.35">
      <c r="A112" s="82" t="s">
        <v>378</v>
      </c>
      <c r="B112" s="82" t="s">
        <v>379</v>
      </c>
      <c r="C112" s="69">
        <v>298</v>
      </c>
      <c r="D112" s="69" t="s">
        <v>5</v>
      </c>
      <c r="E112" s="145">
        <v>1662687</v>
      </c>
      <c r="F112" s="392">
        <v>0</v>
      </c>
      <c r="G112" s="145">
        <v>1662687</v>
      </c>
      <c r="H112" s="392">
        <v>0</v>
      </c>
      <c r="I112" s="392">
        <v>0</v>
      </c>
      <c r="J112" s="392">
        <v>0</v>
      </c>
      <c r="K112" s="145">
        <v>1662687</v>
      </c>
    </row>
    <row r="113" spans="1:11" ht="15.5" customHeight="1" outlineLevel="2" x14ac:dyDescent="0.35">
      <c r="A113" s="82" t="s">
        <v>378</v>
      </c>
      <c r="B113" s="82" t="s">
        <v>379</v>
      </c>
      <c r="C113" s="69">
        <v>298</v>
      </c>
      <c r="D113" s="69" t="s">
        <v>140</v>
      </c>
      <c r="E113" s="145">
        <v>2324012</v>
      </c>
      <c r="F113" s="392">
        <v>0</v>
      </c>
      <c r="G113" s="145">
        <v>2324012</v>
      </c>
      <c r="H113" s="392">
        <v>0</v>
      </c>
      <c r="I113" s="392">
        <v>0</v>
      </c>
      <c r="J113" s="392">
        <v>0</v>
      </c>
      <c r="K113" s="145">
        <v>2324012</v>
      </c>
    </row>
    <row r="114" spans="1:11" ht="15.5" customHeight="1" outlineLevel="2" x14ac:dyDescent="0.35">
      <c r="A114" s="82" t="s">
        <v>378</v>
      </c>
      <c r="B114" s="82" t="s">
        <v>379</v>
      </c>
      <c r="C114" s="69">
        <v>298</v>
      </c>
      <c r="D114" s="69" t="s">
        <v>3</v>
      </c>
      <c r="E114" s="145">
        <v>1932028</v>
      </c>
      <c r="F114" s="392">
        <v>0</v>
      </c>
      <c r="G114" s="145">
        <v>1932028</v>
      </c>
      <c r="H114" s="392">
        <v>0</v>
      </c>
      <c r="I114" s="392">
        <v>0</v>
      </c>
      <c r="J114" s="392">
        <v>0</v>
      </c>
      <c r="K114" s="145">
        <v>1932028</v>
      </c>
    </row>
    <row r="115" spans="1:11" ht="15.5" customHeight="1" outlineLevel="2" x14ac:dyDescent="0.35">
      <c r="A115" s="82" t="s">
        <v>378</v>
      </c>
      <c r="B115" s="82" t="s">
        <v>379</v>
      </c>
      <c r="C115" s="69">
        <v>298</v>
      </c>
      <c r="D115" s="69" t="s">
        <v>143</v>
      </c>
      <c r="E115" s="145">
        <v>1436215</v>
      </c>
      <c r="F115" s="392">
        <v>0</v>
      </c>
      <c r="G115" s="145">
        <v>1436215</v>
      </c>
      <c r="H115" s="392">
        <v>0</v>
      </c>
      <c r="I115" s="392">
        <v>0</v>
      </c>
      <c r="J115" s="392">
        <v>0</v>
      </c>
      <c r="K115" s="145">
        <v>1436215</v>
      </c>
    </row>
    <row r="116" spans="1:11" ht="15.5" customHeight="1" outlineLevel="2" x14ac:dyDescent="0.35">
      <c r="A116" s="82" t="s">
        <v>378</v>
      </c>
      <c r="B116" s="82" t="s">
        <v>379</v>
      </c>
      <c r="C116" s="69">
        <v>298</v>
      </c>
      <c r="D116" s="69" t="s">
        <v>41</v>
      </c>
      <c r="E116" s="145">
        <v>1138086</v>
      </c>
      <c r="F116" s="392">
        <v>0</v>
      </c>
      <c r="G116" s="145">
        <v>1138086</v>
      </c>
      <c r="H116" s="392">
        <v>0</v>
      </c>
      <c r="I116" s="392">
        <v>0</v>
      </c>
      <c r="J116" s="392">
        <v>0</v>
      </c>
      <c r="K116" s="145">
        <v>1138086</v>
      </c>
    </row>
    <row r="117" spans="1:11" ht="15.5" customHeight="1" outlineLevel="1" x14ac:dyDescent="0.35">
      <c r="A117" s="82" t="s">
        <v>378</v>
      </c>
      <c r="B117" s="82" t="s">
        <v>379</v>
      </c>
      <c r="C117" s="69">
        <v>298</v>
      </c>
      <c r="D117" s="69" t="s">
        <v>44</v>
      </c>
      <c r="E117" s="145">
        <v>696362</v>
      </c>
      <c r="F117" s="392">
        <v>0</v>
      </c>
      <c r="G117" s="145">
        <v>696362</v>
      </c>
      <c r="H117" s="392">
        <v>0</v>
      </c>
      <c r="I117" s="392">
        <v>0</v>
      </c>
      <c r="J117" s="392">
        <v>0</v>
      </c>
      <c r="K117" s="145">
        <v>696362</v>
      </c>
    </row>
    <row r="118" spans="1:11" ht="15.5" customHeight="1" outlineLevel="2" x14ac:dyDescent="0.35">
      <c r="A118" s="82" t="s">
        <v>378</v>
      </c>
      <c r="B118" s="82" t="s">
        <v>379</v>
      </c>
      <c r="C118" s="69">
        <v>298</v>
      </c>
      <c r="D118" s="69" t="s">
        <v>45</v>
      </c>
      <c r="E118" s="145">
        <v>826282</v>
      </c>
      <c r="F118" s="392">
        <v>0</v>
      </c>
      <c r="G118" s="145">
        <v>826282</v>
      </c>
      <c r="H118" s="392">
        <v>0</v>
      </c>
      <c r="I118" s="392">
        <v>0</v>
      </c>
      <c r="J118" s="392">
        <v>0</v>
      </c>
      <c r="K118" s="145">
        <v>826282</v>
      </c>
    </row>
    <row r="119" spans="1:11" ht="15.5" customHeight="1" outlineLevel="2" x14ac:dyDescent="0.35">
      <c r="A119" s="82" t="s">
        <v>378</v>
      </c>
      <c r="B119" s="82" t="s">
        <v>379</v>
      </c>
      <c r="C119" s="69">
        <v>298</v>
      </c>
      <c r="D119" s="69" t="s">
        <v>46</v>
      </c>
      <c r="E119" s="145">
        <v>1579014</v>
      </c>
      <c r="F119" s="392">
        <v>0</v>
      </c>
      <c r="G119" s="145">
        <v>1579014</v>
      </c>
      <c r="H119" s="392">
        <v>0</v>
      </c>
      <c r="I119" s="392">
        <v>0</v>
      </c>
      <c r="J119" s="392">
        <v>0</v>
      </c>
      <c r="K119" s="145">
        <v>1579014</v>
      </c>
    </row>
    <row r="120" spans="1:11" ht="15.5" customHeight="1" outlineLevel="2" x14ac:dyDescent="0.35">
      <c r="A120" s="82" t="s">
        <v>378</v>
      </c>
      <c r="B120" s="82" t="s">
        <v>379</v>
      </c>
      <c r="C120" s="69">
        <v>298</v>
      </c>
      <c r="D120" s="69" t="s">
        <v>47</v>
      </c>
      <c r="E120" s="145">
        <v>1483364</v>
      </c>
      <c r="F120" s="392">
        <v>0</v>
      </c>
      <c r="G120" s="145">
        <v>1483364</v>
      </c>
      <c r="H120" s="392">
        <v>0</v>
      </c>
      <c r="I120" s="392">
        <v>0</v>
      </c>
      <c r="J120" s="392">
        <v>0</v>
      </c>
      <c r="K120" s="145">
        <v>1483364</v>
      </c>
    </row>
    <row r="121" spans="1:11" ht="15.5" customHeight="1" outlineLevel="2" x14ac:dyDescent="0.35">
      <c r="A121" s="82" t="s">
        <v>378</v>
      </c>
      <c r="B121" s="82" t="s">
        <v>379</v>
      </c>
      <c r="C121" s="69">
        <v>298</v>
      </c>
      <c r="D121" s="69" t="s">
        <v>48</v>
      </c>
      <c r="E121" s="145">
        <v>603417</v>
      </c>
      <c r="F121" s="392">
        <v>0</v>
      </c>
      <c r="G121" s="145">
        <v>603417</v>
      </c>
      <c r="H121" s="392">
        <v>0</v>
      </c>
      <c r="I121" s="392">
        <v>0</v>
      </c>
      <c r="J121" s="392">
        <v>0</v>
      </c>
      <c r="K121" s="145">
        <v>603417</v>
      </c>
    </row>
    <row r="122" spans="1:11" ht="15.5" customHeight="1" outlineLevel="2" x14ac:dyDescent="0.35">
      <c r="A122" s="82" t="s">
        <v>378</v>
      </c>
      <c r="B122" s="82" t="s">
        <v>379</v>
      </c>
      <c r="C122" s="69">
        <v>298</v>
      </c>
      <c r="D122" s="69" t="s">
        <v>49</v>
      </c>
      <c r="E122" s="145">
        <v>567345</v>
      </c>
      <c r="F122" s="392">
        <v>0</v>
      </c>
      <c r="G122" s="145">
        <v>567345</v>
      </c>
      <c r="H122" s="392">
        <v>0</v>
      </c>
      <c r="I122" s="392">
        <v>0</v>
      </c>
      <c r="J122" s="392">
        <v>0</v>
      </c>
      <c r="K122" s="145">
        <v>567345</v>
      </c>
    </row>
    <row r="123" spans="1:11" ht="15.5" customHeight="1" outlineLevel="2" x14ac:dyDescent="0.35">
      <c r="A123" s="82" t="s">
        <v>378</v>
      </c>
      <c r="B123" s="82" t="s">
        <v>379</v>
      </c>
      <c r="C123" s="69">
        <v>298</v>
      </c>
      <c r="D123" s="69" t="s">
        <v>50</v>
      </c>
      <c r="E123" s="145">
        <v>278272</v>
      </c>
      <c r="F123" s="392">
        <v>0</v>
      </c>
      <c r="G123" s="145">
        <v>278272</v>
      </c>
      <c r="H123" s="392">
        <v>0</v>
      </c>
      <c r="I123" s="392">
        <v>0</v>
      </c>
      <c r="J123" s="392">
        <v>0</v>
      </c>
      <c r="K123" s="145">
        <v>278272</v>
      </c>
    </row>
    <row r="124" spans="1:11" ht="15.5" customHeight="1" outlineLevel="2" x14ac:dyDescent="0.35">
      <c r="A124" s="82" t="s">
        <v>378</v>
      </c>
      <c r="B124" s="82" t="s">
        <v>379</v>
      </c>
      <c r="C124" s="69">
        <v>298</v>
      </c>
      <c r="D124" s="69" t="s">
        <v>51</v>
      </c>
      <c r="E124" s="145">
        <v>211658</v>
      </c>
      <c r="F124" s="392">
        <v>0</v>
      </c>
      <c r="G124" s="145">
        <v>211658</v>
      </c>
      <c r="H124" s="392">
        <v>0</v>
      </c>
      <c r="I124" s="392">
        <v>0</v>
      </c>
      <c r="J124" s="392">
        <v>0</v>
      </c>
      <c r="K124" s="145">
        <v>211658</v>
      </c>
    </row>
    <row r="125" spans="1:11" ht="15.5" customHeight="1" outlineLevel="2" x14ac:dyDescent="0.35">
      <c r="A125" s="82" t="s">
        <v>378</v>
      </c>
      <c r="B125" s="82" t="s">
        <v>379</v>
      </c>
      <c r="C125" s="69">
        <v>298</v>
      </c>
      <c r="D125" s="69" t="s">
        <v>52</v>
      </c>
      <c r="E125" s="145">
        <v>188729</v>
      </c>
      <c r="F125" s="392">
        <v>0</v>
      </c>
      <c r="G125" s="145">
        <v>188729</v>
      </c>
      <c r="H125" s="392">
        <v>0</v>
      </c>
      <c r="I125" s="392">
        <v>0</v>
      </c>
      <c r="J125" s="392">
        <v>0</v>
      </c>
      <c r="K125" s="145">
        <v>188729</v>
      </c>
    </row>
    <row r="126" spans="1:11" ht="15.5" outlineLevel="2" x14ac:dyDescent="0.35">
      <c r="A126" s="96" t="s">
        <v>380</v>
      </c>
      <c r="B126" s="427" t="s">
        <v>529</v>
      </c>
      <c r="C126" s="428" t="s">
        <v>529</v>
      </c>
      <c r="D126" s="428" t="s">
        <v>529</v>
      </c>
      <c r="E126" s="138">
        <f>SUBTOTAL(109,local298[Program
Costs])</f>
        <v>21213067</v>
      </c>
      <c r="F126" s="456" t="s">
        <v>615</v>
      </c>
      <c r="G126" s="138">
        <f>SUBTOTAL(109,local298[Accounts Payable
Balance])</f>
        <v>21213067</v>
      </c>
      <c r="H126" s="456" t="s">
        <v>615</v>
      </c>
      <c r="I126" s="456" t="s">
        <v>615</v>
      </c>
      <c r="J126" s="456" t="s">
        <v>615</v>
      </c>
      <c r="K126" s="138">
        <f>SUBTOTAL(109,local298[Net
Balance])</f>
        <v>21213067</v>
      </c>
    </row>
    <row r="127" spans="1:11" ht="15.5" outlineLevel="2" x14ac:dyDescent="0.35">
      <c r="A127" s="386" t="s">
        <v>540</v>
      </c>
      <c r="B127" s="139"/>
      <c r="C127" s="139"/>
      <c r="D127" s="139"/>
      <c r="E127" s="140"/>
      <c r="F127" s="140"/>
      <c r="G127" s="140"/>
      <c r="H127" s="140"/>
      <c r="I127" s="140"/>
      <c r="J127" s="140"/>
      <c r="K127" s="140"/>
    </row>
    <row r="128" spans="1:11" ht="54" customHeight="1" outlineLevel="2" x14ac:dyDescent="0.35">
      <c r="A128" s="158" t="s">
        <v>12</v>
      </c>
      <c r="B128" s="158" t="s">
        <v>0</v>
      </c>
      <c r="C128" s="158" t="s">
        <v>132</v>
      </c>
      <c r="D128" s="158" t="s">
        <v>11</v>
      </c>
      <c r="E128" s="422" t="s">
        <v>125</v>
      </c>
      <c r="F128" s="423" t="s">
        <v>355</v>
      </c>
      <c r="G128" s="422" t="s">
        <v>495</v>
      </c>
      <c r="H128" s="422" t="s">
        <v>496</v>
      </c>
      <c r="I128" s="422" t="s">
        <v>134</v>
      </c>
      <c r="J128" s="422" t="s">
        <v>497</v>
      </c>
      <c r="K128" s="422" t="s">
        <v>133</v>
      </c>
    </row>
    <row r="129" spans="1:11" ht="15.5" outlineLevel="1" x14ac:dyDescent="0.35">
      <c r="A129" s="144" t="s">
        <v>381</v>
      </c>
      <c r="B129" s="82" t="s">
        <v>382</v>
      </c>
      <c r="C129" s="69">
        <v>281</v>
      </c>
      <c r="D129" s="69" t="s">
        <v>44</v>
      </c>
      <c r="E129" s="145">
        <v>17935</v>
      </c>
      <c r="F129" s="392">
        <v>0</v>
      </c>
      <c r="G129" s="145">
        <v>17935</v>
      </c>
      <c r="H129" s="392">
        <v>0</v>
      </c>
      <c r="I129" s="392">
        <v>0</v>
      </c>
      <c r="J129" s="392">
        <v>0</v>
      </c>
      <c r="K129" s="145">
        <v>17935</v>
      </c>
    </row>
    <row r="130" spans="1:11" ht="15" customHeight="1" outlineLevel="2" x14ac:dyDescent="0.35">
      <c r="A130" s="144" t="s">
        <v>381</v>
      </c>
      <c r="B130" s="82" t="s">
        <v>382</v>
      </c>
      <c r="C130" s="69">
        <v>281</v>
      </c>
      <c r="D130" s="69" t="s">
        <v>45</v>
      </c>
      <c r="E130" s="145">
        <v>383293</v>
      </c>
      <c r="F130" s="392">
        <v>0</v>
      </c>
      <c r="G130" s="145">
        <v>383293</v>
      </c>
      <c r="H130" s="392">
        <v>0</v>
      </c>
      <c r="I130" s="392">
        <v>0</v>
      </c>
      <c r="J130" s="392">
        <v>0</v>
      </c>
      <c r="K130" s="145">
        <v>383293</v>
      </c>
    </row>
    <row r="131" spans="1:11" ht="15" customHeight="1" outlineLevel="2" x14ac:dyDescent="0.35">
      <c r="A131" s="144" t="s">
        <v>381</v>
      </c>
      <c r="B131" s="82" t="s">
        <v>382</v>
      </c>
      <c r="C131" s="69">
        <v>281</v>
      </c>
      <c r="D131" s="69" t="s">
        <v>46</v>
      </c>
      <c r="E131" s="145">
        <v>681608</v>
      </c>
      <c r="F131" s="392">
        <v>0</v>
      </c>
      <c r="G131" s="145">
        <v>681608</v>
      </c>
      <c r="H131" s="392">
        <v>0</v>
      </c>
      <c r="I131" s="392">
        <v>0</v>
      </c>
      <c r="J131" s="392">
        <v>0</v>
      </c>
      <c r="K131" s="145">
        <v>681608</v>
      </c>
    </row>
    <row r="132" spans="1:11" ht="15" customHeight="1" outlineLevel="2" x14ac:dyDescent="0.35">
      <c r="A132" s="144" t="s">
        <v>381</v>
      </c>
      <c r="B132" s="82" t="s">
        <v>382</v>
      </c>
      <c r="C132" s="69">
        <v>281</v>
      </c>
      <c r="D132" s="69" t="s">
        <v>47</v>
      </c>
      <c r="E132" s="145">
        <v>649974</v>
      </c>
      <c r="F132" s="392">
        <v>0</v>
      </c>
      <c r="G132" s="145">
        <v>649974</v>
      </c>
      <c r="H132" s="392">
        <v>0</v>
      </c>
      <c r="I132" s="392">
        <v>0</v>
      </c>
      <c r="J132" s="392">
        <v>0</v>
      </c>
      <c r="K132" s="145">
        <v>649974</v>
      </c>
    </row>
    <row r="133" spans="1:11" ht="15" customHeight="1" outlineLevel="2" x14ac:dyDescent="0.35">
      <c r="A133" s="144" t="s">
        <v>381</v>
      </c>
      <c r="B133" s="82" t="s">
        <v>382</v>
      </c>
      <c r="C133" s="69">
        <v>281</v>
      </c>
      <c r="D133" s="69" t="s">
        <v>48</v>
      </c>
      <c r="E133" s="145">
        <v>680286</v>
      </c>
      <c r="F133" s="392">
        <v>0</v>
      </c>
      <c r="G133" s="145">
        <v>680286</v>
      </c>
      <c r="H133" s="392">
        <v>0</v>
      </c>
      <c r="I133" s="392">
        <v>0</v>
      </c>
      <c r="J133" s="392">
        <v>0</v>
      </c>
      <c r="K133" s="145">
        <v>680286</v>
      </c>
    </row>
    <row r="134" spans="1:11" ht="15" customHeight="1" outlineLevel="2" x14ac:dyDescent="0.35">
      <c r="A134" s="144" t="s">
        <v>381</v>
      </c>
      <c r="B134" s="82" t="s">
        <v>382</v>
      </c>
      <c r="C134" s="69">
        <v>281</v>
      </c>
      <c r="D134" s="69" t="s">
        <v>49</v>
      </c>
      <c r="E134" s="145">
        <v>427477</v>
      </c>
      <c r="F134" s="392">
        <v>0</v>
      </c>
      <c r="G134" s="145">
        <v>427477</v>
      </c>
      <c r="H134" s="392">
        <v>0</v>
      </c>
      <c r="I134" s="392">
        <v>0</v>
      </c>
      <c r="J134" s="392">
        <v>0</v>
      </c>
      <c r="K134" s="145">
        <v>427477</v>
      </c>
    </row>
    <row r="135" spans="1:11" ht="15" customHeight="1" outlineLevel="2" x14ac:dyDescent="0.35">
      <c r="A135" s="144" t="s">
        <v>381</v>
      </c>
      <c r="B135" s="82" t="s">
        <v>382</v>
      </c>
      <c r="C135" s="69">
        <v>281</v>
      </c>
      <c r="D135" s="69" t="s">
        <v>50</v>
      </c>
      <c r="E135" s="145">
        <v>446868</v>
      </c>
      <c r="F135" s="392">
        <v>0</v>
      </c>
      <c r="G135" s="145">
        <v>446868</v>
      </c>
      <c r="H135" s="392">
        <v>0</v>
      </c>
      <c r="I135" s="392">
        <v>0</v>
      </c>
      <c r="J135" s="392">
        <v>0</v>
      </c>
      <c r="K135" s="145">
        <v>446868</v>
      </c>
    </row>
    <row r="136" spans="1:11" ht="15" customHeight="1" outlineLevel="2" x14ac:dyDescent="0.35">
      <c r="A136" s="144" t="s">
        <v>381</v>
      </c>
      <c r="B136" s="82" t="s">
        <v>382</v>
      </c>
      <c r="C136" s="69">
        <v>281</v>
      </c>
      <c r="D136" s="69" t="s">
        <v>51</v>
      </c>
      <c r="E136" s="145">
        <v>821319</v>
      </c>
      <c r="F136" s="392">
        <v>0</v>
      </c>
      <c r="G136" s="145">
        <v>821319</v>
      </c>
      <c r="H136" s="392">
        <v>0</v>
      </c>
      <c r="I136" s="392">
        <v>0</v>
      </c>
      <c r="J136" s="392">
        <v>0</v>
      </c>
      <c r="K136" s="145">
        <v>821319</v>
      </c>
    </row>
    <row r="137" spans="1:11" ht="15.5" outlineLevel="1" x14ac:dyDescent="0.35">
      <c r="A137" s="144" t="s">
        <v>381</v>
      </c>
      <c r="B137" s="82" t="s">
        <v>382</v>
      </c>
      <c r="C137" s="69">
        <v>281</v>
      </c>
      <c r="D137" s="69" t="s">
        <v>52</v>
      </c>
      <c r="E137" s="145">
        <v>565634</v>
      </c>
      <c r="F137" s="392">
        <v>0</v>
      </c>
      <c r="G137" s="145">
        <v>565634</v>
      </c>
      <c r="H137" s="392">
        <v>0</v>
      </c>
      <c r="I137" s="392">
        <v>0</v>
      </c>
      <c r="J137" s="392">
        <v>0</v>
      </c>
      <c r="K137" s="145">
        <v>565634</v>
      </c>
    </row>
    <row r="138" spans="1:11" ht="15.5" outlineLevel="2" x14ac:dyDescent="0.35">
      <c r="A138" s="144" t="s">
        <v>381</v>
      </c>
      <c r="B138" s="82" t="s">
        <v>382</v>
      </c>
      <c r="C138" s="69">
        <v>281</v>
      </c>
      <c r="D138" s="69" t="s">
        <v>53</v>
      </c>
      <c r="E138" s="145">
        <v>235446</v>
      </c>
      <c r="F138" s="392">
        <v>0</v>
      </c>
      <c r="G138" s="145">
        <v>235446</v>
      </c>
      <c r="H138" s="392">
        <v>0</v>
      </c>
      <c r="I138" s="392">
        <v>0</v>
      </c>
      <c r="J138" s="392">
        <v>0</v>
      </c>
      <c r="K138" s="145">
        <v>235446</v>
      </c>
    </row>
    <row r="139" spans="1:11" ht="15.5" outlineLevel="2" x14ac:dyDescent="0.35">
      <c r="A139" s="96" t="s">
        <v>383</v>
      </c>
      <c r="B139" s="427" t="s">
        <v>529</v>
      </c>
      <c r="C139" s="428" t="s">
        <v>529</v>
      </c>
      <c r="D139" s="428" t="s">
        <v>529</v>
      </c>
      <c r="E139" s="138">
        <f>SUBTOTAL(109,local281[Program
Costs])</f>
        <v>4909840</v>
      </c>
      <c r="F139" s="456" t="s">
        <v>615</v>
      </c>
      <c r="G139" s="138">
        <f>SUBTOTAL(109,local281[Accounts Payable
Balance])</f>
        <v>4909840</v>
      </c>
      <c r="H139" s="456" t="s">
        <v>615</v>
      </c>
      <c r="I139" s="456" t="s">
        <v>615</v>
      </c>
      <c r="J139" s="456" t="s">
        <v>615</v>
      </c>
      <c r="K139" s="138">
        <f>SUBTOTAL(109,local281[Net
Balance])</f>
        <v>4909840</v>
      </c>
    </row>
    <row r="140" spans="1:11" ht="15.5" outlineLevel="2" x14ac:dyDescent="0.35">
      <c r="A140" s="386" t="s">
        <v>540</v>
      </c>
      <c r="B140" s="139"/>
      <c r="C140" s="139"/>
      <c r="D140" s="139"/>
      <c r="E140" s="140"/>
      <c r="F140" s="140"/>
      <c r="G140" s="140"/>
      <c r="H140" s="140"/>
      <c r="I140" s="140"/>
      <c r="J140" s="140"/>
      <c r="K140" s="140"/>
    </row>
    <row r="141" spans="1:11" ht="46.5" outlineLevel="2" x14ac:dyDescent="0.35">
      <c r="A141" s="158" t="s">
        <v>12</v>
      </c>
      <c r="B141" s="158" t="s">
        <v>0</v>
      </c>
      <c r="C141" s="158" t="s">
        <v>132</v>
      </c>
      <c r="D141" s="158" t="s">
        <v>11</v>
      </c>
      <c r="E141" s="422" t="s">
        <v>125</v>
      </c>
      <c r="F141" s="423" t="s">
        <v>355</v>
      </c>
      <c r="G141" s="422" t="s">
        <v>495</v>
      </c>
      <c r="H141" s="422" t="s">
        <v>496</v>
      </c>
      <c r="I141" s="422" t="s">
        <v>134</v>
      </c>
      <c r="J141" s="422" t="s">
        <v>497</v>
      </c>
      <c r="K141" s="422" t="s">
        <v>133</v>
      </c>
    </row>
    <row r="142" spans="1:11" ht="15.5" customHeight="1" outlineLevel="2" x14ac:dyDescent="0.35">
      <c r="A142" s="82" t="s">
        <v>384</v>
      </c>
      <c r="B142" s="82" t="s">
        <v>385</v>
      </c>
      <c r="C142" s="69">
        <v>323</v>
      </c>
      <c r="D142" s="69" t="s">
        <v>143</v>
      </c>
      <c r="E142" s="145">
        <v>630042</v>
      </c>
      <c r="F142" s="392">
        <v>0</v>
      </c>
      <c r="G142" s="145">
        <v>630042</v>
      </c>
      <c r="H142" s="392">
        <v>0</v>
      </c>
      <c r="I142" s="392">
        <v>0</v>
      </c>
      <c r="J142" s="392">
        <v>0</v>
      </c>
      <c r="K142" s="145">
        <v>630042</v>
      </c>
    </row>
    <row r="143" spans="1:11" ht="15.5" customHeight="1" outlineLevel="2" x14ac:dyDescent="0.35">
      <c r="A143" s="82" t="s">
        <v>384</v>
      </c>
      <c r="B143" s="82" t="s">
        <v>385</v>
      </c>
      <c r="C143" s="69">
        <v>323</v>
      </c>
      <c r="D143" s="69" t="s">
        <v>41</v>
      </c>
      <c r="E143" s="145">
        <v>2509</v>
      </c>
      <c r="F143" s="392">
        <v>0</v>
      </c>
      <c r="G143" s="145">
        <v>2509</v>
      </c>
      <c r="H143" s="392">
        <v>0</v>
      </c>
      <c r="I143" s="392">
        <v>0</v>
      </c>
      <c r="J143" s="392">
        <v>0</v>
      </c>
      <c r="K143" s="145">
        <v>2509</v>
      </c>
    </row>
    <row r="144" spans="1:11" ht="15.5" customHeight="1" outlineLevel="2" x14ac:dyDescent="0.35">
      <c r="A144" s="82" t="s">
        <v>384</v>
      </c>
      <c r="B144" s="82" t="s">
        <v>385</v>
      </c>
      <c r="C144" s="69">
        <v>323</v>
      </c>
      <c r="D144" s="69" t="s">
        <v>44</v>
      </c>
      <c r="E144" s="145">
        <v>468288</v>
      </c>
      <c r="F144" s="392">
        <v>0</v>
      </c>
      <c r="G144" s="145">
        <v>468288</v>
      </c>
      <c r="H144" s="392">
        <v>0</v>
      </c>
      <c r="I144" s="392">
        <v>0</v>
      </c>
      <c r="J144" s="392">
        <v>0</v>
      </c>
      <c r="K144" s="145">
        <v>468288</v>
      </c>
    </row>
    <row r="145" spans="1:11" ht="15.5" customHeight="1" outlineLevel="2" x14ac:dyDescent="0.35">
      <c r="A145" s="82" t="s">
        <v>384</v>
      </c>
      <c r="B145" s="82" t="s">
        <v>385</v>
      </c>
      <c r="C145" s="69">
        <v>323</v>
      </c>
      <c r="D145" s="69" t="s">
        <v>46</v>
      </c>
      <c r="E145" s="145">
        <v>321317</v>
      </c>
      <c r="F145" s="392">
        <v>0</v>
      </c>
      <c r="G145" s="145">
        <v>321317</v>
      </c>
      <c r="H145" s="392">
        <v>0</v>
      </c>
      <c r="I145" s="392">
        <v>0</v>
      </c>
      <c r="J145" s="392">
        <v>0</v>
      </c>
      <c r="K145" s="145">
        <v>321317</v>
      </c>
    </row>
    <row r="146" spans="1:11" ht="15.5" customHeight="1" outlineLevel="2" x14ac:dyDescent="0.35">
      <c r="A146" s="82" t="s">
        <v>384</v>
      </c>
      <c r="B146" s="82" t="s">
        <v>385</v>
      </c>
      <c r="C146" s="69">
        <v>323</v>
      </c>
      <c r="D146" s="69" t="s">
        <v>48</v>
      </c>
      <c r="E146" s="145">
        <v>224217</v>
      </c>
      <c r="F146" s="392">
        <v>0</v>
      </c>
      <c r="G146" s="145">
        <v>224217</v>
      </c>
      <c r="H146" s="392">
        <v>0</v>
      </c>
      <c r="I146" s="392">
        <v>0</v>
      </c>
      <c r="J146" s="392">
        <v>0</v>
      </c>
      <c r="K146" s="145">
        <v>224217</v>
      </c>
    </row>
    <row r="147" spans="1:11" ht="15.5" customHeight="1" outlineLevel="2" x14ac:dyDescent="0.35">
      <c r="A147" s="82" t="s">
        <v>384</v>
      </c>
      <c r="B147" s="82" t="s">
        <v>385</v>
      </c>
      <c r="C147" s="69">
        <v>323</v>
      </c>
      <c r="D147" s="69" t="s">
        <v>50</v>
      </c>
      <c r="E147" s="145">
        <v>138065</v>
      </c>
      <c r="F147" s="392">
        <v>0</v>
      </c>
      <c r="G147" s="145">
        <v>138065</v>
      </c>
      <c r="H147" s="392">
        <v>0</v>
      </c>
      <c r="I147" s="392">
        <v>0</v>
      </c>
      <c r="J147" s="392">
        <v>0</v>
      </c>
      <c r="K147" s="145">
        <v>138065</v>
      </c>
    </row>
    <row r="148" spans="1:11" ht="15.5" customHeight="1" outlineLevel="2" x14ac:dyDescent="0.35">
      <c r="A148" s="82" t="s">
        <v>384</v>
      </c>
      <c r="B148" s="82" t="s">
        <v>385</v>
      </c>
      <c r="C148" s="69">
        <v>323</v>
      </c>
      <c r="D148" s="69" t="s">
        <v>52</v>
      </c>
      <c r="E148" s="145">
        <v>32181</v>
      </c>
      <c r="F148" s="392">
        <v>0</v>
      </c>
      <c r="G148" s="145">
        <v>32181</v>
      </c>
      <c r="H148" s="392">
        <v>0</v>
      </c>
      <c r="I148" s="392">
        <v>0</v>
      </c>
      <c r="J148" s="392">
        <v>0</v>
      </c>
      <c r="K148" s="145">
        <v>32181</v>
      </c>
    </row>
    <row r="149" spans="1:11" ht="15.5" outlineLevel="2" x14ac:dyDescent="0.35">
      <c r="A149" s="96" t="s">
        <v>386</v>
      </c>
      <c r="B149" s="427" t="s">
        <v>529</v>
      </c>
      <c r="C149" s="428" t="s">
        <v>529</v>
      </c>
      <c r="D149" s="428" t="s">
        <v>529</v>
      </c>
      <c r="E149" s="138">
        <f>SUBTOTAL(109,local323[Program
Costs])</f>
        <v>1816619</v>
      </c>
      <c r="F149" s="456" t="s">
        <v>615</v>
      </c>
      <c r="G149" s="138">
        <f>SUBTOTAL(109,local323[Accounts Payable
Balance])</f>
        <v>1816619</v>
      </c>
      <c r="H149" s="456" t="s">
        <v>615</v>
      </c>
      <c r="I149" s="456" t="s">
        <v>615</v>
      </c>
      <c r="J149" s="456" t="s">
        <v>615</v>
      </c>
      <c r="K149" s="138">
        <f>SUBTOTAL(109,local323[Net
Balance])</f>
        <v>1816619</v>
      </c>
    </row>
    <row r="150" spans="1:11" ht="15.5" outlineLevel="2" x14ac:dyDescent="0.35">
      <c r="A150" s="386" t="s">
        <v>540</v>
      </c>
      <c r="B150" s="139"/>
      <c r="C150" s="139"/>
      <c r="D150" s="139"/>
      <c r="E150" s="140"/>
      <c r="F150" s="140"/>
      <c r="G150" s="140"/>
      <c r="H150" s="140"/>
      <c r="I150" s="140"/>
      <c r="J150" s="140"/>
      <c r="K150" s="140"/>
    </row>
    <row r="151" spans="1:11" ht="46.5" outlineLevel="1" x14ac:dyDescent="0.35">
      <c r="A151" s="158" t="s">
        <v>12</v>
      </c>
      <c r="B151" s="158" t="s">
        <v>0</v>
      </c>
      <c r="C151" s="158" t="s">
        <v>132</v>
      </c>
      <c r="D151" s="158" t="s">
        <v>11</v>
      </c>
      <c r="E151" s="422" t="s">
        <v>125</v>
      </c>
      <c r="F151" s="423" t="s">
        <v>355</v>
      </c>
      <c r="G151" s="422" t="s">
        <v>495</v>
      </c>
      <c r="H151" s="422" t="s">
        <v>496</v>
      </c>
      <c r="I151" s="422" t="s">
        <v>134</v>
      </c>
      <c r="J151" s="422" t="s">
        <v>497</v>
      </c>
      <c r="K151" s="422" t="s">
        <v>133</v>
      </c>
    </row>
    <row r="152" spans="1:11" ht="15" customHeight="1" outlineLevel="2" x14ac:dyDescent="0.35">
      <c r="A152" s="144" t="s">
        <v>387</v>
      </c>
      <c r="B152" s="82" t="s">
        <v>388</v>
      </c>
      <c r="C152" s="69">
        <v>314</v>
      </c>
      <c r="D152" s="69" t="s">
        <v>3</v>
      </c>
      <c r="E152" s="145">
        <v>244451</v>
      </c>
      <c r="F152" s="392">
        <v>0</v>
      </c>
      <c r="G152" s="145">
        <v>244451</v>
      </c>
      <c r="H152" s="392">
        <v>0</v>
      </c>
      <c r="I152" s="392">
        <v>0</v>
      </c>
      <c r="J152" s="392">
        <v>0</v>
      </c>
      <c r="K152" s="145">
        <v>244451</v>
      </c>
    </row>
    <row r="153" spans="1:11" ht="15" customHeight="1" outlineLevel="2" x14ac:dyDescent="0.35">
      <c r="A153" s="144" t="s">
        <v>387</v>
      </c>
      <c r="B153" s="82" t="s">
        <v>388</v>
      </c>
      <c r="C153" s="69">
        <v>314</v>
      </c>
      <c r="D153" s="69" t="s">
        <v>143</v>
      </c>
      <c r="E153" s="145">
        <v>372223</v>
      </c>
      <c r="F153" s="392">
        <v>0</v>
      </c>
      <c r="G153" s="145">
        <v>372223</v>
      </c>
      <c r="H153" s="392">
        <v>0</v>
      </c>
      <c r="I153" s="392">
        <v>0</v>
      </c>
      <c r="J153" s="392">
        <v>0</v>
      </c>
      <c r="K153" s="145">
        <v>372223</v>
      </c>
    </row>
    <row r="154" spans="1:11" ht="15" customHeight="1" outlineLevel="2" x14ac:dyDescent="0.35">
      <c r="A154" s="144" t="s">
        <v>387</v>
      </c>
      <c r="B154" s="82" t="s">
        <v>388</v>
      </c>
      <c r="C154" s="69">
        <v>314</v>
      </c>
      <c r="D154" s="69" t="s">
        <v>41</v>
      </c>
      <c r="E154" s="145">
        <v>377417</v>
      </c>
      <c r="F154" s="392">
        <v>0</v>
      </c>
      <c r="G154" s="145">
        <v>377417</v>
      </c>
      <c r="H154" s="392">
        <v>0</v>
      </c>
      <c r="I154" s="392">
        <v>0</v>
      </c>
      <c r="J154" s="392">
        <v>0</v>
      </c>
      <c r="K154" s="145">
        <v>377417</v>
      </c>
    </row>
    <row r="155" spans="1:11" ht="15" customHeight="1" outlineLevel="2" x14ac:dyDescent="0.35">
      <c r="A155" s="144" t="s">
        <v>387</v>
      </c>
      <c r="B155" s="82" t="s">
        <v>388</v>
      </c>
      <c r="C155" s="69">
        <v>314</v>
      </c>
      <c r="D155" s="69" t="s">
        <v>44</v>
      </c>
      <c r="E155" s="145">
        <v>387912</v>
      </c>
      <c r="F155" s="392">
        <v>0</v>
      </c>
      <c r="G155" s="145">
        <v>387912</v>
      </c>
      <c r="H155" s="392">
        <v>0</v>
      </c>
      <c r="I155" s="392">
        <v>0</v>
      </c>
      <c r="J155" s="392">
        <v>0</v>
      </c>
      <c r="K155" s="145">
        <v>387912</v>
      </c>
    </row>
    <row r="156" spans="1:11" ht="15" customHeight="1" outlineLevel="2" x14ac:dyDescent="0.35">
      <c r="A156" s="144" t="s">
        <v>387</v>
      </c>
      <c r="B156" s="82" t="s">
        <v>388</v>
      </c>
      <c r="C156" s="69">
        <v>314</v>
      </c>
      <c r="D156" s="69" t="s">
        <v>45</v>
      </c>
      <c r="E156" s="145">
        <v>533273</v>
      </c>
      <c r="F156" s="392">
        <v>0</v>
      </c>
      <c r="G156" s="145">
        <v>533273</v>
      </c>
      <c r="H156" s="392">
        <v>0</v>
      </c>
      <c r="I156" s="392">
        <v>0</v>
      </c>
      <c r="J156" s="392">
        <v>0</v>
      </c>
      <c r="K156" s="145">
        <v>533273</v>
      </c>
    </row>
    <row r="157" spans="1:11" ht="15" customHeight="1" outlineLevel="2" x14ac:dyDescent="0.35">
      <c r="A157" s="144" t="s">
        <v>387</v>
      </c>
      <c r="B157" s="82" t="s">
        <v>388</v>
      </c>
      <c r="C157" s="69">
        <v>314</v>
      </c>
      <c r="D157" s="69" t="s">
        <v>46</v>
      </c>
      <c r="E157" s="145">
        <v>912918</v>
      </c>
      <c r="F157" s="392">
        <v>0</v>
      </c>
      <c r="G157" s="145">
        <v>912918</v>
      </c>
      <c r="H157" s="392">
        <v>0</v>
      </c>
      <c r="I157" s="392">
        <v>0</v>
      </c>
      <c r="J157" s="392">
        <v>0</v>
      </c>
      <c r="K157" s="145">
        <v>912918</v>
      </c>
    </row>
    <row r="158" spans="1:11" ht="15" customHeight="1" outlineLevel="2" x14ac:dyDescent="0.35">
      <c r="A158" s="144" t="s">
        <v>387</v>
      </c>
      <c r="B158" s="82" t="s">
        <v>388</v>
      </c>
      <c r="C158" s="69">
        <v>314</v>
      </c>
      <c r="D158" s="69" t="s">
        <v>47</v>
      </c>
      <c r="E158" s="145">
        <v>910934</v>
      </c>
      <c r="F158" s="392">
        <v>0</v>
      </c>
      <c r="G158" s="145">
        <v>910934</v>
      </c>
      <c r="H158" s="392">
        <v>0</v>
      </c>
      <c r="I158" s="392">
        <v>0</v>
      </c>
      <c r="J158" s="392">
        <v>0</v>
      </c>
      <c r="K158" s="145">
        <v>910934</v>
      </c>
    </row>
    <row r="159" spans="1:11" ht="15" customHeight="1" outlineLevel="2" x14ac:dyDescent="0.35">
      <c r="A159" s="144" t="s">
        <v>387</v>
      </c>
      <c r="B159" s="82" t="s">
        <v>388</v>
      </c>
      <c r="C159" s="69">
        <v>314</v>
      </c>
      <c r="D159" s="69" t="s">
        <v>48</v>
      </c>
      <c r="E159" s="145">
        <v>874691</v>
      </c>
      <c r="F159" s="392">
        <v>0</v>
      </c>
      <c r="G159" s="145">
        <v>874691</v>
      </c>
      <c r="H159" s="392">
        <v>0</v>
      </c>
      <c r="I159" s="392">
        <v>0</v>
      </c>
      <c r="J159" s="392">
        <v>0</v>
      </c>
      <c r="K159" s="145">
        <v>874691</v>
      </c>
    </row>
    <row r="160" spans="1:11" ht="15" customHeight="1" outlineLevel="2" x14ac:dyDescent="0.35">
      <c r="A160" s="144" t="s">
        <v>387</v>
      </c>
      <c r="B160" s="82" t="s">
        <v>388</v>
      </c>
      <c r="C160" s="69">
        <v>314</v>
      </c>
      <c r="D160" s="69" t="s">
        <v>49</v>
      </c>
      <c r="E160" s="145">
        <v>817164</v>
      </c>
      <c r="F160" s="392">
        <v>0</v>
      </c>
      <c r="G160" s="145">
        <v>817164</v>
      </c>
      <c r="H160" s="392">
        <v>0</v>
      </c>
      <c r="I160" s="392">
        <v>0</v>
      </c>
      <c r="J160" s="392">
        <v>0</v>
      </c>
      <c r="K160" s="145">
        <v>817164</v>
      </c>
    </row>
    <row r="161" spans="1:11" ht="15" customHeight="1" outlineLevel="2" x14ac:dyDescent="0.35">
      <c r="A161" s="144" t="s">
        <v>387</v>
      </c>
      <c r="B161" s="82" t="s">
        <v>388</v>
      </c>
      <c r="C161" s="69">
        <v>314</v>
      </c>
      <c r="D161" s="69" t="s">
        <v>50</v>
      </c>
      <c r="E161" s="145">
        <v>831167</v>
      </c>
      <c r="F161" s="392">
        <v>0</v>
      </c>
      <c r="G161" s="145">
        <v>831167</v>
      </c>
      <c r="H161" s="392">
        <v>0</v>
      </c>
      <c r="I161" s="392">
        <v>0</v>
      </c>
      <c r="J161" s="392">
        <v>0</v>
      </c>
      <c r="K161" s="145">
        <v>831167</v>
      </c>
    </row>
    <row r="162" spans="1:11" ht="15" customHeight="1" outlineLevel="2" x14ac:dyDescent="0.35">
      <c r="A162" s="144" t="s">
        <v>387</v>
      </c>
      <c r="B162" s="82" t="s">
        <v>388</v>
      </c>
      <c r="C162" s="69">
        <v>314</v>
      </c>
      <c r="D162" s="69" t="s">
        <v>51</v>
      </c>
      <c r="E162" s="145">
        <v>792501</v>
      </c>
      <c r="F162" s="392">
        <v>0</v>
      </c>
      <c r="G162" s="145">
        <v>792501</v>
      </c>
      <c r="H162" s="392">
        <v>0</v>
      </c>
      <c r="I162" s="392">
        <v>0</v>
      </c>
      <c r="J162" s="392">
        <v>0</v>
      </c>
      <c r="K162" s="145">
        <v>792501</v>
      </c>
    </row>
    <row r="163" spans="1:11" ht="15" customHeight="1" outlineLevel="2" x14ac:dyDescent="0.35">
      <c r="A163" s="96" t="s">
        <v>389</v>
      </c>
      <c r="B163" s="427" t="s">
        <v>529</v>
      </c>
      <c r="C163" s="428" t="s">
        <v>529</v>
      </c>
      <c r="D163" s="428" t="s">
        <v>529</v>
      </c>
      <c r="E163" s="138">
        <f>SUBTOTAL(109,local314[Program
Costs])</f>
        <v>7054651</v>
      </c>
      <c r="F163" s="456" t="s">
        <v>615</v>
      </c>
      <c r="G163" s="138">
        <f>SUBTOTAL(109,local314[Accounts Payable
Balance])</f>
        <v>7054651</v>
      </c>
      <c r="H163" s="456" t="s">
        <v>615</v>
      </c>
      <c r="I163" s="456" t="s">
        <v>615</v>
      </c>
      <c r="J163" s="456" t="s">
        <v>615</v>
      </c>
      <c r="K163" s="138">
        <f>SUBTOTAL(109,local314[Net
Balance])</f>
        <v>7054651</v>
      </c>
    </row>
    <row r="164" spans="1:11" ht="15" customHeight="1" outlineLevel="2" x14ac:dyDescent="0.35">
      <c r="A164" s="386" t="s">
        <v>540</v>
      </c>
      <c r="B164" s="139"/>
      <c r="C164" s="139"/>
      <c r="D164" s="139"/>
      <c r="E164" s="140"/>
      <c r="F164" s="140"/>
      <c r="G164" s="140"/>
      <c r="H164" s="140"/>
      <c r="I164" s="140"/>
      <c r="J164" s="140"/>
      <c r="K164" s="140"/>
    </row>
    <row r="165" spans="1:11" ht="47" customHeight="1" outlineLevel="2" x14ac:dyDescent="0.35">
      <c r="A165" s="158" t="s">
        <v>12</v>
      </c>
      <c r="B165" s="158" t="s">
        <v>0</v>
      </c>
      <c r="C165" s="158" t="s">
        <v>132</v>
      </c>
      <c r="D165" s="158" t="s">
        <v>11</v>
      </c>
      <c r="E165" s="422" t="s">
        <v>125</v>
      </c>
      <c r="F165" s="423" t="s">
        <v>355</v>
      </c>
      <c r="G165" s="422" t="s">
        <v>495</v>
      </c>
      <c r="H165" s="422" t="s">
        <v>496</v>
      </c>
      <c r="I165" s="422" t="s">
        <v>134</v>
      </c>
      <c r="J165" s="422" t="s">
        <v>497</v>
      </c>
      <c r="K165" s="422" t="s">
        <v>133</v>
      </c>
    </row>
    <row r="166" spans="1:11" ht="15" customHeight="1" outlineLevel="2" x14ac:dyDescent="0.35">
      <c r="A166" s="82" t="s">
        <v>390</v>
      </c>
      <c r="B166" s="82" t="s">
        <v>136</v>
      </c>
      <c r="C166" s="69">
        <v>356</v>
      </c>
      <c r="D166" s="69" t="s">
        <v>414</v>
      </c>
      <c r="E166" s="145">
        <v>659885</v>
      </c>
      <c r="F166" s="392">
        <v>0</v>
      </c>
      <c r="G166" s="145">
        <v>659885</v>
      </c>
      <c r="H166" s="392">
        <v>0</v>
      </c>
      <c r="I166" s="392">
        <v>0</v>
      </c>
      <c r="J166" s="392">
        <v>0</v>
      </c>
      <c r="K166" s="145">
        <v>659885</v>
      </c>
    </row>
    <row r="167" spans="1:11" ht="15" customHeight="1" outlineLevel="2" x14ac:dyDescent="0.35">
      <c r="A167" s="82" t="s">
        <v>390</v>
      </c>
      <c r="B167" s="82" t="s">
        <v>136</v>
      </c>
      <c r="C167" s="69">
        <v>356</v>
      </c>
      <c r="D167" s="69" t="s">
        <v>399</v>
      </c>
      <c r="E167" s="145">
        <v>669653</v>
      </c>
      <c r="F167" s="392">
        <v>0</v>
      </c>
      <c r="G167" s="145">
        <v>669653</v>
      </c>
      <c r="H167" s="392">
        <v>0</v>
      </c>
      <c r="I167" s="392">
        <v>0</v>
      </c>
      <c r="J167" s="392">
        <v>0</v>
      </c>
      <c r="K167" s="145">
        <v>669653</v>
      </c>
    </row>
    <row r="168" spans="1:11" ht="15" customHeight="1" outlineLevel="2" x14ac:dyDescent="0.35">
      <c r="A168" s="82" t="s">
        <v>390</v>
      </c>
      <c r="B168" s="82" t="s">
        <v>136</v>
      </c>
      <c r="C168" s="69">
        <v>356</v>
      </c>
      <c r="D168" s="69" t="s">
        <v>4</v>
      </c>
      <c r="E168" s="145">
        <v>618356</v>
      </c>
      <c r="F168" s="392">
        <v>0</v>
      </c>
      <c r="G168" s="145">
        <v>618356</v>
      </c>
      <c r="H168" s="392">
        <v>0</v>
      </c>
      <c r="I168" s="392">
        <v>0</v>
      </c>
      <c r="J168" s="392">
        <v>0</v>
      </c>
      <c r="K168" s="145">
        <v>618356</v>
      </c>
    </row>
    <row r="169" spans="1:11" ht="15" customHeight="1" outlineLevel="2" x14ac:dyDescent="0.35">
      <c r="A169" s="82" t="s">
        <v>390</v>
      </c>
      <c r="B169" s="82" t="s">
        <v>136</v>
      </c>
      <c r="C169" s="69">
        <v>356</v>
      </c>
      <c r="D169" s="69" t="s">
        <v>2</v>
      </c>
      <c r="E169" s="145">
        <v>538204</v>
      </c>
      <c r="F169" s="392">
        <v>0</v>
      </c>
      <c r="G169" s="145">
        <v>538204</v>
      </c>
      <c r="H169" s="392">
        <v>0</v>
      </c>
      <c r="I169" s="392">
        <v>0</v>
      </c>
      <c r="J169" s="392">
        <v>0</v>
      </c>
      <c r="K169" s="145">
        <v>538204</v>
      </c>
    </row>
    <row r="170" spans="1:11" ht="15.5" outlineLevel="1" x14ac:dyDescent="0.35">
      <c r="A170" s="82" t="s">
        <v>390</v>
      </c>
      <c r="B170" s="82" t="s">
        <v>136</v>
      </c>
      <c r="C170" s="69">
        <v>356</v>
      </c>
      <c r="D170" s="69" t="s">
        <v>5</v>
      </c>
      <c r="E170" s="145">
        <v>501396</v>
      </c>
      <c r="F170" s="392">
        <v>0</v>
      </c>
      <c r="G170" s="145">
        <v>501396</v>
      </c>
      <c r="H170" s="392">
        <v>0</v>
      </c>
      <c r="I170" s="392">
        <v>0</v>
      </c>
      <c r="J170" s="392">
        <v>0</v>
      </c>
      <c r="K170" s="145">
        <v>501396</v>
      </c>
    </row>
    <row r="171" spans="1:11" ht="15" customHeight="1" outlineLevel="2" x14ac:dyDescent="0.35">
      <c r="A171" s="82" t="s">
        <v>390</v>
      </c>
      <c r="B171" s="82" t="s">
        <v>136</v>
      </c>
      <c r="C171" s="69">
        <v>356</v>
      </c>
      <c r="D171" s="69" t="s">
        <v>140</v>
      </c>
      <c r="E171" s="145">
        <v>517346</v>
      </c>
      <c r="F171" s="392">
        <v>0</v>
      </c>
      <c r="G171" s="145">
        <v>517346</v>
      </c>
      <c r="H171" s="392">
        <v>0</v>
      </c>
      <c r="I171" s="392">
        <v>0</v>
      </c>
      <c r="J171" s="392">
        <v>0</v>
      </c>
      <c r="K171" s="145">
        <v>517346</v>
      </c>
    </row>
    <row r="172" spans="1:11" ht="15" customHeight="1" outlineLevel="2" x14ac:dyDescent="0.35">
      <c r="A172" s="82" t="s">
        <v>390</v>
      </c>
      <c r="B172" s="82" t="s">
        <v>136</v>
      </c>
      <c r="C172" s="69">
        <v>356</v>
      </c>
      <c r="D172" s="69" t="s">
        <v>3</v>
      </c>
      <c r="E172" s="145">
        <v>411975</v>
      </c>
      <c r="F172" s="392">
        <v>0</v>
      </c>
      <c r="G172" s="145">
        <v>411975</v>
      </c>
      <c r="H172" s="392">
        <v>0</v>
      </c>
      <c r="I172" s="392">
        <v>0</v>
      </c>
      <c r="J172" s="392">
        <v>0</v>
      </c>
      <c r="K172" s="145">
        <v>411975</v>
      </c>
    </row>
    <row r="173" spans="1:11" ht="15" customHeight="1" outlineLevel="2" x14ac:dyDescent="0.35">
      <c r="A173" s="82" t="s">
        <v>390</v>
      </c>
      <c r="B173" s="82" t="s">
        <v>136</v>
      </c>
      <c r="C173" s="69">
        <v>356</v>
      </c>
      <c r="D173" s="69" t="s">
        <v>143</v>
      </c>
      <c r="E173" s="145">
        <v>369012</v>
      </c>
      <c r="F173" s="392">
        <v>0</v>
      </c>
      <c r="G173" s="145">
        <v>369012</v>
      </c>
      <c r="H173" s="392">
        <v>0</v>
      </c>
      <c r="I173" s="392">
        <v>0</v>
      </c>
      <c r="J173" s="392">
        <v>0</v>
      </c>
      <c r="K173" s="145">
        <v>369012</v>
      </c>
    </row>
    <row r="174" spans="1:11" ht="15" customHeight="1" outlineLevel="2" x14ac:dyDescent="0.35">
      <c r="A174" s="82" t="s">
        <v>390</v>
      </c>
      <c r="B174" s="82" t="s">
        <v>136</v>
      </c>
      <c r="C174" s="69">
        <v>356</v>
      </c>
      <c r="D174" s="69" t="s">
        <v>41</v>
      </c>
      <c r="E174" s="145">
        <v>339391</v>
      </c>
      <c r="F174" s="392">
        <v>0</v>
      </c>
      <c r="G174" s="145">
        <v>339391</v>
      </c>
      <c r="H174" s="392">
        <v>0</v>
      </c>
      <c r="I174" s="392">
        <v>0</v>
      </c>
      <c r="J174" s="392">
        <v>0</v>
      </c>
      <c r="K174" s="145">
        <v>339391</v>
      </c>
    </row>
    <row r="175" spans="1:11" ht="15" customHeight="1" outlineLevel="2" x14ac:dyDescent="0.35">
      <c r="A175" s="82" t="s">
        <v>390</v>
      </c>
      <c r="B175" s="82" t="s">
        <v>136</v>
      </c>
      <c r="C175" s="69">
        <v>356</v>
      </c>
      <c r="D175" s="69" t="s">
        <v>44</v>
      </c>
      <c r="E175" s="145">
        <v>418145</v>
      </c>
      <c r="F175" s="392">
        <v>0</v>
      </c>
      <c r="G175" s="145">
        <v>418145</v>
      </c>
      <c r="H175" s="392">
        <v>0</v>
      </c>
      <c r="I175" s="392">
        <v>0</v>
      </c>
      <c r="J175" s="392">
        <v>0</v>
      </c>
      <c r="K175" s="145">
        <v>418145</v>
      </c>
    </row>
    <row r="176" spans="1:11" ht="15" customHeight="1" outlineLevel="2" x14ac:dyDescent="0.35">
      <c r="A176" s="82" t="s">
        <v>390</v>
      </c>
      <c r="B176" s="82" t="s">
        <v>136</v>
      </c>
      <c r="C176" s="69">
        <v>356</v>
      </c>
      <c r="D176" s="69" t="s">
        <v>45</v>
      </c>
      <c r="E176" s="145">
        <v>361937</v>
      </c>
      <c r="F176" s="392">
        <v>0</v>
      </c>
      <c r="G176" s="145">
        <v>361937</v>
      </c>
      <c r="H176" s="392">
        <v>0</v>
      </c>
      <c r="I176" s="392">
        <v>0</v>
      </c>
      <c r="J176" s="392">
        <v>0</v>
      </c>
      <c r="K176" s="145">
        <v>361937</v>
      </c>
    </row>
    <row r="177" spans="1:11" ht="15" customHeight="1" outlineLevel="2" x14ac:dyDescent="0.35">
      <c r="A177" s="82" t="s">
        <v>390</v>
      </c>
      <c r="B177" s="82" t="s">
        <v>136</v>
      </c>
      <c r="C177" s="69">
        <v>356</v>
      </c>
      <c r="D177" s="69" t="s">
        <v>46</v>
      </c>
      <c r="E177" s="145">
        <v>268931</v>
      </c>
      <c r="F177" s="392">
        <v>0</v>
      </c>
      <c r="G177" s="145">
        <v>268931</v>
      </c>
      <c r="H177" s="392">
        <v>0</v>
      </c>
      <c r="I177" s="392">
        <v>0</v>
      </c>
      <c r="J177" s="392">
        <v>0</v>
      </c>
      <c r="K177" s="145">
        <v>268931</v>
      </c>
    </row>
    <row r="178" spans="1:11" ht="15" customHeight="1" outlineLevel="2" x14ac:dyDescent="0.35">
      <c r="A178" s="82" t="s">
        <v>390</v>
      </c>
      <c r="B178" s="82" t="s">
        <v>136</v>
      </c>
      <c r="C178" s="69">
        <v>356</v>
      </c>
      <c r="D178" s="69" t="s">
        <v>47</v>
      </c>
      <c r="E178" s="145">
        <v>361066</v>
      </c>
      <c r="F178" s="392">
        <v>0</v>
      </c>
      <c r="G178" s="145">
        <v>361066</v>
      </c>
      <c r="H178" s="392">
        <v>0</v>
      </c>
      <c r="I178" s="392">
        <v>0</v>
      </c>
      <c r="J178" s="392">
        <v>0</v>
      </c>
      <c r="K178" s="145">
        <v>361066</v>
      </c>
    </row>
    <row r="179" spans="1:11" ht="15" customHeight="1" outlineLevel="2" x14ac:dyDescent="0.35">
      <c r="A179" s="82" t="s">
        <v>390</v>
      </c>
      <c r="B179" s="82" t="s">
        <v>136</v>
      </c>
      <c r="C179" s="69">
        <v>356</v>
      </c>
      <c r="D179" s="69" t="s">
        <v>48</v>
      </c>
      <c r="E179" s="145">
        <v>271154</v>
      </c>
      <c r="F179" s="392">
        <v>0</v>
      </c>
      <c r="G179" s="145">
        <v>271154</v>
      </c>
      <c r="H179" s="392">
        <v>0</v>
      </c>
      <c r="I179" s="392">
        <v>0</v>
      </c>
      <c r="J179" s="392">
        <v>0</v>
      </c>
      <c r="K179" s="145">
        <v>271154</v>
      </c>
    </row>
    <row r="180" spans="1:11" ht="15" customHeight="1" outlineLevel="2" x14ac:dyDescent="0.35">
      <c r="A180" s="82" t="s">
        <v>390</v>
      </c>
      <c r="B180" s="82" t="s">
        <v>136</v>
      </c>
      <c r="C180" s="69">
        <v>356</v>
      </c>
      <c r="D180" s="69" t="s">
        <v>49</v>
      </c>
      <c r="E180" s="145">
        <v>298172</v>
      </c>
      <c r="F180" s="392">
        <v>0</v>
      </c>
      <c r="G180" s="145">
        <v>298172</v>
      </c>
      <c r="H180" s="392">
        <v>0</v>
      </c>
      <c r="I180" s="392">
        <v>0</v>
      </c>
      <c r="J180" s="392">
        <v>0</v>
      </c>
      <c r="K180" s="145">
        <v>298172</v>
      </c>
    </row>
    <row r="181" spans="1:11" ht="15" customHeight="1" outlineLevel="2" x14ac:dyDescent="0.35">
      <c r="A181" s="82" t="s">
        <v>390</v>
      </c>
      <c r="B181" s="82" t="s">
        <v>136</v>
      </c>
      <c r="C181" s="69">
        <v>356</v>
      </c>
      <c r="D181" s="69" t="s">
        <v>50</v>
      </c>
      <c r="E181" s="145">
        <v>241835</v>
      </c>
      <c r="F181" s="392">
        <v>0</v>
      </c>
      <c r="G181" s="145">
        <v>241835</v>
      </c>
      <c r="H181" s="392">
        <v>0</v>
      </c>
      <c r="I181" s="392">
        <v>0</v>
      </c>
      <c r="J181" s="392">
        <v>0</v>
      </c>
      <c r="K181" s="145">
        <v>241835</v>
      </c>
    </row>
    <row r="182" spans="1:11" ht="15.5" outlineLevel="1" x14ac:dyDescent="0.35">
      <c r="A182" s="82" t="s">
        <v>390</v>
      </c>
      <c r="B182" s="82" t="s">
        <v>136</v>
      </c>
      <c r="C182" s="69">
        <v>356</v>
      </c>
      <c r="D182" s="69" t="s">
        <v>51</v>
      </c>
      <c r="E182" s="145">
        <v>224328</v>
      </c>
      <c r="F182" s="392">
        <v>0</v>
      </c>
      <c r="G182" s="145">
        <v>224328</v>
      </c>
      <c r="H182" s="392">
        <v>0</v>
      </c>
      <c r="I182" s="392">
        <v>0</v>
      </c>
      <c r="J182" s="392">
        <v>0</v>
      </c>
      <c r="K182" s="145">
        <v>224328</v>
      </c>
    </row>
    <row r="183" spans="1:11" ht="15.5" outlineLevel="2" x14ac:dyDescent="0.35">
      <c r="A183" s="96" t="s">
        <v>391</v>
      </c>
      <c r="B183" s="427" t="s">
        <v>529</v>
      </c>
      <c r="C183" s="428" t="s">
        <v>529</v>
      </c>
      <c r="D183" s="428" t="s">
        <v>529</v>
      </c>
      <c r="E183" s="138">
        <f>SUBTOTAL(109,local356[Program
Costs])</f>
        <v>7070786</v>
      </c>
      <c r="F183" s="456" t="s">
        <v>615</v>
      </c>
      <c r="G183" s="138">
        <f>SUBTOTAL(109,local356[Accounts Payable
Balance])</f>
        <v>7070786</v>
      </c>
      <c r="H183" s="456" t="s">
        <v>615</v>
      </c>
      <c r="I183" s="456" t="s">
        <v>615</v>
      </c>
      <c r="J183" s="456" t="s">
        <v>615</v>
      </c>
      <c r="K183" s="138">
        <f>SUBTOTAL(109,local356[Net
Balance])</f>
        <v>7070786</v>
      </c>
    </row>
    <row r="184" spans="1:11" ht="15.5" outlineLevel="2" x14ac:dyDescent="0.35">
      <c r="A184" s="386" t="s">
        <v>540</v>
      </c>
      <c r="B184" s="139"/>
      <c r="C184" s="139"/>
      <c r="D184" s="139"/>
      <c r="E184" s="140"/>
      <c r="F184" s="140"/>
      <c r="G184" s="140"/>
      <c r="H184" s="140"/>
      <c r="I184" s="140"/>
      <c r="J184" s="140"/>
      <c r="K184" s="140"/>
    </row>
    <row r="185" spans="1:11" ht="46.5" outlineLevel="2" x14ac:dyDescent="0.35">
      <c r="A185" s="158" t="s">
        <v>12</v>
      </c>
      <c r="B185" s="158" t="s">
        <v>0</v>
      </c>
      <c r="C185" s="158" t="s">
        <v>132</v>
      </c>
      <c r="D185" s="158" t="s">
        <v>11</v>
      </c>
      <c r="E185" s="422" t="s">
        <v>125</v>
      </c>
      <c r="F185" s="423" t="s">
        <v>355</v>
      </c>
      <c r="G185" s="422" t="s">
        <v>495</v>
      </c>
      <c r="H185" s="422" t="s">
        <v>496</v>
      </c>
      <c r="I185" s="422" t="s">
        <v>134</v>
      </c>
      <c r="J185" s="422" t="s">
        <v>497</v>
      </c>
      <c r="K185" s="422" t="s">
        <v>133</v>
      </c>
    </row>
    <row r="186" spans="1:11" ht="15.5" outlineLevel="2" x14ac:dyDescent="0.35">
      <c r="A186" s="82" t="s">
        <v>392</v>
      </c>
      <c r="B186" s="82" t="s">
        <v>393</v>
      </c>
      <c r="C186" s="69">
        <v>324</v>
      </c>
      <c r="D186" s="69" t="s">
        <v>3</v>
      </c>
      <c r="E186" s="145">
        <v>5284437</v>
      </c>
      <c r="F186" s="392">
        <v>0</v>
      </c>
      <c r="G186" s="145">
        <v>5284437</v>
      </c>
      <c r="H186" s="392">
        <v>0</v>
      </c>
      <c r="I186" s="392">
        <v>0</v>
      </c>
      <c r="J186" s="392">
        <v>0</v>
      </c>
      <c r="K186" s="145">
        <v>5284437</v>
      </c>
    </row>
    <row r="187" spans="1:11" ht="15.5" outlineLevel="1" x14ac:dyDescent="0.35">
      <c r="A187" s="82" t="s">
        <v>392</v>
      </c>
      <c r="B187" s="82" t="s">
        <v>393</v>
      </c>
      <c r="C187" s="69">
        <v>324</v>
      </c>
      <c r="D187" s="69" t="s">
        <v>143</v>
      </c>
      <c r="E187" s="145">
        <v>4156834</v>
      </c>
      <c r="F187" s="392">
        <v>0</v>
      </c>
      <c r="G187" s="145">
        <v>4156834</v>
      </c>
      <c r="H187" s="392">
        <v>0</v>
      </c>
      <c r="I187" s="392">
        <v>0</v>
      </c>
      <c r="J187" s="392">
        <v>0</v>
      </c>
      <c r="K187" s="145">
        <v>4156834</v>
      </c>
    </row>
    <row r="188" spans="1:11" ht="15" customHeight="1" outlineLevel="2" x14ac:dyDescent="0.35">
      <c r="A188" s="82" t="s">
        <v>392</v>
      </c>
      <c r="B188" s="82" t="s">
        <v>393</v>
      </c>
      <c r="C188" s="69">
        <v>324</v>
      </c>
      <c r="D188" s="69" t="s">
        <v>41</v>
      </c>
      <c r="E188" s="145">
        <v>2038396</v>
      </c>
      <c r="F188" s="392">
        <v>0</v>
      </c>
      <c r="G188" s="145">
        <v>2038396</v>
      </c>
      <c r="H188" s="392">
        <v>0</v>
      </c>
      <c r="I188" s="392">
        <v>0</v>
      </c>
      <c r="J188" s="392">
        <v>0</v>
      </c>
      <c r="K188" s="145">
        <v>2038396</v>
      </c>
    </row>
    <row r="189" spans="1:11" ht="15" customHeight="1" outlineLevel="2" x14ac:dyDescent="0.35">
      <c r="A189" s="82" t="s">
        <v>392</v>
      </c>
      <c r="B189" s="82" t="s">
        <v>393</v>
      </c>
      <c r="C189" s="69">
        <v>324</v>
      </c>
      <c r="D189" s="69" t="s">
        <v>44</v>
      </c>
      <c r="E189" s="145">
        <v>121578</v>
      </c>
      <c r="F189" s="392">
        <v>0</v>
      </c>
      <c r="G189" s="145">
        <v>121578</v>
      </c>
      <c r="H189" s="392">
        <v>0</v>
      </c>
      <c r="I189" s="392">
        <v>0</v>
      </c>
      <c r="J189" s="392">
        <v>0</v>
      </c>
      <c r="K189" s="145">
        <v>121578</v>
      </c>
    </row>
    <row r="190" spans="1:11" ht="15" customHeight="1" outlineLevel="2" x14ac:dyDescent="0.35">
      <c r="A190" s="82" t="s">
        <v>392</v>
      </c>
      <c r="B190" s="82" t="s">
        <v>393</v>
      </c>
      <c r="C190" s="69">
        <v>324</v>
      </c>
      <c r="D190" s="69" t="s">
        <v>45</v>
      </c>
      <c r="E190" s="145">
        <v>191573</v>
      </c>
      <c r="F190" s="392">
        <v>0</v>
      </c>
      <c r="G190" s="145">
        <v>191573</v>
      </c>
      <c r="H190" s="392">
        <v>0</v>
      </c>
      <c r="I190" s="392">
        <v>0</v>
      </c>
      <c r="J190" s="392">
        <v>0</v>
      </c>
      <c r="K190" s="145">
        <v>191573</v>
      </c>
    </row>
    <row r="191" spans="1:11" ht="15" customHeight="1" outlineLevel="2" x14ac:dyDescent="0.35">
      <c r="A191" s="82" t="s">
        <v>392</v>
      </c>
      <c r="B191" s="82" t="s">
        <v>393</v>
      </c>
      <c r="C191" s="69">
        <v>324</v>
      </c>
      <c r="D191" s="69" t="s">
        <v>46</v>
      </c>
      <c r="E191" s="145">
        <v>18688</v>
      </c>
      <c r="F191" s="392">
        <v>0</v>
      </c>
      <c r="G191" s="145">
        <v>18688</v>
      </c>
      <c r="H191" s="392">
        <v>0</v>
      </c>
      <c r="I191" s="392">
        <v>0</v>
      </c>
      <c r="J191" s="392">
        <v>0</v>
      </c>
      <c r="K191" s="145">
        <v>18688</v>
      </c>
    </row>
    <row r="192" spans="1:11" ht="15" customHeight="1" outlineLevel="2" x14ac:dyDescent="0.35">
      <c r="A192" s="82" t="s">
        <v>392</v>
      </c>
      <c r="B192" s="82" t="s">
        <v>393</v>
      </c>
      <c r="C192" s="69">
        <v>324</v>
      </c>
      <c r="D192" s="69" t="s">
        <v>47</v>
      </c>
      <c r="E192" s="145">
        <v>24807</v>
      </c>
      <c r="F192" s="392">
        <v>0</v>
      </c>
      <c r="G192" s="145">
        <v>24807</v>
      </c>
      <c r="H192" s="392">
        <v>0</v>
      </c>
      <c r="I192" s="392">
        <v>0</v>
      </c>
      <c r="J192" s="392">
        <v>0</v>
      </c>
      <c r="K192" s="145">
        <v>24807</v>
      </c>
    </row>
    <row r="193" spans="1:11" ht="15" customHeight="1" outlineLevel="2" x14ac:dyDescent="0.35">
      <c r="A193" s="82" t="s">
        <v>392</v>
      </c>
      <c r="B193" s="82" t="s">
        <v>393</v>
      </c>
      <c r="C193" s="69">
        <v>324</v>
      </c>
      <c r="D193" s="69" t="s">
        <v>48</v>
      </c>
      <c r="E193" s="145">
        <v>21868</v>
      </c>
      <c r="F193" s="392">
        <v>0</v>
      </c>
      <c r="G193" s="145">
        <v>21868</v>
      </c>
      <c r="H193" s="392">
        <v>0</v>
      </c>
      <c r="I193" s="392">
        <v>0</v>
      </c>
      <c r="J193" s="392">
        <v>0</v>
      </c>
      <c r="K193" s="145">
        <v>21868</v>
      </c>
    </row>
    <row r="194" spans="1:11" ht="15" customHeight="1" outlineLevel="2" x14ac:dyDescent="0.35">
      <c r="A194" s="82" t="s">
        <v>392</v>
      </c>
      <c r="B194" s="82" t="s">
        <v>393</v>
      </c>
      <c r="C194" s="69">
        <v>324</v>
      </c>
      <c r="D194" s="69" t="s">
        <v>49</v>
      </c>
      <c r="E194" s="145">
        <v>24382</v>
      </c>
      <c r="F194" s="392">
        <v>0</v>
      </c>
      <c r="G194" s="145">
        <v>24382</v>
      </c>
      <c r="H194" s="392">
        <v>0</v>
      </c>
      <c r="I194" s="392">
        <v>0</v>
      </c>
      <c r="J194" s="392">
        <v>0</v>
      </c>
      <c r="K194" s="145">
        <v>24382</v>
      </c>
    </row>
    <row r="195" spans="1:11" ht="15" customHeight="1" outlineLevel="2" x14ac:dyDescent="0.35">
      <c r="A195" s="82" t="s">
        <v>392</v>
      </c>
      <c r="B195" s="82" t="s">
        <v>393</v>
      </c>
      <c r="C195" s="69">
        <v>324</v>
      </c>
      <c r="D195" s="69" t="s">
        <v>50</v>
      </c>
      <c r="E195" s="145">
        <v>14834</v>
      </c>
      <c r="F195" s="392">
        <v>0</v>
      </c>
      <c r="G195" s="145">
        <v>14834</v>
      </c>
      <c r="H195" s="392">
        <v>0</v>
      </c>
      <c r="I195" s="392">
        <v>0</v>
      </c>
      <c r="J195" s="392">
        <v>0</v>
      </c>
      <c r="K195" s="145">
        <v>14834</v>
      </c>
    </row>
    <row r="196" spans="1:11" ht="15" customHeight="1" outlineLevel="2" x14ac:dyDescent="0.35">
      <c r="A196" s="82" t="s">
        <v>392</v>
      </c>
      <c r="B196" s="82" t="s">
        <v>393</v>
      </c>
      <c r="C196" s="69">
        <v>324</v>
      </c>
      <c r="D196" s="69" t="s">
        <v>51</v>
      </c>
      <c r="E196" s="145">
        <v>9310</v>
      </c>
      <c r="F196" s="392">
        <v>0</v>
      </c>
      <c r="G196" s="145">
        <v>9310</v>
      </c>
      <c r="H196" s="392">
        <v>0</v>
      </c>
      <c r="I196" s="392">
        <v>0</v>
      </c>
      <c r="J196" s="392">
        <v>0</v>
      </c>
      <c r="K196" s="145">
        <v>9310</v>
      </c>
    </row>
    <row r="197" spans="1:11" ht="15" customHeight="1" outlineLevel="2" x14ac:dyDescent="0.35">
      <c r="A197" s="96" t="s">
        <v>394</v>
      </c>
      <c r="B197" s="427" t="s">
        <v>529</v>
      </c>
      <c r="C197" s="428" t="s">
        <v>529</v>
      </c>
      <c r="D197" s="428" t="s">
        <v>529</v>
      </c>
      <c r="E197" s="138">
        <f>SUBTOTAL(109,local324[Program
Costs])</f>
        <v>11906707</v>
      </c>
      <c r="F197" s="456" t="s">
        <v>615</v>
      </c>
      <c r="G197" s="138">
        <f>SUBTOTAL(109,local324[Accounts Payable
Balance])</f>
        <v>11906707</v>
      </c>
      <c r="H197" s="456" t="s">
        <v>615</v>
      </c>
      <c r="I197" s="456" t="s">
        <v>615</v>
      </c>
      <c r="J197" s="456" t="s">
        <v>615</v>
      </c>
      <c r="K197" s="138">
        <f>SUBTOTAL(109,local324[Net
Balance])</f>
        <v>11906707</v>
      </c>
    </row>
    <row r="198" spans="1:11" ht="15" customHeight="1" outlineLevel="2" x14ac:dyDescent="0.35">
      <c r="A198" s="386" t="s">
        <v>540</v>
      </c>
      <c r="B198" s="139"/>
      <c r="C198" s="139"/>
      <c r="D198" s="139"/>
      <c r="E198" s="140"/>
      <c r="F198" s="140"/>
      <c r="G198" s="140"/>
      <c r="H198" s="140"/>
      <c r="I198" s="140"/>
      <c r="J198" s="140"/>
      <c r="K198" s="140"/>
    </row>
    <row r="199" spans="1:11" ht="51.5" customHeight="1" outlineLevel="2" x14ac:dyDescent="0.35">
      <c r="A199" s="158" t="s">
        <v>12</v>
      </c>
      <c r="B199" s="158" t="s">
        <v>0</v>
      </c>
      <c r="C199" s="158" t="s">
        <v>132</v>
      </c>
      <c r="D199" s="158" t="s">
        <v>11</v>
      </c>
      <c r="E199" s="422" t="s">
        <v>125</v>
      </c>
      <c r="F199" s="423" t="s">
        <v>355</v>
      </c>
      <c r="G199" s="422" t="s">
        <v>495</v>
      </c>
      <c r="H199" s="422" t="s">
        <v>496</v>
      </c>
      <c r="I199" s="422" t="s">
        <v>134</v>
      </c>
      <c r="J199" s="422" t="s">
        <v>497</v>
      </c>
      <c r="K199" s="422" t="s">
        <v>133</v>
      </c>
    </row>
    <row r="200" spans="1:11" ht="15.5" outlineLevel="1" x14ac:dyDescent="0.35">
      <c r="A200" s="144" t="s">
        <v>415</v>
      </c>
      <c r="B200" s="82" t="s">
        <v>416</v>
      </c>
      <c r="C200" s="69">
        <v>372</v>
      </c>
      <c r="D200" s="69" t="s">
        <v>414</v>
      </c>
      <c r="E200" s="145">
        <v>1288386</v>
      </c>
      <c r="F200" s="392">
        <v>0</v>
      </c>
      <c r="G200" s="145">
        <v>1288386</v>
      </c>
      <c r="H200" s="392">
        <v>0</v>
      </c>
      <c r="I200" s="392">
        <v>0</v>
      </c>
      <c r="J200" s="392">
        <v>0</v>
      </c>
      <c r="K200" s="145">
        <v>1288386</v>
      </c>
    </row>
    <row r="201" spans="1:11" ht="15.5" x14ac:dyDescent="0.35">
      <c r="A201" s="144" t="s">
        <v>415</v>
      </c>
      <c r="B201" s="82" t="s">
        <v>416</v>
      </c>
      <c r="C201" s="69">
        <v>372</v>
      </c>
      <c r="D201" s="69" t="s">
        <v>399</v>
      </c>
      <c r="E201" s="145">
        <v>1290532</v>
      </c>
      <c r="F201" s="392">
        <v>0</v>
      </c>
      <c r="G201" s="145">
        <v>1290532</v>
      </c>
      <c r="H201" s="392">
        <v>0</v>
      </c>
      <c r="I201" s="392">
        <v>0</v>
      </c>
      <c r="J201" s="392">
        <v>0</v>
      </c>
      <c r="K201" s="145">
        <v>1290532</v>
      </c>
    </row>
    <row r="202" spans="1:11" ht="15.5" x14ac:dyDescent="0.35">
      <c r="A202" s="144" t="s">
        <v>415</v>
      </c>
      <c r="B202" s="82" t="s">
        <v>416</v>
      </c>
      <c r="C202" s="69">
        <v>372</v>
      </c>
      <c r="D202" s="69" t="s">
        <v>4</v>
      </c>
      <c r="E202" s="145">
        <v>1207871</v>
      </c>
      <c r="F202" s="392">
        <v>0</v>
      </c>
      <c r="G202" s="145">
        <v>1207871</v>
      </c>
      <c r="H202" s="392">
        <v>0</v>
      </c>
      <c r="I202" s="392">
        <v>0</v>
      </c>
      <c r="J202" s="392">
        <v>0</v>
      </c>
      <c r="K202" s="145">
        <v>1207871</v>
      </c>
    </row>
    <row r="203" spans="1:11" ht="15.5" x14ac:dyDescent="0.35">
      <c r="A203" s="96" t="s">
        <v>432</v>
      </c>
      <c r="B203" s="427" t="s">
        <v>529</v>
      </c>
      <c r="C203" s="428" t="s">
        <v>529</v>
      </c>
      <c r="D203" s="428" t="s">
        <v>529</v>
      </c>
      <c r="E203" s="138">
        <f>SUBTOTAL(109,local372[Program
Costs])</f>
        <v>3786789</v>
      </c>
      <c r="F203" s="456" t="s">
        <v>615</v>
      </c>
      <c r="G203" s="138">
        <f>SUBTOTAL(109,local372[Accounts Payable
Balance])</f>
        <v>3786789</v>
      </c>
      <c r="H203" s="456" t="s">
        <v>615</v>
      </c>
      <c r="I203" s="456" t="s">
        <v>615</v>
      </c>
      <c r="J203" s="456" t="s">
        <v>615</v>
      </c>
      <c r="K203" s="138">
        <f>SUBTOTAL(109,local372[Net
Balance])</f>
        <v>3786789</v>
      </c>
    </row>
    <row r="204" spans="1:11" ht="15.5" x14ac:dyDescent="0.35">
      <c r="A204" s="386" t="s">
        <v>540</v>
      </c>
      <c r="B204" s="139"/>
      <c r="C204" s="139"/>
      <c r="D204" s="139"/>
      <c r="E204" s="140"/>
      <c r="F204" s="140"/>
      <c r="G204" s="140"/>
      <c r="H204" s="140"/>
      <c r="I204" s="140"/>
      <c r="J204" s="140"/>
      <c r="K204" s="140"/>
    </row>
    <row r="205" spans="1:11" ht="46.5" x14ac:dyDescent="0.35">
      <c r="A205" s="158" t="s">
        <v>12</v>
      </c>
      <c r="B205" s="158" t="s">
        <v>0</v>
      </c>
      <c r="C205" s="158" t="s">
        <v>132</v>
      </c>
      <c r="D205" s="158" t="s">
        <v>11</v>
      </c>
      <c r="E205" s="422" t="s">
        <v>125</v>
      </c>
      <c r="F205" s="423" t="s">
        <v>355</v>
      </c>
      <c r="G205" s="422" t="s">
        <v>495</v>
      </c>
      <c r="H205" s="422" t="s">
        <v>496</v>
      </c>
      <c r="I205" s="422" t="s">
        <v>134</v>
      </c>
      <c r="J205" s="422" t="s">
        <v>497</v>
      </c>
      <c r="K205" s="422" t="s">
        <v>133</v>
      </c>
    </row>
    <row r="206" spans="1:11" ht="15.5" x14ac:dyDescent="0.35">
      <c r="A206" s="82" t="s">
        <v>395</v>
      </c>
      <c r="B206" s="82" t="s">
        <v>396</v>
      </c>
      <c r="C206" s="69">
        <v>331</v>
      </c>
      <c r="D206" s="69" t="s">
        <v>3</v>
      </c>
      <c r="E206" s="145">
        <v>2500091</v>
      </c>
      <c r="F206" s="392">
        <v>0</v>
      </c>
      <c r="G206" s="145">
        <v>2500091</v>
      </c>
      <c r="H206" s="392">
        <v>0</v>
      </c>
      <c r="I206" s="392">
        <v>0</v>
      </c>
      <c r="J206" s="392">
        <v>0</v>
      </c>
      <c r="K206" s="145">
        <v>2500091</v>
      </c>
    </row>
    <row r="207" spans="1:11" ht="15.5" x14ac:dyDescent="0.35">
      <c r="A207" s="82" t="s">
        <v>395</v>
      </c>
      <c r="B207" s="82" t="s">
        <v>396</v>
      </c>
      <c r="C207" s="69">
        <v>331</v>
      </c>
      <c r="D207" s="69" t="s">
        <v>143</v>
      </c>
      <c r="E207" s="145">
        <v>649325</v>
      </c>
      <c r="F207" s="392">
        <v>0</v>
      </c>
      <c r="G207" s="145">
        <v>649325</v>
      </c>
      <c r="H207" s="392">
        <v>0</v>
      </c>
      <c r="I207" s="392">
        <v>0</v>
      </c>
      <c r="J207" s="392">
        <v>0</v>
      </c>
      <c r="K207" s="145">
        <v>649325</v>
      </c>
    </row>
    <row r="208" spans="1:11" ht="15.5" x14ac:dyDescent="0.35">
      <c r="A208" s="82" t="s">
        <v>395</v>
      </c>
      <c r="B208" s="82" t="s">
        <v>396</v>
      </c>
      <c r="C208" s="69">
        <v>331</v>
      </c>
      <c r="D208" s="69" t="s">
        <v>41</v>
      </c>
      <c r="E208" s="145">
        <v>1484457</v>
      </c>
      <c r="F208" s="392">
        <v>0</v>
      </c>
      <c r="G208" s="145">
        <v>1484457</v>
      </c>
      <c r="H208" s="392">
        <v>0</v>
      </c>
      <c r="I208" s="392">
        <v>0</v>
      </c>
      <c r="J208" s="392">
        <v>0</v>
      </c>
      <c r="K208" s="145">
        <v>1484457</v>
      </c>
    </row>
    <row r="209" spans="1:11" ht="15.5" x14ac:dyDescent="0.35">
      <c r="A209" s="82" t="s">
        <v>395</v>
      </c>
      <c r="B209" s="82" t="s">
        <v>396</v>
      </c>
      <c r="C209" s="69">
        <v>331</v>
      </c>
      <c r="D209" s="69" t="s">
        <v>44</v>
      </c>
      <c r="E209" s="145">
        <v>467811</v>
      </c>
      <c r="F209" s="392">
        <v>0</v>
      </c>
      <c r="G209" s="145">
        <v>467811</v>
      </c>
      <c r="H209" s="392">
        <v>0</v>
      </c>
      <c r="I209" s="392">
        <v>0</v>
      </c>
      <c r="J209" s="392">
        <v>0</v>
      </c>
      <c r="K209" s="145">
        <v>467811</v>
      </c>
    </row>
    <row r="210" spans="1:11" ht="15.5" x14ac:dyDescent="0.35">
      <c r="A210" s="82" t="s">
        <v>395</v>
      </c>
      <c r="B210" s="82" t="s">
        <v>396</v>
      </c>
      <c r="C210" s="69">
        <v>331</v>
      </c>
      <c r="D210" s="69" t="s">
        <v>45</v>
      </c>
      <c r="E210" s="145">
        <v>1361366</v>
      </c>
      <c r="F210" s="392">
        <v>0</v>
      </c>
      <c r="G210" s="145">
        <v>1361366</v>
      </c>
      <c r="H210" s="392">
        <v>0</v>
      </c>
      <c r="I210" s="392">
        <v>0</v>
      </c>
      <c r="J210" s="392">
        <v>0</v>
      </c>
      <c r="K210" s="145">
        <v>1361366</v>
      </c>
    </row>
    <row r="211" spans="1:11" ht="15.5" x14ac:dyDescent="0.35">
      <c r="A211" s="82" t="s">
        <v>395</v>
      </c>
      <c r="B211" s="82" t="s">
        <v>396</v>
      </c>
      <c r="C211" s="69">
        <v>331</v>
      </c>
      <c r="D211" s="69" t="s">
        <v>46</v>
      </c>
      <c r="E211" s="145">
        <v>418990</v>
      </c>
      <c r="F211" s="392">
        <v>0</v>
      </c>
      <c r="G211" s="145">
        <v>418990</v>
      </c>
      <c r="H211" s="392">
        <v>0</v>
      </c>
      <c r="I211" s="392">
        <v>0</v>
      </c>
      <c r="J211" s="392">
        <v>0</v>
      </c>
      <c r="K211" s="145">
        <v>418990</v>
      </c>
    </row>
    <row r="212" spans="1:11" ht="15.5" x14ac:dyDescent="0.35">
      <c r="A212" s="82" t="s">
        <v>395</v>
      </c>
      <c r="B212" s="82" t="s">
        <v>396</v>
      </c>
      <c r="C212" s="69">
        <v>331</v>
      </c>
      <c r="D212" s="69" t="s">
        <v>47</v>
      </c>
      <c r="E212" s="145">
        <v>695563</v>
      </c>
      <c r="F212" s="392">
        <v>0</v>
      </c>
      <c r="G212" s="145">
        <v>695563</v>
      </c>
      <c r="H212" s="392">
        <v>0</v>
      </c>
      <c r="I212" s="392">
        <v>0</v>
      </c>
      <c r="J212" s="392">
        <v>0</v>
      </c>
      <c r="K212" s="145">
        <v>695563</v>
      </c>
    </row>
    <row r="213" spans="1:11" ht="15.5" x14ac:dyDescent="0.35">
      <c r="A213" s="82" t="s">
        <v>395</v>
      </c>
      <c r="B213" s="82" t="s">
        <v>396</v>
      </c>
      <c r="C213" s="69">
        <v>331</v>
      </c>
      <c r="D213" s="69" t="s">
        <v>48</v>
      </c>
      <c r="E213" s="145">
        <v>427478</v>
      </c>
      <c r="F213" s="392">
        <v>0</v>
      </c>
      <c r="G213" s="145">
        <v>427478</v>
      </c>
      <c r="H213" s="392">
        <v>0</v>
      </c>
      <c r="I213" s="392">
        <v>0</v>
      </c>
      <c r="J213" s="392">
        <v>0</v>
      </c>
      <c r="K213" s="145">
        <v>427478</v>
      </c>
    </row>
    <row r="214" spans="1:11" ht="15.5" x14ac:dyDescent="0.35">
      <c r="A214" s="82" t="s">
        <v>395</v>
      </c>
      <c r="B214" s="82" t="s">
        <v>396</v>
      </c>
      <c r="C214" s="69">
        <v>331</v>
      </c>
      <c r="D214" s="69" t="s">
        <v>49</v>
      </c>
      <c r="E214" s="145">
        <v>1088135</v>
      </c>
      <c r="F214" s="392">
        <v>0</v>
      </c>
      <c r="G214" s="145">
        <v>1088135</v>
      </c>
      <c r="H214" s="392">
        <v>0</v>
      </c>
      <c r="I214" s="392">
        <v>0</v>
      </c>
      <c r="J214" s="392">
        <v>0</v>
      </c>
      <c r="K214" s="145">
        <v>1088135</v>
      </c>
    </row>
    <row r="215" spans="1:11" ht="15.5" x14ac:dyDescent="0.35">
      <c r="A215" s="82" t="s">
        <v>395</v>
      </c>
      <c r="B215" s="82" t="s">
        <v>396</v>
      </c>
      <c r="C215" s="69">
        <v>331</v>
      </c>
      <c r="D215" s="69" t="s">
        <v>50</v>
      </c>
      <c r="E215" s="145">
        <v>514260</v>
      </c>
      <c r="F215" s="392">
        <v>0</v>
      </c>
      <c r="G215" s="145">
        <v>514260</v>
      </c>
      <c r="H215" s="392">
        <v>0</v>
      </c>
      <c r="I215" s="392">
        <v>0</v>
      </c>
      <c r="J215" s="392">
        <v>0</v>
      </c>
      <c r="K215" s="145">
        <v>514260</v>
      </c>
    </row>
    <row r="216" spans="1:11" ht="15.5" x14ac:dyDescent="0.35">
      <c r="A216" s="82" t="s">
        <v>395</v>
      </c>
      <c r="B216" s="82" t="s">
        <v>396</v>
      </c>
      <c r="C216" s="69">
        <v>331</v>
      </c>
      <c r="D216" s="69" t="s">
        <v>51</v>
      </c>
      <c r="E216" s="145">
        <v>467915</v>
      </c>
      <c r="F216" s="392">
        <v>0</v>
      </c>
      <c r="G216" s="145">
        <v>467915</v>
      </c>
      <c r="H216" s="392">
        <v>0</v>
      </c>
      <c r="I216" s="392">
        <v>0</v>
      </c>
      <c r="J216" s="392">
        <v>0</v>
      </c>
      <c r="K216" s="145">
        <v>467915</v>
      </c>
    </row>
    <row r="217" spans="1:11" ht="15.5" x14ac:dyDescent="0.35">
      <c r="A217" s="96" t="s">
        <v>397</v>
      </c>
      <c r="B217" s="427" t="s">
        <v>529</v>
      </c>
      <c r="C217" s="428" t="s">
        <v>529</v>
      </c>
      <c r="D217" s="428" t="s">
        <v>529</v>
      </c>
      <c r="E217" s="138">
        <f>SUBTOTAL(109,local331[Program
Costs])</f>
        <v>10075391</v>
      </c>
      <c r="F217" s="456" t="s">
        <v>615</v>
      </c>
      <c r="G217" s="138">
        <f>SUBTOTAL(109,local331[Accounts Payable
Balance])</f>
        <v>10075391</v>
      </c>
      <c r="H217" s="456" t="s">
        <v>615</v>
      </c>
      <c r="I217" s="456" t="s">
        <v>615</v>
      </c>
      <c r="J217" s="456" t="s">
        <v>615</v>
      </c>
      <c r="K217" s="138">
        <f>SUBTOTAL(109,local331[Net
Balance])</f>
        <v>10075391</v>
      </c>
    </row>
    <row r="218" spans="1:11" ht="15.5" x14ac:dyDescent="0.35">
      <c r="A218" s="386" t="s">
        <v>540</v>
      </c>
      <c r="B218" s="82"/>
      <c r="C218" s="69"/>
      <c r="D218" s="69"/>
      <c r="E218" s="406"/>
      <c r="F218" s="406"/>
      <c r="G218" s="406"/>
      <c r="H218" s="406"/>
      <c r="I218" s="406"/>
      <c r="J218" s="406"/>
      <c r="K218" s="406"/>
    </row>
    <row r="219" spans="1:11" ht="46.5" x14ac:dyDescent="0.35">
      <c r="A219" s="158" t="s">
        <v>12</v>
      </c>
      <c r="B219" s="158" t="s">
        <v>0</v>
      </c>
      <c r="C219" s="158" t="s">
        <v>132</v>
      </c>
      <c r="D219" s="158" t="s">
        <v>11</v>
      </c>
      <c r="E219" s="422" t="s">
        <v>125</v>
      </c>
      <c r="F219" s="423" t="s">
        <v>355</v>
      </c>
      <c r="G219" s="422" t="s">
        <v>495</v>
      </c>
      <c r="H219" s="422" t="s">
        <v>496</v>
      </c>
      <c r="I219" s="422" t="s">
        <v>134</v>
      </c>
      <c r="J219" s="422" t="s">
        <v>497</v>
      </c>
      <c r="K219" s="422" t="s">
        <v>133</v>
      </c>
    </row>
    <row r="220" spans="1:11" ht="15.5" x14ac:dyDescent="0.35">
      <c r="A220" s="144" t="s">
        <v>356</v>
      </c>
      <c r="B220" s="173" t="s">
        <v>529</v>
      </c>
      <c r="C220" s="173" t="s">
        <v>529</v>
      </c>
      <c r="D220" s="173" t="s">
        <v>529</v>
      </c>
      <c r="E220" s="145">
        <f>local288[[#Totals],[Program
Costs]]</f>
        <v>216176</v>
      </c>
      <c r="F220" s="503" t="str">
        <f>local288[[#Totals],[Less: Net Payments and Offsets]]</f>
        <v>$0</v>
      </c>
      <c r="G220" s="145">
        <f>local288[[#Totals],[Accounts Payable
Balance]]</f>
        <v>216176</v>
      </c>
      <c r="H220" s="503" t="str">
        <f>local288[[#Totals],[Established
Accounts Receivable]]</f>
        <v>$0</v>
      </c>
      <c r="I220" s="503" t="str">
        <f>local288[[#Totals],[Less: Recovered Amount]]</f>
        <v>$0</v>
      </c>
      <c r="J220" s="503" t="str">
        <f>local288[[#Totals],[Accounts Receivable
Balance]]</f>
        <v>$0</v>
      </c>
      <c r="K220" s="145">
        <f>local288[[#Totals],[Net
Balance]]</f>
        <v>216176</v>
      </c>
    </row>
    <row r="221" spans="1:11" ht="15.5" x14ac:dyDescent="0.35">
      <c r="A221" s="144" t="s">
        <v>359</v>
      </c>
      <c r="B221" s="173" t="s">
        <v>529</v>
      </c>
      <c r="C221" s="173" t="s">
        <v>529</v>
      </c>
      <c r="D221" s="173" t="s">
        <v>529</v>
      </c>
      <c r="E221" s="145">
        <f>local310[[#Totals],[Program
Costs]]</f>
        <v>133109611</v>
      </c>
      <c r="F221" s="503" t="str">
        <f>local310[[#Totals],[Less: Net Payments and Offsets]]</f>
        <v>$0</v>
      </c>
      <c r="G221" s="145">
        <f>local310[[#Totals],[Accounts Payable
Balance]]</f>
        <v>133109611</v>
      </c>
      <c r="H221" s="503" t="str">
        <f>local310[[#Totals],[Established
Accounts Receivable]]</f>
        <v>$0</v>
      </c>
      <c r="I221" s="503" t="str">
        <f>local310[[#Totals],[Less: Recovered Amount]]</f>
        <v>$0</v>
      </c>
      <c r="J221" s="503" t="str">
        <f>local310[[#Totals],[Accounts Receivable
Balance]]</f>
        <v>$0</v>
      </c>
      <c r="K221" s="145">
        <f>local310[[#Totals],[Net
Balance]]</f>
        <v>133109611</v>
      </c>
    </row>
    <row r="222" spans="1:11" ht="15.5" x14ac:dyDescent="0.35">
      <c r="A222" s="144" t="s">
        <v>362</v>
      </c>
      <c r="B222" s="173" t="s">
        <v>529</v>
      </c>
      <c r="C222" s="173" t="s">
        <v>529</v>
      </c>
      <c r="D222" s="173" t="s">
        <v>529</v>
      </c>
      <c r="E222" s="145">
        <f>local306[[#Totals],[Program
Costs]]</f>
        <v>2009608</v>
      </c>
      <c r="F222" s="503" t="str">
        <f>local306[[#Totals],[Less: Net Payments and Offsets]]</f>
        <v>$0</v>
      </c>
      <c r="G222" s="145">
        <f>local306[[#Totals],[Accounts Payable
Balance]]</f>
        <v>2009608</v>
      </c>
      <c r="H222" s="503" t="str">
        <f>local306[[#Totals],[Established
Accounts Receivable]]</f>
        <v>$0</v>
      </c>
      <c r="I222" s="503" t="str">
        <f>local306[[#Totals],[Less: Recovered Amount]]</f>
        <v>$0</v>
      </c>
      <c r="J222" s="503" t="str">
        <f>local306[[#Totals],[Accounts Receivable
Balance]]</f>
        <v>$0</v>
      </c>
      <c r="K222" s="145">
        <f>local306[[#Totals],[Net
Balance]]</f>
        <v>2009608</v>
      </c>
    </row>
    <row r="223" spans="1:11" ht="15.5" x14ac:dyDescent="0.35">
      <c r="A223" s="82" t="s">
        <v>365</v>
      </c>
      <c r="B223" s="173" t="s">
        <v>529</v>
      </c>
      <c r="C223" s="173" t="s">
        <v>529</v>
      </c>
      <c r="D223" s="173" t="s">
        <v>529</v>
      </c>
      <c r="E223" s="145">
        <f>local322[[#Totals],[Program
Costs]]</f>
        <v>11927294</v>
      </c>
      <c r="F223" s="503" t="str">
        <f>local322[[#Totals],[Less: Net Payments and Offsets]]</f>
        <v>$0</v>
      </c>
      <c r="G223" s="145">
        <f>local322[[#Totals],[Accounts Payable
Balance]]</f>
        <v>11927294</v>
      </c>
      <c r="H223" s="503" t="str">
        <f>local322[[#Totals],[Established
Accounts Receivable]]</f>
        <v>$0</v>
      </c>
      <c r="I223" s="503" t="str">
        <f>local322[[#Totals],[Less: Recovered Amount]]</f>
        <v>$0</v>
      </c>
      <c r="J223" s="503" t="str">
        <f>local322[[#Totals],[Accounts Receivable
Balance]]</f>
        <v>$0</v>
      </c>
      <c r="K223" s="145">
        <f>local322[[#Totals],[Net
Balance]]</f>
        <v>11927294</v>
      </c>
    </row>
    <row r="224" spans="1:11" ht="15.5" x14ac:dyDescent="0.35">
      <c r="A224" s="144" t="s">
        <v>411</v>
      </c>
      <c r="B224" s="173" t="s">
        <v>529</v>
      </c>
      <c r="C224" s="173" t="s">
        <v>529</v>
      </c>
      <c r="D224" s="173" t="s">
        <v>529</v>
      </c>
      <c r="E224" s="145">
        <f>local293[[#Totals],[Program
Costs]]</f>
        <v>157256</v>
      </c>
      <c r="F224" s="503" t="str">
        <f>local293[[#Totals],[Less: Net Payments and Offsets]]</f>
        <v>$0</v>
      </c>
      <c r="G224" s="145">
        <f>local293[[#Totals],[Accounts Payable
Balance]]</f>
        <v>157256</v>
      </c>
      <c r="H224" s="503" t="str">
        <f>local293[[#Totals],[Established
Accounts Receivable]]</f>
        <v>$0</v>
      </c>
      <c r="I224" s="503" t="str">
        <f>local293[[#Totals],[Less: Recovered Amount]]</f>
        <v>$0</v>
      </c>
      <c r="J224" s="503" t="str">
        <f>local293[[#Totals],[Accounts Receivable
Balance]]</f>
        <v>$0</v>
      </c>
      <c r="K224" s="145">
        <f>local293[[#Totals],[Net
Balance]]</f>
        <v>157256</v>
      </c>
    </row>
    <row r="225" spans="1:11" ht="15.5" x14ac:dyDescent="0.35">
      <c r="A225" s="82" t="s">
        <v>369</v>
      </c>
      <c r="B225" s="173" t="s">
        <v>529</v>
      </c>
      <c r="C225" s="173" t="s">
        <v>529</v>
      </c>
      <c r="D225" s="173" t="s">
        <v>529</v>
      </c>
      <c r="E225" s="145">
        <f>local321[[#Totals],[Program
Costs]]</f>
        <v>88182929</v>
      </c>
      <c r="F225" s="503" t="str">
        <f>local321[[#Totals],[Less: Net Payments and Offsets]]</f>
        <v>$0</v>
      </c>
      <c r="G225" s="145">
        <f>local321[[#Totals],[Accounts Payable
Balance]]</f>
        <v>88182929</v>
      </c>
      <c r="H225" s="503" t="str">
        <f>local321[[#Totals],[Established
Accounts Receivable]]</f>
        <v>$0</v>
      </c>
      <c r="I225" s="503" t="str">
        <f>local321[[#Totals],[Less: Recovered Amount]]</f>
        <v>$0</v>
      </c>
      <c r="J225" s="503" t="str">
        <f>local321[[#Totals],[Accounts Receivable
Balance]]</f>
        <v>$0</v>
      </c>
      <c r="K225" s="145">
        <f>local321[[#Totals],[Net
Balance]]</f>
        <v>88182929</v>
      </c>
    </row>
    <row r="226" spans="1:11" ht="15.5" x14ac:dyDescent="0.35">
      <c r="A226" s="144" t="s">
        <v>372</v>
      </c>
      <c r="B226" s="173" t="s">
        <v>529</v>
      </c>
      <c r="C226" s="173" t="s">
        <v>529</v>
      </c>
      <c r="D226" s="173" t="s">
        <v>529</v>
      </c>
      <c r="E226" s="145">
        <f>local358[[#Totals],[Program
Costs]]</f>
        <v>67100155</v>
      </c>
      <c r="F226" s="503" t="str">
        <f>local358[[#Totals],[Less: Net Payments and Offsets]]</f>
        <v>$0</v>
      </c>
      <c r="G226" s="145">
        <f>local358[[#Totals],[Accounts Payable
Balance]]</f>
        <v>67100155</v>
      </c>
      <c r="H226" s="503" t="str">
        <f>local358[[#Totals],[Established
Accounts Receivable]]</f>
        <v>$0</v>
      </c>
      <c r="I226" s="503" t="str">
        <f>local358[[#Totals],[Less: Recovered Amount]]</f>
        <v>$0</v>
      </c>
      <c r="J226" s="503" t="str">
        <f>local358[[#Totals],[Accounts Receivable
Balance]]</f>
        <v>$0</v>
      </c>
      <c r="K226" s="145">
        <f>local358[[#Totals],[Net
Balance]]</f>
        <v>67100155</v>
      </c>
    </row>
    <row r="227" spans="1:11" ht="15.5" x14ac:dyDescent="0.35">
      <c r="A227" s="144" t="s">
        <v>412</v>
      </c>
      <c r="B227" s="173" t="s">
        <v>529</v>
      </c>
      <c r="C227" s="173" t="s">
        <v>529</v>
      </c>
      <c r="D227" s="173" t="s">
        <v>529</v>
      </c>
      <c r="E227" s="145">
        <f>local371[[#Totals],[Program
Costs]]</f>
        <v>1324728</v>
      </c>
      <c r="F227" s="503" t="str">
        <f>local371[[#Totals],[Less: Net Payments and Offsets]]</f>
        <v>$0</v>
      </c>
      <c r="G227" s="145">
        <f>local371[[#Totals],[Accounts Payable
Balance]]</f>
        <v>1324728</v>
      </c>
      <c r="H227" s="503" t="str">
        <f>local371[[#Totals],[Established
Accounts Receivable]]</f>
        <v>$0</v>
      </c>
      <c r="I227" s="503" t="str">
        <f>local371[[#Totals],[Less: Recovered Amount]]</f>
        <v>$0</v>
      </c>
      <c r="J227" s="503" t="str">
        <f>local371[[#Totals],[Accounts Receivable
Balance]]</f>
        <v>$0</v>
      </c>
      <c r="K227" s="145">
        <f>local371[[#Totals],[Net
Balance]]</f>
        <v>1324728</v>
      </c>
    </row>
    <row r="228" spans="1:11" ht="15.5" x14ac:dyDescent="0.35">
      <c r="A228" s="82" t="s">
        <v>375</v>
      </c>
      <c r="B228" s="173" t="s">
        <v>529</v>
      </c>
      <c r="C228" s="173" t="s">
        <v>529</v>
      </c>
      <c r="D228" s="173" t="s">
        <v>529</v>
      </c>
      <c r="E228" s="145">
        <f>local259[[#Totals],[Program
Costs]]</f>
        <v>5390</v>
      </c>
      <c r="F228" s="503" t="str">
        <f>local259[[#Totals],[Less: Net Payments and Offsets]]</f>
        <v>$0</v>
      </c>
      <c r="G228" s="145">
        <f>local259[[#Totals],[Accounts Payable
Balance]]</f>
        <v>5390</v>
      </c>
      <c r="H228" s="503" t="str">
        <f>local259[[#Totals],[Established
Accounts Receivable]]</f>
        <v>$0</v>
      </c>
      <c r="I228" s="503" t="str">
        <f>local259[[#Totals],[Less: Recovered Amount]]</f>
        <v>$0</v>
      </c>
      <c r="J228" s="503" t="str">
        <f>local259[[#Totals],[Accounts Receivable
Balance]]</f>
        <v>$0</v>
      </c>
      <c r="K228" s="145">
        <f>local259[[#Totals],[Net
Balance]]</f>
        <v>5390</v>
      </c>
    </row>
    <row r="229" spans="1:11" ht="15.5" x14ac:dyDescent="0.35">
      <c r="A229" s="82" t="s">
        <v>378</v>
      </c>
      <c r="B229" s="173" t="s">
        <v>529</v>
      </c>
      <c r="C229" s="173" t="s">
        <v>529</v>
      </c>
      <c r="D229" s="173" t="s">
        <v>529</v>
      </c>
      <c r="E229" s="145">
        <f>local298[[#Totals],[Program
Costs]]</f>
        <v>21213067</v>
      </c>
      <c r="F229" s="503" t="str">
        <f>local298[[#Totals],[Less: Net Payments and Offsets]]</f>
        <v>$0</v>
      </c>
      <c r="G229" s="145">
        <f>local298[[#Totals],[Accounts Payable
Balance]]</f>
        <v>21213067</v>
      </c>
      <c r="H229" s="503" t="str">
        <f>local298[[#Totals],[Established
Accounts Receivable]]</f>
        <v>$0</v>
      </c>
      <c r="I229" s="503" t="str">
        <f>local298[[#Totals],[Less: Recovered Amount]]</f>
        <v>$0</v>
      </c>
      <c r="J229" s="503" t="str">
        <f>local298[[#Totals],[Accounts Receivable
Balance]]</f>
        <v>$0</v>
      </c>
      <c r="K229" s="145">
        <f>local298[[#Totals],[Net
Balance]]</f>
        <v>21213067</v>
      </c>
    </row>
    <row r="230" spans="1:11" ht="15.5" x14ac:dyDescent="0.35">
      <c r="A230" s="144" t="s">
        <v>381</v>
      </c>
      <c r="B230" s="173" t="s">
        <v>529</v>
      </c>
      <c r="C230" s="173" t="s">
        <v>529</v>
      </c>
      <c r="D230" s="173" t="s">
        <v>529</v>
      </c>
      <c r="E230" s="145">
        <f>local281[[#Totals],[Program
Costs]]</f>
        <v>4909840</v>
      </c>
      <c r="F230" s="503" t="str">
        <f>local281[[#Totals],[Less: Net Payments and Offsets]]</f>
        <v>$0</v>
      </c>
      <c r="G230" s="145">
        <f>local281[[#Totals],[Accounts Payable
Balance]]</f>
        <v>4909840</v>
      </c>
      <c r="H230" s="503" t="str">
        <f>local281[[#Totals],[Established
Accounts Receivable]]</f>
        <v>$0</v>
      </c>
      <c r="I230" s="503" t="str">
        <f>local281[[#Totals],[Less: Recovered Amount]]</f>
        <v>$0</v>
      </c>
      <c r="J230" s="503" t="str">
        <f>local281[[#Totals],[Accounts Receivable
Balance]]</f>
        <v>$0</v>
      </c>
      <c r="K230" s="145">
        <f>local281[[#Totals],[Net
Balance]]</f>
        <v>4909840</v>
      </c>
    </row>
    <row r="231" spans="1:11" ht="15.5" x14ac:dyDescent="0.35">
      <c r="A231" s="82" t="s">
        <v>384</v>
      </c>
      <c r="B231" s="173" t="s">
        <v>529</v>
      </c>
      <c r="C231" s="173" t="s">
        <v>529</v>
      </c>
      <c r="D231" s="173" t="s">
        <v>529</v>
      </c>
      <c r="E231" s="145">
        <f>local323[[#Totals],[Program
Costs]]</f>
        <v>1816619</v>
      </c>
      <c r="F231" s="503" t="str">
        <f>local323[[#Totals],[Less: Net Payments and Offsets]]</f>
        <v>$0</v>
      </c>
      <c r="G231" s="145">
        <f>local323[[#Totals],[Accounts Payable
Balance]]</f>
        <v>1816619</v>
      </c>
      <c r="H231" s="503" t="str">
        <f>local323[[#Totals],[Established
Accounts Receivable]]</f>
        <v>$0</v>
      </c>
      <c r="I231" s="503" t="str">
        <f>local323[[#Totals],[Less: Recovered Amount]]</f>
        <v>$0</v>
      </c>
      <c r="J231" s="503" t="str">
        <f>local323[[#Totals],[Accounts Receivable
Balance]]</f>
        <v>$0</v>
      </c>
      <c r="K231" s="145">
        <f>local323[[#Totals],[Net
Balance]]</f>
        <v>1816619</v>
      </c>
    </row>
    <row r="232" spans="1:11" ht="15.5" x14ac:dyDescent="0.35">
      <c r="A232" s="144" t="s">
        <v>387</v>
      </c>
      <c r="B232" s="173" t="s">
        <v>529</v>
      </c>
      <c r="C232" s="173" t="s">
        <v>529</v>
      </c>
      <c r="D232" s="173" t="s">
        <v>529</v>
      </c>
      <c r="E232" s="145">
        <f>local314[[#Totals],[Program
Costs]]</f>
        <v>7054651</v>
      </c>
      <c r="F232" s="503" t="str">
        <f>local314[[#Totals],[Less: Net Payments and Offsets]]</f>
        <v>$0</v>
      </c>
      <c r="G232" s="145">
        <f>local314[[#Totals],[Accounts Payable
Balance]]</f>
        <v>7054651</v>
      </c>
      <c r="H232" s="503" t="str">
        <f>local314[[#Totals],[Established
Accounts Receivable]]</f>
        <v>$0</v>
      </c>
      <c r="I232" s="503" t="str">
        <f>local314[[#Totals],[Less: Recovered Amount]]</f>
        <v>$0</v>
      </c>
      <c r="J232" s="503" t="str">
        <f>local314[[#Totals],[Accounts Receivable
Balance]]</f>
        <v>$0</v>
      </c>
      <c r="K232" s="145">
        <f>local314[[#Totals],[Net
Balance]]</f>
        <v>7054651</v>
      </c>
    </row>
    <row r="233" spans="1:11" ht="15.5" x14ac:dyDescent="0.35">
      <c r="A233" s="82" t="s">
        <v>390</v>
      </c>
      <c r="B233" s="173" t="s">
        <v>529</v>
      </c>
      <c r="C233" s="173" t="s">
        <v>529</v>
      </c>
      <c r="D233" s="173" t="s">
        <v>529</v>
      </c>
      <c r="E233" s="145">
        <f>local356[[#Totals],[Program
Costs]]</f>
        <v>7070786</v>
      </c>
      <c r="F233" s="503" t="str">
        <f>local356[[#Totals],[Less: Net Payments and Offsets]]</f>
        <v>$0</v>
      </c>
      <c r="G233" s="145">
        <f>local356[[#Totals],[Accounts Payable
Balance]]</f>
        <v>7070786</v>
      </c>
      <c r="H233" s="503" t="str">
        <f>local356[[#Totals],[Established
Accounts Receivable]]</f>
        <v>$0</v>
      </c>
      <c r="I233" s="503" t="str">
        <f>local356[[#Totals],[Less: Recovered Amount]]</f>
        <v>$0</v>
      </c>
      <c r="J233" s="503" t="str">
        <f>local356[[#Totals],[Accounts Receivable
Balance]]</f>
        <v>$0</v>
      </c>
      <c r="K233" s="145">
        <f>local356[[#Totals],[Net
Balance]]</f>
        <v>7070786</v>
      </c>
    </row>
    <row r="234" spans="1:11" ht="15.5" x14ac:dyDescent="0.35">
      <c r="A234" s="82" t="s">
        <v>392</v>
      </c>
      <c r="B234" s="173" t="s">
        <v>529</v>
      </c>
      <c r="C234" s="173" t="s">
        <v>529</v>
      </c>
      <c r="D234" s="173" t="s">
        <v>529</v>
      </c>
      <c r="E234" s="145">
        <f>local324[[#Totals],[Program
Costs]]</f>
        <v>11906707</v>
      </c>
      <c r="F234" s="503" t="str">
        <f>local324[[#Totals],[Less: Net Payments and Offsets]]</f>
        <v>$0</v>
      </c>
      <c r="G234" s="145">
        <f>local324[[#Totals],[Accounts Payable
Balance]]</f>
        <v>11906707</v>
      </c>
      <c r="H234" s="503" t="str">
        <f>local324[[#Totals],[Established
Accounts Receivable]]</f>
        <v>$0</v>
      </c>
      <c r="I234" s="503" t="str">
        <f>local324[[#Totals],[Less: Recovered Amount]]</f>
        <v>$0</v>
      </c>
      <c r="J234" s="503" t="str">
        <f>local324[[#Totals],[Accounts Receivable
Balance]]</f>
        <v>$0</v>
      </c>
      <c r="K234" s="145">
        <f>local324[[#Totals],[Net
Balance]]</f>
        <v>11906707</v>
      </c>
    </row>
    <row r="235" spans="1:11" ht="15.5" x14ac:dyDescent="0.35">
      <c r="A235" s="144" t="s">
        <v>415</v>
      </c>
      <c r="B235" s="173" t="s">
        <v>529</v>
      </c>
      <c r="C235" s="173" t="s">
        <v>529</v>
      </c>
      <c r="D235" s="173" t="s">
        <v>529</v>
      </c>
      <c r="E235" s="145">
        <f>local372[[#Totals],[Program
Costs]]</f>
        <v>3786789</v>
      </c>
      <c r="F235" s="503" t="str">
        <f>local372[[#Totals],[Less: Net Payments and Offsets]]</f>
        <v>$0</v>
      </c>
      <c r="G235" s="145">
        <f>local372[[#Totals],[Accounts Payable
Balance]]</f>
        <v>3786789</v>
      </c>
      <c r="H235" s="503" t="str">
        <f>local372[[#Totals],[Established
Accounts Receivable]]</f>
        <v>$0</v>
      </c>
      <c r="I235" s="503" t="str">
        <f>local372[[#Totals],[Less: Recovered Amount]]</f>
        <v>$0</v>
      </c>
      <c r="J235" s="503" t="str">
        <f>local372[[#Totals],[Accounts Receivable
Balance]]</f>
        <v>$0</v>
      </c>
      <c r="K235" s="145">
        <f>local372[[#Totals],[Net
Balance]]</f>
        <v>3786789</v>
      </c>
    </row>
    <row r="236" spans="1:11" ht="15.5" x14ac:dyDescent="0.35">
      <c r="A236" s="82" t="s">
        <v>395</v>
      </c>
      <c r="B236" s="173" t="s">
        <v>529</v>
      </c>
      <c r="C236" s="173" t="s">
        <v>529</v>
      </c>
      <c r="D236" s="173" t="s">
        <v>529</v>
      </c>
      <c r="E236" s="145">
        <f>local331[[#Totals],[Program
Costs]]</f>
        <v>10075391</v>
      </c>
      <c r="F236" s="503" t="str">
        <f>local331[[#Totals],[Less: Net Payments and Offsets]]</f>
        <v>$0</v>
      </c>
      <c r="G236" s="145">
        <f>local331[[#Totals],[Accounts Payable
Balance]]</f>
        <v>10075391</v>
      </c>
      <c r="H236" s="503" t="str">
        <f>local331[[#Totals],[Established
Accounts Receivable]]</f>
        <v>$0</v>
      </c>
      <c r="I236" s="503" t="str">
        <f>local331[[#Totals],[Less: Recovered Amount]]</f>
        <v>$0</v>
      </c>
      <c r="J236" s="503" t="str">
        <f>local331[[#Totals],[Accounts Receivable
Balance]]</f>
        <v>$0</v>
      </c>
      <c r="K236" s="145">
        <f>local331[[#Totals],[Net
Balance]]</f>
        <v>10075391</v>
      </c>
    </row>
    <row r="237" spans="1:11" ht="15.5" x14ac:dyDescent="0.35">
      <c r="A237" s="96" t="s">
        <v>6</v>
      </c>
      <c r="B237" s="428" t="s">
        <v>529</v>
      </c>
      <c r="C237" s="428" t="s">
        <v>529</v>
      </c>
      <c r="D237" s="428" t="s">
        <v>529</v>
      </c>
      <c r="E237" s="138">
        <f>SUBTOTAL(109,localunfundedgrandtotal[Program
Costs])</f>
        <v>371866997</v>
      </c>
      <c r="F237" s="456" t="s">
        <v>615</v>
      </c>
      <c r="G237" s="138">
        <f>SUBTOTAL(109,localunfundedgrandtotal[Accounts Payable
Balance])</f>
        <v>371866997</v>
      </c>
      <c r="H237" s="456" t="s">
        <v>615</v>
      </c>
      <c r="I237" s="456" t="s">
        <v>615</v>
      </c>
      <c r="J237" s="456" t="s">
        <v>615</v>
      </c>
      <c r="K237" s="138">
        <f>SUBTOTAL(109,localunfundedgrandtotal[Net
Balance])</f>
        <v>371866997</v>
      </c>
    </row>
  </sheetData>
  <printOptions horizontalCentered="1" gridLines="1"/>
  <pageMargins left="0.3" right="0.3" top="1.1000000000000001" bottom="0.75" header="0.3" footer="0.1"/>
  <pageSetup scale="58" fitToHeight="0" orientation="landscape" r:id="rId1"/>
  <headerFooter>
    <oddHeader>&amp;C&amp;"Arial,Bold"&amp;12State Controller's Office
Schedule B2: Detail of Unfunded State-Mandated Programs
As of April 1, 2020</oddHeader>
    <oddFooter>&amp;L&amp;"Arial,Regular"&amp;12Schedule B2: Detail of Unfunded State-Mandated Programs 
Local Agencies&amp;R&amp;"Arial,Regular"&amp;12Page &amp;P of &amp;N</oddFooter>
  </headerFooter>
  <tableParts count="18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9"/>
  <sheetViews>
    <sheetView zoomScaleNormal="100" workbookViewId="0">
      <selection activeCell="C1" sqref="C1:C1048576"/>
    </sheetView>
  </sheetViews>
  <sheetFormatPr defaultColWidth="9.1796875" defaultRowHeight="14.5" outlineLevelRow="2" x14ac:dyDescent="0.35"/>
  <cols>
    <col min="1" max="1" width="73.08984375" style="14" customWidth="1"/>
    <col min="2" max="2" width="12.6328125" style="15" customWidth="1"/>
    <col min="3" max="3" width="14.6328125" style="4" customWidth="1"/>
    <col min="4" max="4" width="12.6328125" style="4" customWidth="1"/>
    <col min="5" max="11" width="15.6328125" style="25" customWidth="1"/>
    <col min="12" max="16384" width="9.1796875" style="2"/>
  </cols>
  <sheetData>
    <row r="1" spans="1:16384" ht="54" x14ac:dyDescent="0.4">
      <c r="A1" s="66" t="s">
        <v>527</v>
      </c>
      <c r="B1" s="132"/>
      <c r="C1" s="132"/>
      <c r="D1" s="132"/>
      <c r="E1" s="133"/>
      <c r="F1" s="133"/>
      <c r="G1" s="133"/>
      <c r="H1" s="133"/>
      <c r="I1" s="133"/>
      <c r="J1" s="133"/>
      <c r="K1" s="133"/>
    </row>
    <row r="2" spans="1:16384" s="45" customFormat="1" ht="50" customHeight="1" outlineLevel="1" x14ac:dyDescent="0.35">
      <c r="A2" s="158" t="s">
        <v>12</v>
      </c>
      <c r="B2" s="158" t="s">
        <v>0</v>
      </c>
      <c r="C2" s="158" t="s">
        <v>132</v>
      </c>
      <c r="D2" s="158" t="s">
        <v>11</v>
      </c>
      <c r="E2" s="422" t="s">
        <v>125</v>
      </c>
      <c r="F2" s="422" t="s">
        <v>355</v>
      </c>
      <c r="G2" s="422" t="s">
        <v>495</v>
      </c>
      <c r="H2" s="422" t="s">
        <v>496</v>
      </c>
      <c r="I2" s="422" t="s">
        <v>134</v>
      </c>
      <c r="J2" s="422" t="s">
        <v>497</v>
      </c>
      <c r="K2" s="422" t="s">
        <v>133</v>
      </c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47"/>
      <c r="GI2" s="47"/>
      <c r="GJ2" s="47"/>
      <c r="GK2" s="47"/>
      <c r="GL2" s="47"/>
      <c r="GM2" s="47"/>
      <c r="GN2" s="47"/>
      <c r="GO2" s="47"/>
      <c r="GP2" s="47"/>
      <c r="GQ2" s="47"/>
      <c r="GR2" s="47"/>
      <c r="GS2" s="47"/>
      <c r="GT2" s="47"/>
      <c r="GU2" s="4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  <c r="HN2" s="47"/>
      <c r="HO2" s="47"/>
      <c r="HP2" s="47"/>
      <c r="HQ2" s="47"/>
      <c r="HR2" s="47"/>
      <c r="HS2" s="47"/>
      <c r="HT2" s="47"/>
      <c r="HU2" s="47"/>
      <c r="HV2" s="47"/>
      <c r="HW2" s="47"/>
      <c r="HX2" s="47"/>
      <c r="HY2" s="47"/>
      <c r="HZ2" s="47"/>
      <c r="IA2" s="47"/>
      <c r="IB2" s="47"/>
      <c r="IC2" s="47"/>
      <c r="ID2" s="47"/>
      <c r="IE2" s="47"/>
      <c r="IF2" s="47"/>
      <c r="IG2" s="47"/>
      <c r="IH2" s="47"/>
      <c r="II2" s="47"/>
      <c r="IJ2" s="47"/>
      <c r="IK2" s="47"/>
      <c r="IL2" s="47"/>
      <c r="IM2" s="47"/>
      <c r="IN2" s="47"/>
      <c r="IO2" s="47"/>
      <c r="IP2" s="47"/>
      <c r="IQ2" s="47"/>
      <c r="IR2" s="47"/>
      <c r="IS2" s="47"/>
      <c r="IT2" s="47"/>
      <c r="IU2" s="47"/>
      <c r="IV2" s="47"/>
      <c r="IW2" s="47"/>
      <c r="IX2" s="47"/>
      <c r="IY2" s="47"/>
      <c r="IZ2" s="47"/>
      <c r="JA2" s="47"/>
      <c r="JB2" s="47"/>
      <c r="JC2" s="47"/>
      <c r="JD2" s="47"/>
      <c r="JE2" s="47"/>
      <c r="JF2" s="47"/>
      <c r="JG2" s="47"/>
      <c r="JH2" s="47"/>
      <c r="JI2" s="47"/>
      <c r="JJ2" s="47"/>
      <c r="JK2" s="47"/>
      <c r="JL2" s="47"/>
      <c r="JM2" s="47"/>
      <c r="JN2" s="47"/>
      <c r="JO2" s="47"/>
      <c r="JP2" s="47"/>
      <c r="JQ2" s="47"/>
      <c r="JR2" s="47"/>
      <c r="JS2" s="47"/>
      <c r="JT2" s="47"/>
      <c r="JU2" s="47"/>
      <c r="JV2" s="47"/>
      <c r="JW2" s="47"/>
      <c r="JX2" s="47"/>
      <c r="JY2" s="47"/>
      <c r="JZ2" s="47"/>
      <c r="KA2" s="47"/>
      <c r="KB2" s="47"/>
      <c r="KC2" s="47"/>
      <c r="KD2" s="47"/>
      <c r="KE2" s="47"/>
      <c r="KF2" s="47"/>
      <c r="KG2" s="47"/>
      <c r="KH2" s="47"/>
      <c r="KI2" s="47"/>
      <c r="KJ2" s="47"/>
      <c r="KK2" s="47"/>
      <c r="KL2" s="47"/>
      <c r="KM2" s="47"/>
      <c r="KN2" s="47"/>
      <c r="KO2" s="47"/>
      <c r="KP2" s="47"/>
      <c r="KQ2" s="47"/>
      <c r="KR2" s="47"/>
      <c r="KS2" s="47"/>
      <c r="KT2" s="47"/>
      <c r="KU2" s="47"/>
      <c r="KV2" s="47"/>
      <c r="KW2" s="47"/>
      <c r="KX2" s="47"/>
      <c r="KY2" s="47"/>
      <c r="KZ2" s="47"/>
      <c r="LA2" s="47"/>
      <c r="LB2" s="47"/>
      <c r="LC2" s="47"/>
      <c r="LD2" s="47"/>
      <c r="LE2" s="47"/>
      <c r="LF2" s="47"/>
      <c r="LG2" s="47"/>
      <c r="LH2" s="47"/>
      <c r="LI2" s="47"/>
      <c r="LJ2" s="47"/>
      <c r="LK2" s="47"/>
      <c r="LL2" s="47"/>
      <c r="LM2" s="47"/>
      <c r="LN2" s="47"/>
      <c r="LO2" s="47"/>
      <c r="LP2" s="47"/>
      <c r="LQ2" s="47"/>
      <c r="LR2" s="47"/>
      <c r="LS2" s="47"/>
      <c r="LT2" s="47"/>
      <c r="LU2" s="47"/>
      <c r="LV2" s="47"/>
      <c r="LW2" s="47"/>
      <c r="LX2" s="47"/>
      <c r="LY2" s="47"/>
      <c r="LZ2" s="47"/>
      <c r="MA2" s="47"/>
      <c r="MB2" s="47"/>
      <c r="MC2" s="47"/>
      <c r="MD2" s="47"/>
      <c r="ME2" s="47"/>
      <c r="MF2" s="47"/>
      <c r="MG2" s="47"/>
      <c r="MH2" s="47"/>
      <c r="MI2" s="47"/>
      <c r="MJ2" s="47"/>
      <c r="MK2" s="47"/>
      <c r="ML2" s="47"/>
      <c r="MM2" s="47"/>
      <c r="MN2" s="47"/>
      <c r="MO2" s="47"/>
      <c r="MP2" s="47"/>
      <c r="MQ2" s="47"/>
      <c r="MR2" s="47"/>
      <c r="MS2" s="47"/>
      <c r="MT2" s="47"/>
      <c r="MU2" s="47"/>
      <c r="MV2" s="47"/>
      <c r="MW2" s="47"/>
      <c r="MX2" s="47"/>
      <c r="MY2" s="47"/>
      <c r="MZ2" s="47"/>
      <c r="NA2" s="47"/>
      <c r="NB2" s="47"/>
      <c r="NC2" s="47"/>
      <c r="ND2" s="47"/>
      <c r="NE2" s="47"/>
      <c r="NF2" s="47"/>
      <c r="NG2" s="47"/>
      <c r="NH2" s="47"/>
      <c r="NI2" s="47"/>
      <c r="NJ2" s="47"/>
      <c r="NK2" s="47"/>
      <c r="NL2" s="47"/>
      <c r="NM2" s="47"/>
      <c r="NN2" s="47"/>
      <c r="NO2" s="47"/>
      <c r="NP2" s="47"/>
      <c r="NQ2" s="47"/>
      <c r="NR2" s="47"/>
      <c r="NS2" s="47"/>
      <c r="NT2" s="47"/>
      <c r="NU2" s="47"/>
      <c r="NV2" s="47"/>
      <c r="NW2" s="47"/>
      <c r="NX2" s="47"/>
      <c r="NY2" s="47"/>
      <c r="NZ2" s="47"/>
      <c r="OA2" s="47"/>
      <c r="OB2" s="47"/>
      <c r="OC2" s="47"/>
      <c r="OD2" s="47"/>
      <c r="OE2" s="47"/>
      <c r="OF2" s="47"/>
      <c r="OG2" s="47"/>
      <c r="OH2" s="47"/>
      <c r="OI2" s="47"/>
      <c r="OJ2" s="47"/>
      <c r="OK2" s="47"/>
      <c r="OL2" s="47"/>
      <c r="OM2" s="47"/>
      <c r="ON2" s="47"/>
      <c r="OO2" s="47"/>
      <c r="OP2" s="47"/>
      <c r="OQ2" s="47"/>
      <c r="OR2" s="47"/>
      <c r="OS2" s="47"/>
      <c r="OT2" s="47"/>
      <c r="OU2" s="47"/>
      <c r="OV2" s="47"/>
      <c r="OW2" s="47"/>
      <c r="OX2" s="47"/>
      <c r="OY2" s="47"/>
      <c r="OZ2" s="47"/>
      <c r="PA2" s="47"/>
      <c r="PB2" s="47"/>
      <c r="PC2" s="47"/>
      <c r="PD2" s="47"/>
      <c r="PE2" s="47"/>
      <c r="PF2" s="47"/>
      <c r="PG2" s="47"/>
      <c r="PH2" s="47"/>
      <c r="PI2" s="47"/>
      <c r="PJ2" s="47"/>
      <c r="PK2" s="47"/>
      <c r="PL2" s="47"/>
      <c r="PM2" s="47"/>
      <c r="PN2" s="47"/>
      <c r="PO2" s="47"/>
      <c r="PP2" s="47"/>
      <c r="PQ2" s="47"/>
      <c r="PR2" s="47"/>
      <c r="PS2" s="47"/>
      <c r="PT2" s="47"/>
      <c r="PU2" s="47"/>
      <c r="PV2" s="47"/>
      <c r="PW2" s="47"/>
      <c r="PX2" s="47"/>
      <c r="PY2" s="47"/>
      <c r="PZ2" s="47"/>
      <c r="QA2" s="47"/>
      <c r="QB2" s="47"/>
      <c r="QC2" s="47"/>
      <c r="QD2" s="47"/>
      <c r="QE2" s="47"/>
      <c r="QF2" s="47"/>
      <c r="QG2" s="47"/>
      <c r="QH2" s="47"/>
      <c r="QI2" s="47"/>
      <c r="QJ2" s="47"/>
      <c r="QK2" s="47"/>
      <c r="QL2" s="47"/>
      <c r="QM2" s="47"/>
      <c r="QN2" s="47"/>
      <c r="QO2" s="47"/>
      <c r="QP2" s="47"/>
      <c r="QQ2" s="47"/>
      <c r="QR2" s="47"/>
      <c r="QS2" s="47"/>
      <c r="QT2" s="47"/>
      <c r="QU2" s="47"/>
      <c r="QV2" s="47"/>
      <c r="QW2" s="47"/>
      <c r="QX2" s="47"/>
      <c r="QY2" s="47"/>
      <c r="QZ2" s="47"/>
      <c r="RA2" s="47"/>
      <c r="RB2" s="47"/>
      <c r="RC2" s="47"/>
      <c r="RD2" s="47"/>
      <c r="RE2" s="47"/>
      <c r="RF2" s="47"/>
      <c r="RG2" s="47"/>
      <c r="RH2" s="47"/>
      <c r="RI2" s="47"/>
      <c r="RJ2" s="47"/>
      <c r="RK2" s="47"/>
      <c r="RL2" s="47"/>
      <c r="RM2" s="47"/>
      <c r="RN2" s="47"/>
      <c r="RO2" s="47"/>
      <c r="RP2" s="47"/>
      <c r="RQ2" s="47"/>
      <c r="RR2" s="47"/>
      <c r="RS2" s="47"/>
      <c r="RT2" s="47"/>
      <c r="RU2" s="47"/>
      <c r="RV2" s="47"/>
      <c r="RW2" s="47"/>
      <c r="RX2" s="47"/>
      <c r="RY2" s="47"/>
      <c r="RZ2" s="47"/>
      <c r="SA2" s="47"/>
      <c r="SB2" s="47"/>
      <c r="SC2" s="47"/>
      <c r="SD2" s="47"/>
      <c r="SE2" s="47"/>
      <c r="SF2" s="47"/>
      <c r="SG2" s="47"/>
      <c r="SH2" s="47"/>
      <c r="SI2" s="47"/>
      <c r="SJ2" s="47"/>
      <c r="SK2" s="47"/>
      <c r="SL2" s="47"/>
      <c r="SM2" s="47"/>
      <c r="SN2" s="47"/>
      <c r="SO2" s="47"/>
      <c r="SP2" s="47"/>
      <c r="SQ2" s="47"/>
      <c r="SR2" s="47"/>
      <c r="SS2" s="47"/>
      <c r="ST2" s="47"/>
      <c r="SU2" s="47"/>
      <c r="SV2" s="47"/>
      <c r="SW2" s="47"/>
      <c r="SX2" s="47"/>
      <c r="SY2" s="47"/>
      <c r="SZ2" s="47"/>
      <c r="TA2" s="47"/>
      <c r="TB2" s="47"/>
      <c r="TC2" s="47"/>
      <c r="TD2" s="47"/>
      <c r="TE2" s="47"/>
      <c r="TF2" s="47"/>
      <c r="TG2" s="47"/>
      <c r="TH2" s="47"/>
      <c r="TI2" s="47"/>
      <c r="TJ2" s="47"/>
      <c r="TK2" s="47"/>
      <c r="TL2" s="47"/>
      <c r="TM2" s="47"/>
      <c r="TN2" s="47"/>
      <c r="TO2" s="47"/>
      <c r="TP2" s="47"/>
      <c r="TQ2" s="47"/>
      <c r="TR2" s="47"/>
      <c r="TS2" s="47"/>
      <c r="TT2" s="47"/>
      <c r="TU2" s="47"/>
      <c r="TV2" s="47"/>
      <c r="TW2" s="47"/>
      <c r="TX2" s="47"/>
      <c r="TY2" s="47"/>
      <c r="TZ2" s="47"/>
      <c r="UA2" s="47"/>
      <c r="UB2" s="47"/>
      <c r="UC2" s="47"/>
      <c r="UD2" s="47"/>
      <c r="UE2" s="47"/>
      <c r="UF2" s="47"/>
      <c r="UG2" s="47"/>
      <c r="UH2" s="47"/>
      <c r="UI2" s="47"/>
      <c r="UJ2" s="47"/>
      <c r="UK2" s="47"/>
      <c r="UL2" s="47"/>
      <c r="UM2" s="47"/>
      <c r="UN2" s="47"/>
      <c r="UO2" s="47"/>
      <c r="UP2" s="47"/>
      <c r="UQ2" s="47"/>
      <c r="UR2" s="47"/>
      <c r="US2" s="47"/>
      <c r="UT2" s="47"/>
      <c r="UU2" s="47"/>
      <c r="UV2" s="47"/>
      <c r="UW2" s="47"/>
      <c r="UX2" s="47"/>
      <c r="UY2" s="47"/>
      <c r="UZ2" s="47"/>
      <c r="VA2" s="47"/>
      <c r="VB2" s="47"/>
      <c r="VC2" s="47"/>
      <c r="VD2" s="47"/>
      <c r="VE2" s="47"/>
      <c r="VF2" s="47"/>
      <c r="VG2" s="47"/>
      <c r="VH2" s="47"/>
      <c r="VI2" s="47"/>
      <c r="VJ2" s="47"/>
      <c r="VK2" s="47"/>
      <c r="VL2" s="47"/>
      <c r="VM2" s="47"/>
      <c r="VN2" s="47"/>
      <c r="VO2" s="47"/>
      <c r="VP2" s="47"/>
      <c r="VQ2" s="47"/>
      <c r="VR2" s="47"/>
      <c r="VS2" s="47"/>
      <c r="VT2" s="47"/>
      <c r="VU2" s="47"/>
      <c r="VV2" s="47"/>
      <c r="VW2" s="47"/>
      <c r="VX2" s="47"/>
      <c r="VY2" s="47"/>
      <c r="VZ2" s="47"/>
      <c r="WA2" s="47"/>
      <c r="WB2" s="47"/>
      <c r="WC2" s="47"/>
      <c r="WD2" s="47"/>
      <c r="WE2" s="47"/>
      <c r="WF2" s="47"/>
      <c r="WG2" s="47"/>
      <c r="WH2" s="47"/>
      <c r="WI2" s="47"/>
      <c r="WJ2" s="47"/>
      <c r="WK2" s="47"/>
      <c r="WL2" s="47"/>
      <c r="WM2" s="47"/>
      <c r="WN2" s="47"/>
      <c r="WO2" s="47"/>
      <c r="WP2" s="47"/>
      <c r="WQ2" s="47"/>
      <c r="WR2" s="47"/>
      <c r="WS2" s="47"/>
      <c r="WT2" s="47"/>
      <c r="WU2" s="47"/>
      <c r="WV2" s="47"/>
      <c r="WW2" s="47"/>
      <c r="WX2" s="47"/>
      <c r="WY2" s="47"/>
      <c r="WZ2" s="47"/>
      <c r="XA2" s="47"/>
      <c r="XB2" s="47"/>
      <c r="XC2" s="47"/>
      <c r="XD2" s="47"/>
      <c r="XE2" s="47"/>
      <c r="XF2" s="47"/>
      <c r="XG2" s="47"/>
      <c r="XH2" s="47"/>
      <c r="XI2" s="47"/>
      <c r="XJ2" s="47"/>
      <c r="XK2" s="47"/>
      <c r="XL2" s="47"/>
      <c r="XM2" s="47"/>
      <c r="XN2" s="47"/>
      <c r="XO2" s="47"/>
      <c r="XP2" s="47"/>
      <c r="XQ2" s="47"/>
      <c r="XR2" s="47"/>
      <c r="XS2" s="47"/>
      <c r="XT2" s="47"/>
      <c r="XU2" s="47"/>
      <c r="XV2" s="47"/>
      <c r="XW2" s="47"/>
      <c r="XX2" s="47"/>
      <c r="XY2" s="47"/>
      <c r="XZ2" s="47"/>
      <c r="YA2" s="47"/>
      <c r="YB2" s="47"/>
      <c r="YC2" s="47"/>
      <c r="YD2" s="47"/>
      <c r="YE2" s="47"/>
      <c r="YF2" s="47"/>
      <c r="YG2" s="47"/>
      <c r="YH2" s="47"/>
      <c r="YI2" s="47"/>
      <c r="YJ2" s="47"/>
      <c r="YK2" s="47"/>
      <c r="YL2" s="47"/>
      <c r="YM2" s="47"/>
      <c r="YN2" s="47"/>
      <c r="YO2" s="47"/>
      <c r="YP2" s="47"/>
      <c r="YQ2" s="47"/>
      <c r="YR2" s="47"/>
      <c r="YS2" s="47"/>
      <c r="YT2" s="47"/>
      <c r="YU2" s="47"/>
      <c r="YV2" s="47"/>
      <c r="YW2" s="47"/>
      <c r="YX2" s="47"/>
      <c r="YY2" s="47"/>
      <c r="YZ2" s="47"/>
      <c r="ZA2" s="47"/>
      <c r="ZB2" s="47"/>
      <c r="ZC2" s="47"/>
      <c r="ZD2" s="47"/>
      <c r="ZE2" s="47"/>
      <c r="ZF2" s="47"/>
      <c r="ZG2" s="47"/>
      <c r="ZH2" s="47"/>
      <c r="ZI2" s="47"/>
      <c r="ZJ2" s="47"/>
      <c r="ZK2" s="47"/>
      <c r="ZL2" s="47"/>
      <c r="ZM2" s="47"/>
      <c r="ZN2" s="47"/>
      <c r="ZO2" s="47"/>
      <c r="ZP2" s="47"/>
      <c r="ZQ2" s="47"/>
      <c r="ZR2" s="47"/>
      <c r="ZS2" s="47"/>
      <c r="ZT2" s="47"/>
      <c r="ZU2" s="47"/>
      <c r="ZV2" s="47"/>
      <c r="ZW2" s="47"/>
      <c r="ZX2" s="47"/>
      <c r="ZY2" s="47"/>
      <c r="ZZ2" s="47"/>
      <c r="AAA2" s="47"/>
      <c r="AAB2" s="47"/>
      <c r="AAC2" s="47"/>
      <c r="AAD2" s="47"/>
      <c r="AAE2" s="47"/>
      <c r="AAF2" s="47"/>
      <c r="AAG2" s="47"/>
      <c r="AAH2" s="47"/>
      <c r="AAI2" s="47"/>
      <c r="AAJ2" s="47"/>
      <c r="AAK2" s="47"/>
      <c r="AAL2" s="47"/>
      <c r="AAM2" s="47"/>
      <c r="AAN2" s="47"/>
      <c r="AAO2" s="47"/>
      <c r="AAP2" s="47"/>
      <c r="AAQ2" s="47"/>
      <c r="AAR2" s="47"/>
      <c r="AAS2" s="47"/>
      <c r="AAT2" s="47"/>
      <c r="AAU2" s="47"/>
      <c r="AAV2" s="47"/>
      <c r="AAW2" s="47"/>
      <c r="AAX2" s="47"/>
      <c r="AAY2" s="47"/>
      <c r="AAZ2" s="47"/>
      <c r="ABA2" s="47"/>
      <c r="ABB2" s="47"/>
      <c r="ABC2" s="47"/>
      <c r="ABD2" s="47"/>
      <c r="ABE2" s="47"/>
      <c r="ABF2" s="47"/>
      <c r="ABG2" s="47"/>
      <c r="ABH2" s="47"/>
      <c r="ABI2" s="47"/>
      <c r="ABJ2" s="47"/>
      <c r="ABK2" s="47"/>
      <c r="ABL2" s="47"/>
      <c r="ABM2" s="47"/>
      <c r="ABN2" s="47"/>
      <c r="ABO2" s="47"/>
      <c r="ABP2" s="47"/>
      <c r="ABQ2" s="47"/>
      <c r="ABR2" s="47"/>
      <c r="ABS2" s="47"/>
      <c r="ABT2" s="47"/>
      <c r="ABU2" s="47"/>
      <c r="ABV2" s="47"/>
      <c r="ABW2" s="47"/>
      <c r="ABX2" s="47"/>
      <c r="ABY2" s="47"/>
      <c r="ABZ2" s="47"/>
      <c r="ACA2" s="47"/>
      <c r="ACB2" s="47"/>
      <c r="ACC2" s="47"/>
      <c r="ACD2" s="47"/>
      <c r="ACE2" s="47"/>
      <c r="ACF2" s="47"/>
      <c r="ACG2" s="47"/>
      <c r="ACH2" s="47"/>
      <c r="ACI2" s="47"/>
      <c r="ACJ2" s="47"/>
      <c r="ACK2" s="47"/>
      <c r="ACL2" s="47"/>
      <c r="ACM2" s="47"/>
      <c r="ACN2" s="47"/>
      <c r="ACO2" s="47"/>
      <c r="ACP2" s="47"/>
      <c r="ACQ2" s="47"/>
      <c r="ACR2" s="47"/>
      <c r="ACS2" s="47"/>
      <c r="ACT2" s="47"/>
      <c r="ACU2" s="47"/>
      <c r="ACV2" s="47"/>
      <c r="ACW2" s="47"/>
      <c r="ACX2" s="47"/>
      <c r="ACY2" s="47"/>
      <c r="ACZ2" s="47"/>
      <c r="ADA2" s="47"/>
      <c r="ADB2" s="47"/>
      <c r="ADC2" s="47"/>
      <c r="ADD2" s="47"/>
      <c r="ADE2" s="47"/>
      <c r="ADF2" s="47"/>
      <c r="ADG2" s="47"/>
      <c r="ADH2" s="47"/>
      <c r="ADI2" s="47"/>
      <c r="ADJ2" s="47"/>
      <c r="ADK2" s="47"/>
      <c r="ADL2" s="47"/>
      <c r="ADM2" s="47"/>
      <c r="ADN2" s="47"/>
      <c r="ADO2" s="47"/>
      <c r="ADP2" s="47"/>
      <c r="ADQ2" s="47"/>
      <c r="ADR2" s="47"/>
      <c r="ADS2" s="47"/>
      <c r="ADT2" s="47"/>
      <c r="ADU2" s="47"/>
      <c r="ADV2" s="47"/>
      <c r="ADW2" s="47"/>
      <c r="ADX2" s="47"/>
      <c r="ADY2" s="47"/>
      <c r="ADZ2" s="47"/>
      <c r="AEA2" s="47"/>
      <c r="AEB2" s="47"/>
      <c r="AEC2" s="47"/>
      <c r="AED2" s="47"/>
      <c r="AEE2" s="47"/>
      <c r="AEF2" s="47"/>
      <c r="AEG2" s="47"/>
      <c r="AEH2" s="47"/>
      <c r="AEI2" s="47"/>
      <c r="AEJ2" s="47"/>
      <c r="AEK2" s="47"/>
      <c r="AEL2" s="47"/>
      <c r="AEM2" s="47"/>
      <c r="AEN2" s="47"/>
      <c r="AEO2" s="47"/>
      <c r="AEP2" s="47"/>
      <c r="AEQ2" s="47"/>
      <c r="AER2" s="47"/>
      <c r="AES2" s="47"/>
      <c r="AET2" s="47"/>
      <c r="AEU2" s="47"/>
      <c r="AEV2" s="47"/>
      <c r="AEW2" s="47"/>
      <c r="AEX2" s="47"/>
      <c r="AEY2" s="47"/>
      <c r="AEZ2" s="47"/>
      <c r="AFA2" s="47"/>
      <c r="AFB2" s="47"/>
      <c r="AFC2" s="47"/>
      <c r="AFD2" s="47"/>
      <c r="AFE2" s="47"/>
      <c r="AFF2" s="47"/>
      <c r="AFG2" s="47"/>
      <c r="AFH2" s="47"/>
      <c r="AFI2" s="47"/>
      <c r="AFJ2" s="47"/>
      <c r="AFK2" s="47"/>
      <c r="AFL2" s="47"/>
      <c r="AFM2" s="47"/>
      <c r="AFN2" s="47"/>
      <c r="AFO2" s="47"/>
      <c r="AFP2" s="47"/>
      <c r="AFQ2" s="47"/>
      <c r="AFR2" s="47"/>
      <c r="AFS2" s="47"/>
      <c r="AFT2" s="47"/>
      <c r="AFU2" s="47"/>
      <c r="AFV2" s="47"/>
      <c r="AFW2" s="47"/>
      <c r="AFX2" s="47"/>
      <c r="AFY2" s="47"/>
      <c r="AFZ2" s="47"/>
      <c r="AGA2" s="47"/>
      <c r="AGB2" s="47"/>
      <c r="AGC2" s="47"/>
      <c r="AGD2" s="47"/>
      <c r="AGE2" s="47"/>
      <c r="AGF2" s="47"/>
      <c r="AGG2" s="47"/>
      <c r="AGH2" s="47"/>
      <c r="AGI2" s="47"/>
      <c r="AGJ2" s="47"/>
      <c r="AGK2" s="47"/>
      <c r="AGL2" s="47"/>
      <c r="AGM2" s="47"/>
      <c r="AGN2" s="47"/>
      <c r="AGO2" s="47"/>
      <c r="AGP2" s="47"/>
      <c r="AGQ2" s="47"/>
      <c r="AGR2" s="47"/>
      <c r="AGS2" s="47"/>
      <c r="AGT2" s="47"/>
      <c r="AGU2" s="47"/>
      <c r="AGV2" s="47"/>
      <c r="AGW2" s="47"/>
      <c r="AGX2" s="47"/>
      <c r="AGY2" s="47"/>
      <c r="AGZ2" s="47"/>
      <c r="AHA2" s="47"/>
      <c r="AHB2" s="47"/>
      <c r="AHC2" s="47"/>
      <c r="AHD2" s="47"/>
      <c r="AHE2" s="47"/>
      <c r="AHF2" s="47"/>
      <c r="AHG2" s="47"/>
      <c r="AHH2" s="47"/>
      <c r="AHI2" s="47"/>
      <c r="AHJ2" s="47"/>
      <c r="AHK2" s="47"/>
      <c r="AHL2" s="47"/>
      <c r="AHM2" s="47"/>
      <c r="AHN2" s="47"/>
      <c r="AHO2" s="47"/>
      <c r="AHP2" s="47"/>
      <c r="AHQ2" s="47"/>
      <c r="AHR2" s="47"/>
      <c r="AHS2" s="47"/>
      <c r="AHT2" s="47"/>
      <c r="AHU2" s="47"/>
      <c r="AHV2" s="47"/>
      <c r="AHW2" s="47"/>
      <c r="AHX2" s="47"/>
      <c r="AHY2" s="47"/>
      <c r="AHZ2" s="47"/>
      <c r="AIA2" s="47"/>
      <c r="AIB2" s="47"/>
      <c r="AIC2" s="47"/>
      <c r="AID2" s="47"/>
      <c r="AIE2" s="47"/>
      <c r="AIF2" s="47"/>
      <c r="AIG2" s="47"/>
      <c r="AIH2" s="47"/>
      <c r="AII2" s="47"/>
      <c r="AIJ2" s="47"/>
      <c r="AIK2" s="47"/>
      <c r="AIL2" s="47"/>
      <c r="AIM2" s="47"/>
      <c r="AIN2" s="47"/>
      <c r="AIO2" s="47"/>
      <c r="AIP2" s="47"/>
      <c r="AIQ2" s="47"/>
      <c r="AIR2" s="47"/>
      <c r="AIS2" s="47"/>
      <c r="AIT2" s="47"/>
      <c r="AIU2" s="47"/>
      <c r="AIV2" s="47"/>
      <c r="AIW2" s="47"/>
      <c r="AIX2" s="47"/>
      <c r="AIY2" s="47"/>
      <c r="AIZ2" s="47"/>
      <c r="AJA2" s="47"/>
      <c r="AJB2" s="47"/>
      <c r="AJC2" s="47"/>
      <c r="AJD2" s="47"/>
      <c r="AJE2" s="47"/>
      <c r="AJF2" s="47"/>
      <c r="AJG2" s="47"/>
      <c r="AJH2" s="47"/>
      <c r="AJI2" s="47"/>
      <c r="AJJ2" s="47"/>
      <c r="AJK2" s="47"/>
      <c r="AJL2" s="47"/>
      <c r="AJM2" s="47"/>
      <c r="AJN2" s="47"/>
      <c r="AJO2" s="47"/>
      <c r="AJP2" s="47"/>
      <c r="AJQ2" s="47"/>
      <c r="AJR2" s="47"/>
      <c r="AJS2" s="47"/>
      <c r="AJT2" s="47"/>
      <c r="AJU2" s="47"/>
      <c r="AJV2" s="47"/>
      <c r="AJW2" s="47"/>
      <c r="AJX2" s="47"/>
      <c r="AJY2" s="47"/>
      <c r="AJZ2" s="47"/>
      <c r="AKA2" s="47"/>
      <c r="AKB2" s="47"/>
      <c r="AKC2" s="47"/>
      <c r="AKD2" s="47"/>
      <c r="AKE2" s="47"/>
      <c r="AKF2" s="47"/>
      <c r="AKG2" s="47"/>
      <c r="AKH2" s="47"/>
      <c r="AKI2" s="47"/>
      <c r="AKJ2" s="47"/>
      <c r="AKK2" s="47"/>
      <c r="AKL2" s="47"/>
      <c r="AKM2" s="47"/>
      <c r="AKN2" s="47"/>
      <c r="AKO2" s="47"/>
      <c r="AKP2" s="47"/>
      <c r="AKQ2" s="47"/>
      <c r="AKR2" s="47"/>
      <c r="AKS2" s="47"/>
      <c r="AKT2" s="47"/>
      <c r="AKU2" s="47"/>
      <c r="AKV2" s="47"/>
      <c r="AKW2" s="47"/>
      <c r="AKX2" s="47"/>
      <c r="AKY2" s="47"/>
      <c r="AKZ2" s="47"/>
      <c r="ALA2" s="47"/>
      <c r="ALB2" s="47"/>
      <c r="ALC2" s="47"/>
      <c r="ALD2" s="47"/>
      <c r="ALE2" s="47"/>
      <c r="ALF2" s="47"/>
      <c r="ALG2" s="47"/>
      <c r="ALH2" s="47"/>
      <c r="ALI2" s="47"/>
      <c r="ALJ2" s="47"/>
      <c r="ALK2" s="47"/>
      <c r="ALL2" s="47"/>
      <c r="ALM2" s="47"/>
      <c r="ALN2" s="47"/>
      <c r="ALO2" s="47"/>
      <c r="ALP2" s="47"/>
      <c r="ALQ2" s="47"/>
      <c r="ALR2" s="47"/>
      <c r="ALS2" s="47"/>
      <c r="ALT2" s="47"/>
      <c r="ALU2" s="47"/>
      <c r="ALV2" s="47"/>
      <c r="ALW2" s="47"/>
      <c r="ALX2" s="47"/>
      <c r="ALY2" s="47"/>
      <c r="ALZ2" s="47"/>
      <c r="AMA2" s="47"/>
      <c r="AMB2" s="47"/>
      <c r="AMC2" s="47"/>
      <c r="AMD2" s="47"/>
      <c r="AME2" s="47"/>
      <c r="AMF2" s="47"/>
      <c r="AMG2" s="47"/>
      <c r="AMH2" s="47"/>
      <c r="AMI2" s="47"/>
      <c r="AMJ2" s="47"/>
      <c r="AMK2" s="47"/>
      <c r="AML2" s="47"/>
      <c r="AMM2" s="47"/>
      <c r="AMN2" s="47"/>
      <c r="AMO2" s="47"/>
      <c r="AMP2" s="47"/>
      <c r="AMQ2" s="47"/>
      <c r="AMR2" s="47"/>
      <c r="AMS2" s="47"/>
      <c r="AMT2" s="47"/>
      <c r="AMU2" s="47"/>
      <c r="AMV2" s="47"/>
      <c r="AMW2" s="47"/>
      <c r="AMX2" s="47"/>
      <c r="AMY2" s="47"/>
      <c r="AMZ2" s="47"/>
      <c r="ANA2" s="47"/>
      <c r="ANB2" s="47"/>
      <c r="ANC2" s="47"/>
      <c r="AND2" s="47"/>
      <c r="ANE2" s="47"/>
      <c r="ANF2" s="47"/>
      <c r="ANG2" s="47"/>
      <c r="ANH2" s="47"/>
      <c r="ANI2" s="47"/>
      <c r="ANJ2" s="47"/>
      <c r="ANK2" s="47"/>
      <c r="ANL2" s="47"/>
      <c r="ANM2" s="47"/>
      <c r="ANN2" s="47"/>
      <c r="ANO2" s="47"/>
      <c r="ANP2" s="47"/>
      <c r="ANQ2" s="47"/>
      <c r="ANR2" s="47"/>
      <c r="ANS2" s="47"/>
      <c r="ANT2" s="47"/>
      <c r="ANU2" s="47"/>
      <c r="ANV2" s="47"/>
      <c r="ANW2" s="47"/>
      <c r="ANX2" s="47"/>
      <c r="ANY2" s="47"/>
      <c r="ANZ2" s="47"/>
      <c r="AOA2" s="47"/>
      <c r="AOB2" s="47"/>
      <c r="AOC2" s="47"/>
      <c r="AOD2" s="47"/>
      <c r="AOE2" s="47"/>
      <c r="AOF2" s="47"/>
      <c r="AOG2" s="47"/>
      <c r="AOH2" s="47"/>
      <c r="AOI2" s="47"/>
      <c r="AOJ2" s="47"/>
      <c r="AOK2" s="47"/>
      <c r="AOL2" s="47"/>
      <c r="AOM2" s="47"/>
      <c r="AON2" s="47"/>
      <c r="AOO2" s="47"/>
      <c r="AOP2" s="47"/>
      <c r="AOQ2" s="47"/>
      <c r="AOR2" s="47"/>
      <c r="AOS2" s="47"/>
      <c r="AOT2" s="47"/>
      <c r="AOU2" s="47"/>
      <c r="AOV2" s="47"/>
      <c r="AOW2" s="47"/>
      <c r="AOX2" s="47"/>
      <c r="AOY2" s="47"/>
      <c r="AOZ2" s="47"/>
      <c r="APA2" s="47"/>
      <c r="APB2" s="47"/>
      <c r="APC2" s="47"/>
      <c r="APD2" s="47"/>
      <c r="APE2" s="47"/>
      <c r="APF2" s="47"/>
      <c r="APG2" s="47"/>
      <c r="APH2" s="47"/>
      <c r="API2" s="47"/>
      <c r="APJ2" s="47"/>
      <c r="APK2" s="47"/>
      <c r="APL2" s="47"/>
      <c r="APM2" s="47"/>
      <c r="APN2" s="47"/>
      <c r="APO2" s="47"/>
      <c r="APP2" s="47"/>
      <c r="APQ2" s="47"/>
      <c r="APR2" s="47"/>
      <c r="APS2" s="47"/>
      <c r="APT2" s="47"/>
      <c r="APU2" s="47"/>
      <c r="APV2" s="47"/>
      <c r="APW2" s="47"/>
      <c r="APX2" s="47"/>
      <c r="APY2" s="47"/>
      <c r="APZ2" s="47"/>
      <c r="AQA2" s="47"/>
      <c r="AQB2" s="47"/>
      <c r="AQC2" s="47"/>
      <c r="AQD2" s="47"/>
      <c r="AQE2" s="47"/>
      <c r="AQF2" s="47"/>
      <c r="AQG2" s="47"/>
      <c r="AQH2" s="47"/>
      <c r="AQI2" s="47"/>
      <c r="AQJ2" s="47"/>
      <c r="AQK2" s="47"/>
      <c r="AQL2" s="47"/>
      <c r="AQM2" s="47"/>
      <c r="AQN2" s="47"/>
      <c r="AQO2" s="47"/>
      <c r="AQP2" s="47"/>
      <c r="AQQ2" s="47"/>
      <c r="AQR2" s="47"/>
      <c r="AQS2" s="47"/>
      <c r="AQT2" s="47"/>
      <c r="AQU2" s="47"/>
      <c r="AQV2" s="47"/>
      <c r="AQW2" s="47"/>
      <c r="AQX2" s="47"/>
      <c r="AQY2" s="47"/>
      <c r="AQZ2" s="47"/>
      <c r="ARA2" s="47"/>
      <c r="ARB2" s="47"/>
      <c r="ARC2" s="47"/>
      <c r="ARD2" s="47"/>
      <c r="ARE2" s="47"/>
      <c r="ARF2" s="47"/>
      <c r="ARG2" s="47"/>
      <c r="ARH2" s="47"/>
      <c r="ARI2" s="47"/>
      <c r="ARJ2" s="47"/>
      <c r="ARK2" s="47"/>
      <c r="ARL2" s="47"/>
      <c r="ARM2" s="47"/>
      <c r="ARN2" s="47"/>
      <c r="ARO2" s="47"/>
      <c r="ARP2" s="47"/>
      <c r="ARQ2" s="47"/>
      <c r="ARR2" s="47"/>
      <c r="ARS2" s="47"/>
      <c r="ART2" s="47"/>
      <c r="ARU2" s="47"/>
      <c r="ARV2" s="47"/>
      <c r="ARW2" s="47"/>
      <c r="ARX2" s="47"/>
      <c r="ARY2" s="47"/>
      <c r="ARZ2" s="47"/>
      <c r="ASA2" s="47"/>
      <c r="ASB2" s="47"/>
      <c r="ASC2" s="47"/>
      <c r="ASD2" s="47"/>
      <c r="ASE2" s="47"/>
      <c r="ASF2" s="47"/>
      <c r="ASG2" s="47"/>
      <c r="ASH2" s="47"/>
      <c r="ASI2" s="47"/>
      <c r="ASJ2" s="47"/>
      <c r="ASK2" s="47"/>
      <c r="ASL2" s="47"/>
      <c r="ASM2" s="47"/>
      <c r="ASN2" s="47"/>
      <c r="ASO2" s="47"/>
      <c r="ASP2" s="47"/>
      <c r="ASQ2" s="47"/>
      <c r="ASR2" s="47"/>
      <c r="ASS2" s="47"/>
      <c r="AST2" s="47"/>
      <c r="ASU2" s="47"/>
      <c r="ASV2" s="47"/>
      <c r="ASW2" s="47"/>
      <c r="ASX2" s="47"/>
      <c r="ASY2" s="47"/>
      <c r="ASZ2" s="47"/>
      <c r="ATA2" s="47"/>
      <c r="ATB2" s="47"/>
      <c r="ATC2" s="47"/>
      <c r="ATD2" s="47"/>
      <c r="ATE2" s="47"/>
      <c r="ATF2" s="47"/>
      <c r="ATG2" s="47"/>
      <c r="ATH2" s="47"/>
      <c r="ATI2" s="47"/>
      <c r="ATJ2" s="47"/>
      <c r="ATK2" s="47"/>
      <c r="ATL2" s="47"/>
      <c r="ATM2" s="47"/>
      <c r="ATN2" s="47"/>
      <c r="ATO2" s="47"/>
      <c r="ATP2" s="47"/>
      <c r="ATQ2" s="47"/>
      <c r="ATR2" s="47"/>
      <c r="ATS2" s="47"/>
      <c r="ATT2" s="47"/>
      <c r="ATU2" s="47"/>
      <c r="ATV2" s="47"/>
      <c r="ATW2" s="47"/>
      <c r="ATX2" s="47"/>
      <c r="ATY2" s="47"/>
      <c r="ATZ2" s="47"/>
      <c r="AUA2" s="47"/>
      <c r="AUB2" s="47"/>
      <c r="AUC2" s="47"/>
      <c r="AUD2" s="47"/>
      <c r="AUE2" s="47"/>
      <c r="AUF2" s="47"/>
      <c r="AUG2" s="47"/>
      <c r="AUH2" s="47"/>
      <c r="AUI2" s="47"/>
      <c r="AUJ2" s="47"/>
      <c r="AUK2" s="47"/>
      <c r="AUL2" s="47"/>
      <c r="AUM2" s="47"/>
      <c r="AUN2" s="47"/>
      <c r="AUO2" s="47"/>
      <c r="AUP2" s="47"/>
      <c r="AUQ2" s="47"/>
      <c r="AUR2" s="47"/>
      <c r="AUS2" s="47"/>
      <c r="AUT2" s="47"/>
      <c r="AUU2" s="47"/>
      <c r="AUV2" s="47"/>
      <c r="AUW2" s="47"/>
      <c r="AUX2" s="47"/>
      <c r="AUY2" s="47"/>
      <c r="AUZ2" s="47"/>
      <c r="AVA2" s="47"/>
      <c r="AVB2" s="47"/>
      <c r="AVC2" s="47"/>
      <c r="AVD2" s="47"/>
      <c r="AVE2" s="47"/>
      <c r="AVF2" s="47"/>
      <c r="AVG2" s="47"/>
      <c r="AVH2" s="47"/>
      <c r="AVI2" s="47"/>
      <c r="AVJ2" s="47"/>
      <c r="AVK2" s="47"/>
      <c r="AVL2" s="47"/>
      <c r="AVM2" s="47"/>
      <c r="AVN2" s="47"/>
      <c r="AVO2" s="47"/>
      <c r="AVP2" s="47"/>
      <c r="AVQ2" s="47"/>
      <c r="AVR2" s="47"/>
      <c r="AVS2" s="47"/>
      <c r="AVT2" s="47"/>
      <c r="AVU2" s="47"/>
      <c r="AVV2" s="47"/>
      <c r="AVW2" s="47"/>
      <c r="AVX2" s="47"/>
      <c r="AVY2" s="47"/>
      <c r="AVZ2" s="47"/>
      <c r="AWA2" s="47"/>
      <c r="AWB2" s="47"/>
      <c r="AWC2" s="47"/>
      <c r="AWD2" s="47"/>
      <c r="AWE2" s="47"/>
      <c r="AWF2" s="47"/>
      <c r="AWG2" s="47"/>
      <c r="AWH2" s="47"/>
      <c r="AWI2" s="47"/>
      <c r="AWJ2" s="47"/>
      <c r="AWK2" s="47"/>
      <c r="AWL2" s="47"/>
      <c r="AWM2" s="47"/>
      <c r="AWN2" s="47"/>
      <c r="AWO2" s="47"/>
      <c r="AWP2" s="47"/>
      <c r="AWQ2" s="47"/>
      <c r="AWR2" s="47"/>
      <c r="AWS2" s="47"/>
      <c r="AWT2" s="47"/>
      <c r="AWU2" s="47"/>
      <c r="AWV2" s="47"/>
      <c r="AWW2" s="47"/>
      <c r="AWX2" s="47"/>
      <c r="AWY2" s="47"/>
      <c r="AWZ2" s="47"/>
      <c r="AXA2" s="47"/>
      <c r="AXB2" s="47"/>
      <c r="AXC2" s="47"/>
      <c r="AXD2" s="47"/>
      <c r="AXE2" s="47"/>
      <c r="AXF2" s="47"/>
      <c r="AXG2" s="47"/>
      <c r="AXH2" s="47"/>
      <c r="AXI2" s="47"/>
      <c r="AXJ2" s="47"/>
      <c r="AXK2" s="47"/>
      <c r="AXL2" s="47"/>
      <c r="AXM2" s="47"/>
      <c r="AXN2" s="47"/>
      <c r="AXO2" s="47"/>
      <c r="AXP2" s="47"/>
      <c r="AXQ2" s="47"/>
      <c r="AXR2" s="47"/>
      <c r="AXS2" s="47"/>
      <c r="AXT2" s="47"/>
      <c r="AXU2" s="47"/>
      <c r="AXV2" s="47"/>
      <c r="AXW2" s="47"/>
      <c r="AXX2" s="47"/>
      <c r="AXY2" s="47"/>
      <c r="AXZ2" s="47"/>
      <c r="AYA2" s="47"/>
      <c r="AYB2" s="47"/>
      <c r="AYC2" s="47"/>
      <c r="AYD2" s="47"/>
      <c r="AYE2" s="47"/>
      <c r="AYF2" s="47"/>
      <c r="AYG2" s="47"/>
      <c r="AYH2" s="47"/>
      <c r="AYI2" s="47"/>
      <c r="AYJ2" s="47"/>
      <c r="AYK2" s="47"/>
      <c r="AYL2" s="47"/>
      <c r="AYM2" s="47"/>
      <c r="AYN2" s="47"/>
      <c r="AYO2" s="47"/>
      <c r="AYP2" s="47"/>
      <c r="AYQ2" s="47"/>
      <c r="AYR2" s="47"/>
      <c r="AYS2" s="47"/>
      <c r="AYT2" s="47"/>
      <c r="AYU2" s="47"/>
      <c r="AYV2" s="47"/>
      <c r="AYW2" s="47"/>
      <c r="AYX2" s="47"/>
      <c r="AYY2" s="47"/>
      <c r="AYZ2" s="47"/>
      <c r="AZA2" s="47"/>
      <c r="AZB2" s="47"/>
      <c r="AZC2" s="47"/>
      <c r="AZD2" s="47"/>
      <c r="AZE2" s="47"/>
      <c r="AZF2" s="47"/>
      <c r="AZG2" s="47"/>
      <c r="AZH2" s="47"/>
      <c r="AZI2" s="47"/>
      <c r="AZJ2" s="47"/>
      <c r="AZK2" s="47"/>
      <c r="AZL2" s="47"/>
      <c r="AZM2" s="47"/>
      <c r="AZN2" s="47"/>
      <c r="AZO2" s="47"/>
      <c r="AZP2" s="47"/>
      <c r="AZQ2" s="47"/>
      <c r="AZR2" s="47"/>
      <c r="AZS2" s="47"/>
      <c r="AZT2" s="47"/>
      <c r="AZU2" s="47"/>
      <c r="AZV2" s="47"/>
      <c r="AZW2" s="47"/>
      <c r="AZX2" s="47"/>
      <c r="AZY2" s="47"/>
      <c r="AZZ2" s="47"/>
      <c r="BAA2" s="47"/>
      <c r="BAB2" s="47"/>
      <c r="BAC2" s="47"/>
      <c r="BAD2" s="47"/>
      <c r="BAE2" s="47"/>
      <c r="BAF2" s="47"/>
      <c r="BAG2" s="47"/>
      <c r="BAH2" s="47"/>
      <c r="BAI2" s="47"/>
      <c r="BAJ2" s="47"/>
      <c r="BAK2" s="47"/>
      <c r="BAL2" s="47"/>
      <c r="BAM2" s="47"/>
      <c r="BAN2" s="47"/>
      <c r="BAO2" s="47"/>
      <c r="BAP2" s="47"/>
      <c r="BAQ2" s="47"/>
      <c r="BAR2" s="47"/>
      <c r="BAS2" s="47"/>
      <c r="BAT2" s="47"/>
      <c r="BAU2" s="47"/>
      <c r="BAV2" s="47"/>
      <c r="BAW2" s="47"/>
      <c r="BAX2" s="47"/>
      <c r="BAY2" s="47"/>
      <c r="BAZ2" s="47"/>
      <c r="BBA2" s="47"/>
      <c r="BBB2" s="47"/>
      <c r="BBC2" s="47"/>
      <c r="BBD2" s="47"/>
      <c r="BBE2" s="47"/>
      <c r="BBF2" s="47"/>
      <c r="BBG2" s="47"/>
      <c r="BBH2" s="47"/>
      <c r="BBI2" s="47"/>
      <c r="BBJ2" s="47"/>
      <c r="BBK2" s="47"/>
      <c r="BBL2" s="47"/>
      <c r="BBM2" s="47"/>
      <c r="BBN2" s="47"/>
      <c r="BBO2" s="47"/>
      <c r="BBP2" s="47"/>
      <c r="BBQ2" s="47"/>
      <c r="BBR2" s="47"/>
      <c r="BBS2" s="47"/>
      <c r="BBT2" s="47"/>
      <c r="BBU2" s="47"/>
      <c r="BBV2" s="47"/>
      <c r="BBW2" s="47"/>
      <c r="BBX2" s="47"/>
      <c r="BBY2" s="47"/>
      <c r="BBZ2" s="47"/>
      <c r="BCA2" s="47"/>
      <c r="BCB2" s="47"/>
      <c r="BCC2" s="47"/>
      <c r="BCD2" s="47"/>
      <c r="BCE2" s="47"/>
      <c r="BCF2" s="47"/>
      <c r="BCG2" s="47"/>
      <c r="BCH2" s="47"/>
      <c r="BCI2" s="47"/>
      <c r="BCJ2" s="47"/>
      <c r="BCK2" s="47"/>
      <c r="BCL2" s="47"/>
      <c r="BCM2" s="47"/>
      <c r="BCN2" s="47"/>
      <c r="BCO2" s="47"/>
      <c r="BCP2" s="47"/>
      <c r="BCQ2" s="47"/>
      <c r="BCR2" s="47"/>
      <c r="BCS2" s="47"/>
      <c r="BCT2" s="47"/>
      <c r="BCU2" s="47"/>
      <c r="BCV2" s="47"/>
      <c r="BCW2" s="47"/>
      <c r="BCX2" s="47"/>
      <c r="BCY2" s="47"/>
      <c r="BCZ2" s="47"/>
      <c r="BDA2" s="47"/>
      <c r="BDB2" s="47"/>
      <c r="BDC2" s="47"/>
      <c r="BDD2" s="47"/>
      <c r="BDE2" s="47"/>
      <c r="BDF2" s="47"/>
      <c r="BDG2" s="47"/>
      <c r="BDH2" s="47"/>
      <c r="BDI2" s="47"/>
      <c r="BDJ2" s="47"/>
      <c r="BDK2" s="47"/>
      <c r="BDL2" s="47"/>
      <c r="BDM2" s="47"/>
      <c r="BDN2" s="47"/>
      <c r="BDO2" s="47"/>
      <c r="BDP2" s="47"/>
      <c r="BDQ2" s="47"/>
      <c r="BDR2" s="47"/>
      <c r="BDS2" s="47"/>
      <c r="BDT2" s="47"/>
      <c r="BDU2" s="47"/>
      <c r="BDV2" s="47"/>
      <c r="BDW2" s="47"/>
      <c r="BDX2" s="47"/>
      <c r="BDY2" s="47"/>
      <c r="BDZ2" s="47"/>
      <c r="BEA2" s="47"/>
      <c r="BEB2" s="47"/>
      <c r="BEC2" s="47"/>
      <c r="BED2" s="47"/>
      <c r="BEE2" s="47"/>
      <c r="BEF2" s="47"/>
      <c r="BEG2" s="47"/>
      <c r="BEH2" s="47"/>
      <c r="BEI2" s="47"/>
      <c r="BEJ2" s="47"/>
      <c r="BEK2" s="47"/>
      <c r="BEL2" s="47"/>
      <c r="BEM2" s="47"/>
      <c r="BEN2" s="47"/>
      <c r="BEO2" s="47"/>
      <c r="BEP2" s="47"/>
      <c r="BEQ2" s="47"/>
      <c r="BER2" s="47"/>
      <c r="BES2" s="47"/>
      <c r="BET2" s="47"/>
      <c r="BEU2" s="47"/>
      <c r="BEV2" s="47"/>
      <c r="BEW2" s="47"/>
      <c r="BEX2" s="47"/>
      <c r="BEY2" s="47"/>
      <c r="BEZ2" s="47"/>
      <c r="BFA2" s="47"/>
      <c r="BFB2" s="47"/>
      <c r="BFC2" s="47"/>
      <c r="BFD2" s="47"/>
      <c r="BFE2" s="47"/>
      <c r="BFF2" s="47"/>
      <c r="BFG2" s="47"/>
      <c r="BFH2" s="47"/>
      <c r="BFI2" s="47"/>
      <c r="BFJ2" s="47"/>
      <c r="BFK2" s="47"/>
      <c r="BFL2" s="47"/>
      <c r="BFM2" s="47"/>
      <c r="BFN2" s="47"/>
      <c r="BFO2" s="47"/>
      <c r="BFP2" s="47"/>
      <c r="BFQ2" s="47"/>
      <c r="BFR2" s="47"/>
      <c r="BFS2" s="47"/>
      <c r="BFT2" s="47"/>
      <c r="BFU2" s="47"/>
      <c r="BFV2" s="47"/>
      <c r="BFW2" s="47"/>
      <c r="BFX2" s="47"/>
      <c r="BFY2" s="47"/>
      <c r="BFZ2" s="47"/>
      <c r="BGA2" s="47"/>
      <c r="BGB2" s="47"/>
      <c r="BGC2" s="47"/>
      <c r="BGD2" s="47"/>
      <c r="BGE2" s="47"/>
      <c r="BGF2" s="47"/>
      <c r="BGG2" s="47"/>
      <c r="BGH2" s="47"/>
      <c r="BGI2" s="47"/>
      <c r="BGJ2" s="47"/>
      <c r="BGK2" s="47"/>
      <c r="BGL2" s="47"/>
      <c r="BGM2" s="47"/>
      <c r="BGN2" s="47"/>
      <c r="BGO2" s="47"/>
      <c r="BGP2" s="47"/>
      <c r="BGQ2" s="47"/>
      <c r="BGR2" s="47"/>
      <c r="BGS2" s="47"/>
      <c r="BGT2" s="47"/>
      <c r="BGU2" s="47"/>
      <c r="BGV2" s="47"/>
      <c r="BGW2" s="47"/>
      <c r="BGX2" s="47"/>
      <c r="BGY2" s="47"/>
      <c r="BGZ2" s="47"/>
      <c r="BHA2" s="47"/>
      <c r="BHB2" s="47"/>
      <c r="BHC2" s="47"/>
      <c r="BHD2" s="47"/>
      <c r="BHE2" s="47"/>
      <c r="BHF2" s="47"/>
      <c r="BHG2" s="47"/>
      <c r="BHH2" s="47"/>
      <c r="BHI2" s="47"/>
      <c r="BHJ2" s="47"/>
      <c r="BHK2" s="47"/>
      <c r="BHL2" s="47"/>
      <c r="BHM2" s="47"/>
      <c r="BHN2" s="47"/>
      <c r="BHO2" s="47"/>
      <c r="BHP2" s="47"/>
      <c r="BHQ2" s="47"/>
      <c r="BHR2" s="47"/>
      <c r="BHS2" s="47"/>
      <c r="BHT2" s="47"/>
      <c r="BHU2" s="47"/>
      <c r="BHV2" s="47"/>
      <c r="BHW2" s="47"/>
      <c r="BHX2" s="47"/>
      <c r="BHY2" s="47"/>
      <c r="BHZ2" s="47"/>
      <c r="BIA2" s="47"/>
      <c r="BIB2" s="47"/>
      <c r="BIC2" s="47"/>
      <c r="BID2" s="47"/>
      <c r="BIE2" s="47"/>
      <c r="BIF2" s="47"/>
      <c r="BIG2" s="47"/>
      <c r="BIH2" s="47"/>
      <c r="BII2" s="47"/>
      <c r="BIJ2" s="47"/>
      <c r="BIK2" s="47"/>
      <c r="BIL2" s="47"/>
      <c r="BIM2" s="47"/>
      <c r="BIN2" s="47"/>
      <c r="BIO2" s="47"/>
      <c r="BIP2" s="47"/>
      <c r="BIQ2" s="47"/>
      <c r="BIR2" s="47"/>
      <c r="BIS2" s="47"/>
      <c r="BIT2" s="47"/>
      <c r="BIU2" s="47"/>
      <c r="BIV2" s="47"/>
      <c r="BIW2" s="47"/>
      <c r="BIX2" s="47"/>
      <c r="BIY2" s="47"/>
      <c r="BIZ2" s="47"/>
      <c r="BJA2" s="47"/>
      <c r="BJB2" s="47"/>
      <c r="BJC2" s="47"/>
      <c r="BJD2" s="47"/>
      <c r="BJE2" s="47"/>
      <c r="BJF2" s="47"/>
      <c r="BJG2" s="47"/>
      <c r="BJH2" s="47"/>
      <c r="BJI2" s="47"/>
      <c r="BJJ2" s="47"/>
      <c r="BJK2" s="47"/>
      <c r="BJL2" s="47"/>
      <c r="BJM2" s="47"/>
      <c r="BJN2" s="47"/>
      <c r="BJO2" s="47"/>
      <c r="BJP2" s="47"/>
      <c r="BJQ2" s="47"/>
      <c r="BJR2" s="47"/>
      <c r="BJS2" s="47"/>
      <c r="BJT2" s="47"/>
      <c r="BJU2" s="47"/>
      <c r="BJV2" s="47"/>
      <c r="BJW2" s="47"/>
      <c r="BJX2" s="47"/>
      <c r="BJY2" s="47"/>
      <c r="BJZ2" s="47"/>
      <c r="BKA2" s="47"/>
      <c r="BKB2" s="47"/>
      <c r="BKC2" s="47"/>
      <c r="BKD2" s="47"/>
      <c r="BKE2" s="47"/>
      <c r="BKF2" s="47"/>
      <c r="BKG2" s="47"/>
      <c r="BKH2" s="47"/>
      <c r="BKI2" s="47"/>
      <c r="BKJ2" s="47"/>
      <c r="BKK2" s="47"/>
      <c r="BKL2" s="47"/>
      <c r="BKM2" s="47"/>
      <c r="BKN2" s="47"/>
      <c r="BKO2" s="47"/>
      <c r="BKP2" s="47"/>
      <c r="BKQ2" s="47"/>
      <c r="BKR2" s="47"/>
      <c r="BKS2" s="47"/>
      <c r="BKT2" s="47"/>
      <c r="BKU2" s="47"/>
      <c r="BKV2" s="47"/>
      <c r="BKW2" s="47"/>
      <c r="BKX2" s="47"/>
      <c r="BKY2" s="47"/>
      <c r="BKZ2" s="47"/>
      <c r="BLA2" s="47"/>
      <c r="BLB2" s="47"/>
      <c r="BLC2" s="47"/>
      <c r="BLD2" s="47"/>
      <c r="BLE2" s="47"/>
      <c r="BLF2" s="47"/>
      <c r="BLG2" s="47"/>
      <c r="BLH2" s="47"/>
      <c r="BLI2" s="47"/>
      <c r="BLJ2" s="47"/>
      <c r="BLK2" s="47"/>
      <c r="BLL2" s="47"/>
      <c r="BLM2" s="47"/>
      <c r="BLN2" s="47"/>
      <c r="BLO2" s="47"/>
      <c r="BLP2" s="47"/>
      <c r="BLQ2" s="47"/>
      <c r="BLR2" s="47"/>
      <c r="BLS2" s="47"/>
      <c r="BLT2" s="47"/>
      <c r="BLU2" s="47"/>
      <c r="BLV2" s="47"/>
      <c r="BLW2" s="47"/>
      <c r="BLX2" s="47"/>
      <c r="BLY2" s="47"/>
      <c r="BLZ2" s="47"/>
      <c r="BMA2" s="47"/>
      <c r="BMB2" s="47"/>
      <c r="BMC2" s="47"/>
      <c r="BMD2" s="47"/>
      <c r="BME2" s="47"/>
      <c r="BMF2" s="47"/>
      <c r="BMG2" s="47"/>
      <c r="BMH2" s="47"/>
      <c r="BMI2" s="47"/>
      <c r="BMJ2" s="47"/>
      <c r="BMK2" s="47"/>
      <c r="BML2" s="47"/>
      <c r="BMM2" s="47"/>
      <c r="BMN2" s="47"/>
      <c r="BMO2" s="47"/>
      <c r="BMP2" s="47"/>
      <c r="BMQ2" s="47"/>
      <c r="BMR2" s="47"/>
      <c r="BMS2" s="47"/>
      <c r="BMT2" s="47"/>
      <c r="BMU2" s="47"/>
      <c r="BMV2" s="47"/>
      <c r="BMW2" s="47"/>
      <c r="BMX2" s="47"/>
      <c r="BMY2" s="47"/>
      <c r="BMZ2" s="47"/>
      <c r="BNA2" s="47"/>
      <c r="BNB2" s="47"/>
      <c r="BNC2" s="47"/>
      <c r="BND2" s="47"/>
      <c r="BNE2" s="47"/>
      <c r="BNF2" s="47"/>
      <c r="BNG2" s="47"/>
      <c r="BNH2" s="47"/>
      <c r="BNI2" s="47"/>
      <c r="BNJ2" s="47"/>
      <c r="BNK2" s="47"/>
      <c r="BNL2" s="47"/>
      <c r="BNM2" s="47"/>
      <c r="BNN2" s="47"/>
      <c r="BNO2" s="47"/>
      <c r="BNP2" s="47"/>
      <c r="BNQ2" s="47"/>
      <c r="BNR2" s="47"/>
      <c r="BNS2" s="47"/>
      <c r="BNT2" s="47"/>
      <c r="BNU2" s="47"/>
      <c r="BNV2" s="47"/>
      <c r="BNW2" s="47"/>
      <c r="BNX2" s="47"/>
      <c r="BNY2" s="47"/>
      <c r="BNZ2" s="47"/>
      <c r="BOA2" s="47"/>
      <c r="BOB2" s="47"/>
      <c r="BOC2" s="47"/>
      <c r="BOD2" s="47"/>
      <c r="BOE2" s="47"/>
      <c r="BOF2" s="47"/>
      <c r="BOG2" s="47"/>
      <c r="BOH2" s="47"/>
      <c r="BOI2" s="47"/>
      <c r="BOJ2" s="47"/>
      <c r="BOK2" s="47"/>
      <c r="BOL2" s="47"/>
      <c r="BOM2" s="47"/>
      <c r="BON2" s="47"/>
      <c r="BOO2" s="47"/>
      <c r="BOP2" s="47"/>
      <c r="BOQ2" s="47"/>
      <c r="BOR2" s="47"/>
      <c r="BOS2" s="47"/>
      <c r="BOT2" s="47"/>
      <c r="BOU2" s="47"/>
      <c r="BOV2" s="47"/>
      <c r="BOW2" s="47"/>
      <c r="BOX2" s="47"/>
      <c r="BOY2" s="47"/>
      <c r="BOZ2" s="47"/>
      <c r="BPA2" s="47"/>
      <c r="BPB2" s="47"/>
      <c r="BPC2" s="47"/>
      <c r="BPD2" s="47"/>
      <c r="BPE2" s="47"/>
      <c r="BPF2" s="47"/>
      <c r="BPG2" s="47"/>
      <c r="BPH2" s="47"/>
      <c r="BPI2" s="47"/>
      <c r="BPJ2" s="47"/>
      <c r="BPK2" s="47"/>
      <c r="BPL2" s="47"/>
      <c r="BPM2" s="47"/>
      <c r="BPN2" s="47"/>
      <c r="BPO2" s="47"/>
      <c r="BPP2" s="47"/>
      <c r="BPQ2" s="47"/>
      <c r="BPR2" s="47"/>
      <c r="BPS2" s="47"/>
      <c r="BPT2" s="47"/>
      <c r="BPU2" s="47"/>
      <c r="BPV2" s="47"/>
      <c r="BPW2" s="47"/>
      <c r="BPX2" s="47"/>
      <c r="BPY2" s="47"/>
      <c r="BPZ2" s="47"/>
      <c r="BQA2" s="47"/>
      <c r="BQB2" s="47"/>
      <c r="BQC2" s="47"/>
      <c r="BQD2" s="47"/>
      <c r="BQE2" s="47"/>
      <c r="BQF2" s="47"/>
      <c r="BQG2" s="47"/>
      <c r="BQH2" s="47"/>
      <c r="BQI2" s="47"/>
      <c r="BQJ2" s="47"/>
      <c r="BQK2" s="47"/>
      <c r="BQL2" s="47"/>
      <c r="BQM2" s="47"/>
      <c r="BQN2" s="47"/>
      <c r="BQO2" s="47"/>
      <c r="BQP2" s="47"/>
      <c r="BQQ2" s="47"/>
      <c r="BQR2" s="47"/>
      <c r="BQS2" s="47"/>
      <c r="BQT2" s="47"/>
      <c r="BQU2" s="47"/>
      <c r="BQV2" s="47"/>
      <c r="BQW2" s="47"/>
      <c r="BQX2" s="47"/>
      <c r="BQY2" s="47"/>
      <c r="BQZ2" s="47"/>
      <c r="BRA2" s="47"/>
      <c r="BRB2" s="47"/>
      <c r="BRC2" s="47"/>
      <c r="BRD2" s="47"/>
      <c r="BRE2" s="47"/>
      <c r="BRF2" s="47"/>
      <c r="BRG2" s="47"/>
      <c r="BRH2" s="47"/>
      <c r="BRI2" s="47"/>
      <c r="BRJ2" s="47"/>
      <c r="BRK2" s="47"/>
      <c r="BRL2" s="47"/>
      <c r="BRM2" s="47"/>
      <c r="BRN2" s="47"/>
      <c r="BRO2" s="47"/>
      <c r="BRP2" s="47"/>
      <c r="BRQ2" s="47"/>
      <c r="BRR2" s="47"/>
      <c r="BRS2" s="47"/>
      <c r="BRT2" s="47"/>
      <c r="BRU2" s="47"/>
      <c r="BRV2" s="47"/>
      <c r="BRW2" s="47"/>
      <c r="BRX2" s="47"/>
      <c r="BRY2" s="47"/>
      <c r="BRZ2" s="47"/>
      <c r="BSA2" s="47"/>
      <c r="BSB2" s="47"/>
      <c r="BSC2" s="47"/>
      <c r="BSD2" s="47"/>
      <c r="BSE2" s="47"/>
      <c r="BSF2" s="47"/>
      <c r="BSG2" s="47"/>
      <c r="BSH2" s="47"/>
      <c r="BSI2" s="47"/>
      <c r="BSJ2" s="47"/>
      <c r="BSK2" s="47"/>
      <c r="BSL2" s="47"/>
      <c r="BSM2" s="47"/>
      <c r="BSN2" s="47"/>
      <c r="BSO2" s="47"/>
      <c r="BSP2" s="47"/>
      <c r="BSQ2" s="47"/>
      <c r="BSR2" s="47"/>
      <c r="BSS2" s="47"/>
      <c r="BST2" s="47"/>
      <c r="BSU2" s="47"/>
      <c r="BSV2" s="47"/>
      <c r="BSW2" s="47"/>
      <c r="BSX2" s="47"/>
      <c r="BSY2" s="47"/>
      <c r="BSZ2" s="47"/>
      <c r="BTA2" s="47"/>
      <c r="BTB2" s="47"/>
      <c r="BTC2" s="47"/>
      <c r="BTD2" s="47"/>
      <c r="BTE2" s="47"/>
      <c r="BTF2" s="47"/>
      <c r="BTG2" s="47"/>
      <c r="BTH2" s="47"/>
      <c r="BTI2" s="47"/>
      <c r="BTJ2" s="47"/>
      <c r="BTK2" s="47"/>
      <c r="BTL2" s="47"/>
      <c r="BTM2" s="47"/>
      <c r="BTN2" s="47"/>
      <c r="BTO2" s="47"/>
      <c r="BTP2" s="47"/>
      <c r="BTQ2" s="47"/>
      <c r="BTR2" s="47"/>
      <c r="BTS2" s="47"/>
      <c r="BTT2" s="47"/>
      <c r="BTU2" s="47"/>
      <c r="BTV2" s="47"/>
      <c r="BTW2" s="47"/>
      <c r="BTX2" s="47"/>
      <c r="BTY2" s="47"/>
      <c r="BTZ2" s="47"/>
      <c r="BUA2" s="47"/>
      <c r="BUB2" s="47"/>
      <c r="BUC2" s="47"/>
      <c r="BUD2" s="47"/>
      <c r="BUE2" s="47"/>
      <c r="BUF2" s="47"/>
      <c r="BUG2" s="47"/>
      <c r="BUH2" s="47"/>
      <c r="BUI2" s="47"/>
      <c r="BUJ2" s="47"/>
      <c r="BUK2" s="47"/>
      <c r="BUL2" s="47"/>
      <c r="BUM2" s="47"/>
      <c r="BUN2" s="47"/>
      <c r="BUO2" s="47"/>
      <c r="BUP2" s="47"/>
      <c r="BUQ2" s="47"/>
      <c r="BUR2" s="47"/>
      <c r="BUS2" s="47"/>
      <c r="BUT2" s="47"/>
      <c r="BUU2" s="47"/>
      <c r="BUV2" s="47"/>
      <c r="BUW2" s="47"/>
      <c r="BUX2" s="47"/>
      <c r="BUY2" s="47"/>
      <c r="BUZ2" s="47"/>
      <c r="BVA2" s="47"/>
      <c r="BVB2" s="47"/>
      <c r="BVC2" s="47"/>
      <c r="BVD2" s="47"/>
      <c r="BVE2" s="47"/>
      <c r="BVF2" s="47"/>
      <c r="BVG2" s="47"/>
      <c r="BVH2" s="47"/>
      <c r="BVI2" s="47"/>
      <c r="BVJ2" s="47"/>
      <c r="BVK2" s="47"/>
      <c r="BVL2" s="47"/>
      <c r="BVM2" s="47"/>
      <c r="BVN2" s="47"/>
      <c r="BVO2" s="47"/>
      <c r="BVP2" s="47"/>
      <c r="BVQ2" s="47"/>
      <c r="BVR2" s="47"/>
      <c r="BVS2" s="47"/>
      <c r="BVT2" s="47"/>
      <c r="BVU2" s="47"/>
      <c r="BVV2" s="47"/>
      <c r="BVW2" s="47"/>
      <c r="BVX2" s="47"/>
      <c r="BVY2" s="47"/>
      <c r="BVZ2" s="47"/>
      <c r="BWA2" s="47"/>
      <c r="BWB2" s="47"/>
      <c r="BWC2" s="47"/>
      <c r="BWD2" s="47"/>
      <c r="BWE2" s="47"/>
      <c r="BWF2" s="47"/>
      <c r="BWG2" s="47"/>
      <c r="BWH2" s="47"/>
      <c r="BWI2" s="47"/>
      <c r="BWJ2" s="47"/>
      <c r="BWK2" s="47"/>
      <c r="BWL2" s="47"/>
      <c r="BWM2" s="47"/>
      <c r="BWN2" s="47"/>
      <c r="BWO2" s="47"/>
      <c r="BWP2" s="47"/>
      <c r="BWQ2" s="47"/>
      <c r="BWR2" s="47"/>
      <c r="BWS2" s="47"/>
      <c r="BWT2" s="47"/>
      <c r="BWU2" s="47"/>
      <c r="BWV2" s="47"/>
      <c r="BWW2" s="47"/>
      <c r="BWX2" s="47"/>
      <c r="BWY2" s="47"/>
      <c r="BWZ2" s="47"/>
      <c r="BXA2" s="47"/>
      <c r="BXB2" s="47"/>
      <c r="BXC2" s="47"/>
      <c r="BXD2" s="47"/>
      <c r="BXE2" s="47"/>
      <c r="BXF2" s="47"/>
      <c r="BXG2" s="47"/>
      <c r="BXH2" s="47"/>
      <c r="BXI2" s="47"/>
      <c r="BXJ2" s="47"/>
      <c r="BXK2" s="47"/>
      <c r="BXL2" s="47"/>
      <c r="BXM2" s="47"/>
      <c r="BXN2" s="47"/>
      <c r="BXO2" s="47"/>
      <c r="BXP2" s="47"/>
      <c r="BXQ2" s="47"/>
      <c r="BXR2" s="47"/>
      <c r="BXS2" s="47"/>
      <c r="BXT2" s="47"/>
      <c r="BXU2" s="47"/>
      <c r="BXV2" s="47"/>
      <c r="BXW2" s="47"/>
      <c r="BXX2" s="47"/>
      <c r="BXY2" s="47"/>
      <c r="BXZ2" s="47"/>
      <c r="BYA2" s="47"/>
      <c r="BYB2" s="47"/>
      <c r="BYC2" s="47"/>
      <c r="BYD2" s="47"/>
      <c r="BYE2" s="47"/>
      <c r="BYF2" s="47"/>
      <c r="BYG2" s="47"/>
      <c r="BYH2" s="47"/>
      <c r="BYI2" s="47"/>
      <c r="BYJ2" s="47"/>
      <c r="BYK2" s="47"/>
      <c r="BYL2" s="47"/>
      <c r="BYM2" s="47"/>
      <c r="BYN2" s="47"/>
      <c r="BYO2" s="47"/>
      <c r="BYP2" s="47"/>
      <c r="BYQ2" s="47"/>
      <c r="BYR2" s="47"/>
      <c r="BYS2" s="47"/>
      <c r="BYT2" s="47"/>
      <c r="BYU2" s="47"/>
      <c r="BYV2" s="47"/>
      <c r="BYW2" s="47"/>
      <c r="BYX2" s="47"/>
      <c r="BYY2" s="47"/>
      <c r="BYZ2" s="47"/>
      <c r="BZA2" s="47"/>
      <c r="BZB2" s="47"/>
      <c r="BZC2" s="47"/>
      <c r="BZD2" s="47"/>
      <c r="BZE2" s="47"/>
      <c r="BZF2" s="47"/>
      <c r="BZG2" s="47"/>
      <c r="BZH2" s="47"/>
      <c r="BZI2" s="47"/>
      <c r="BZJ2" s="47"/>
      <c r="BZK2" s="47"/>
      <c r="BZL2" s="47"/>
      <c r="BZM2" s="47"/>
      <c r="BZN2" s="47"/>
      <c r="BZO2" s="47"/>
      <c r="BZP2" s="47"/>
      <c r="BZQ2" s="47"/>
      <c r="BZR2" s="47"/>
      <c r="BZS2" s="47"/>
      <c r="BZT2" s="47"/>
      <c r="BZU2" s="47"/>
      <c r="BZV2" s="47"/>
      <c r="BZW2" s="47"/>
      <c r="BZX2" s="47"/>
      <c r="BZY2" s="47"/>
      <c r="BZZ2" s="47"/>
      <c r="CAA2" s="47"/>
      <c r="CAB2" s="47"/>
      <c r="CAC2" s="47"/>
      <c r="CAD2" s="47"/>
      <c r="CAE2" s="47"/>
      <c r="CAF2" s="47"/>
      <c r="CAG2" s="47"/>
      <c r="CAH2" s="47"/>
      <c r="CAI2" s="47"/>
      <c r="CAJ2" s="47"/>
      <c r="CAK2" s="47"/>
      <c r="CAL2" s="47"/>
      <c r="CAM2" s="47"/>
      <c r="CAN2" s="47"/>
      <c r="CAO2" s="47"/>
      <c r="CAP2" s="47"/>
      <c r="CAQ2" s="47"/>
      <c r="CAR2" s="47"/>
      <c r="CAS2" s="47"/>
      <c r="CAT2" s="47"/>
      <c r="CAU2" s="47"/>
      <c r="CAV2" s="47"/>
      <c r="CAW2" s="47"/>
      <c r="CAX2" s="47"/>
      <c r="CAY2" s="47"/>
      <c r="CAZ2" s="47"/>
      <c r="CBA2" s="47"/>
      <c r="CBB2" s="47"/>
      <c r="CBC2" s="47"/>
      <c r="CBD2" s="47"/>
      <c r="CBE2" s="47"/>
      <c r="CBF2" s="47"/>
      <c r="CBG2" s="47"/>
      <c r="CBH2" s="47"/>
      <c r="CBI2" s="47"/>
      <c r="CBJ2" s="47"/>
      <c r="CBK2" s="47"/>
      <c r="CBL2" s="47"/>
      <c r="CBM2" s="47"/>
      <c r="CBN2" s="47"/>
      <c r="CBO2" s="47"/>
      <c r="CBP2" s="47"/>
      <c r="CBQ2" s="47"/>
      <c r="CBR2" s="47"/>
      <c r="CBS2" s="47"/>
      <c r="CBT2" s="47"/>
      <c r="CBU2" s="47"/>
      <c r="CBV2" s="47"/>
      <c r="CBW2" s="47"/>
      <c r="CBX2" s="47"/>
      <c r="CBY2" s="47"/>
      <c r="CBZ2" s="47"/>
      <c r="CCA2" s="47"/>
      <c r="CCB2" s="47"/>
      <c r="CCC2" s="47"/>
      <c r="CCD2" s="47"/>
      <c r="CCE2" s="47"/>
      <c r="CCF2" s="47"/>
      <c r="CCG2" s="47"/>
      <c r="CCH2" s="47"/>
      <c r="CCI2" s="47"/>
      <c r="CCJ2" s="47"/>
      <c r="CCK2" s="47"/>
      <c r="CCL2" s="47"/>
      <c r="CCM2" s="47"/>
      <c r="CCN2" s="47"/>
      <c r="CCO2" s="47"/>
      <c r="CCP2" s="47"/>
      <c r="CCQ2" s="47"/>
      <c r="CCR2" s="47"/>
      <c r="CCS2" s="47"/>
      <c r="CCT2" s="47"/>
      <c r="CCU2" s="47"/>
      <c r="CCV2" s="47"/>
      <c r="CCW2" s="47"/>
      <c r="CCX2" s="47"/>
      <c r="CCY2" s="47"/>
      <c r="CCZ2" s="47"/>
      <c r="CDA2" s="47"/>
      <c r="CDB2" s="47"/>
      <c r="CDC2" s="47"/>
      <c r="CDD2" s="47"/>
      <c r="CDE2" s="47"/>
      <c r="CDF2" s="47"/>
      <c r="CDG2" s="47"/>
      <c r="CDH2" s="47"/>
      <c r="CDI2" s="47"/>
      <c r="CDJ2" s="47"/>
      <c r="CDK2" s="47"/>
      <c r="CDL2" s="47"/>
      <c r="CDM2" s="47"/>
      <c r="CDN2" s="47"/>
      <c r="CDO2" s="47"/>
      <c r="CDP2" s="47"/>
      <c r="CDQ2" s="47"/>
      <c r="CDR2" s="47"/>
      <c r="CDS2" s="47"/>
      <c r="CDT2" s="47"/>
      <c r="CDU2" s="47"/>
      <c r="CDV2" s="47"/>
      <c r="CDW2" s="47"/>
      <c r="CDX2" s="47"/>
      <c r="CDY2" s="47"/>
      <c r="CDZ2" s="47"/>
      <c r="CEA2" s="47"/>
      <c r="CEB2" s="47"/>
      <c r="CEC2" s="47"/>
      <c r="CED2" s="47"/>
      <c r="CEE2" s="47"/>
      <c r="CEF2" s="47"/>
      <c r="CEG2" s="47"/>
      <c r="CEH2" s="47"/>
      <c r="CEI2" s="47"/>
      <c r="CEJ2" s="47"/>
      <c r="CEK2" s="47"/>
      <c r="CEL2" s="47"/>
      <c r="CEM2" s="47"/>
      <c r="CEN2" s="47"/>
      <c r="CEO2" s="47"/>
      <c r="CEP2" s="47"/>
      <c r="CEQ2" s="47"/>
      <c r="CER2" s="47"/>
      <c r="CES2" s="47"/>
      <c r="CET2" s="47"/>
      <c r="CEU2" s="47"/>
      <c r="CEV2" s="47"/>
      <c r="CEW2" s="47"/>
      <c r="CEX2" s="47"/>
      <c r="CEY2" s="47"/>
      <c r="CEZ2" s="47"/>
      <c r="CFA2" s="47"/>
      <c r="CFB2" s="47"/>
      <c r="CFC2" s="47"/>
      <c r="CFD2" s="47"/>
      <c r="CFE2" s="47"/>
      <c r="CFF2" s="47"/>
      <c r="CFG2" s="47"/>
      <c r="CFH2" s="47"/>
      <c r="CFI2" s="47"/>
      <c r="CFJ2" s="47"/>
      <c r="CFK2" s="47"/>
      <c r="CFL2" s="47"/>
      <c r="CFM2" s="47"/>
      <c r="CFN2" s="47"/>
      <c r="CFO2" s="47"/>
      <c r="CFP2" s="47"/>
      <c r="CFQ2" s="47"/>
      <c r="CFR2" s="47"/>
      <c r="CFS2" s="47"/>
      <c r="CFT2" s="47"/>
      <c r="CFU2" s="47"/>
      <c r="CFV2" s="47"/>
      <c r="CFW2" s="47"/>
      <c r="CFX2" s="47"/>
      <c r="CFY2" s="47"/>
      <c r="CFZ2" s="47"/>
      <c r="CGA2" s="47"/>
      <c r="CGB2" s="47"/>
      <c r="CGC2" s="47"/>
      <c r="CGD2" s="47"/>
      <c r="CGE2" s="47"/>
      <c r="CGF2" s="47"/>
      <c r="CGG2" s="47"/>
      <c r="CGH2" s="47"/>
      <c r="CGI2" s="47"/>
      <c r="CGJ2" s="47"/>
      <c r="CGK2" s="47"/>
      <c r="CGL2" s="47"/>
      <c r="CGM2" s="47"/>
      <c r="CGN2" s="47"/>
      <c r="CGO2" s="47"/>
      <c r="CGP2" s="47"/>
      <c r="CGQ2" s="47"/>
      <c r="CGR2" s="47"/>
      <c r="CGS2" s="47"/>
      <c r="CGT2" s="47"/>
      <c r="CGU2" s="47"/>
      <c r="CGV2" s="47"/>
      <c r="CGW2" s="47"/>
      <c r="CGX2" s="47"/>
      <c r="CGY2" s="47"/>
      <c r="CGZ2" s="47"/>
      <c r="CHA2" s="47"/>
      <c r="CHB2" s="47"/>
      <c r="CHC2" s="47"/>
      <c r="CHD2" s="47"/>
      <c r="CHE2" s="47"/>
      <c r="CHF2" s="47"/>
      <c r="CHG2" s="47"/>
      <c r="CHH2" s="47"/>
      <c r="CHI2" s="47"/>
      <c r="CHJ2" s="47"/>
      <c r="CHK2" s="47"/>
      <c r="CHL2" s="47"/>
      <c r="CHM2" s="47"/>
      <c r="CHN2" s="47"/>
      <c r="CHO2" s="47"/>
      <c r="CHP2" s="47"/>
      <c r="CHQ2" s="47"/>
      <c r="CHR2" s="47"/>
      <c r="CHS2" s="47"/>
      <c r="CHT2" s="47"/>
      <c r="CHU2" s="47"/>
      <c r="CHV2" s="47"/>
      <c r="CHW2" s="47"/>
      <c r="CHX2" s="47"/>
      <c r="CHY2" s="47"/>
      <c r="CHZ2" s="47"/>
      <c r="CIA2" s="47"/>
      <c r="CIB2" s="47"/>
      <c r="CIC2" s="47"/>
      <c r="CID2" s="47"/>
      <c r="CIE2" s="47"/>
      <c r="CIF2" s="47"/>
      <c r="CIG2" s="47"/>
      <c r="CIH2" s="47"/>
      <c r="CII2" s="47"/>
      <c r="CIJ2" s="47"/>
      <c r="CIK2" s="47"/>
      <c r="CIL2" s="47"/>
      <c r="CIM2" s="47"/>
      <c r="CIN2" s="47"/>
      <c r="CIO2" s="47"/>
      <c r="CIP2" s="47"/>
      <c r="CIQ2" s="47"/>
      <c r="CIR2" s="47"/>
      <c r="CIS2" s="47"/>
      <c r="CIT2" s="47"/>
      <c r="CIU2" s="47"/>
      <c r="CIV2" s="47"/>
      <c r="CIW2" s="47"/>
      <c r="CIX2" s="47"/>
      <c r="CIY2" s="47"/>
      <c r="CIZ2" s="47"/>
      <c r="CJA2" s="47"/>
      <c r="CJB2" s="47"/>
      <c r="CJC2" s="47"/>
      <c r="CJD2" s="47"/>
      <c r="CJE2" s="47"/>
      <c r="CJF2" s="47"/>
      <c r="CJG2" s="47"/>
      <c r="CJH2" s="47"/>
      <c r="CJI2" s="47"/>
      <c r="CJJ2" s="47"/>
      <c r="CJK2" s="47"/>
      <c r="CJL2" s="47"/>
      <c r="CJM2" s="47"/>
      <c r="CJN2" s="47"/>
      <c r="CJO2" s="47"/>
      <c r="CJP2" s="47"/>
      <c r="CJQ2" s="47"/>
      <c r="CJR2" s="47"/>
      <c r="CJS2" s="47"/>
      <c r="CJT2" s="47"/>
      <c r="CJU2" s="47"/>
      <c r="CJV2" s="47"/>
      <c r="CJW2" s="47"/>
      <c r="CJX2" s="47"/>
      <c r="CJY2" s="47"/>
      <c r="CJZ2" s="47"/>
      <c r="CKA2" s="47"/>
      <c r="CKB2" s="47"/>
      <c r="CKC2" s="47"/>
      <c r="CKD2" s="47"/>
      <c r="CKE2" s="47"/>
      <c r="CKF2" s="47"/>
      <c r="CKG2" s="47"/>
      <c r="CKH2" s="47"/>
      <c r="CKI2" s="47"/>
      <c r="CKJ2" s="47"/>
      <c r="CKK2" s="47"/>
      <c r="CKL2" s="47"/>
      <c r="CKM2" s="47"/>
      <c r="CKN2" s="47"/>
      <c r="CKO2" s="47"/>
      <c r="CKP2" s="47"/>
      <c r="CKQ2" s="47"/>
      <c r="CKR2" s="47"/>
      <c r="CKS2" s="47"/>
      <c r="CKT2" s="47"/>
      <c r="CKU2" s="47"/>
      <c r="CKV2" s="47"/>
      <c r="CKW2" s="47"/>
      <c r="CKX2" s="47"/>
      <c r="CKY2" s="47"/>
      <c r="CKZ2" s="47"/>
      <c r="CLA2" s="47"/>
      <c r="CLB2" s="47"/>
      <c r="CLC2" s="47"/>
      <c r="CLD2" s="47"/>
      <c r="CLE2" s="47"/>
      <c r="CLF2" s="47"/>
      <c r="CLG2" s="47"/>
      <c r="CLH2" s="47"/>
      <c r="CLI2" s="47"/>
      <c r="CLJ2" s="47"/>
      <c r="CLK2" s="47"/>
      <c r="CLL2" s="47"/>
      <c r="CLM2" s="47"/>
      <c r="CLN2" s="47"/>
      <c r="CLO2" s="47"/>
      <c r="CLP2" s="47"/>
      <c r="CLQ2" s="47"/>
      <c r="CLR2" s="47"/>
      <c r="CLS2" s="47"/>
      <c r="CLT2" s="47"/>
      <c r="CLU2" s="47"/>
      <c r="CLV2" s="47"/>
      <c r="CLW2" s="47"/>
      <c r="CLX2" s="47"/>
      <c r="CLY2" s="47"/>
      <c r="CLZ2" s="47"/>
      <c r="CMA2" s="47"/>
      <c r="CMB2" s="47"/>
      <c r="CMC2" s="47"/>
      <c r="CMD2" s="47"/>
      <c r="CME2" s="47"/>
      <c r="CMF2" s="47"/>
      <c r="CMG2" s="47"/>
      <c r="CMH2" s="47"/>
      <c r="CMI2" s="47"/>
      <c r="CMJ2" s="47"/>
      <c r="CMK2" s="47"/>
      <c r="CML2" s="47"/>
      <c r="CMM2" s="47"/>
      <c r="CMN2" s="47"/>
      <c r="CMO2" s="47"/>
      <c r="CMP2" s="47"/>
      <c r="CMQ2" s="47"/>
      <c r="CMR2" s="47"/>
      <c r="CMS2" s="47"/>
      <c r="CMT2" s="47"/>
      <c r="CMU2" s="47"/>
      <c r="CMV2" s="47"/>
      <c r="CMW2" s="47"/>
      <c r="CMX2" s="47"/>
      <c r="CMY2" s="47"/>
      <c r="CMZ2" s="47"/>
      <c r="CNA2" s="47"/>
      <c r="CNB2" s="47"/>
      <c r="CNC2" s="47"/>
      <c r="CND2" s="47"/>
      <c r="CNE2" s="47"/>
      <c r="CNF2" s="47"/>
      <c r="CNG2" s="47"/>
      <c r="CNH2" s="47"/>
      <c r="CNI2" s="47"/>
      <c r="CNJ2" s="47"/>
      <c r="CNK2" s="47"/>
      <c r="CNL2" s="47"/>
      <c r="CNM2" s="47"/>
      <c r="CNN2" s="47"/>
      <c r="CNO2" s="47"/>
      <c r="CNP2" s="47"/>
      <c r="CNQ2" s="47"/>
      <c r="CNR2" s="47"/>
      <c r="CNS2" s="47"/>
      <c r="CNT2" s="47"/>
      <c r="CNU2" s="47"/>
      <c r="CNV2" s="47"/>
      <c r="CNW2" s="47"/>
      <c r="CNX2" s="47"/>
      <c r="CNY2" s="47"/>
      <c r="CNZ2" s="47"/>
      <c r="COA2" s="47"/>
      <c r="COB2" s="47"/>
      <c r="COC2" s="47"/>
      <c r="COD2" s="47"/>
      <c r="COE2" s="47"/>
      <c r="COF2" s="47"/>
      <c r="COG2" s="47"/>
      <c r="COH2" s="47"/>
      <c r="COI2" s="47"/>
      <c r="COJ2" s="47"/>
      <c r="COK2" s="47"/>
      <c r="COL2" s="47"/>
      <c r="COM2" s="47"/>
      <c r="CON2" s="47"/>
      <c r="COO2" s="47"/>
      <c r="COP2" s="47"/>
      <c r="COQ2" s="47"/>
      <c r="COR2" s="47"/>
      <c r="COS2" s="47"/>
      <c r="COT2" s="47"/>
      <c r="COU2" s="47"/>
      <c r="COV2" s="47"/>
      <c r="COW2" s="47"/>
      <c r="COX2" s="47"/>
      <c r="COY2" s="47"/>
      <c r="COZ2" s="47"/>
      <c r="CPA2" s="47"/>
      <c r="CPB2" s="47"/>
      <c r="CPC2" s="47"/>
      <c r="CPD2" s="47"/>
      <c r="CPE2" s="47"/>
      <c r="CPF2" s="47"/>
      <c r="CPG2" s="47"/>
      <c r="CPH2" s="47"/>
      <c r="CPI2" s="47"/>
      <c r="CPJ2" s="47"/>
      <c r="CPK2" s="47"/>
      <c r="CPL2" s="47"/>
      <c r="CPM2" s="47"/>
      <c r="CPN2" s="47"/>
      <c r="CPO2" s="47"/>
      <c r="CPP2" s="47"/>
      <c r="CPQ2" s="47"/>
      <c r="CPR2" s="47"/>
      <c r="CPS2" s="47"/>
      <c r="CPT2" s="47"/>
      <c r="CPU2" s="47"/>
      <c r="CPV2" s="47"/>
      <c r="CPW2" s="47"/>
      <c r="CPX2" s="47"/>
      <c r="CPY2" s="47"/>
      <c r="CPZ2" s="47"/>
      <c r="CQA2" s="47"/>
      <c r="CQB2" s="47"/>
      <c r="CQC2" s="47"/>
      <c r="CQD2" s="47"/>
      <c r="CQE2" s="47"/>
      <c r="CQF2" s="47"/>
      <c r="CQG2" s="47"/>
      <c r="CQH2" s="47"/>
      <c r="CQI2" s="47"/>
      <c r="CQJ2" s="47"/>
      <c r="CQK2" s="47"/>
      <c r="CQL2" s="47"/>
      <c r="CQM2" s="47"/>
      <c r="CQN2" s="47"/>
      <c r="CQO2" s="47"/>
      <c r="CQP2" s="47"/>
      <c r="CQQ2" s="47"/>
      <c r="CQR2" s="47"/>
      <c r="CQS2" s="47"/>
      <c r="CQT2" s="47"/>
      <c r="CQU2" s="47"/>
      <c r="CQV2" s="47"/>
      <c r="CQW2" s="47"/>
      <c r="CQX2" s="47"/>
      <c r="CQY2" s="47"/>
      <c r="CQZ2" s="47"/>
      <c r="CRA2" s="47"/>
      <c r="CRB2" s="47"/>
      <c r="CRC2" s="47"/>
      <c r="CRD2" s="47"/>
      <c r="CRE2" s="47"/>
      <c r="CRF2" s="47"/>
      <c r="CRG2" s="47"/>
      <c r="CRH2" s="47"/>
      <c r="CRI2" s="47"/>
      <c r="CRJ2" s="47"/>
      <c r="CRK2" s="47"/>
      <c r="CRL2" s="47"/>
      <c r="CRM2" s="47"/>
      <c r="CRN2" s="47"/>
      <c r="CRO2" s="47"/>
      <c r="CRP2" s="47"/>
      <c r="CRQ2" s="47"/>
      <c r="CRR2" s="47"/>
      <c r="CRS2" s="47"/>
      <c r="CRT2" s="47"/>
      <c r="CRU2" s="47"/>
      <c r="CRV2" s="47"/>
      <c r="CRW2" s="47"/>
      <c r="CRX2" s="47"/>
      <c r="CRY2" s="47"/>
      <c r="CRZ2" s="47"/>
      <c r="CSA2" s="47"/>
      <c r="CSB2" s="47"/>
      <c r="CSC2" s="47"/>
      <c r="CSD2" s="47"/>
      <c r="CSE2" s="47"/>
      <c r="CSF2" s="47"/>
      <c r="CSG2" s="47"/>
      <c r="CSH2" s="47"/>
      <c r="CSI2" s="47"/>
      <c r="CSJ2" s="47"/>
      <c r="CSK2" s="47"/>
      <c r="CSL2" s="47"/>
      <c r="CSM2" s="47"/>
      <c r="CSN2" s="47"/>
      <c r="CSO2" s="47"/>
      <c r="CSP2" s="47"/>
      <c r="CSQ2" s="47"/>
      <c r="CSR2" s="47"/>
      <c r="CSS2" s="47"/>
      <c r="CST2" s="47"/>
      <c r="CSU2" s="47"/>
      <c r="CSV2" s="47"/>
      <c r="CSW2" s="47"/>
      <c r="CSX2" s="47"/>
      <c r="CSY2" s="47"/>
      <c r="CSZ2" s="47"/>
      <c r="CTA2" s="47"/>
      <c r="CTB2" s="47"/>
      <c r="CTC2" s="47"/>
      <c r="CTD2" s="47"/>
      <c r="CTE2" s="47"/>
      <c r="CTF2" s="47"/>
      <c r="CTG2" s="47"/>
      <c r="CTH2" s="47"/>
      <c r="CTI2" s="47"/>
      <c r="CTJ2" s="47"/>
      <c r="CTK2" s="47"/>
      <c r="CTL2" s="47"/>
      <c r="CTM2" s="47"/>
      <c r="CTN2" s="47"/>
      <c r="CTO2" s="47"/>
      <c r="CTP2" s="47"/>
      <c r="CTQ2" s="47"/>
      <c r="CTR2" s="47"/>
      <c r="CTS2" s="47"/>
      <c r="CTT2" s="47"/>
      <c r="CTU2" s="47"/>
      <c r="CTV2" s="47"/>
      <c r="CTW2" s="47"/>
      <c r="CTX2" s="47"/>
      <c r="CTY2" s="47"/>
      <c r="CTZ2" s="47"/>
      <c r="CUA2" s="47"/>
      <c r="CUB2" s="47"/>
      <c r="CUC2" s="47"/>
      <c r="CUD2" s="47"/>
      <c r="CUE2" s="47"/>
      <c r="CUF2" s="47"/>
      <c r="CUG2" s="47"/>
      <c r="CUH2" s="47"/>
      <c r="CUI2" s="47"/>
      <c r="CUJ2" s="47"/>
      <c r="CUK2" s="47"/>
      <c r="CUL2" s="47"/>
      <c r="CUM2" s="47"/>
      <c r="CUN2" s="47"/>
      <c r="CUO2" s="47"/>
      <c r="CUP2" s="47"/>
      <c r="CUQ2" s="47"/>
      <c r="CUR2" s="47"/>
      <c r="CUS2" s="47"/>
      <c r="CUT2" s="47"/>
      <c r="CUU2" s="47"/>
      <c r="CUV2" s="47"/>
      <c r="CUW2" s="47"/>
      <c r="CUX2" s="47"/>
      <c r="CUY2" s="47"/>
      <c r="CUZ2" s="47"/>
      <c r="CVA2" s="47"/>
      <c r="CVB2" s="47"/>
      <c r="CVC2" s="47"/>
      <c r="CVD2" s="47"/>
      <c r="CVE2" s="47"/>
      <c r="CVF2" s="47"/>
      <c r="CVG2" s="47"/>
      <c r="CVH2" s="47"/>
      <c r="CVI2" s="47"/>
      <c r="CVJ2" s="47"/>
      <c r="CVK2" s="47"/>
      <c r="CVL2" s="47"/>
      <c r="CVM2" s="47"/>
      <c r="CVN2" s="47"/>
      <c r="CVO2" s="47"/>
      <c r="CVP2" s="47"/>
      <c r="CVQ2" s="47"/>
      <c r="CVR2" s="47"/>
      <c r="CVS2" s="47"/>
      <c r="CVT2" s="47"/>
      <c r="CVU2" s="47"/>
      <c r="CVV2" s="47"/>
      <c r="CVW2" s="47"/>
      <c r="CVX2" s="47"/>
      <c r="CVY2" s="47"/>
      <c r="CVZ2" s="47"/>
      <c r="CWA2" s="47"/>
      <c r="CWB2" s="47"/>
      <c r="CWC2" s="47"/>
      <c r="CWD2" s="47"/>
      <c r="CWE2" s="47"/>
      <c r="CWF2" s="47"/>
      <c r="CWG2" s="47"/>
      <c r="CWH2" s="47"/>
      <c r="CWI2" s="47"/>
      <c r="CWJ2" s="47"/>
      <c r="CWK2" s="47"/>
      <c r="CWL2" s="47"/>
      <c r="CWM2" s="47"/>
      <c r="CWN2" s="47"/>
      <c r="CWO2" s="47"/>
      <c r="CWP2" s="47"/>
      <c r="CWQ2" s="47"/>
      <c r="CWR2" s="47"/>
      <c r="CWS2" s="47"/>
      <c r="CWT2" s="47"/>
      <c r="CWU2" s="47"/>
      <c r="CWV2" s="47"/>
      <c r="CWW2" s="47"/>
      <c r="CWX2" s="47"/>
      <c r="CWY2" s="47"/>
      <c r="CWZ2" s="47"/>
      <c r="CXA2" s="47"/>
      <c r="CXB2" s="47"/>
      <c r="CXC2" s="47"/>
      <c r="CXD2" s="47"/>
      <c r="CXE2" s="47"/>
      <c r="CXF2" s="47"/>
      <c r="CXG2" s="47"/>
      <c r="CXH2" s="47"/>
      <c r="CXI2" s="47"/>
      <c r="CXJ2" s="47"/>
      <c r="CXK2" s="47"/>
      <c r="CXL2" s="47"/>
      <c r="CXM2" s="47"/>
      <c r="CXN2" s="47"/>
      <c r="CXO2" s="47"/>
      <c r="CXP2" s="47"/>
      <c r="CXQ2" s="47"/>
      <c r="CXR2" s="47"/>
      <c r="CXS2" s="47"/>
      <c r="CXT2" s="47"/>
      <c r="CXU2" s="47"/>
      <c r="CXV2" s="47"/>
      <c r="CXW2" s="47"/>
      <c r="CXX2" s="47"/>
      <c r="CXY2" s="47"/>
      <c r="CXZ2" s="47"/>
      <c r="CYA2" s="47"/>
      <c r="CYB2" s="47"/>
      <c r="CYC2" s="47"/>
      <c r="CYD2" s="47"/>
      <c r="CYE2" s="47"/>
      <c r="CYF2" s="47"/>
      <c r="CYG2" s="47"/>
      <c r="CYH2" s="47"/>
      <c r="CYI2" s="47"/>
      <c r="CYJ2" s="47"/>
      <c r="CYK2" s="47"/>
      <c r="CYL2" s="47"/>
      <c r="CYM2" s="47"/>
      <c r="CYN2" s="47"/>
      <c r="CYO2" s="47"/>
      <c r="CYP2" s="47"/>
      <c r="CYQ2" s="47"/>
      <c r="CYR2" s="47"/>
      <c r="CYS2" s="47"/>
      <c r="CYT2" s="47"/>
      <c r="CYU2" s="47"/>
      <c r="CYV2" s="47"/>
      <c r="CYW2" s="47"/>
      <c r="CYX2" s="47"/>
      <c r="CYY2" s="47"/>
      <c r="CYZ2" s="47"/>
      <c r="CZA2" s="47"/>
      <c r="CZB2" s="47"/>
      <c r="CZC2" s="47"/>
      <c r="CZD2" s="47"/>
      <c r="CZE2" s="47"/>
      <c r="CZF2" s="47"/>
      <c r="CZG2" s="47"/>
      <c r="CZH2" s="47"/>
      <c r="CZI2" s="47"/>
      <c r="CZJ2" s="47"/>
      <c r="CZK2" s="47"/>
      <c r="CZL2" s="47"/>
      <c r="CZM2" s="47"/>
      <c r="CZN2" s="47"/>
      <c r="CZO2" s="47"/>
      <c r="CZP2" s="47"/>
      <c r="CZQ2" s="47"/>
      <c r="CZR2" s="47"/>
      <c r="CZS2" s="47"/>
      <c r="CZT2" s="47"/>
      <c r="CZU2" s="47"/>
      <c r="CZV2" s="47"/>
      <c r="CZW2" s="47"/>
      <c r="CZX2" s="47"/>
      <c r="CZY2" s="47"/>
      <c r="CZZ2" s="47"/>
      <c r="DAA2" s="47"/>
      <c r="DAB2" s="47"/>
      <c r="DAC2" s="47"/>
      <c r="DAD2" s="47"/>
      <c r="DAE2" s="47"/>
      <c r="DAF2" s="47"/>
      <c r="DAG2" s="47"/>
      <c r="DAH2" s="47"/>
      <c r="DAI2" s="47"/>
      <c r="DAJ2" s="47"/>
      <c r="DAK2" s="47"/>
      <c r="DAL2" s="47"/>
      <c r="DAM2" s="47"/>
      <c r="DAN2" s="47"/>
      <c r="DAO2" s="47"/>
      <c r="DAP2" s="47"/>
      <c r="DAQ2" s="47"/>
      <c r="DAR2" s="47"/>
      <c r="DAS2" s="47"/>
      <c r="DAT2" s="47"/>
      <c r="DAU2" s="47"/>
      <c r="DAV2" s="47"/>
      <c r="DAW2" s="47"/>
      <c r="DAX2" s="47"/>
      <c r="DAY2" s="47"/>
      <c r="DAZ2" s="47"/>
      <c r="DBA2" s="47"/>
      <c r="DBB2" s="47"/>
      <c r="DBC2" s="47"/>
      <c r="DBD2" s="47"/>
      <c r="DBE2" s="47"/>
      <c r="DBF2" s="47"/>
      <c r="DBG2" s="47"/>
      <c r="DBH2" s="47"/>
      <c r="DBI2" s="47"/>
      <c r="DBJ2" s="47"/>
      <c r="DBK2" s="47"/>
      <c r="DBL2" s="47"/>
      <c r="DBM2" s="47"/>
      <c r="DBN2" s="47"/>
      <c r="DBO2" s="47"/>
      <c r="DBP2" s="47"/>
      <c r="DBQ2" s="47"/>
      <c r="DBR2" s="47"/>
      <c r="DBS2" s="47"/>
      <c r="DBT2" s="47"/>
      <c r="DBU2" s="47"/>
      <c r="DBV2" s="47"/>
      <c r="DBW2" s="47"/>
      <c r="DBX2" s="47"/>
      <c r="DBY2" s="47"/>
      <c r="DBZ2" s="47"/>
      <c r="DCA2" s="47"/>
      <c r="DCB2" s="47"/>
      <c r="DCC2" s="47"/>
      <c r="DCD2" s="47"/>
      <c r="DCE2" s="47"/>
      <c r="DCF2" s="47"/>
      <c r="DCG2" s="47"/>
      <c r="DCH2" s="47"/>
      <c r="DCI2" s="47"/>
      <c r="DCJ2" s="47"/>
      <c r="DCK2" s="47"/>
      <c r="DCL2" s="47"/>
      <c r="DCM2" s="47"/>
      <c r="DCN2" s="47"/>
      <c r="DCO2" s="47"/>
      <c r="DCP2" s="47"/>
      <c r="DCQ2" s="47"/>
      <c r="DCR2" s="47"/>
      <c r="DCS2" s="47"/>
      <c r="DCT2" s="47"/>
      <c r="DCU2" s="47"/>
      <c r="DCV2" s="47"/>
      <c r="DCW2" s="47"/>
      <c r="DCX2" s="47"/>
      <c r="DCY2" s="47"/>
      <c r="DCZ2" s="47"/>
      <c r="DDA2" s="47"/>
      <c r="DDB2" s="47"/>
      <c r="DDC2" s="47"/>
      <c r="DDD2" s="47"/>
      <c r="DDE2" s="47"/>
      <c r="DDF2" s="47"/>
      <c r="DDG2" s="47"/>
      <c r="DDH2" s="47"/>
      <c r="DDI2" s="47"/>
      <c r="DDJ2" s="47"/>
      <c r="DDK2" s="47"/>
      <c r="DDL2" s="47"/>
      <c r="DDM2" s="47"/>
      <c r="DDN2" s="47"/>
      <c r="DDO2" s="47"/>
      <c r="DDP2" s="47"/>
      <c r="DDQ2" s="47"/>
      <c r="DDR2" s="47"/>
      <c r="DDS2" s="47"/>
      <c r="DDT2" s="47"/>
      <c r="DDU2" s="47"/>
      <c r="DDV2" s="47"/>
      <c r="DDW2" s="47"/>
      <c r="DDX2" s="47"/>
      <c r="DDY2" s="47"/>
      <c r="DDZ2" s="47"/>
      <c r="DEA2" s="47"/>
      <c r="DEB2" s="47"/>
      <c r="DEC2" s="47"/>
      <c r="DED2" s="47"/>
      <c r="DEE2" s="47"/>
      <c r="DEF2" s="47"/>
      <c r="DEG2" s="47"/>
      <c r="DEH2" s="47"/>
      <c r="DEI2" s="47"/>
      <c r="DEJ2" s="47"/>
      <c r="DEK2" s="47"/>
      <c r="DEL2" s="47"/>
      <c r="DEM2" s="47"/>
      <c r="DEN2" s="47"/>
      <c r="DEO2" s="47"/>
      <c r="DEP2" s="47"/>
      <c r="DEQ2" s="47"/>
      <c r="DER2" s="47"/>
      <c r="DES2" s="47"/>
      <c r="DET2" s="47"/>
      <c r="DEU2" s="47"/>
      <c r="DEV2" s="47"/>
      <c r="DEW2" s="47"/>
      <c r="DEX2" s="47"/>
      <c r="DEY2" s="47"/>
      <c r="DEZ2" s="47"/>
      <c r="DFA2" s="47"/>
      <c r="DFB2" s="47"/>
      <c r="DFC2" s="47"/>
      <c r="DFD2" s="47"/>
      <c r="DFE2" s="47"/>
      <c r="DFF2" s="47"/>
      <c r="DFG2" s="47"/>
      <c r="DFH2" s="47"/>
      <c r="DFI2" s="47"/>
      <c r="DFJ2" s="47"/>
      <c r="DFK2" s="47"/>
      <c r="DFL2" s="47"/>
      <c r="DFM2" s="47"/>
      <c r="DFN2" s="47"/>
      <c r="DFO2" s="47"/>
      <c r="DFP2" s="47"/>
      <c r="DFQ2" s="47"/>
      <c r="DFR2" s="47"/>
      <c r="DFS2" s="47"/>
      <c r="DFT2" s="47"/>
      <c r="DFU2" s="47"/>
      <c r="DFV2" s="47"/>
      <c r="DFW2" s="47"/>
      <c r="DFX2" s="47"/>
      <c r="DFY2" s="47"/>
      <c r="DFZ2" s="47"/>
      <c r="DGA2" s="47"/>
      <c r="DGB2" s="47"/>
      <c r="DGC2" s="47"/>
      <c r="DGD2" s="47"/>
      <c r="DGE2" s="47"/>
      <c r="DGF2" s="47"/>
      <c r="DGG2" s="47"/>
      <c r="DGH2" s="47"/>
      <c r="DGI2" s="47"/>
      <c r="DGJ2" s="47"/>
      <c r="DGK2" s="47"/>
      <c r="DGL2" s="47"/>
      <c r="DGM2" s="47"/>
      <c r="DGN2" s="47"/>
      <c r="DGO2" s="47"/>
      <c r="DGP2" s="47"/>
      <c r="DGQ2" s="47"/>
      <c r="DGR2" s="47"/>
      <c r="DGS2" s="47"/>
      <c r="DGT2" s="47"/>
      <c r="DGU2" s="47"/>
      <c r="DGV2" s="47"/>
      <c r="DGW2" s="47"/>
      <c r="DGX2" s="47"/>
      <c r="DGY2" s="47"/>
      <c r="DGZ2" s="47"/>
      <c r="DHA2" s="47"/>
      <c r="DHB2" s="47"/>
      <c r="DHC2" s="47"/>
      <c r="DHD2" s="47"/>
      <c r="DHE2" s="47"/>
      <c r="DHF2" s="47"/>
      <c r="DHG2" s="47"/>
      <c r="DHH2" s="47"/>
      <c r="DHI2" s="47"/>
      <c r="DHJ2" s="47"/>
      <c r="DHK2" s="47"/>
      <c r="DHL2" s="47"/>
      <c r="DHM2" s="47"/>
      <c r="DHN2" s="47"/>
      <c r="DHO2" s="47"/>
      <c r="DHP2" s="47"/>
      <c r="DHQ2" s="47"/>
      <c r="DHR2" s="47"/>
      <c r="DHS2" s="47"/>
      <c r="DHT2" s="47"/>
      <c r="DHU2" s="47"/>
      <c r="DHV2" s="47"/>
      <c r="DHW2" s="47"/>
      <c r="DHX2" s="47"/>
      <c r="DHY2" s="47"/>
      <c r="DHZ2" s="47"/>
      <c r="DIA2" s="47"/>
      <c r="DIB2" s="47"/>
      <c r="DIC2" s="47"/>
      <c r="DID2" s="47"/>
      <c r="DIE2" s="47"/>
      <c r="DIF2" s="47"/>
      <c r="DIG2" s="47"/>
      <c r="DIH2" s="47"/>
      <c r="DII2" s="47"/>
      <c r="DIJ2" s="47"/>
      <c r="DIK2" s="47"/>
      <c r="DIL2" s="47"/>
      <c r="DIM2" s="47"/>
      <c r="DIN2" s="47"/>
      <c r="DIO2" s="47"/>
      <c r="DIP2" s="47"/>
      <c r="DIQ2" s="47"/>
      <c r="DIR2" s="47"/>
      <c r="DIS2" s="47"/>
      <c r="DIT2" s="47"/>
      <c r="DIU2" s="47"/>
      <c r="DIV2" s="47"/>
      <c r="DIW2" s="47"/>
      <c r="DIX2" s="47"/>
      <c r="DIY2" s="47"/>
      <c r="DIZ2" s="47"/>
      <c r="DJA2" s="47"/>
      <c r="DJB2" s="47"/>
      <c r="DJC2" s="47"/>
      <c r="DJD2" s="47"/>
      <c r="DJE2" s="47"/>
      <c r="DJF2" s="47"/>
      <c r="DJG2" s="47"/>
      <c r="DJH2" s="47"/>
      <c r="DJI2" s="47"/>
      <c r="DJJ2" s="47"/>
      <c r="DJK2" s="47"/>
      <c r="DJL2" s="47"/>
      <c r="DJM2" s="47"/>
      <c r="DJN2" s="47"/>
      <c r="DJO2" s="47"/>
      <c r="DJP2" s="47"/>
      <c r="DJQ2" s="47"/>
      <c r="DJR2" s="47"/>
      <c r="DJS2" s="47"/>
      <c r="DJT2" s="47"/>
      <c r="DJU2" s="47"/>
      <c r="DJV2" s="47"/>
      <c r="DJW2" s="47"/>
      <c r="DJX2" s="47"/>
      <c r="DJY2" s="47"/>
      <c r="DJZ2" s="47"/>
      <c r="DKA2" s="47"/>
      <c r="DKB2" s="47"/>
      <c r="DKC2" s="47"/>
      <c r="DKD2" s="47"/>
      <c r="DKE2" s="47"/>
      <c r="DKF2" s="47"/>
      <c r="DKG2" s="47"/>
      <c r="DKH2" s="47"/>
      <c r="DKI2" s="47"/>
      <c r="DKJ2" s="47"/>
      <c r="DKK2" s="47"/>
      <c r="DKL2" s="47"/>
      <c r="DKM2" s="47"/>
      <c r="DKN2" s="47"/>
      <c r="DKO2" s="47"/>
      <c r="DKP2" s="47"/>
      <c r="DKQ2" s="47"/>
      <c r="DKR2" s="47"/>
      <c r="DKS2" s="47"/>
      <c r="DKT2" s="47"/>
      <c r="DKU2" s="47"/>
      <c r="DKV2" s="47"/>
      <c r="DKW2" s="47"/>
      <c r="DKX2" s="47"/>
      <c r="DKY2" s="47"/>
      <c r="DKZ2" s="47"/>
      <c r="DLA2" s="47"/>
      <c r="DLB2" s="47"/>
      <c r="DLC2" s="47"/>
      <c r="DLD2" s="47"/>
      <c r="DLE2" s="47"/>
      <c r="DLF2" s="47"/>
      <c r="DLG2" s="47"/>
      <c r="DLH2" s="47"/>
      <c r="DLI2" s="47"/>
      <c r="DLJ2" s="47"/>
      <c r="DLK2" s="47"/>
      <c r="DLL2" s="47"/>
      <c r="DLM2" s="47"/>
      <c r="DLN2" s="47"/>
      <c r="DLO2" s="47"/>
      <c r="DLP2" s="47"/>
      <c r="DLQ2" s="47"/>
      <c r="DLR2" s="47"/>
      <c r="DLS2" s="47"/>
      <c r="DLT2" s="47"/>
      <c r="DLU2" s="47"/>
      <c r="DLV2" s="47"/>
      <c r="DLW2" s="47"/>
      <c r="DLX2" s="47"/>
      <c r="DLY2" s="47"/>
      <c r="DLZ2" s="47"/>
      <c r="DMA2" s="47"/>
      <c r="DMB2" s="47"/>
      <c r="DMC2" s="47"/>
      <c r="DMD2" s="47"/>
      <c r="DME2" s="47"/>
      <c r="DMF2" s="47"/>
      <c r="DMG2" s="47"/>
      <c r="DMH2" s="47"/>
      <c r="DMI2" s="47"/>
      <c r="DMJ2" s="47"/>
      <c r="DMK2" s="47"/>
      <c r="DML2" s="47"/>
      <c r="DMM2" s="47"/>
      <c r="DMN2" s="47"/>
      <c r="DMO2" s="47"/>
      <c r="DMP2" s="47"/>
      <c r="DMQ2" s="47"/>
      <c r="DMR2" s="47"/>
      <c r="DMS2" s="47"/>
      <c r="DMT2" s="47"/>
      <c r="DMU2" s="47"/>
      <c r="DMV2" s="47"/>
      <c r="DMW2" s="47"/>
      <c r="DMX2" s="47"/>
      <c r="DMY2" s="47"/>
      <c r="DMZ2" s="47"/>
      <c r="DNA2" s="47"/>
      <c r="DNB2" s="47"/>
      <c r="DNC2" s="47"/>
      <c r="DND2" s="47"/>
      <c r="DNE2" s="47"/>
      <c r="DNF2" s="47"/>
      <c r="DNG2" s="47"/>
      <c r="DNH2" s="47"/>
      <c r="DNI2" s="47"/>
      <c r="DNJ2" s="47"/>
      <c r="DNK2" s="47"/>
      <c r="DNL2" s="47"/>
      <c r="DNM2" s="47"/>
      <c r="DNN2" s="47"/>
      <c r="DNO2" s="47"/>
      <c r="DNP2" s="47"/>
      <c r="DNQ2" s="47"/>
      <c r="DNR2" s="47"/>
      <c r="DNS2" s="47"/>
      <c r="DNT2" s="47"/>
      <c r="DNU2" s="47"/>
      <c r="DNV2" s="47"/>
      <c r="DNW2" s="47"/>
      <c r="DNX2" s="47"/>
      <c r="DNY2" s="47"/>
      <c r="DNZ2" s="47"/>
      <c r="DOA2" s="47"/>
      <c r="DOB2" s="47"/>
      <c r="DOC2" s="47"/>
      <c r="DOD2" s="47"/>
      <c r="DOE2" s="47"/>
      <c r="DOF2" s="47"/>
      <c r="DOG2" s="47"/>
      <c r="DOH2" s="47"/>
      <c r="DOI2" s="47"/>
      <c r="DOJ2" s="47"/>
      <c r="DOK2" s="47"/>
      <c r="DOL2" s="47"/>
      <c r="DOM2" s="47"/>
      <c r="DON2" s="47"/>
      <c r="DOO2" s="47"/>
      <c r="DOP2" s="47"/>
      <c r="DOQ2" s="47"/>
      <c r="DOR2" s="47"/>
      <c r="DOS2" s="47"/>
      <c r="DOT2" s="47"/>
      <c r="DOU2" s="47"/>
      <c r="DOV2" s="47"/>
      <c r="DOW2" s="47"/>
      <c r="DOX2" s="47"/>
      <c r="DOY2" s="47"/>
      <c r="DOZ2" s="47"/>
      <c r="DPA2" s="47"/>
      <c r="DPB2" s="47"/>
      <c r="DPC2" s="47"/>
      <c r="DPD2" s="47"/>
      <c r="DPE2" s="47"/>
      <c r="DPF2" s="47"/>
      <c r="DPG2" s="47"/>
      <c r="DPH2" s="47"/>
      <c r="DPI2" s="47"/>
      <c r="DPJ2" s="47"/>
      <c r="DPK2" s="47"/>
      <c r="DPL2" s="47"/>
      <c r="DPM2" s="47"/>
      <c r="DPN2" s="47"/>
      <c r="DPO2" s="47"/>
      <c r="DPP2" s="47"/>
      <c r="DPQ2" s="47"/>
      <c r="DPR2" s="47"/>
      <c r="DPS2" s="47"/>
      <c r="DPT2" s="47"/>
      <c r="DPU2" s="47"/>
      <c r="DPV2" s="47"/>
      <c r="DPW2" s="47"/>
      <c r="DPX2" s="47"/>
      <c r="DPY2" s="47"/>
      <c r="DPZ2" s="47"/>
      <c r="DQA2" s="47"/>
      <c r="DQB2" s="47"/>
      <c r="DQC2" s="47"/>
      <c r="DQD2" s="47"/>
      <c r="DQE2" s="47"/>
      <c r="DQF2" s="47"/>
      <c r="DQG2" s="47"/>
      <c r="DQH2" s="47"/>
      <c r="DQI2" s="47"/>
      <c r="DQJ2" s="47"/>
      <c r="DQK2" s="47"/>
      <c r="DQL2" s="47"/>
      <c r="DQM2" s="47"/>
      <c r="DQN2" s="47"/>
      <c r="DQO2" s="47"/>
      <c r="DQP2" s="47"/>
      <c r="DQQ2" s="47"/>
      <c r="DQR2" s="47"/>
      <c r="DQS2" s="47"/>
      <c r="DQT2" s="47"/>
      <c r="DQU2" s="47"/>
      <c r="DQV2" s="47"/>
      <c r="DQW2" s="47"/>
      <c r="DQX2" s="47"/>
      <c r="DQY2" s="47"/>
      <c r="DQZ2" s="47"/>
      <c r="DRA2" s="47"/>
      <c r="DRB2" s="47"/>
      <c r="DRC2" s="47"/>
      <c r="DRD2" s="47"/>
      <c r="DRE2" s="47"/>
      <c r="DRF2" s="47"/>
      <c r="DRG2" s="47"/>
      <c r="DRH2" s="47"/>
      <c r="DRI2" s="47"/>
      <c r="DRJ2" s="47"/>
      <c r="DRK2" s="47"/>
      <c r="DRL2" s="47"/>
      <c r="DRM2" s="47"/>
      <c r="DRN2" s="47"/>
      <c r="DRO2" s="47"/>
      <c r="DRP2" s="47"/>
      <c r="DRQ2" s="47"/>
      <c r="DRR2" s="47"/>
      <c r="DRS2" s="47"/>
      <c r="DRT2" s="47"/>
      <c r="DRU2" s="47"/>
      <c r="DRV2" s="47"/>
      <c r="DRW2" s="47"/>
      <c r="DRX2" s="47"/>
      <c r="DRY2" s="47"/>
      <c r="DRZ2" s="47"/>
      <c r="DSA2" s="47"/>
      <c r="DSB2" s="47"/>
      <c r="DSC2" s="47"/>
      <c r="DSD2" s="47"/>
      <c r="DSE2" s="47"/>
      <c r="DSF2" s="47"/>
      <c r="DSG2" s="47"/>
      <c r="DSH2" s="47"/>
      <c r="DSI2" s="47"/>
      <c r="DSJ2" s="47"/>
      <c r="DSK2" s="47"/>
      <c r="DSL2" s="47"/>
      <c r="DSM2" s="47"/>
      <c r="DSN2" s="47"/>
      <c r="DSO2" s="47"/>
      <c r="DSP2" s="47"/>
      <c r="DSQ2" s="47"/>
      <c r="DSR2" s="47"/>
      <c r="DSS2" s="47"/>
      <c r="DST2" s="47"/>
      <c r="DSU2" s="47"/>
      <c r="DSV2" s="47"/>
      <c r="DSW2" s="47"/>
      <c r="DSX2" s="47"/>
      <c r="DSY2" s="47"/>
      <c r="DSZ2" s="47"/>
      <c r="DTA2" s="47"/>
      <c r="DTB2" s="47"/>
      <c r="DTC2" s="47"/>
      <c r="DTD2" s="47"/>
      <c r="DTE2" s="47"/>
      <c r="DTF2" s="47"/>
      <c r="DTG2" s="47"/>
      <c r="DTH2" s="47"/>
      <c r="DTI2" s="47"/>
      <c r="DTJ2" s="47"/>
      <c r="DTK2" s="47"/>
      <c r="DTL2" s="47"/>
      <c r="DTM2" s="47"/>
      <c r="DTN2" s="47"/>
      <c r="DTO2" s="47"/>
      <c r="DTP2" s="47"/>
      <c r="DTQ2" s="47"/>
      <c r="DTR2" s="47"/>
      <c r="DTS2" s="47"/>
      <c r="DTT2" s="47"/>
      <c r="DTU2" s="47"/>
      <c r="DTV2" s="47"/>
      <c r="DTW2" s="47"/>
      <c r="DTX2" s="47"/>
      <c r="DTY2" s="47"/>
      <c r="DTZ2" s="47"/>
      <c r="DUA2" s="47"/>
      <c r="DUB2" s="47"/>
      <c r="DUC2" s="47"/>
      <c r="DUD2" s="47"/>
      <c r="DUE2" s="47"/>
      <c r="DUF2" s="47"/>
      <c r="DUG2" s="47"/>
      <c r="DUH2" s="47"/>
      <c r="DUI2" s="47"/>
      <c r="DUJ2" s="47"/>
      <c r="DUK2" s="47"/>
      <c r="DUL2" s="47"/>
      <c r="DUM2" s="47"/>
      <c r="DUN2" s="47"/>
      <c r="DUO2" s="47"/>
      <c r="DUP2" s="47"/>
      <c r="DUQ2" s="47"/>
      <c r="DUR2" s="47"/>
      <c r="DUS2" s="47"/>
      <c r="DUT2" s="47"/>
      <c r="DUU2" s="47"/>
      <c r="DUV2" s="47"/>
      <c r="DUW2" s="47"/>
      <c r="DUX2" s="47"/>
      <c r="DUY2" s="47"/>
      <c r="DUZ2" s="47"/>
      <c r="DVA2" s="47"/>
      <c r="DVB2" s="47"/>
      <c r="DVC2" s="47"/>
      <c r="DVD2" s="47"/>
      <c r="DVE2" s="47"/>
      <c r="DVF2" s="47"/>
      <c r="DVG2" s="47"/>
      <c r="DVH2" s="47"/>
      <c r="DVI2" s="47"/>
      <c r="DVJ2" s="47"/>
      <c r="DVK2" s="47"/>
      <c r="DVL2" s="47"/>
      <c r="DVM2" s="47"/>
      <c r="DVN2" s="47"/>
      <c r="DVO2" s="47"/>
      <c r="DVP2" s="47"/>
      <c r="DVQ2" s="47"/>
      <c r="DVR2" s="47"/>
      <c r="DVS2" s="47"/>
      <c r="DVT2" s="47"/>
      <c r="DVU2" s="47"/>
      <c r="DVV2" s="47"/>
      <c r="DVW2" s="47"/>
      <c r="DVX2" s="47"/>
      <c r="DVY2" s="47"/>
      <c r="DVZ2" s="47"/>
      <c r="DWA2" s="47"/>
      <c r="DWB2" s="47"/>
      <c r="DWC2" s="47"/>
      <c r="DWD2" s="47"/>
      <c r="DWE2" s="47"/>
      <c r="DWF2" s="47"/>
      <c r="DWG2" s="47"/>
      <c r="DWH2" s="47"/>
      <c r="DWI2" s="47"/>
      <c r="DWJ2" s="47"/>
      <c r="DWK2" s="47"/>
      <c r="DWL2" s="47"/>
      <c r="DWM2" s="47"/>
      <c r="DWN2" s="47"/>
      <c r="DWO2" s="47"/>
      <c r="DWP2" s="47"/>
      <c r="DWQ2" s="47"/>
      <c r="DWR2" s="47"/>
      <c r="DWS2" s="47"/>
      <c r="DWT2" s="47"/>
      <c r="DWU2" s="47"/>
      <c r="DWV2" s="47"/>
      <c r="DWW2" s="47"/>
      <c r="DWX2" s="47"/>
      <c r="DWY2" s="47"/>
      <c r="DWZ2" s="47"/>
      <c r="DXA2" s="47"/>
      <c r="DXB2" s="47"/>
      <c r="DXC2" s="47"/>
      <c r="DXD2" s="47"/>
      <c r="DXE2" s="47"/>
      <c r="DXF2" s="47"/>
      <c r="DXG2" s="47"/>
      <c r="DXH2" s="47"/>
      <c r="DXI2" s="47"/>
      <c r="DXJ2" s="47"/>
      <c r="DXK2" s="47"/>
      <c r="DXL2" s="47"/>
      <c r="DXM2" s="47"/>
      <c r="DXN2" s="47"/>
      <c r="DXO2" s="47"/>
      <c r="DXP2" s="47"/>
      <c r="DXQ2" s="47"/>
      <c r="DXR2" s="47"/>
      <c r="DXS2" s="47"/>
      <c r="DXT2" s="47"/>
      <c r="DXU2" s="47"/>
      <c r="DXV2" s="47"/>
      <c r="DXW2" s="47"/>
      <c r="DXX2" s="47"/>
      <c r="DXY2" s="47"/>
      <c r="DXZ2" s="47"/>
      <c r="DYA2" s="47"/>
      <c r="DYB2" s="47"/>
      <c r="DYC2" s="47"/>
      <c r="DYD2" s="47"/>
      <c r="DYE2" s="47"/>
      <c r="DYF2" s="47"/>
      <c r="DYG2" s="47"/>
      <c r="DYH2" s="47"/>
      <c r="DYI2" s="47"/>
      <c r="DYJ2" s="47"/>
      <c r="DYK2" s="47"/>
      <c r="DYL2" s="47"/>
      <c r="DYM2" s="47"/>
      <c r="DYN2" s="47"/>
      <c r="DYO2" s="47"/>
      <c r="DYP2" s="47"/>
      <c r="DYQ2" s="47"/>
      <c r="DYR2" s="47"/>
      <c r="DYS2" s="47"/>
      <c r="DYT2" s="47"/>
      <c r="DYU2" s="47"/>
      <c r="DYV2" s="47"/>
      <c r="DYW2" s="47"/>
      <c r="DYX2" s="47"/>
      <c r="DYY2" s="47"/>
      <c r="DYZ2" s="47"/>
      <c r="DZA2" s="47"/>
      <c r="DZB2" s="47"/>
      <c r="DZC2" s="47"/>
      <c r="DZD2" s="47"/>
      <c r="DZE2" s="47"/>
      <c r="DZF2" s="47"/>
      <c r="DZG2" s="47"/>
      <c r="DZH2" s="47"/>
      <c r="DZI2" s="47"/>
      <c r="DZJ2" s="47"/>
      <c r="DZK2" s="47"/>
      <c r="DZL2" s="47"/>
      <c r="DZM2" s="47"/>
      <c r="DZN2" s="47"/>
      <c r="DZO2" s="47"/>
      <c r="DZP2" s="47"/>
      <c r="DZQ2" s="47"/>
      <c r="DZR2" s="47"/>
      <c r="DZS2" s="47"/>
      <c r="DZT2" s="47"/>
      <c r="DZU2" s="47"/>
      <c r="DZV2" s="47"/>
      <c r="DZW2" s="47"/>
      <c r="DZX2" s="47"/>
      <c r="DZY2" s="47"/>
      <c r="DZZ2" s="47"/>
      <c r="EAA2" s="47"/>
      <c r="EAB2" s="47"/>
      <c r="EAC2" s="47"/>
      <c r="EAD2" s="47"/>
      <c r="EAE2" s="47"/>
      <c r="EAF2" s="47"/>
      <c r="EAG2" s="47"/>
      <c r="EAH2" s="47"/>
      <c r="EAI2" s="47"/>
      <c r="EAJ2" s="47"/>
      <c r="EAK2" s="47"/>
      <c r="EAL2" s="47"/>
      <c r="EAM2" s="47"/>
      <c r="EAN2" s="47"/>
      <c r="EAO2" s="47"/>
      <c r="EAP2" s="47"/>
      <c r="EAQ2" s="47"/>
      <c r="EAR2" s="47"/>
      <c r="EAS2" s="47"/>
      <c r="EAT2" s="47"/>
      <c r="EAU2" s="47"/>
      <c r="EAV2" s="47"/>
      <c r="EAW2" s="47"/>
      <c r="EAX2" s="47"/>
      <c r="EAY2" s="47"/>
      <c r="EAZ2" s="47"/>
      <c r="EBA2" s="47"/>
      <c r="EBB2" s="47"/>
      <c r="EBC2" s="47"/>
      <c r="EBD2" s="47"/>
      <c r="EBE2" s="47"/>
      <c r="EBF2" s="47"/>
      <c r="EBG2" s="47"/>
      <c r="EBH2" s="47"/>
      <c r="EBI2" s="47"/>
      <c r="EBJ2" s="47"/>
      <c r="EBK2" s="47"/>
      <c r="EBL2" s="47"/>
      <c r="EBM2" s="47"/>
      <c r="EBN2" s="47"/>
      <c r="EBO2" s="47"/>
      <c r="EBP2" s="47"/>
      <c r="EBQ2" s="47"/>
      <c r="EBR2" s="47"/>
      <c r="EBS2" s="47"/>
      <c r="EBT2" s="47"/>
      <c r="EBU2" s="47"/>
      <c r="EBV2" s="47"/>
      <c r="EBW2" s="47"/>
      <c r="EBX2" s="47"/>
      <c r="EBY2" s="47"/>
      <c r="EBZ2" s="47"/>
      <c r="ECA2" s="47"/>
      <c r="ECB2" s="47"/>
      <c r="ECC2" s="47"/>
      <c r="ECD2" s="47"/>
      <c r="ECE2" s="47"/>
      <c r="ECF2" s="47"/>
      <c r="ECG2" s="47"/>
      <c r="ECH2" s="47"/>
      <c r="ECI2" s="47"/>
      <c r="ECJ2" s="47"/>
      <c r="ECK2" s="47"/>
      <c r="ECL2" s="47"/>
      <c r="ECM2" s="47"/>
      <c r="ECN2" s="47"/>
      <c r="ECO2" s="47"/>
      <c r="ECP2" s="47"/>
      <c r="ECQ2" s="47"/>
      <c r="ECR2" s="47"/>
      <c r="ECS2" s="47"/>
      <c r="ECT2" s="47"/>
      <c r="ECU2" s="47"/>
      <c r="ECV2" s="47"/>
      <c r="ECW2" s="47"/>
      <c r="ECX2" s="47"/>
      <c r="ECY2" s="47"/>
      <c r="ECZ2" s="47"/>
      <c r="EDA2" s="47"/>
      <c r="EDB2" s="47"/>
      <c r="EDC2" s="47"/>
      <c r="EDD2" s="47"/>
      <c r="EDE2" s="47"/>
      <c r="EDF2" s="47"/>
      <c r="EDG2" s="47"/>
      <c r="EDH2" s="47"/>
      <c r="EDI2" s="47"/>
      <c r="EDJ2" s="47"/>
      <c r="EDK2" s="47"/>
      <c r="EDL2" s="47"/>
      <c r="EDM2" s="47"/>
      <c r="EDN2" s="47"/>
      <c r="EDO2" s="47"/>
      <c r="EDP2" s="47"/>
      <c r="EDQ2" s="47"/>
      <c r="EDR2" s="47"/>
      <c r="EDS2" s="47"/>
      <c r="EDT2" s="47"/>
      <c r="EDU2" s="47"/>
      <c r="EDV2" s="47"/>
      <c r="EDW2" s="47"/>
      <c r="EDX2" s="47"/>
      <c r="EDY2" s="47"/>
      <c r="EDZ2" s="47"/>
      <c r="EEA2" s="47"/>
      <c r="EEB2" s="47"/>
      <c r="EEC2" s="47"/>
      <c r="EED2" s="47"/>
      <c r="EEE2" s="47"/>
      <c r="EEF2" s="47"/>
      <c r="EEG2" s="47"/>
      <c r="EEH2" s="47"/>
      <c r="EEI2" s="47"/>
      <c r="EEJ2" s="47"/>
      <c r="EEK2" s="47"/>
      <c r="EEL2" s="47"/>
      <c r="EEM2" s="47"/>
      <c r="EEN2" s="47"/>
      <c r="EEO2" s="47"/>
      <c r="EEP2" s="47"/>
      <c r="EEQ2" s="47"/>
      <c r="EER2" s="47"/>
      <c r="EES2" s="47"/>
      <c r="EET2" s="47"/>
      <c r="EEU2" s="47"/>
      <c r="EEV2" s="47"/>
      <c r="EEW2" s="47"/>
      <c r="EEX2" s="47"/>
      <c r="EEY2" s="47"/>
      <c r="EEZ2" s="47"/>
      <c r="EFA2" s="47"/>
      <c r="EFB2" s="47"/>
      <c r="EFC2" s="47"/>
      <c r="EFD2" s="47"/>
      <c r="EFE2" s="47"/>
      <c r="EFF2" s="47"/>
      <c r="EFG2" s="47"/>
      <c r="EFH2" s="47"/>
      <c r="EFI2" s="47"/>
      <c r="EFJ2" s="47"/>
      <c r="EFK2" s="47"/>
      <c r="EFL2" s="47"/>
      <c r="EFM2" s="47"/>
      <c r="EFN2" s="47"/>
      <c r="EFO2" s="47"/>
      <c r="EFP2" s="47"/>
      <c r="EFQ2" s="47"/>
      <c r="EFR2" s="47"/>
      <c r="EFS2" s="47"/>
      <c r="EFT2" s="47"/>
      <c r="EFU2" s="47"/>
      <c r="EFV2" s="47"/>
      <c r="EFW2" s="47"/>
      <c r="EFX2" s="47"/>
      <c r="EFY2" s="47"/>
      <c r="EFZ2" s="47"/>
      <c r="EGA2" s="47"/>
      <c r="EGB2" s="47"/>
      <c r="EGC2" s="47"/>
      <c r="EGD2" s="47"/>
      <c r="EGE2" s="47"/>
      <c r="EGF2" s="47"/>
      <c r="EGG2" s="47"/>
      <c r="EGH2" s="47"/>
      <c r="EGI2" s="47"/>
      <c r="EGJ2" s="47"/>
      <c r="EGK2" s="47"/>
      <c r="EGL2" s="47"/>
      <c r="EGM2" s="47"/>
      <c r="EGN2" s="47"/>
      <c r="EGO2" s="47"/>
      <c r="EGP2" s="47"/>
      <c r="EGQ2" s="47"/>
      <c r="EGR2" s="47"/>
      <c r="EGS2" s="47"/>
      <c r="EGT2" s="47"/>
      <c r="EGU2" s="47"/>
      <c r="EGV2" s="47"/>
      <c r="EGW2" s="47"/>
      <c r="EGX2" s="47"/>
      <c r="EGY2" s="47"/>
      <c r="EGZ2" s="47"/>
      <c r="EHA2" s="47"/>
      <c r="EHB2" s="47"/>
      <c r="EHC2" s="47"/>
      <c r="EHD2" s="47"/>
      <c r="EHE2" s="47"/>
      <c r="EHF2" s="47"/>
      <c r="EHG2" s="47"/>
      <c r="EHH2" s="47"/>
      <c r="EHI2" s="47"/>
      <c r="EHJ2" s="47"/>
      <c r="EHK2" s="47"/>
      <c r="EHL2" s="47"/>
      <c r="EHM2" s="47"/>
      <c r="EHN2" s="47"/>
      <c r="EHO2" s="47"/>
      <c r="EHP2" s="47"/>
      <c r="EHQ2" s="47"/>
      <c r="EHR2" s="47"/>
      <c r="EHS2" s="47"/>
      <c r="EHT2" s="47"/>
      <c r="EHU2" s="47"/>
      <c r="EHV2" s="47"/>
      <c r="EHW2" s="47"/>
      <c r="EHX2" s="47"/>
      <c r="EHY2" s="47"/>
      <c r="EHZ2" s="47"/>
      <c r="EIA2" s="47"/>
      <c r="EIB2" s="47"/>
      <c r="EIC2" s="47"/>
      <c r="EID2" s="47"/>
      <c r="EIE2" s="47"/>
      <c r="EIF2" s="47"/>
      <c r="EIG2" s="47"/>
      <c r="EIH2" s="47"/>
      <c r="EII2" s="47"/>
      <c r="EIJ2" s="47"/>
      <c r="EIK2" s="47"/>
      <c r="EIL2" s="47"/>
      <c r="EIM2" s="47"/>
      <c r="EIN2" s="47"/>
      <c r="EIO2" s="47"/>
      <c r="EIP2" s="47"/>
      <c r="EIQ2" s="47"/>
      <c r="EIR2" s="47"/>
      <c r="EIS2" s="47"/>
      <c r="EIT2" s="47"/>
      <c r="EIU2" s="47"/>
      <c r="EIV2" s="47"/>
      <c r="EIW2" s="47"/>
      <c r="EIX2" s="47"/>
      <c r="EIY2" s="47"/>
      <c r="EIZ2" s="47"/>
      <c r="EJA2" s="47"/>
      <c r="EJB2" s="47"/>
      <c r="EJC2" s="47"/>
      <c r="EJD2" s="47"/>
      <c r="EJE2" s="47"/>
      <c r="EJF2" s="47"/>
      <c r="EJG2" s="47"/>
      <c r="EJH2" s="47"/>
      <c r="EJI2" s="47"/>
      <c r="EJJ2" s="47"/>
      <c r="EJK2" s="47"/>
      <c r="EJL2" s="47"/>
      <c r="EJM2" s="47"/>
      <c r="EJN2" s="47"/>
      <c r="EJO2" s="47"/>
      <c r="EJP2" s="47"/>
      <c r="EJQ2" s="47"/>
      <c r="EJR2" s="47"/>
      <c r="EJS2" s="47"/>
      <c r="EJT2" s="47"/>
      <c r="EJU2" s="47"/>
      <c r="EJV2" s="47"/>
      <c r="EJW2" s="47"/>
      <c r="EJX2" s="47"/>
      <c r="EJY2" s="47"/>
      <c r="EJZ2" s="47"/>
      <c r="EKA2" s="47"/>
      <c r="EKB2" s="47"/>
      <c r="EKC2" s="47"/>
      <c r="EKD2" s="47"/>
      <c r="EKE2" s="47"/>
      <c r="EKF2" s="47"/>
      <c r="EKG2" s="47"/>
      <c r="EKH2" s="47"/>
      <c r="EKI2" s="47"/>
      <c r="EKJ2" s="47"/>
      <c r="EKK2" s="47"/>
      <c r="EKL2" s="47"/>
      <c r="EKM2" s="47"/>
      <c r="EKN2" s="47"/>
      <c r="EKO2" s="47"/>
      <c r="EKP2" s="47"/>
      <c r="EKQ2" s="47"/>
      <c r="EKR2" s="47"/>
      <c r="EKS2" s="47"/>
      <c r="EKT2" s="47"/>
      <c r="EKU2" s="47"/>
      <c r="EKV2" s="47"/>
      <c r="EKW2" s="47"/>
      <c r="EKX2" s="47"/>
      <c r="EKY2" s="47"/>
      <c r="EKZ2" s="47"/>
      <c r="ELA2" s="47"/>
      <c r="ELB2" s="47"/>
      <c r="ELC2" s="47"/>
      <c r="ELD2" s="47"/>
      <c r="ELE2" s="47"/>
      <c r="ELF2" s="47"/>
      <c r="ELG2" s="47"/>
      <c r="ELH2" s="47"/>
      <c r="ELI2" s="47"/>
      <c r="ELJ2" s="47"/>
      <c r="ELK2" s="47"/>
      <c r="ELL2" s="47"/>
      <c r="ELM2" s="47"/>
      <c r="ELN2" s="47"/>
      <c r="ELO2" s="47"/>
      <c r="ELP2" s="47"/>
      <c r="ELQ2" s="47"/>
      <c r="ELR2" s="47"/>
      <c r="ELS2" s="47"/>
      <c r="ELT2" s="47"/>
      <c r="ELU2" s="47"/>
      <c r="ELV2" s="47"/>
      <c r="ELW2" s="47"/>
      <c r="ELX2" s="47"/>
      <c r="ELY2" s="47"/>
      <c r="ELZ2" s="47"/>
      <c r="EMA2" s="47"/>
      <c r="EMB2" s="47"/>
      <c r="EMC2" s="47"/>
      <c r="EMD2" s="47"/>
      <c r="EME2" s="47"/>
      <c r="EMF2" s="47"/>
      <c r="EMG2" s="47"/>
      <c r="EMH2" s="47"/>
      <c r="EMI2" s="47"/>
      <c r="EMJ2" s="47"/>
      <c r="EMK2" s="47"/>
      <c r="EML2" s="47"/>
      <c r="EMM2" s="47"/>
      <c r="EMN2" s="47"/>
      <c r="EMO2" s="47"/>
      <c r="EMP2" s="47"/>
      <c r="EMQ2" s="47"/>
      <c r="EMR2" s="47"/>
      <c r="EMS2" s="47"/>
      <c r="EMT2" s="47"/>
      <c r="EMU2" s="47"/>
      <c r="EMV2" s="47"/>
      <c r="EMW2" s="47"/>
      <c r="EMX2" s="47"/>
      <c r="EMY2" s="47"/>
      <c r="EMZ2" s="47"/>
      <c r="ENA2" s="47"/>
      <c r="ENB2" s="47"/>
      <c r="ENC2" s="47"/>
      <c r="END2" s="47"/>
      <c r="ENE2" s="47"/>
      <c r="ENF2" s="47"/>
      <c r="ENG2" s="47"/>
      <c r="ENH2" s="47"/>
      <c r="ENI2" s="47"/>
      <c r="ENJ2" s="47"/>
      <c r="ENK2" s="47"/>
      <c r="ENL2" s="47"/>
      <c r="ENM2" s="47"/>
      <c r="ENN2" s="47"/>
      <c r="ENO2" s="47"/>
      <c r="ENP2" s="47"/>
      <c r="ENQ2" s="47"/>
      <c r="ENR2" s="47"/>
      <c r="ENS2" s="47"/>
      <c r="ENT2" s="47"/>
      <c r="ENU2" s="47"/>
      <c r="ENV2" s="47"/>
      <c r="ENW2" s="47"/>
      <c r="ENX2" s="47"/>
      <c r="ENY2" s="47"/>
      <c r="ENZ2" s="47"/>
      <c r="EOA2" s="47"/>
      <c r="EOB2" s="47"/>
      <c r="EOC2" s="47"/>
      <c r="EOD2" s="47"/>
      <c r="EOE2" s="47"/>
      <c r="EOF2" s="47"/>
      <c r="EOG2" s="47"/>
      <c r="EOH2" s="47"/>
      <c r="EOI2" s="47"/>
      <c r="EOJ2" s="47"/>
      <c r="EOK2" s="47"/>
      <c r="EOL2" s="47"/>
      <c r="EOM2" s="47"/>
      <c r="EON2" s="47"/>
      <c r="EOO2" s="47"/>
      <c r="EOP2" s="47"/>
      <c r="EOQ2" s="47"/>
      <c r="EOR2" s="47"/>
      <c r="EOS2" s="47"/>
      <c r="EOT2" s="47"/>
      <c r="EOU2" s="47"/>
      <c r="EOV2" s="47"/>
      <c r="EOW2" s="47"/>
      <c r="EOX2" s="47"/>
      <c r="EOY2" s="47"/>
      <c r="EOZ2" s="47"/>
      <c r="EPA2" s="47"/>
      <c r="EPB2" s="47"/>
      <c r="EPC2" s="47"/>
      <c r="EPD2" s="47"/>
      <c r="EPE2" s="47"/>
      <c r="EPF2" s="47"/>
      <c r="EPG2" s="47"/>
      <c r="EPH2" s="47"/>
      <c r="EPI2" s="47"/>
      <c r="EPJ2" s="47"/>
      <c r="EPK2" s="47"/>
      <c r="EPL2" s="47"/>
      <c r="EPM2" s="47"/>
      <c r="EPN2" s="47"/>
      <c r="EPO2" s="47"/>
      <c r="EPP2" s="47"/>
      <c r="EPQ2" s="47"/>
      <c r="EPR2" s="47"/>
      <c r="EPS2" s="47"/>
      <c r="EPT2" s="47"/>
      <c r="EPU2" s="47"/>
      <c r="EPV2" s="47"/>
      <c r="EPW2" s="47"/>
      <c r="EPX2" s="47"/>
      <c r="EPY2" s="47"/>
      <c r="EPZ2" s="47"/>
      <c r="EQA2" s="47"/>
      <c r="EQB2" s="47"/>
      <c r="EQC2" s="47"/>
      <c r="EQD2" s="47"/>
      <c r="EQE2" s="47"/>
      <c r="EQF2" s="47"/>
      <c r="EQG2" s="47"/>
      <c r="EQH2" s="47"/>
      <c r="EQI2" s="47"/>
      <c r="EQJ2" s="47"/>
      <c r="EQK2" s="47"/>
      <c r="EQL2" s="47"/>
      <c r="EQM2" s="47"/>
      <c r="EQN2" s="47"/>
      <c r="EQO2" s="47"/>
      <c r="EQP2" s="47"/>
      <c r="EQQ2" s="47"/>
      <c r="EQR2" s="47"/>
      <c r="EQS2" s="47"/>
      <c r="EQT2" s="47"/>
      <c r="EQU2" s="47"/>
      <c r="EQV2" s="47"/>
      <c r="EQW2" s="47"/>
      <c r="EQX2" s="47"/>
      <c r="EQY2" s="47"/>
      <c r="EQZ2" s="47"/>
      <c r="ERA2" s="47"/>
      <c r="ERB2" s="47"/>
      <c r="ERC2" s="47"/>
      <c r="ERD2" s="47"/>
      <c r="ERE2" s="47"/>
      <c r="ERF2" s="47"/>
      <c r="ERG2" s="47"/>
      <c r="ERH2" s="47"/>
      <c r="ERI2" s="47"/>
      <c r="ERJ2" s="47"/>
      <c r="ERK2" s="47"/>
      <c r="ERL2" s="47"/>
      <c r="ERM2" s="47"/>
      <c r="ERN2" s="47"/>
      <c r="ERO2" s="47"/>
      <c r="ERP2" s="47"/>
      <c r="ERQ2" s="47"/>
      <c r="ERR2" s="47"/>
      <c r="ERS2" s="47"/>
      <c r="ERT2" s="47"/>
      <c r="ERU2" s="47"/>
      <c r="ERV2" s="47"/>
      <c r="ERW2" s="47"/>
      <c r="ERX2" s="47"/>
      <c r="ERY2" s="47"/>
      <c r="ERZ2" s="47"/>
      <c r="ESA2" s="47"/>
      <c r="ESB2" s="47"/>
      <c r="ESC2" s="47"/>
      <c r="ESD2" s="47"/>
      <c r="ESE2" s="47"/>
      <c r="ESF2" s="47"/>
      <c r="ESG2" s="47"/>
      <c r="ESH2" s="47"/>
      <c r="ESI2" s="47"/>
      <c r="ESJ2" s="47"/>
      <c r="ESK2" s="47"/>
      <c r="ESL2" s="47"/>
      <c r="ESM2" s="47"/>
      <c r="ESN2" s="47"/>
      <c r="ESO2" s="47"/>
      <c r="ESP2" s="47"/>
      <c r="ESQ2" s="47"/>
      <c r="ESR2" s="47"/>
      <c r="ESS2" s="47"/>
      <c r="EST2" s="47"/>
      <c r="ESU2" s="47"/>
      <c r="ESV2" s="47"/>
      <c r="ESW2" s="47"/>
      <c r="ESX2" s="47"/>
      <c r="ESY2" s="47"/>
      <c r="ESZ2" s="47"/>
      <c r="ETA2" s="47"/>
      <c r="ETB2" s="47"/>
      <c r="ETC2" s="47"/>
      <c r="ETD2" s="47"/>
      <c r="ETE2" s="47"/>
      <c r="ETF2" s="47"/>
      <c r="ETG2" s="47"/>
      <c r="ETH2" s="47"/>
      <c r="ETI2" s="47"/>
      <c r="ETJ2" s="47"/>
      <c r="ETK2" s="47"/>
      <c r="ETL2" s="47"/>
      <c r="ETM2" s="47"/>
      <c r="ETN2" s="47"/>
      <c r="ETO2" s="47"/>
      <c r="ETP2" s="47"/>
      <c r="ETQ2" s="47"/>
      <c r="ETR2" s="47"/>
      <c r="ETS2" s="47"/>
      <c r="ETT2" s="47"/>
      <c r="ETU2" s="47"/>
      <c r="ETV2" s="47"/>
      <c r="ETW2" s="47"/>
      <c r="ETX2" s="47"/>
      <c r="ETY2" s="47"/>
      <c r="ETZ2" s="47"/>
      <c r="EUA2" s="47"/>
      <c r="EUB2" s="47"/>
      <c r="EUC2" s="47"/>
      <c r="EUD2" s="47"/>
      <c r="EUE2" s="47"/>
      <c r="EUF2" s="47"/>
      <c r="EUG2" s="47"/>
      <c r="EUH2" s="47"/>
      <c r="EUI2" s="47"/>
      <c r="EUJ2" s="47"/>
      <c r="EUK2" s="47"/>
      <c r="EUL2" s="47"/>
      <c r="EUM2" s="47"/>
      <c r="EUN2" s="47"/>
      <c r="EUO2" s="47"/>
      <c r="EUP2" s="47"/>
      <c r="EUQ2" s="47"/>
      <c r="EUR2" s="47"/>
      <c r="EUS2" s="47"/>
      <c r="EUT2" s="47"/>
      <c r="EUU2" s="47"/>
      <c r="EUV2" s="47"/>
      <c r="EUW2" s="47"/>
      <c r="EUX2" s="47"/>
      <c r="EUY2" s="47"/>
      <c r="EUZ2" s="47"/>
      <c r="EVA2" s="47"/>
      <c r="EVB2" s="47"/>
      <c r="EVC2" s="47"/>
      <c r="EVD2" s="47"/>
      <c r="EVE2" s="47"/>
      <c r="EVF2" s="47"/>
      <c r="EVG2" s="47"/>
      <c r="EVH2" s="47"/>
      <c r="EVI2" s="47"/>
      <c r="EVJ2" s="47"/>
      <c r="EVK2" s="47"/>
      <c r="EVL2" s="47"/>
      <c r="EVM2" s="47"/>
      <c r="EVN2" s="47"/>
      <c r="EVO2" s="47"/>
      <c r="EVP2" s="47"/>
      <c r="EVQ2" s="47"/>
      <c r="EVR2" s="47"/>
      <c r="EVS2" s="47"/>
      <c r="EVT2" s="47"/>
      <c r="EVU2" s="47"/>
      <c r="EVV2" s="47"/>
      <c r="EVW2" s="47"/>
      <c r="EVX2" s="47"/>
      <c r="EVY2" s="47"/>
      <c r="EVZ2" s="47"/>
      <c r="EWA2" s="47"/>
      <c r="EWB2" s="47"/>
      <c r="EWC2" s="47"/>
      <c r="EWD2" s="47"/>
      <c r="EWE2" s="47"/>
      <c r="EWF2" s="47"/>
      <c r="EWG2" s="47"/>
      <c r="EWH2" s="47"/>
      <c r="EWI2" s="47"/>
      <c r="EWJ2" s="47"/>
      <c r="EWK2" s="47"/>
      <c r="EWL2" s="47"/>
      <c r="EWM2" s="47"/>
      <c r="EWN2" s="47"/>
      <c r="EWO2" s="47"/>
      <c r="EWP2" s="47"/>
      <c r="EWQ2" s="47"/>
      <c r="EWR2" s="47"/>
      <c r="EWS2" s="47"/>
      <c r="EWT2" s="47"/>
      <c r="EWU2" s="47"/>
      <c r="EWV2" s="47"/>
      <c r="EWW2" s="47"/>
      <c r="EWX2" s="47"/>
      <c r="EWY2" s="47"/>
      <c r="EWZ2" s="47"/>
      <c r="EXA2" s="47"/>
      <c r="EXB2" s="47"/>
      <c r="EXC2" s="47"/>
      <c r="EXD2" s="47"/>
      <c r="EXE2" s="47"/>
      <c r="EXF2" s="47"/>
      <c r="EXG2" s="47"/>
      <c r="EXH2" s="47"/>
      <c r="EXI2" s="47"/>
      <c r="EXJ2" s="47"/>
      <c r="EXK2" s="47"/>
      <c r="EXL2" s="47"/>
      <c r="EXM2" s="47"/>
      <c r="EXN2" s="47"/>
      <c r="EXO2" s="47"/>
      <c r="EXP2" s="47"/>
      <c r="EXQ2" s="47"/>
      <c r="EXR2" s="47"/>
      <c r="EXS2" s="47"/>
      <c r="EXT2" s="47"/>
      <c r="EXU2" s="47"/>
      <c r="EXV2" s="47"/>
      <c r="EXW2" s="47"/>
      <c r="EXX2" s="47"/>
      <c r="EXY2" s="47"/>
      <c r="EXZ2" s="47"/>
      <c r="EYA2" s="47"/>
      <c r="EYB2" s="47"/>
      <c r="EYC2" s="47"/>
      <c r="EYD2" s="47"/>
      <c r="EYE2" s="47"/>
      <c r="EYF2" s="47"/>
      <c r="EYG2" s="47"/>
      <c r="EYH2" s="47"/>
      <c r="EYI2" s="47"/>
      <c r="EYJ2" s="47"/>
      <c r="EYK2" s="47"/>
      <c r="EYL2" s="47"/>
      <c r="EYM2" s="47"/>
      <c r="EYN2" s="47"/>
      <c r="EYO2" s="47"/>
      <c r="EYP2" s="47"/>
      <c r="EYQ2" s="47"/>
      <c r="EYR2" s="47"/>
      <c r="EYS2" s="47"/>
      <c r="EYT2" s="47"/>
      <c r="EYU2" s="47"/>
      <c r="EYV2" s="47"/>
      <c r="EYW2" s="47"/>
      <c r="EYX2" s="47"/>
      <c r="EYY2" s="47"/>
      <c r="EYZ2" s="47"/>
      <c r="EZA2" s="47"/>
      <c r="EZB2" s="47"/>
      <c r="EZC2" s="47"/>
      <c r="EZD2" s="47"/>
      <c r="EZE2" s="47"/>
      <c r="EZF2" s="47"/>
      <c r="EZG2" s="47"/>
      <c r="EZH2" s="47"/>
      <c r="EZI2" s="47"/>
      <c r="EZJ2" s="47"/>
      <c r="EZK2" s="47"/>
      <c r="EZL2" s="47"/>
      <c r="EZM2" s="47"/>
      <c r="EZN2" s="47"/>
      <c r="EZO2" s="47"/>
      <c r="EZP2" s="47"/>
      <c r="EZQ2" s="47"/>
      <c r="EZR2" s="47"/>
      <c r="EZS2" s="47"/>
      <c r="EZT2" s="47"/>
      <c r="EZU2" s="47"/>
      <c r="EZV2" s="47"/>
      <c r="EZW2" s="47"/>
      <c r="EZX2" s="47"/>
      <c r="EZY2" s="47"/>
      <c r="EZZ2" s="47"/>
      <c r="FAA2" s="47"/>
      <c r="FAB2" s="47"/>
      <c r="FAC2" s="47"/>
      <c r="FAD2" s="47"/>
      <c r="FAE2" s="47"/>
      <c r="FAF2" s="47"/>
      <c r="FAG2" s="47"/>
      <c r="FAH2" s="47"/>
      <c r="FAI2" s="47"/>
      <c r="FAJ2" s="47"/>
      <c r="FAK2" s="47"/>
      <c r="FAL2" s="47"/>
      <c r="FAM2" s="47"/>
      <c r="FAN2" s="47"/>
      <c r="FAO2" s="47"/>
      <c r="FAP2" s="47"/>
      <c r="FAQ2" s="47"/>
      <c r="FAR2" s="47"/>
      <c r="FAS2" s="47"/>
      <c r="FAT2" s="47"/>
      <c r="FAU2" s="47"/>
      <c r="FAV2" s="47"/>
      <c r="FAW2" s="47"/>
      <c r="FAX2" s="47"/>
      <c r="FAY2" s="47"/>
      <c r="FAZ2" s="47"/>
      <c r="FBA2" s="47"/>
      <c r="FBB2" s="47"/>
      <c r="FBC2" s="47"/>
      <c r="FBD2" s="47"/>
      <c r="FBE2" s="47"/>
      <c r="FBF2" s="47"/>
      <c r="FBG2" s="47"/>
      <c r="FBH2" s="47"/>
      <c r="FBI2" s="47"/>
      <c r="FBJ2" s="47"/>
      <c r="FBK2" s="47"/>
      <c r="FBL2" s="47"/>
      <c r="FBM2" s="47"/>
      <c r="FBN2" s="47"/>
      <c r="FBO2" s="47"/>
      <c r="FBP2" s="47"/>
      <c r="FBQ2" s="47"/>
      <c r="FBR2" s="47"/>
      <c r="FBS2" s="47"/>
      <c r="FBT2" s="47"/>
      <c r="FBU2" s="47"/>
      <c r="FBV2" s="47"/>
      <c r="FBW2" s="47"/>
      <c r="FBX2" s="47"/>
      <c r="FBY2" s="47"/>
      <c r="FBZ2" s="47"/>
      <c r="FCA2" s="47"/>
      <c r="FCB2" s="47"/>
      <c r="FCC2" s="47"/>
      <c r="FCD2" s="47"/>
      <c r="FCE2" s="47"/>
      <c r="FCF2" s="47"/>
      <c r="FCG2" s="47"/>
      <c r="FCH2" s="47"/>
      <c r="FCI2" s="47"/>
      <c r="FCJ2" s="47"/>
      <c r="FCK2" s="47"/>
      <c r="FCL2" s="47"/>
      <c r="FCM2" s="47"/>
      <c r="FCN2" s="47"/>
      <c r="FCO2" s="47"/>
      <c r="FCP2" s="47"/>
      <c r="FCQ2" s="47"/>
      <c r="FCR2" s="47"/>
      <c r="FCS2" s="47"/>
      <c r="FCT2" s="47"/>
      <c r="FCU2" s="47"/>
      <c r="FCV2" s="47"/>
      <c r="FCW2" s="47"/>
      <c r="FCX2" s="47"/>
      <c r="FCY2" s="47"/>
      <c r="FCZ2" s="47"/>
      <c r="FDA2" s="47"/>
      <c r="FDB2" s="47"/>
      <c r="FDC2" s="47"/>
      <c r="FDD2" s="47"/>
      <c r="FDE2" s="47"/>
      <c r="FDF2" s="47"/>
      <c r="FDG2" s="47"/>
      <c r="FDH2" s="47"/>
      <c r="FDI2" s="47"/>
      <c r="FDJ2" s="47"/>
      <c r="FDK2" s="47"/>
      <c r="FDL2" s="47"/>
      <c r="FDM2" s="47"/>
      <c r="FDN2" s="47"/>
      <c r="FDO2" s="47"/>
      <c r="FDP2" s="47"/>
      <c r="FDQ2" s="47"/>
      <c r="FDR2" s="47"/>
      <c r="FDS2" s="47"/>
      <c r="FDT2" s="47"/>
      <c r="FDU2" s="47"/>
      <c r="FDV2" s="47"/>
      <c r="FDW2" s="47"/>
      <c r="FDX2" s="47"/>
      <c r="FDY2" s="47"/>
      <c r="FDZ2" s="47"/>
      <c r="FEA2" s="47"/>
      <c r="FEB2" s="47"/>
      <c r="FEC2" s="47"/>
      <c r="FED2" s="47"/>
      <c r="FEE2" s="47"/>
      <c r="FEF2" s="47"/>
      <c r="FEG2" s="47"/>
      <c r="FEH2" s="47"/>
      <c r="FEI2" s="47"/>
      <c r="FEJ2" s="47"/>
      <c r="FEK2" s="47"/>
      <c r="FEL2" s="47"/>
      <c r="FEM2" s="47"/>
      <c r="FEN2" s="47"/>
      <c r="FEO2" s="47"/>
      <c r="FEP2" s="47"/>
      <c r="FEQ2" s="47"/>
      <c r="FER2" s="47"/>
      <c r="FES2" s="47"/>
      <c r="FET2" s="47"/>
      <c r="FEU2" s="47"/>
      <c r="FEV2" s="47"/>
      <c r="FEW2" s="47"/>
      <c r="FEX2" s="47"/>
      <c r="FEY2" s="47"/>
      <c r="FEZ2" s="47"/>
      <c r="FFA2" s="47"/>
      <c r="FFB2" s="47"/>
      <c r="FFC2" s="47"/>
      <c r="FFD2" s="47"/>
      <c r="FFE2" s="47"/>
      <c r="FFF2" s="47"/>
      <c r="FFG2" s="47"/>
      <c r="FFH2" s="47"/>
      <c r="FFI2" s="47"/>
      <c r="FFJ2" s="47"/>
      <c r="FFK2" s="47"/>
      <c r="FFL2" s="47"/>
      <c r="FFM2" s="47"/>
      <c r="FFN2" s="47"/>
      <c r="FFO2" s="47"/>
      <c r="FFP2" s="47"/>
      <c r="FFQ2" s="47"/>
      <c r="FFR2" s="47"/>
      <c r="FFS2" s="47"/>
      <c r="FFT2" s="47"/>
      <c r="FFU2" s="47"/>
      <c r="FFV2" s="47"/>
      <c r="FFW2" s="47"/>
      <c r="FFX2" s="47"/>
      <c r="FFY2" s="47"/>
      <c r="FFZ2" s="47"/>
      <c r="FGA2" s="47"/>
      <c r="FGB2" s="47"/>
      <c r="FGC2" s="47"/>
      <c r="FGD2" s="47"/>
      <c r="FGE2" s="47"/>
      <c r="FGF2" s="47"/>
      <c r="FGG2" s="47"/>
      <c r="FGH2" s="47"/>
      <c r="FGI2" s="47"/>
      <c r="FGJ2" s="47"/>
      <c r="FGK2" s="47"/>
      <c r="FGL2" s="47"/>
      <c r="FGM2" s="47"/>
      <c r="FGN2" s="47"/>
      <c r="FGO2" s="47"/>
      <c r="FGP2" s="47"/>
      <c r="FGQ2" s="47"/>
      <c r="FGR2" s="47"/>
      <c r="FGS2" s="47"/>
      <c r="FGT2" s="47"/>
      <c r="FGU2" s="47"/>
      <c r="FGV2" s="47"/>
      <c r="FGW2" s="47"/>
      <c r="FGX2" s="47"/>
      <c r="FGY2" s="47"/>
      <c r="FGZ2" s="47"/>
      <c r="FHA2" s="47"/>
      <c r="FHB2" s="47"/>
      <c r="FHC2" s="47"/>
      <c r="FHD2" s="47"/>
      <c r="FHE2" s="47"/>
      <c r="FHF2" s="47"/>
      <c r="FHG2" s="47"/>
      <c r="FHH2" s="47"/>
      <c r="FHI2" s="47"/>
      <c r="FHJ2" s="47"/>
      <c r="FHK2" s="47"/>
      <c r="FHL2" s="47"/>
      <c r="FHM2" s="47"/>
      <c r="FHN2" s="47"/>
      <c r="FHO2" s="47"/>
      <c r="FHP2" s="47"/>
      <c r="FHQ2" s="47"/>
      <c r="FHR2" s="47"/>
      <c r="FHS2" s="47"/>
      <c r="FHT2" s="47"/>
      <c r="FHU2" s="47"/>
      <c r="FHV2" s="47"/>
      <c r="FHW2" s="47"/>
      <c r="FHX2" s="47"/>
      <c r="FHY2" s="47"/>
      <c r="FHZ2" s="47"/>
      <c r="FIA2" s="47"/>
      <c r="FIB2" s="47"/>
      <c r="FIC2" s="47"/>
      <c r="FID2" s="47"/>
      <c r="FIE2" s="47"/>
      <c r="FIF2" s="47"/>
      <c r="FIG2" s="47"/>
      <c r="FIH2" s="47"/>
      <c r="FII2" s="47"/>
      <c r="FIJ2" s="47"/>
      <c r="FIK2" s="47"/>
      <c r="FIL2" s="47"/>
      <c r="FIM2" s="47"/>
      <c r="FIN2" s="47"/>
      <c r="FIO2" s="47"/>
      <c r="FIP2" s="47"/>
      <c r="FIQ2" s="47"/>
      <c r="FIR2" s="47"/>
      <c r="FIS2" s="47"/>
      <c r="FIT2" s="47"/>
      <c r="FIU2" s="47"/>
      <c r="FIV2" s="47"/>
      <c r="FIW2" s="47"/>
      <c r="FIX2" s="47"/>
      <c r="FIY2" s="47"/>
      <c r="FIZ2" s="47"/>
      <c r="FJA2" s="47"/>
      <c r="FJB2" s="47"/>
      <c r="FJC2" s="47"/>
      <c r="FJD2" s="47"/>
      <c r="FJE2" s="47"/>
      <c r="FJF2" s="47"/>
      <c r="FJG2" s="47"/>
      <c r="FJH2" s="47"/>
      <c r="FJI2" s="47"/>
      <c r="FJJ2" s="47"/>
      <c r="FJK2" s="47"/>
      <c r="FJL2" s="47"/>
      <c r="FJM2" s="47"/>
      <c r="FJN2" s="47"/>
      <c r="FJO2" s="47"/>
      <c r="FJP2" s="47"/>
      <c r="FJQ2" s="47"/>
      <c r="FJR2" s="47"/>
      <c r="FJS2" s="47"/>
      <c r="FJT2" s="47"/>
      <c r="FJU2" s="47"/>
      <c r="FJV2" s="47"/>
      <c r="FJW2" s="47"/>
      <c r="FJX2" s="47"/>
      <c r="FJY2" s="47"/>
      <c r="FJZ2" s="47"/>
      <c r="FKA2" s="47"/>
      <c r="FKB2" s="47"/>
      <c r="FKC2" s="47"/>
      <c r="FKD2" s="47"/>
      <c r="FKE2" s="47"/>
      <c r="FKF2" s="47"/>
      <c r="FKG2" s="47"/>
      <c r="FKH2" s="47"/>
      <c r="FKI2" s="47"/>
      <c r="FKJ2" s="47"/>
      <c r="FKK2" s="47"/>
      <c r="FKL2" s="47"/>
      <c r="FKM2" s="47"/>
      <c r="FKN2" s="47"/>
      <c r="FKO2" s="47"/>
      <c r="FKP2" s="47"/>
      <c r="FKQ2" s="47"/>
      <c r="FKR2" s="47"/>
      <c r="FKS2" s="47"/>
      <c r="FKT2" s="47"/>
      <c r="FKU2" s="47"/>
      <c r="FKV2" s="47"/>
      <c r="FKW2" s="47"/>
      <c r="FKX2" s="47"/>
      <c r="FKY2" s="47"/>
      <c r="FKZ2" s="47"/>
      <c r="FLA2" s="47"/>
      <c r="FLB2" s="47"/>
      <c r="FLC2" s="47"/>
      <c r="FLD2" s="47"/>
      <c r="FLE2" s="47"/>
      <c r="FLF2" s="47"/>
      <c r="FLG2" s="47"/>
      <c r="FLH2" s="47"/>
      <c r="FLI2" s="47"/>
      <c r="FLJ2" s="47"/>
      <c r="FLK2" s="47"/>
      <c r="FLL2" s="47"/>
      <c r="FLM2" s="47"/>
      <c r="FLN2" s="47"/>
      <c r="FLO2" s="47"/>
      <c r="FLP2" s="47"/>
      <c r="FLQ2" s="47"/>
      <c r="FLR2" s="47"/>
      <c r="FLS2" s="47"/>
      <c r="FLT2" s="47"/>
      <c r="FLU2" s="47"/>
      <c r="FLV2" s="47"/>
      <c r="FLW2" s="47"/>
      <c r="FLX2" s="47"/>
      <c r="FLY2" s="47"/>
      <c r="FLZ2" s="47"/>
      <c r="FMA2" s="47"/>
      <c r="FMB2" s="47"/>
      <c r="FMC2" s="47"/>
      <c r="FMD2" s="47"/>
      <c r="FME2" s="47"/>
      <c r="FMF2" s="47"/>
      <c r="FMG2" s="47"/>
      <c r="FMH2" s="47"/>
      <c r="FMI2" s="47"/>
      <c r="FMJ2" s="47"/>
      <c r="FMK2" s="47"/>
      <c r="FML2" s="47"/>
      <c r="FMM2" s="47"/>
      <c r="FMN2" s="47"/>
      <c r="FMO2" s="47"/>
      <c r="FMP2" s="47"/>
      <c r="FMQ2" s="47"/>
      <c r="FMR2" s="47"/>
      <c r="FMS2" s="47"/>
      <c r="FMT2" s="47"/>
      <c r="FMU2" s="47"/>
      <c r="FMV2" s="47"/>
      <c r="FMW2" s="47"/>
      <c r="FMX2" s="47"/>
      <c r="FMY2" s="47"/>
      <c r="FMZ2" s="47"/>
      <c r="FNA2" s="47"/>
      <c r="FNB2" s="47"/>
      <c r="FNC2" s="47"/>
      <c r="FND2" s="47"/>
      <c r="FNE2" s="47"/>
      <c r="FNF2" s="47"/>
      <c r="FNG2" s="47"/>
      <c r="FNH2" s="47"/>
      <c r="FNI2" s="47"/>
      <c r="FNJ2" s="47"/>
      <c r="FNK2" s="47"/>
      <c r="FNL2" s="47"/>
      <c r="FNM2" s="47"/>
      <c r="FNN2" s="47"/>
      <c r="FNO2" s="47"/>
      <c r="FNP2" s="47"/>
      <c r="FNQ2" s="47"/>
      <c r="FNR2" s="47"/>
      <c r="FNS2" s="47"/>
      <c r="FNT2" s="47"/>
      <c r="FNU2" s="47"/>
      <c r="FNV2" s="47"/>
      <c r="FNW2" s="47"/>
      <c r="FNX2" s="47"/>
      <c r="FNY2" s="47"/>
      <c r="FNZ2" s="47"/>
      <c r="FOA2" s="47"/>
      <c r="FOB2" s="47"/>
      <c r="FOC2" s="47"/>
      <c r="FOD2" s="47"/>
      <c r="FOE2" s="47"/>
      <c r="FOF2" s="47"/>
      <c r="FOG2" s="47"/>
      <c r="FOH2" s="47"/>
      <c r="FOI2" s="47"/>
      <c r="FOJ2" s="47"/>
      <c r="FOK2" s="47"/>
      <c r="FOL2" s="47"/>
      <c r="FOM2" s="47"/>
      <c r="FON2" s="47"/>
      <c r="FOO2" s="47"/>
      <c r="FOP2" s="47"/>
      <c r="FOQ2" s="47"/>
      <c r="FOR2" s="47"/>
      <c r="FOS2" s="47"/>
      <c r="FOT2" s="47"/>
      <c r="FOU2" s="47"/>
      <c r="FOV2" s="47"/>
      <c r="FOW2" s="47"/>
      <c r="FOX2" s="47"/>
      <c r="FOY2" s="47"/>
      <c r="FOZ2" s="47"/>
      <c r="FPA2" s="47"/>
      <c r="FPB2" s="47"/>
      <c r="FPC2" s="47"/>
      <c r="FPD2" s="47"/>
      <c r="FPE2" s="47"/>
      <c r="FPF2" s="47"/>
      <c r="FPG2" s="47"/>
      <c r="FPH2" s="47"/>
      <c r="FPI2" s="47"/>
      <c r="FPJ2" s="47"/>
      <c r="FPK2" s="47"/>
      <c r="FPL2" s="47"/>
      <c r="FPM2" s="47"/>
      <c r="FPN2" s="47"/>
      <c r="FPO2" s="47"/>
      <c r="FPP2" s="47"/>
      <c r="FPQ2" s="47"/>
      <c r="FPR2" s="47"/>
      <c r="FPS2" s="47"/>
      <c r="FPT2" s="47"/>
      <c r="FPU2" s="47"/>
      <c r="FPV2" s="47"/>
      <c r="FPW2" s="47"/>
      <c r="FPX2" s="47"/>
      <c r="FPY2" s="47"/>
      <c r="FPZ2" s="47"/>
      <c r="FQA2" s="47"/>
      <c r="FQB2" s="47"/>
      <c r="FQC2" s="47"/>
      <c r="FQD2" s="47"/>
      <c r="FQE2" s="47"/>
      <c r="FQF2" s="47"/>
      <c r="FQG2" s="47"/>
      <c r="FQH2" s="47"/>
      <c r="FQI2" s="47"/>
      <c r="FQJ2" s="47"/>
      <c r="FQK2" s="47"/>
      <c r="FQL2" s="47"/>
      <c r="FQM2" s="47"/>
      <c r="FQN2" s="47"/>
      <c r="FQO2" s="47"/>
      <c r="FQP2" s="47"/>
      <c r="FQQ2" s="47"/>
      <c r="FQR2" s="47"/>
      <c r="FQS2" s="47"/>
      <c r="FQT2" s="47"/>
      <c r="FQU2" s="47"/>
      <c r="FQV2" s="47"/>
      <c r="FQW2" s="47"/>
      <c r="FQX2" s="47"/>
      <c r="FQY2" s="47"/>
      <c r="FQZ2" s="47"/>
      <c r="FRA2" s="47"/>
      <c r="FRB2" s="47"/>
      <c r="FRC2" s="47"/>
      <c r="FRD2" s="47"/>
      <c r="FRE2" s="47"/>
      <c r="FRF2" s="47"/>
      <c r="FRG2" s="47"/>
      <c r="FRH2" s="47"/>
      <c r="FRI2" s="47"/>
      <c r="FRJ2" s="47"/>
      <c r="FRK2" s="47"/>
      <c r="FRL2" s="47"/>
      <c r="FRM2" s="47"/>
      <c r="FRN2" s="47"/>
      <c r="FRO2" s="47"/>
      <c r="FRP2" s="47"/>
      <c r="FRQ2" s="47"/>
      <c r="FRR2" s="47"/>
      <c r="FRS2" s="47"/>
      <c r="FRT2" s="47"/>
      <c r="FRU2" s="47"/>
      <c r="FRV2" s="47"/>
      <c r="FRW2" s="47"/>
      <c r="FRX2" s="47"/>
      <c r="FRY2" s="47"/>
      <c r="FRZ2" s="47"/>
      <c r="FSA2" s="47"/>
      <c r="FSB2" s="47"/>
      <c r="FSC2" s="47"/>
      <c r="FSD2" s="47"/>
      <c r="FSE2" s="47"/>
      <c r="FSF2" s="47"/>
      <c r="FSG2" s="47"/>
      <c r="FSH2" s="47"/>
      <c r="FSI2" s="47"/>
      <c r="FSJ2" s="47"/>
      <c r="FSK2" s="47"/>
      <c r="FSL2" s="47"/>
      <c r="FSM2" s="47"/>
      <c r="FSN2" s="47"/>
      <c r="FSO2" s="47"/>
      <c r="FSP2" s="47"/>
      <c r="FSQ2" s="47"/>
      <c r="FSR2" s="47"/>
      <c r="FSS2" s="47"/>
      <c r="FST2" s="47"/>
      <c r="FSU2" s="47"/>
      <c r="FSV2" s="47"/>
      <c r="FSW2" s="47"/>
      <c r="FSX2" s="47"/>
      <c r="FSY2" s="47"/>
      <c r="FSZ2" s="47"/>
      <c r="FTA2" s="47"/>
      <c r="FTB2" s="47"/>
      <c r="FTC2" s="47"/>
      <c r="FTD2" s="47"/>
      <c r="FTE2" s="47"/>
      <c r="FTF2" s="47"/>
      <c r="FTG2" s="47"/>
      <c r="FTH2" s="47"/>
      <c r="FTI2" s="47"/>
      <c r="FTJ2" s="47"/>
      <c r="FTK2" s="47"/>
      <c r="FTL2" s="47"/>
      <c r="FTM2" s="47"/>
      <c r="FTN2" s="47"/>
      <c r="FTO2" s="47"/>
      <c r="FTP2" s="47"/>
      <c r="FTQ2" s="47"/>
      <c r="FTR2" s="47"/>
      <c r="FTS2" s="47"/>
      <c r="FTT2" s="47"/>
      <c r="FTU2" s="47"/>
      <c r="FTV2" s="47"/>
      <c r="FTW2" s="47"/>
      <c r="FTX2" s="47"/>
      <c r="FTY2" s="47"/>
      <c r="FTZ2" s="47"/>
      <c r="FUA2" s="47"/>
      <c r="FUB2" s="47"/>
      <c r="FUC2" s="47"/>
      <c r="FUD2" s="47"/>
      <c r="FUE2" s="47"/>
      <c r="FUF2" s="47"/>
      <c r="FUG2" s="47"/>
      <c r="FUH2" s="47"/>
      <c r="FUI2" s="47"/>
      <c r="FUJ2" s="47"/>
      <c r="FUK2" s="47"/>
      <c r="FUL2" s="47"/>
      <c r="FUM2" s="47"/>
      <c r="FUN2" s="47"/>
      <c r="FUO2" s="47"/>
      <c r="FUP2" s="47"/>
      <c r="FUQ2" s="47"/>
      <c r="FUR2" s="47"/>
      <c r="FUS2" s="47"/>
      <c r="FUT2" s="47"/>
      <c r="FUU2" s="47"/>
      <c r="FUV2" s="47"/>
      <c r="FUW2" s="47"/>
      <c r="FUX2" s="47"/>
      <c r="FUY2" s="47"/>
      <c r="FUZ2" s="47"/>
      <c r="FVA2" s="47"/>
      <c r="FVB2" s="47"/>
      <c r="FVC2" s="47"/>
      <c r="FVD2" s="47"/>
      <c r="FVE2" s="47"/>
      <c r="FVF2" s="47"/>
      <c r="FVG2" s="47"/>
      <c r="FVH2" s="47"/>
      <c r="FVI2" s="47"/>
      <c r="FVJ2" s="47"/>
      <c r="FVK2" s="47"/>
      <c r="FVL2" s="47"/>
      <c r="FVM2" s="47"/>
      <c r="FVN2" s="47"/>
      <c r="FVO2" s="47"/>
      <c r="FVP2" s="47"/>
      <c r="FVQ2" s="47"/>
      <c r="FVR2" s="47"/>
      <c r="FVS2" s="47"/>
      <c r="FVT2" s="47"/>
      <c r="FVU2" s="47"/>
      <c r="FVV2" s="47"/>
      <c r="FVW2" s="47"/>
      <c r="FVX2" s="47"/>
      <c r="FVY2" s="47"/>
      <c r="FVZ2" s="47"/>
      <c r="FWA2" s="47"/>
      <c r="FWB2" s="47"/>
      <c r="FWC2" s="47"/>
      <c r="FWD2" s="47"/>
      <c r="FWE2" s="47"/>
      <c r="FWF2" s="47"/>
      <c r="FWG2" s="47"/>
      <c r="FWH2" s="47"/>
      <c r="FWI2" s="47"/>
      <c r="FWJ2" s="47"/>
      <c r="FWK2" s="47"/>
      <c r="FWL2" s="47"/>
      <c r="FWM2" s="47"/>
      <c r="FWN2" s="47"/>
      <c r="FWO2" s="47"/>
      <c r="FWP2" s="47"/>
      <c r="FWQ2" s="47"/>
      <c r="FWR2" s="47"/>
      <c r="FWS2" s="47"/>
      <c r="FWT2" s="47"/>
      <c r="FWU2" s="47"/>
      <c r="FWV2" s="47"/>
      <c r="FWW2" s="47"/>
      <c r="FWX2" s="47"/>
      <c r="FWY2" s="47"/>
      <c r="FWZ2" s="47"/>
      <c r="FXA2" s="47"/>
      <c r="FXB2" s="47"/>
      <c r="FXC2" s="47"/>
      <c r="FXD2" s="47"/>
      <c r="FXE2" s="47"/>
      <c r="FXF2" s="47"/>
      <c r="FXG2" s="47"/>
      <c r="FXH2" s="47"/>
      <c r="FXI2" s="47"/>
      <c r="FXJ2" s="47"/>
      <c r="FXK2" s="47"/>
      <c r="FXL2" s="47"/>
      <c r="FXM2" s="47"/>
      <c r="FXN2" s="47"/>
      <c r="FXO2" s="47"/>
      <c r="FXP2" s="47"/>
      <c r="FXQ2" s="47"/>
      <c r="FXR2" s="47"/>
      <c r="FXS2" s="47"/>
      <c r="FXT2" s="47"/>
      <c r="FXU2" s="47"/>
      <c r="FXV2" s="47"/>
      <c r="FXW2" s="47"/>
      <c r="FXX2" s="47"/>
      <c r="FXY2" s="47"/>
      <c r="FXZ2" s="47"/>
      <c r="FYA2" s="47"/>
      <c r="FYB2" s="47"/>
      <c r="FYC2" s="47"/>
      <c r="FYD2" s="47"/>
      <c r="FYE2" s="47"/>
      <c r="FYF2" s="47"/>
      <c r="FYG2" s="47"/>
      <c r="FYH2" s="47"/>
      <c r="FYI2" s="47"/>
      <c r="FYJ2" s="47"/>
      <c r="FYK2" s="47"/>
      <c r="FYL2" s="47"/>
      <c r="FYM2" s="47"/>
      <c r="FYN2" s="47"/>
      <c r="FYO2" s="47"/>
      <c r="FYP2" s="47"/>
      <c r="FYQ2" s="47"/>
      <c r="FYR2" s="47"/>
      <c r="FYS2" s="47"/>
      <c r="FYT2" s="47"/>
      <c r="FYU2" s="47"/>
      <c r="FYV2" s="47"/>
      <c r="FYW2" s="47"/>
      <c r="FYX2" s="47"/>
      <c r="FYY2" s="47"/>
      <c r="FYZ2" s="47"/>
      <c r="FZA2" s="47"/>
      <c r="FZB2" s="47"/>
      <c r="FZC2" s="47"/>
      <c r="FZD2" s="47"/>
      <c r="FZE2" s="47"/>
      <c r="FZF2" s="47"/>
      <c r="FZG2" s="47"/>
      <c r="FZH2" s="47"/>
      <c r="FZI2" s="47"/>
      <c r="FZJ2" s="47"/>
      <c r="FZK2" s="47"/>
      <c r="FZL2" s="47"/>
      <c r="FZM2" s="47"/>
      <c r="FZN2" s="47"/>
      <c r="FZO2" s="47"/>
      <c r="FZP2" s="47"/>
      <c r="FZQ2" s="47"/>
      <c r="FZR2" s="47"/>
      <c r="FZS2" s="47"/>
      <c r="FZT2" s="47"/>
      <c r="FZU2" s="47"/>
      <c r="FZV2" s="47"/>
      <c r="FZW2" s="47"/>
      <c r="FZX2" s="47"/>
      <c r="FZY2" s="47"/>
      <c r="FZZ2" s="47"/>
      <c r="GAA2" s="47"/>
      <c r="GAB2" s="47"/>
      <c r="GAC2" s="47"/>
      <c r="GAD2" s="47"/>
      <c r="GAE2" s="47"/>
      <c r="GAF2" s="47"/>
      <c r="GAG2" s="47"/>
      <c r="GAH2" s="47"/>
      <c r="GAI2" s="47"/>
      <c r="GAJ2" s="47"/>
      <c r="GAK2" s="47"/>
      <c r="GAL2" s="47"/>
      <c r="GAM2" s="47"/>
      <c r="GAN2" s="47"/>
      <c r="GAO2" s="47"/>
      <c r="GAP2" s="47"/>
      <c r="GAQ2" s="47"/>
      <c r="GAR2" s="47"/>
      <c r="GAS2" s="47"/>
      <c r="GAT2" s="47"/>
      <c r="GAU2" s="47"/>
      <c r="GAV2" s="47"/>
      <c r="GAW2" s="47"/>
      <c r="GAX2" s="47"/>
      <c r="GAY2" s="47"/>
      <c r="GAZ2" s="47"/>
      <c r="GBA2" s="47"/>
      <c r="GBB2" s="47"/>
      <c r="GBC2" s="47"/>
      <c r="GBD2" s="47"/>
      <c r="GBE2" s="47"/>
      <c r="GBF2" s="47"/>
      <c r="GBG2" s="47"/>
      <c r="GBH2" s="47"/>
      <c r="GBI2" s="47"/>
      <c r="GBJ2" s="47"/>
      <c r="GBK2" s="47"/>
      <c r="GBL2" s="47"/>
      <c r="GBM2" s="47"/>
      <c r="GBN2" s="47"/>
      <c r="GBO2" s="47"/>
      <c r="GBP2" s="47"/>
      <c r="GBQ2" s="47"/>
      <c r="GBR2" s="47"/>
      <c r="GBS2" s="47"/>
      <c r="GBT2" s="47"/>
      <c r="GBU2" s="47"/>
      <c r="GBV2" s="47"/>
      <c r="GBW2" s="47"/>
      <c r="GBX2" s="47"/>
      <c r="GBY2" s="47"/>
      <c r="GBZ2" s="47"/>
      <c r="GCA2" s="47"/>
      <c r="GCB2" s="47"/>
      <c r="GCC2" s="47"/>
      <c r="GCD2" s="47"/>
      <c r="GCE2" s="47"/>
      <c r="GCF2" s="47"/>
      <c r="GCG2" s="47"/>
      <c r="GCH2" s="47"/>
      <c r="GCI2" s="47"/>
      <c r="GCJ2" s="47"/>
      <c r="GCK2" s="47"/>
      <c r="GCL2" s="47"/>
      <c r="GCM2" s="47"/>
      <c r="GCN2" s="47"/>
      <c r="GCO2" s="47"/>
      <c r="GCP2" s="47"/>
      <c r="GCQ2" s="47"/>
      <c r="GCR2" s="47"/>
      <c r="GCS2" s="47"/>
      <c r="GCT2" s="47"/>
      <c r="GCU2" s="47"/>
      <c r="GCV2" s="47"/>
      <c r="GCW2" s="47"/>
      <c r="GCX2" s="47"/>
      <c r="GCY2" s="47"/>
      <c r="GCZ2" s="47"/>
      <c r="GDA2" s="47"/>
      <c r="GDB2" s="47"/>
      <c r="GDC2" s="47"/>
      <c r="GDD2" s="47"/>
      <c r="GDE2" s="47"/>
      <c r="GDF2" s="47"/>
      <c r="GDG2" s="47"/>
      <c r="GDH2" s="47"/>
      <c r="GDI2" s="47"/>
      <c r="GDJ2" s="47"/>
      <c r="GDK2" s="47"/>
      <c r="GDL2" s="47"/>
      <c r="GDM2" s="47"/>
      <c r="GDN2" s="47"/>
      <c r="GDO2" s="47"/>
      <c r="GDP2" s="47"/>
      <c r="GDQ2" s="47"/>
      <c r="GDR2" s="47"/>
      <c r="GDS2" s="47"/>
      <c r="GDT2" s="47"/>
      <c r="GDU2" s="47"/>
      <c r="GDV2" s="47"/>
      <c r="GDW2" s="47"/>
      <c r="GDX2" s="47"/>
      <c r="GDY2" s="47"/>
      <c r="GDZ2" s="47"/>
      <c r="GEA2" s="47"/>
      <c r="GEB2" s="47"/>
      <c r="GEC2" s="47"/>
      <c r="GED2" s="47"/>
      <c r="GEE2" s="47"/>
      <c r="GEF2" s="47"/>
      <c r="GEG2" s="47"/>
      <c r="GEH2" s="47"/>
      <c r="GEI2" s="47"/>
      <c r="GEJ2" s="47"/>
      <c r="GEK2" s="47"/>
      <c r="GEL2" s="47"/>
      <c r="GEM2" s="47"/>
      <c r="GEN2" s="47"/>
      <c r="GEO2" s="47"/>
      <c r="GEP2" s="47"/>
      <c r="GEQ2" s="47"/>
      <c r="GER2" s="47"/>
      <c r="GES2" s="47"/>
      <c r="GET2" s="47"/>
      <c r="GEU2" s="47"/>
      <c r="GEV2" s="47"/>
      <c r="GEW2" s="47"/>
      <c r="GEX2" s="47"/>
      <c r="GEY2" s="47"/>
      <c r="GEZ2" s="47"/>
      <c r="GFA2" s="47"/>
      <c r="GFB2" s="47"/>
      <c r="GFC2" s="47"/>
      <c r="GFD2" s="47"/>
      <c r="GFE2" s="47"/>
      <c r="GFF2" s="47"/>
      <c r="GFG2" s="47"/>
      <c r="GFH2" s="47"/>
      <c r="GFI2" s="47"/>
      <c r="GFJ2" s="47"/>
      <c r="GFK2" s="47"/>
      <c r="GFL2" s="47"/>
      <c r="GFM2" s="47"/>
      <c r="GFN2" s="47"/>
      <c r="GFO2" s="47"/>
      <c r="GFP2" s="47"/>
      <c r="GFQ2" s="47"/>
      <c r="GFR2" s="47"/>
      <c r="GFS2" s="47"/>
      <c r="GFT2" s="47"/>
      <c r="GFU2" s="47"/>
      <c r="GFV2" s="47"/>
      <c r="GFW2" s="47"/>
      <c r="GFX2" s="47"/>
      <c r="GFY2" s="47"/>
      <c r="GFZ2" s="47"/>
      <c r="GGA2" s="47"/>
      <c r="GGB2" s="47"/>
      <c r="GGC2" s="47"/>
      <c r="GGD2" s="47"/>
      <c r="GGE2" s="47"/>
      <c r="GGF2" s="47"/>
      <c r="GGG2" s="47"/>
      <c r="GGH2" s="47"/>
      <c r="GGI2" s="47"/>
      <c r="GGJ2" s="47"/>
      <c r="GGK2" s="47"/>
      <c r="GGL2" s="47"/>
      <c r="GGM2" s="47"/>
      <c r="GGN2" s="47"/>
      <c r="GGO2" s="47"/>
      <c r="GGP2" s="47"/>
      <c r="GGQ2" s="47"/>
      <c r="GGR2" s="47"/>
      <c r="GGS2" s="47"/>
      <c r="GGT2" s="47"/>
      <c r="GGU2" s="47"/>
      <c r="GGV2" s="47"/>
      <c r="GGW2" s="47"/>
      <c r="GGX2" s="47"/>
      <c r="GGY2" s="47"/>
      <c r="GGZ2" s="47"/>
      <c r="GHA2" s="47"/>
      <c r="GHB2" s="47"/>
      <c r="GHC2" s="47"/>
      <c r="GHD2" s="47"/>
      <c r="GHE2" s="47"/>
      <c r="GHF2" s="47"/>
      <c r="GHG2" s="47"/>
      <c r="GHH2" s="47"/>
      <c r="GHI2" s="47"/>
      <c r="GHJ2" s="47"/>
      <c r="GHK2" s="47"/>
      <c r="GHL2" s="47"/>
      <c r="GHM2" s="47"/>
      <c r="GHN2" s="47"/>
      <c r="GHO2" s="47"/>
      <c r="GHP2" s="47"/>
      <c r="GHQ2" s="47"/>
      <c r="GHR2" s="47"/>
      <c r="GHS2" s="47"/>
      <c r="GHT2" s="47"/>
      <c r="GHU2" s="47"/>
      <c r="GHV2" s="47"/>
      <c r="GHW2" s="47"/>
      <c r="GHX2" s="47"/>
      <c r="GHY2" s="47"/>
      <c r="GHZ2" s="47"/>
      <c r="GIA2" s="47"/>
      <c r="GIB2" s="47"/>
      <c r="GIC2" s="47"/>
      <c r="GID2" s="47"/>
      <c r="GIE2" s="47"/>
      <c r="GIF2" s="47"/>
      <c r="GIG2" s="47"/>
      <c r="GIH2" s="47"/>
      <c r="GII2" s="47"/>
      <c r="GIJ2" s="47"/>
      <c r="GIK2" s="47"/>
      <c r="GIL2" s="47"/>
      <c r="GIM2" s="47"/>
      <c r="GIN2" s="47"/>
      <c r="GIO2" s="47"/>
      <c r="GIP2" s="47"/>
      <c r="GIQ2" s="47"/>
      <c r="GIR2" s="47"/>
      <c r="GIS2" s="47"/>
      <c r="GIT2" s="47"/>
      <c r="GIU2" s="47"/>
      <c r="GIV2" s="47"/>
      <c r="GIW2" s="47"/>
      <c r="GIX2" s="47"/>
      <c r="GIY2" s="47"/>
      <c r="GIZ2" s="47"/>
      <c r="GJA2" s="47"/>
      <c r="GJB2" s="47"/>
      <c r="GJC2" s="47"/>
      <c r="GJD2" s="47"/>
      <c r="GJE2" s="47"/>
      <c r="GJF2" s="47"/>
      <c r="GJG2" s="47"/>
      <c r="GJH2" s="47"/>
      <c r="GJI2" s="47"/>
      <c r="GJJ2" s="47"/>
      <c r="GJK2" s="47"/>
      <c r="GJL2" s="47"/>
      <c r="GJM2" s="47"/>
      <c r="GJN2" s="47"/>
      <c r="GJO2" s="47"/>
      <c r="GJP2" s="47"/>
      <c r="GJQ2" s="47"/>
      <c r="GJR2" s="47"/>
      <c r="GJS2" s="47"/>
      <c r="GJT2" s="47"/>
      <c r="GJU2" s="47"/>
      <c r="GJV2" s="47"/>
      <c r="GJW2" s="47"/>
      <c r="GJX2" s="47"/>
      <c r="GJY2" s="47"/>
      <c r="GJZ2" s="47"/>
      <c r="GKA2" s="47"/>
      <c r="GKB2" s="47"/>
      <c r="GKC2" s="47"/>
      <c r="GKD2" s="47"/>
      <c r="GKE2" s="47"/>
      <c r="GKF2" s="47"/>
      <c r="GKG2" s="47"/>
      <c r="GKH2" s="47"/>
      <c r="GKI2" s="47"/>
      <c r="GKJ2" s="47"/>
      <c r="GKK2" s="47"/>
      <c r="GKL2" s="47"/>
      <c r="GKM2" s="47"/>
      <c r="GKN2" s="47"/>
      <c r="GKO2" s="47"/>
      <c r="GKP2" s="47"/>
      <c r="GKQ2" s="47"/>
      <c r="GKR2" s="47"/>
      <c r="GKS2" s="47"/>
      <c r="GKT2" s="47"/>
      <c r="GKU2" s="47"/>
      <c r="GKV2" s="47"/>
      <c r="GKW2" s="47"/>
      <c r="GKX2" s="47"/>
      <c r="GKY2" s="47"/>
      <c r="GKZ2" s="47"/>
      <c r="GLA2" s="47"/>
      <c r="GLB2" s="47"/>
      <c r="GLC2" s="47"/>
      <c r="GLD2" s="47"/>
      <c r="GLE2" s="47"/>
      <c r="GLF2" s="47"/>
      <c r="GLG2" s="47"/>
      <c r="GLH2" s="47"/>
      <c r="GLI2" s="47"/>
      <c r="GLJ2" s="47"/>
      <c r="GLK2" s="47"/>
      <c r="GLL2" s="47"/>
      <c r="GLM2" s="47"/>
      <c r="GLN2" s="47"/>
      <c r="GLO2" s="47"/>
      <c r="GLP2" s="47"/>
      <c r="GLQ2" s="47"/>
      <c r="GLR2" s="47"/>
      <c r="GLS2" s="47"/>
      <c r="GLT2" s="47"/>
      <c r="GLU2" s="47"/>
      <c r="GLV2" s="47"/>
      <c r="GLW2" s="47"/>
      <c r="GLX2" s="47"/>
      <c r="GLY2" s="47"/>
      <c r="GLZ2" s="47"/>
      <c r="GMA2" s="47"/>
      <c r="GMB2" s="47"/>
      <c r="GMC2" s="47"/>
      <c r="GMD2" s="47"/>
      <c r="GME2" s="47"/>
      <c r="GMF2" s="47"/>
      <c r="GMG2" s="47"/>
      <c r="GMH2" s="47"/>
      <c r="GMI2" s="47"/>
      <c r="GMJ2" s="47"/>
      <c r="GMK2" s="47"/>
      <c r="GML2" s="47"/>
      <c r="GMM2" s="47"/>
      <c r="GMN2" s="47"/>
      <c r="GMO2" s="47"/>
      <c r="GMP2" s="47"/>
      <c r="GMQ2" s="47"/>
      <c r="GMR2" s="47"/>
      <c r="GMS2" s="47"/>
      <c r="GMT2" s="47"/>
      <c r="GMU2" s="47"/>
      <c r="GMV2" s="47"/>
      <c r="GMW2" s="47"/>
      <c r="GMX2" s="47"/>
      <c r="GMY2" s="47"/>
      <c r="GMZ2" s="47"/>
      <c r="GNA2" s="47"/>
      <c r="GNB2" s="47"/>
      <c r="GNC2" s="47"/>
      <c r="GND2" s="47"/>
      <c r="GNE2" s="47"/>
      <c r="GNF2" s="47"/>
      <c r="GNG2" s="47"/>
      <c r="GNH2" s="47"/>
      <c r="GNI2" s="47"/>
      <c r="GNJ2" s="47"/>
      <c r="GNK2" s="47"/>
      <c r="GNL2" s="47"/>
      <c r="GNM2" s="47"/>
      <c r="GNN2" s="47"/>
      <c r="GNO2" s="47"/>
      <c r="GNP2" s="47"/>
      <c r="GNQ2" s="47"/>
      <c r="GNR2" s="47"/>
      <c r="GNS2" s="47"/>
      <c r="GNT2" s="47"/>
      <c r="GNU2" s="47"/>
      <c r="GNV2" s="47"/>
      <c r="GNW2" s="47"/>
      <c r="GNX2" s="47"/>
      <c r="GNY2" s="47"/>
      <c r="GNZ2" s="47"/>
      <c r="GOA2" s="47"/>
      <c r="GOB2" s="47"/>
      <c r="GOC2" s="47"/>
      <c r="GOD2" s="47"/>
      <c r="GOE2" s="47"/>
      <c r="GOF2" s="47"/>
      <c r="GOG2" s="47"/>
      <c r="GOH2" s="47"/>
      <c r="GOI2" s="47"/>
      <c r="GOJ2" s="47"/>
      <c r="GOK2" s="47"/>
      <c r="GOL2" s="47"/>
      <c r="GOM2" s="47"/>
      <c r="GON2" s="47"/>
      <c r="GOO2" s="47"/>
      <c r="GOP2" s="47"/>
      <c r="GOQ2" s="47"/>
      <c r="GOR2" s="47"/>
      <c r="GOS2" s="47"/>
      <c r="GOT2" s="47"/>
      <c r="GOU2" s="47"/>
      <c r="GOV2" s="47"/>
      <c r="GOW2" s="47"/>
      <c r="GOX2" s="47"/>
      <c r="GOY2" s="47"/>
      <c r="GOZ2" s="47"/>
      <c r="GPA2" s="47"/>
      <c r="GPB2" s="47"/>
      <c r="GPC2" s="47"/>
      <c r="GPD2" s="47"/>
      <c r="GPE2" s="47"/>
      <c r="GPF2" s="47"/>
      <c r="GPG2" s="47"/>
      <c r="GPH2" s="47"/>
      <c r="GPI2" s="47"/>
      <c r="GPJ2" s="47"/>
      <c r="GPK2" s="47"/>
      <c r="GPL2" s="47"/>
      <c r="GPM2" s="47"/>
      <c r="GPN2" s="47"/>
      <c r="GPO2" s="47"/>
      <c r="GPP2" s="47"/>
      <c r="GPQ2" s="47"/>
      <c r="GPR2" s="47"/>
      <c r="GPS2" s="47"/>
      <c r="GPT2" s="47"/>
      <c r="GPU2" s="47"/>
      <c r="GPV2" s="47"/>
      <c r="GPW2" s="47"/>
      <c r="GPX2" s="47"/>
      <c r="GPY2" s="47"/>
      <c r="GPZ2" s="47"/>
      <c r="GQA2" s="47"/>
      <c r="GQB2" s="47"/>
      <c r="GQC2" s="47"/>
      <c r="GQD2" s="47"/>
      <c r="GQE2" s="47"/>
      <c r="GQF2" s="47"/>
      <c r="GQG2" s="47"/>
      <c r="GQH2" s="47"/>
      <c r="GQI2" s="47"/>
      <c r="GQJ2" s="47"/>
      <c r="GQK2" s="47"/>
      <c r="GQL2" s="47"/>
      <c r="GQM2" s="47"/>
      <c r="GQN2" s="47"/>
      <c r="GQO2" s="47"/>
      <c r="GQP2" s="47"/>
      <c r="GQQ2" s="47"/>
      <c r="GQR2" s="47"/>
      <c r="GQS2" s="47"/>
      <c r="GQT2" s="47"/>
      <c r="GQU2" s="47"/>
      <c r="GQV2" s="47"/>
      <c r="GQW2" s="47"/>
      <c r="GQX2" s="47"/>
      <c r="GQY2" s="47"/>
      <c r="GQZ2" s="47"/>
      <c r="GRA2" s="47"/>
      <c r="GRB2" s="47"/>
      <c r="GRC2" s="47"/>
      <c r="GRD2" s="47"/>
      <c r="GRE2" s="47"/>
      <c r="GRF2" s="47"/>
      <c r="GRG2" s="47"/>
      <c r="GRH2" s="47"/>
      <c r="GRI2" s="47"/>
      <c r="GRJ2" s="47"/>
      <c r="GRK2" s="47"/>
      <c r="GRL2" s="47"/>
      <c r="GRM2" s="47"/>
      <c r="GRN2" s="47"/>
      <c r="GRO2" s="47"/>
      <c r="GRP2" s="47"/>
      <c r="GRQ2" s="47"/>
      <c r="GRR2" s="47"/>
      <c r="GRS2" s="47"/>
      <c r="GRT2" s="47"/>
      <c r="GRU2" s="47"/>
      <c r="GRV2" s="47"/>
      <c r="GRW2" s="47"/>
      <c r="GRX2" s="47"/>
      <c r="GRY2" s="47"/>
      <c r="GRZ2" s="47"/>
      <c r="GSA2" s="47"/>
      <c r="GSB2" s="47"/>
      <c r="GSC2" s="47"/>
      <c r="GSD2" s="47"/>
      <c r="GSE2" s="47"/>
      <c r="GSF2" s="47"/>
      <c r="GSG2" s="47"/>
      <c r="GSH2" s="47"/>
      <c r="GSI2" s="47"/>
      <c r="GSJ2" s="47"/>
      <c r="GSK2" s="47"/>
      <c r="GSL2" s="47"/>
      <c r="GSM2" s="47"/>
      <c r="GSN2" s="47"/>
      <c r="GSO2" s="47"/>
      <c r="GSP2" s="47"/>
      <c r="GSQ2" s="47"/>
      <c r="GSR2" s="47"/>
      <c r="GSS2" s="47"/>
      <c r="GST2" s="47"/>
      <c r="GSU2" s="47"/>
      <c r="GSV2" s="47"/>
      <c r="GSW2" s="47"/>
      <c r="GSX2" s="47"/>
      <c r="GSY2" s="47"/>
      <c r="GSZ2" s="47"/>
      <c r="GTA2" s="47"/>
      <c r="GTB2" s="47"/>
      <c r="GTC2" s="47"/>
      <c r="GTD2" s="47"/>
      <c r="GTE2" s="47"/>
      <c r="GTF2" s="47"/>
      <c r="GTG2" s="47"/>
      <c r="GTH2" s="47"/>
      <c r="GTI2" s="47"/>
      <c r="GTJ2" s="47"/>
      <c r="GTK2" s="47"/>
      <c r="GTL2" s="47"/>
      <c r="GTM2" s="47"/>
      <c r="GTN2" s="47"/>
      <c r="GTO2" s="47"/>
      <c r="GTP2" s="47"/>
      <c r="GTQ2" s="47"/>
      <c r="GTR2" s="47"/>
      <c r="GTS2" s="47"/>
      <c r="GTT2" s="47"/>
      <c r="GTU2" s="47"/>
      <c r="GTV2" s="47"/>
      <c r="GTW2" s="47"/>
      <c r="GTX2" s="47"/>
      <c r="GTY2" s="47"/>
      <c r="GTZ2" s="47"/>
      <c r="GUA2" s="47"/>
      <c r="GUB2" s="47"/>
      <c r="GUC2" s="47"/>
      <c r="GUD2" s="47"/>
      <c r="GUE2" s="47"/>
      <c r="GUF2" s="47"/>
      <c r="GUG2" s="47"/>
      <c r="GUH2" s="47"/>
      <c r="GUI2" s="47"/>
      <c r="GUJ2" s="47"/>
      <c r="GUK2" s="47"/>
      <c r="GUL2" s="47"/>
      <c r="GUM2" s="47"/>
      <c r="GUN2" s="47"/>
      <c r="GUO2" s="47"/>
      <c r="GUP2" s="47"/>
      <c r="GUQ2" s="47"/>
      <c r="GUR2" s="47"/>
      <c r="GUS2" s="47"/>
      <c r="GUT2" s="47"/>
      <c r="GUU2" s="47"/>
      <c r="GUV2" s="47"/>
      <c r="GUW2" s="47"/>
      <c r="GUX2" s="47"/>
      <c r="GUY2" s="47"/>
      <c r="GUZ2" s="47"/>
      <c r="GVA2" s="47"/>
      <c r="GVB2" s="47"/>
      <c r="GVC2" s="47"/>
      <c r="GVD2" s="47"/>
      <c r="GVE2" s="47"/>
      <c r="GVF2" s="47"/>
      <c r="GVG2" s="47"/>
      <c r="GVH2" s="47"/>
      <c r="GVI2" s="47"/>
      <c r="GVJ2" s="47"/>
      <c r="GVK2" s="47"/>
      <c r="GVL2" s="47"/>
      <c r="GVM2" s="47"/>
      <c r="GVN2" s="47"/>
      <c r="GVO2" s="47"/>
      <c r="GVP2" s="47"/>
      <c r="GVQ2" s="47"/>
      <c r="GVR2" s="47"/>
      <c r="GVS2" s="47"/>
      <c r="GVT2" s="47"/>
      <c r="GVU2" s="47"/>
      <c r="GVV2" s="47"/>
      <c r="GVW2" s="47"/>
      <c r="GVX2" s="47"/>
      <c r="GVY2" s="47"/>
      <c r="GVZ2" s="47"/>
      <c r="GWA2" s="47"/>
      <c r="GWB2" s="47"/>
      <c r="GWC2" s="47"/>
      <c r="GWD2" s="47"/>
      <c r="GWE2" s="47"/>
      <c r="GWF2" s="47"/>
      <c r="GWG2" s="47"/>
      <c r="GWH2" s="47"/>
      <c r="GWI2" s="47"/>
      <c r="GWJ2" s="47"/>
      <c r="GWK2" s="47"/>
      <c r="GWL2" s="47"/>
      <c r="GWM2" s="47"/>
      <c r="GWN2" s="47"/>
      <c r="GWO2" s="47"/>
      <c r="GWP2" s="47"/>
      <c r="GWQ2" s="47"/>
      <c r="GWR2" s="47"/>
      <c r="GWS2" s="47"/>
      <c r="GWT2" s="47"/>
      <c r="GWU2" s="47"/>
      <c r="GWV2" s="47"/>
      <c r="GWW2" s="47"/>
      <c r="GWX2" s="47"/>
      <c r="GWY2" s="47"/>
      <c r="GWZ2" s="47"/>
      <c r="GXA2" s="47"/>
      <c r="GXB2" s="47"/>
      <c r="GXC2" s="47"/>
      <c r="GXD2" s="47"/>
      <c r="GXE2" s="47"/>
      <c r="GXF2" s="47"/>
      <c r="GXG2" s="47"/>
      <c r="GXH2" s="47"/>
      <c r="GXI2" s="47"/>
      <c r="GXJ2" s="47"/>
      <c r="GXK2" s="47"/>
      <c r="GXL2" s="47"/>
      <c r="GXM2" s="47"/>
      <c r="GXN2" s="47"/>
      <c r="GXO2" s="47"/>
      <c r="GXP2" s="47"/>
      <c r="GXQ2" s="47"/>
      <c r="GXR2" s="47"/>
      <c r="GXS2" s="47"/>
      <c r="GXT2" s="47"/>
      <c r="GXU2" s="47"/>
      <c r="GXV2" s="47"/>
      <c r="GXW2" s="47"/>
      <c r="GXX2" s="47"/>
      <c r="GXY2" s="47"/>
      <c r="GXZ2" s="47"/>
      <c r="GYA2" s="47"/>
      <c r="GYB2" s="47"/>
      <c r="GYC2" s="47"/>
      <c r="GYD2" s="47"/>
      <c r="GYE2" s="47"/>
      <c r="GYF2" s="47"/>
      <c r="GYG2" s="47"/>
      <c r="GYH2" s="47"/>
      <c r="GYI2" s="47"/>
      <c r="GYJ2" s="47"/>
      <c r="GYK2" s="47"/>
      <c r="GYL2" s="47"/>
      <c r="GYM2" s="47"/>
      <c r="GYN2" s="47"/>
      <c r="GYO2" s="47"/>
      <c r="GYP2" s="47"/>
      <c r="GYQ2" s="47"/>
      <c r="GYR2" s="47"/>
      <c r="GYS2" s="47"/>
      <c r="GYT2" s="47"/>
      <c r="GYU2" s="47"/>
      <c r="GYV2" s="47"/>
      <c r="GYW2" s="47"/>
      <c r="GYX2" s="47"/>
      <c r="GYY2" s="47"/>
      <c r="GYZ2" s="47"/>
      <c r="GZA2" s="47"/>
      <c r="GZB2" s="47"/>
      <c r="GZC2" s="47"/>
      <c r="GZD2" s="47"/>
      <c r="GZE2" s="47"/>
      <c r="GZF2" s="47"/>
      <c r="GZG2" s="47"/>
      <c r="GZH2" s="47"/>
      <c r="GZI2" s="47"/>
      <c r="GZJ2" s="47"/>
      <c r="GZK2" s="47"/>
      <c r="GZL2" s="47"/>
      <c r="GZM2" s="47"/>
      <c r="GZN2" s="47"/>
      <c r="GZO2" s="47"/>
      <c r="GZP2" s="47"/>
      <c r="GZQ2" s="47"/>
      <c r="GZR2" s="47"/>
      <c r="GZS2" s="47"/>
      <c r="GZT2" s="47"/>
      <c r="GZU2" s="47"/>
      <c r="GZV2" s="47"/>
      <c r="GZW2" s="47"/>
      <c r="GZX2" s="47"/>
      <c r="GZY2" s="47"/>
      <c r="GZZ2" s="47"/>
      <c r="HAA2" s="47"/>
      <c r="HAB2" s="47"/>
      <c r="HAC2" s="47"/>
      <c r="HAD2" s="47"/>
      <c r="HAE2" s="47"/>
      <c r="HAF2" s="47"/>
      <c r="HAG2" s="47"/>
      <c r="HAH2" s="47"/>
      <c r="HAI2" s="47"/>
      <c r="HAJ2" s="47"/>
      <c r="HAK2" s="47"/>
      <c r="HAL2" s="47"/>
      <c r="HAM2" s="47"/>
      <c r="HAN2" s="47"/>
      <c r="HAO2" s="47"/>
      <c r="HAP2" s="47"/>
      <c r="HAQ2" s="47"/>
      <c r="HAR2" s="47"/>
      <c r="HAS2" s="47"/>
      <c r="HAT2" s="47"/>
      <c r="HAU2" s="47"/>
      <c r="HAV2" s="47"/>
      <c r="HAW2" s="47"/>
      <c r="HAX2" s="47"/>
      <c r="HAY2" s="47"/>
      <c r="HAZ2" s="47"/>
      <c r="HBA2" s="47"/>
      <c r="HBB2" s="47"/>
      <c r="HBC2" s="47"/>
      <c r="HBD2" s="47"/>
      <c r="HBE2" s="47"/>
      <c r="HBF2" s="47"/>
      <c r="HBG2" s="47"/>
      <c r="HBH2" s="47"/>
      <c r="HBI2" s="47"/>
      <c r="HBJ2" s="47"/>
      <c r="HBK2" s="47"/>
      <c r="HBL2" s="47"/>
      <c r="HBM2" s="47"/>
      <c r="HBN2" s="47"/>
      <c r="HBO2" s="47"/>
      <c r="HBP2" s="47"/>
      <c r="HBQ2" s="47"/>
      <c r="HBR2" s="47"/>
      <c r="HBS2" s="47"/>
      <c r="HBT2" s="47"/>
      <c r="HBU2" s="47"/>
      <c r="HBV2" s="47"/>
      <c r="HBW2" s="47"/>
      <c r="HBX2" s="47"/>
      <c r="HBY2" s="47"/>
      <c r="HBZ2" s="47"/>
      <c r="HCA2" s="47"/>
      <c r="HCB2" s="47"/>
      <c r="HCC2" s="47"/>
      <c r="HCD2" s="47"/>
      <c r="HCE2" s="47"/>
      <c r="HCF2" s="47"/>
      <c r="HCG2" s="47"/>
      <c r="HCH2" s="47"/>
      <c r="HCI2" s="47"/>
      <c r="HCJ2" s="47"/>
      <c r="HCK2" s="47"/>
      <c r="HCL2" s="47"/>
      <c r="HCM2" s="47"/>
      <c r="HCN2" s="47"/>
      <c r="HCO2" s="47"/>
      <c r="HCP2" s="47"/>
      <c r="HCQ2" s="47"/>
      <c r="HCR2" s="47"/>
      <c r="HCS2" s="47"/>
      <c r="HCT2" s="47"/>
      <c r="HCU2" s="47"/>
      <c r="HCV2" s="47"/>
      <c r="HCW2" s="47"/>
      <c r="HCX2" s="47"/>
      <c r="HCY2" s="47"/>
      <c r="HCZ2" s="47"/>
      <c r="HDA2" s="47"/>
      <c r="HDB2" s="47"/>
      <c r="HDC2" s="47"/>
      <c r="HDD2" s="47"/>
      <c r="HDE2" s="47"/>
      <c r="HDF2" s="47"/>
      <c r="HDG2" s="47"/>
      <c r="HDH2" s="47"/>
      <c r="HDI2" s="47"/>
      <c r="HDJ2" s="47"/>
      <c r="HDK2" s="47"/>
      <c r="HDL2" s="47"/>
      <c r="HDM2" s="47"/>
      <c r="HDN2" s="47"/>
      <c r="HDO2" s="47"/>
      <c r="HDP2" s="47"/>
      <c r="HDQ2" s="47"/>
      <c r="HDR2" s="47"/>
      <c r="HDS2" s="47"/>
      <c r="HDT2" s="47"/>
      <c r="HDU2" s="47"/>
      <c r="HDV2" s="47"/>
      <c r="HDW2" s="47"/>
      <c r="HDX2" s="47"/>
      <c r="HDY2" s="47"/>
      <c r="HDZ2" s="47"/>
      <c r="HEA2" s="47"/>
      <c r="HEB2" s="47"/>
      <c r="HEC2" s="47"/>
      <c r="HED2" s="47"/>
      <c r="HEE2" s="47"/>
      <c r="HEF2" s="47"/>
      <c r="HEG2" s="47"/>
      <c r="HEH2" s="47"/>
      <c r="HEI2" s="47"/>
      <c r="HEJ2" s="47"/>
      <c r="HEK2" s="47"/>
      <c r="HEL2" s="47"/>
      <c r="HEM2" s="47"/>
      <c r="HEN2" s="47"/>
      <c r="HEO2" s="47"/>
      <c r="HEP2" s="47"/>
      <c r="HEQ2" s="47"/>
      <c r="HER2" s="47"/>
      <c r="HES2" s="47"/>
      <c r="HET2" s="47"/>
      <c r="HEU2" s="47"/>
      <c r="HEV2" s="47"/>
      <c r="HEW2" s="47"/>
      <c r="HEX2" s="47"/>
      <c r="HEY2" s="47"/>
      <c r="HEZ2" s="47"/>
      <c r="HFA2" s="47"/>
      <c r="HFB2" s="47"/>
      <c r="HFC2" s="47"/>
      <c r="HFD2" s="47"/>
      <c r="HFE2" s="47"/>
      <c r="HFF2" s="47"/>
      <c r="HFG2" s="47"/>
      <c r="HFH2" s="47"/>
      <c r="HFI2" s="47"/>
      <c r="HFJ2" s="47"/>
      <c r="HFK2" s="47"/>
      <c r="HFL2" s="47"/>
      <c r="HFM2" s="47"/>
      <c r="HFN2" s="47"/>
      <c r="HFO2" s="47"/>
      <c r="HFP2" s="47"/>
      <c r="HFQ2" s="47"/>
      <c r="HFR2" s="47"/>
      <c r="HFS2" s="47"/>
      <c r="HFT2" s="47"/>
      <c r="HFU2" s="47"/>
      <c r="HFV2" s="47"/>
      <c r="HFW2" s="47"/>
      <c r="HFX2" s="47"/>
      <c r="HFY2" s="47"/>
      <c r="HFZ2" s="47"/>
      <c r="HGA2" s="47"/>
      <c r="HGB2" s="47"/>
      <c r="HGC2" s="47"/>
      <c r="HGD2" s="47"/>
      <c r="HGE2" s="47"/>
      <c r="HGF2" s="47"/>
      <c r="HGG2" s="47"/>
      <c r="HGH2" s="47"/>
      <c r="HGI2" s="47"/>
      <c r="HGJ2" s="47"/>
      <c r="HGK2" s="47"/>
      <c r="HGL2" s="47"/>
      <c r="HGM2" s="47"/>
      <c r="HGN2" s="47"/>
      <c r="HGO2" s="47"/>
      <c r="HGP2" s="47"/>
      <c r="HGQ2" s="47"/>
      <c r="HGR2" s="47"/>
      <c r="HGS2" s="47"/>
      <c r="HGT2" s="47"/>
      <c r="HGU2" s="47"/>
      <c r="HGV2" s="47"/>
      <c r="HGW2" s="47"/>
      <c r="HGX2" s="47"/>
      <c r="HGY2" s="47"/>
      <c r="HGZ2" s="47"/>
      <c r="HHA2" s="47"/>
      <c r="HHB2" s="47"/>
      <c r="HHC2" s="47"/>
      <c r="HHD2" s="47"/>
      <c r="HHE2" s="47"/>
      <c r="HHF2" s="47"/>
      <c r="HHG2" s="47"/>
      <c r="HHH2" s="47"/>
      <c r="HHI2" s="47"/>
      <c r="HHJ2" s="47"/>
      <c r="HHK2" s="47"/>
      <c r="HHL2" s="47"/>
      <c r="HHM2" s="47"/>
      <c r="HHN2" s="47"/>
      <c r="HHO2" s="47"/>
      <c r="HHP2" s="47"/>
      <c r="HHQ2" s="47"/>
      <c r="HHR2" s="47"/>
      <c r="HHS2" s="47"/>
      <c r="HHT2" s="47"/>
      <c r="HHU2" s="47"/>
      <c r="HHV2" s="47"/>
      <c r="HHW2" s="47"/>
      <c r="HHX2" s="47"/>
      <c r="HHY2" s="47"/>
      <c r="HHZ2" s="47"/>
      <c r="HIA2" s="47"/>
      <c r="HIB2" s="47"/>
      <c r="HIC2" s="47"/>
      <c r="HID2" s="47"/>
      <c r="HIE2" s="47"/>
      <c r="HIF2" s="47"/>
      <c r="HIG2" s="47"/>
      <c r="HIH2" s="47"/>
      <c r="HII2" s="47"/>
      <c r="HIJ2" s="47"/>
      <c r="HIK2" s="47"/>
      <c r="HIL2" s="47"/>
      <c r="HIM2" s="47"/>
      <c r="HIN2" s="47"/>
      <c r="HIO2" s="47"/>
      <c r="HIP2" s="47"/>
      <c r="HIQ2" s="47"/>
      <c r="HIR2" s="47"/>
      <c r="HIS2" s="47"/>
      <c r="HIT2" s="47"/>
      <c r="HIU2" s="47"/>
      <c r="HIV2" s="47"/>
      <c r="HIW2" s="47"/>
      <c r="HIX2" s="47"/>
      <c r="HIY2" s="47"/>
      <c r="HIZ2" s="47"/>
      <c r="HJA2" s="47"/>
      <c r="HJB2" s="47"/>
      <c r="HJC2" s="47"/>
      <c r="HJD2" s="47"/>
      <c r="HJE2" s="47"/>
      <c r="HJF2" s="47"/>
      <c r="HJG2" s="47"/>
      <c r="HJH2" s="47"/>
      <c r="HJI2" s="47"/>
      <c r="HJJ2" s="47"/>
      <c r="HJK2" s="47"/>
      <c r="HJL2" s="47"/>
      <c r="HJM2" s="47"/>
      <c r="HJN2" s="47"/>
      <c r="HJO2" s="47"/>
      <c r="HJP2" s="47"/>
      <c r="HJQ2" s="47"/>
      <c r="HJR2" s="47"/>
      <c r="HJS2" s="47"/>
      <c r="HJT2" s="47"/>
      <c r="HJU2" s="47"/>
      <c r="HJV2" s="47"/>
      <c r="HJW2" s="47"/>
      <c r="HJX2" s="47"/>
      <c r="HJY2" s="47"/>
      <c r="HJZ2" s="47"/>
      <c r="HKA2" s="47"/>
      <c r="HKB2" s="47"/>
      <c r="HKC2" s="47"/>
      <c r="HKD2" s="47"/>
      <c r="HKE2" s="47"/>
      <c r="HKF2" s="47"/>
      <c r="HKG2" s="47"/>
      <c r="HKH2" s="47"/>
      <c r="HKI2" s="47"/>
      <c r="HKJ2" s="47"/>
      <c r="HKK2" s="47"/>
      <c r="HKL2" s="47"/>
      <c r="HKM2" s="47"/>
      <c r="HKN2" s="47"/>
      <c r="HKO2" s="47"/>
      <c r="HKP2" s="47"/>
      <c r="HKQ2" s="47"/>
      <c r="HKR2" s="47"/>
      <c r="HKS2" s="47"/>
      <c r="HKT2" s="47"/>
      <c r="HKU2" s="47"/>
      <c r="HKV2" s="47"/>
      <c r="HKW2" s="47"/>
      <c r="HKX2" s="47"/>
      <c r="HKY2" s="47"/>
      <c r="HKZ2" s="47"/>
      <c r="HLA2" s="47"/>
      <c r="HLB2" s="47"/>
      <c r="HLC2" s="47"/>
      <c r="HLD2" s="47"/>
      <c r="HLE2" s="47"/>
      <c r="HLF2" s="47"/>
      <c r="HLG2" s="47"/>
      <c r="HLH2" s="47"/>
      <c r="HLI2" s="47"/>
      <c r="HLJ2" s="47"/>
      <c r="HLK2" s="47"/>
      <c r="HLL2" s="47"/>
      <c r="HLM2" s="47"/>
      <c r="HLN2" s="47"/>
      <c r="HLO2" s="47"/>
      <c r="HLP2" s="47"/>
      <c r="HLQ2" s="47"/>
      <c r="HLR2" s="47"/>
      <c r="HLS2" s="47"/>
      <c r="HLT2" s="47"/>
      <c r="HLU2" s="47"/>
      <c r="HLV2" s="47"/>
      <c r="HLW2" s="47"/>
      <c r="HLX2" s="47"/>
      <c r="HLY2" s="47"/>
      <c r="HLZ2" s="47"/>
      <c r="HMA2" s="47"/>
      <c r="HMB2" s="47"/>
      <c r="HMC2" s="47"/>
      <c r="HMD2" s="47"/>
      <c r="HME2" s="47"/>
      <c r="HMF2" s="47"/>
      <c r="HMG2" s="47"/>
      <c r="HMH2" s="47"/>
      <c r="HMI2" s="47"/>
      <c r="HMJ2" s="47"/>
      <c r="HMK2" s="47"/>
      <c r="HML2" s="47"/>
      <c r="HMM2" s="47"/>
      <c r="HMN2" s="47"/>
      <c r="HMO2" s="47"/>
      <c r="HMP2" s="47"/>
      <c r="HMQ2" s="47"/>
      <c r="HMR2" s="47"/>
      <c r="HMS2" s="47"/>
      <c r="HMT2" s="47"/>
      <c r="HMU2" s="47"/>
      <c r="HMV2" s="47"/>
      <c r="HMW2" s="47"/>
      <c r="HMX2" s="47"/>
      <c r="HMY2" s="47"/>
      <c r="HMZ2" s="47"/>
      <c r="HNA2" s="47"/>
      <c r="HNB2" s="47"/>
      <c r="HNC2" s="47"/>
      <c r="HND2" s="47"/>
      <c r="HNE2" s="47"/>
      <c r="HNF2" s="47"/>
      <c r="HNG2" s="47"/>
      <c r="HNH2" s="47"/>
      <c r="HNI2" s="47"/>
      <c r="HNJ2" s="47"/>
      <c r="HNK2" s="47"/>
      <c r="HNL2" s="47"/>
      <c r="HNM2" s="47"/>
      <c r="HNN2" s="47"/>
      <c r="HNO2" s="47"/>
      <c r="HNP2" s="47"/>
      <c r="HNQ2" s="47"/>
      <c r="HNR2" s="47"/>
      <c r="HNS2" s="47"/>
      <c r="HNT2" s="47"/>
      <c r="HNU2" s="47"/>
      <c r="HNV2" s="47"/>
      <c r="HNW2" s="47"/>
      <c r="HNX2" s="47"/>
      <c r="HNY2" s="47"/>
      <c r="HNZ2" s="47"/>
      <c r="HOA2" s="47"/>
      <c r="HOB2" s="47"/>
      <c r="HOC2" s="47"/>
      <c r="HOD2" s="47"/>
      <c r="HOE2" s="47"/>
      <c r="HOF2" s="47"/>
      <c r="HOG2" s="47"/>
      <c r="HOH2" s="47"/>
      <c r="HOI2" s="47"/>
      <c r="HOJ2" s="47"/>
      <c r="HOK2" s="47"/>
      <c r="HOL2" s="47"/>
      <c r="HOM2" s="47"/>
      <c r="HON2" s="47"/>
      <c r="HOO2" s="47"/>
      <c r="HOP2" s="47"/>
      <c r="HOQ2" s="47"/>
      <c r="HOR2" s="47"/>
      <c r="HOS2" s="47"/>
      <c r="HOT2" s="47"/>
      <c r="HOU2" s="47"/>
      <c r="HOV2" s="47"/>
      <c r="HOW2" s="47"/>
      <c r="HOX2" s="47"/>
      <c r="HOY2" s="47"/>
      <c r="HOZ2" s="47"/>
      <c r="HPA2" s="47"/>
      <c r="HPB2" s="47"/>
      <c r="HPC2" s="47"/>
      <c r="HPD2" s="47"/>
      <c r="HPE2" s="47"/>
      <c r="HPF2" s="47"/>
      <c r="HPG2" s="47"/>
      <c r="HPH2" s="47"/>
      <c r="HPI2" s="47"/>
      <c r="HPJ2" s="47"/>
      <c r="HPK2" s="47"/>
      <c r="HPL2" s="47"/>
      <c r="HPM2" s="47"/>
      <c r="HPN2" s="47"/>
      <c r="HPO2" s="47"/>
      <c r="HPP2" s="47"/>
      <c r="HPQ2" s="47"/>
      <c r="HPR2" s="47"/>
      <c r="HPS2" s="47"/>
      <c r="HPT2" s="47"/>
      <c r="HPU2" s="47"/>
      <c r="HPV2" s="47"/>
      <c r="HPW2" s="47"/>
      <c r="HPX2" s="47"/>
      <c r="HPY2" s="47"/>
      <c r="HPZ2" s="47"/>
      <c r="HQA2" s="47"/>
      <c r="HQB2" s="47"/>
      <c r="HQC2" s="47"/>
      <c r="HQD2" s="47"/>
      <c r="HQE2" s="47"/>
      <c r="HQF2" s="47"/>
      <c r="HQG2" s="47"/>
      <c r="HQH2" s="47"/>
      <c r="HQI2" s="47"/>
      <c r="HQJ2" s="47"/>
      <c r="HQK2" s="47"/>
      <c r="HQL2" s="47"/>
      <c r="HQM2" s="47"/>
      <c r="HQN2" s="47"/>
      <c r="HQO2" s="47"/>
      <c r="HQP2" s="47"/>
      <c r="HQQ2" s="47"/>
      <c r="HQR2" s="47"/>
      <c r="HQS2" s="47"/>
      <c r="HQT2" s="47"/>
      <c r="HQU2" s="47"/>
      <c r="HQV2" s="47"/>
      <c r="HQW2" s="47"/>
      <c r="HQX2" s="47"/>
      <c r="HQY2" s="47"/>
      <c r="HQZ2" s="47"/>
      <c r="HRA2" s="47"/>
      <c r="HRB2" s="47"/>
      <c r="HRC2" s="47"/>
      <c r="HRD2" s="47"/>
      <c r="HRE2" s="47"/>
      <c r="HRF2" s="47"/>
      <c r="HRG2" s="47"/>
      <c r="HRH2" s="47"/>
      <c r="HRI2" s="47"/>
      <c r="HRJ2" s="47"/>
      <c r="HRK2" s="47"/>
      <c r="HRL2" s="47"/>
      <c r="HRM2" s="47"/>
      <c r="HRN2" s="47"/>
      <c r="HRO2" s="47"/>
      <c r="HRP2" s="47"/>
      <c r="HRQ2" s="47"/>
      <c r="HRR2" s="47"/>
      <c r="HRS2" s="47"/>
      <c r="HRT2" s="47"/>
      <c r="HRU2" s="47"/>
      <c r="HRV2" s="47"/>
      <c r="HRW2" s="47"/>
      <c r="HRX2" s="47"/>
      <c r="HRY2" s="47"/>
      <c r="HRZ2" s="47"/>
      <c r="HSA2" s="47"/>
      <c r="HSB2" s="47"/>
      <c r="HSC2" s="47"/>
      <c r="HSD2" s="47"/>
      <c r="HSE2" s="47"/>
      <c r="HSF2" s="47"/>
      <c r="HSG2" s="47"/>
      <c r="HSH2" s="47"/>
      <c r="HSI2" s="47"/>
      <c r="HSJ2" s="47"/>
      <c r="HSK2" s="47"/>
      <c r="HSL2" s="47"/>
      <c r="HSM2" s="47"/>
      <c r="HSN2" s="47"/>
      <c r="HSO2" s="47"/>
      <c r="HSP2" s="47"/>
      <c r="HSQ2" s="47"/>
      <c r="HSR2" s="47"/>
      <c r="HSS2" s="47"/>
      <c r="HST2" s="47"/>
      <c r="HSU2" s="47"/>
      <c r="HSV2" s="47"/>
      <c r="HSW2" s="47"/>
      <c r="HSX2" s="47"/>
      <c r="HSY2" s="47"/>
      <c r="HSZ2" s="47"/>
      <c r="HTA2" s="47"/>
      <c r="HTB2" s="47"/>
      <c r="HTC2" s="47"/>
      <c r="HTD2" s="47"/>
      <c r="HTE2" s="47"/>
      <c r="HTF2" s="47"/>
      <c r="HTG2" s="47"/>
      <c r="HTH2" s="47"/>
      <c r="HTI2" s="47"/>
      <c r="HTJ2" s="47"/>
      <c r="HTK2" s="47"/>
      <c r="HTL2" s="47"/>
      <c r="HTM2" s="47"/>
      <c r="HTN2" s="47"/>
      <c r="HTO2" s="47"/>
      <c r="HTP2" s="47"/>
      <c r="HTQ2" s="47"/>
      <c r="HTR2" s="47"/>
      <c r="HTS2" s="47"/>
      <c r="HTT2" s="47"/>
      <c r="HTU2" s="47"/>
      <c r="HTV2" s="47"/>
      <c r="HTW2" s="47"/>
      <c r="HTX2" s="47"/>
      <c r="HTY2" s="47"/>
      <c r="HTZ2" s="47"/>
      <c r="HUA2" s="47"/>
      <c r="HUB2" s="47"/>
      <c r="HUC2" s="47"/>
      <c r="HUD2" s="47"/>
      <c r="HUE2" s="47"/>
      <c r="HUF2" s="47"/>
      <c r="HUG2" s="47"/>
      <c r="HUH2" s="47"/>
      <c r="HUI2" s="47"/>
      <c r="HUJ2" s="47"/>
      <c r="HUK2" s="47"/>
      <c r="HUL2" s="47"/>
      <c r="HUM2" s="47"/>
      <c r="HUN2" s="47"/>
      <c r="HUO2" s="47"/>
      <c r="HUP2" s="47"/>
      <c r="HUQ2" s="47"/>
      <c r="HUR2" s="47"/>
      <c r="HUS2" s="47"/>
      <c r="HUT2" s="47"/>
      <c r="HUU2" s="47"/>
      <c r="HUV2" s="47"/>
      <c r="HUW2" s="47"/>
      <c r="HUX2" s="47"/>
      <c r="HUY2" s="47"/>
      <c r="HUZ2" s="47"/>
      <c r="HVA2" s="47"/>
      <c r="HVB2" s="47"/>
      <c r="HVC2" s="47"/>
      <c r="HVD2" s="47"/>
      <c r="HVE2" s="47"/>
      <c r="HVF2" s="47"/>
      <c r="HVG2" s="47"/>
      <c r="HVH2" s="47"/>
      <c r="HVI2" s="47"/>
      <c r="HVJ2" s="47"/>
      <c r="HVK2" s="47"/>
      <c r="HVL2" s="47"/>
      <c r="HVM2" s="47"/>
      <c r="HVN2" s="47"/>
      <c r="HVO2" s="47"/>
      <c r="HVP2" s="47"/>
      <c r="HVQ2" s="47"/>
      <c r="HVR2" s="47"/>
      <c r="HVS2" s="47"/>
      <c r="HVT2" s="47"/>
      <c r="HVU2" s="47"/>
      <c r="HVV2" s="47"/>
      <c r="HVW2" s="47"/>
      <c r="HVX2" s="47"/>
      <c r="HVY2" s="47"/>
      <c r="HVZ2" s="47"/>
      <c r="HWA2" s="47"/>
      <c r="HWB2" s="47"/>
      <c r="HWC2" s="47"/>
      <c r="HWD2" s="47"/>
      <c r="HWE2" s="47"/>
      <c r="HWF2" s="47"/>
      <c r="HWG2" s="47"/>
      <c r="HWH2" s="47"/>
      <c r="HWI2" s="47"/>
      <c r="HWJ2" s="47"/>
      <c r="HWK2" s="47"/>
      <c r="HWL2" s="47"/>
      <c r="HWM2" s="47"/>
      <c r="HWN2" s="47"/>
      <c r="HWO2" s="47"/>
      <c r="HWP2" s="47"/>
      <c r="HWQ2" s="47"/>
      <c r="HWR2" s="47"/>
      <c r="HWS2" s="47"/>
      <c r="HWT2" s="47"/>
      <c r="HWU2" s="47"/>
      <c r="HWV2" s="47"/>
      <c r="HWW2" s="47"/>
      <c r="HWX2" s="47"/>
      <c r="HWY2" s="47"/>
      <c r="HWZ2" s="47"/>
      <c r="HXA2" s="47"/>
      <c r="HXB2" s="47"/>
      <c r="HXC2" s="47"/>
      <c r="HXD2" s="47"/>
      <c r="HXE2" s="47"/>
      <c r="HXF2" s="47"/>
      <c r="HXG2" s="47"/>
      <c r="HXH2" s="47"/>
      <c r="HXI2" s="47"/>
      <c r="HXJ2" s="47"/>
      <c r="HXK2" s="47"/>
      <c r="HXL2" s="47"/>
      <c r="HXM2" s="47"/>
      <c r="HXN2" s="47"/>
      <c r="HXO2" s="47"/>
      <c r="HXP2" s="47"/>
      <c r="HXQ2" s="47"/>
      <c r="HXR2" s="47"/>
      <c r="HXS2" s="47"/>
      <c r="HXT2" s="47"/>
      <c r="HXU2" s="47"/>
      <c r="HXV2" s="47"/>
      <c r="HXW2" s="47"/>
      <c r="HXX2" s="47"/>
      <c r="HXY2" s="47"/>
      <c r="HXZ2" s="47"/>
      <c r="HYA2" s="47"/>
      <c r="HYB2" s="47"/>
      <c r="HYC2" s="47"/>
      <c r="HYD2" s="47"/>
      <c r="HYE2" s="47"/>
      <c r="HYF2" s="47"/>
      <c r="HYG2" s="47"/>
      <c r="HYH2" s="47"/>
      <c r="HYI2" s="47"/>
      <c r="HYJ2" s="47"/>
      <c r="HYK2" s="47"/>
      <c r="HYL2" s="47"/>
      <c r="HYM2" s="47"/>
      <c r="HYN2" s="47"/>
      <c r="HYO2" s="47"/>
      <c r="HYP2" s="47"/>
      <c r="HYQ2" s="47"/>
      <c r="HYR2" s="47"/>
      <c r="HYS2" s="47"/>
      <c r="HYT2" s="47"/>
      <c r="HYU2" s="47"/>
      <c r="HYV2" s="47"/>
      <c r="HYW2" s="47"/>
      <c r="HYX2" s="47"/>
      <c r="HYY2" s="47"/>
      <c r="HYZ2" s="47"/>
      <c r="HZA2" s="47"/>
      <c r="HZB2" s="47"/>
      <c r="HZC2" s="47"/>
      <c r="HZD2" s="47"/>
      <c r="HZE2" s="47"/>
      <c r="HZF2" s="47"/>
      <c r="HZG2" s="47"/>
      <c r="HZH2" s="47"/>
      <c r="HZI2" s="47"/>
      <c r="HZJ2" s="47"/>
      <c r="HZK2" s="47"/>
      <c r="HZL2" s="47"/>
      <c r="HZM2" s="47"/>
      <c r="HZN2" s="47"/>
      <c r="HZO2" s="47"/>
      <c r="HZP2" s="47"/>
      <c r="HZQ2" s="47"/>
      <c r="HZR2" s="47"/>
      <c r="HZS2" s="47"/>
      <c r="HZT2" s="47"/>
      <c r="HZU2" s="47"/>
      <c r="HZV2" s="47"/>
      <c r="HZW2" s="47"/>
      <c r="HZX2" s="47"/>
      <c r="HZY2" s="47"/>
      <c r="HZZ2" s="47"/>
      <c r="IAA2" s="47"/>
      <c r="IAB2" s="47"/>
      <c r="IAC2" s="47"/>
      <c r="IAD2" s="47"/>
      <c r="IAE2" s="47"/>
      <c r="IAF2" s="47"/>
      <c r="IAG2" s="47"/>
      <c r="IAH2" s="47"/>
      <c r="IAI2" s="47"/>
      <c r="IAJ2" s="47"/>
      <c r="IAK2" s="47"/>
      <c r="IAL2" s="47"/>
      <c r="IAM2" s="47"/>
      <c r="IAN2" s="47"/>
      <c r="IAO2" s="47"/>
      <c r="IAP2" s="47"/>
      <c r="IAQ2" s="47"/>
      <c r="IAR2" s="47"/>
      <c r="IAS2" s="47"/>
      <c r="IAT2" s="47"/>
      <c r="IAU2" s="47"/>
      <c r="IAV2" s="47"/>
      <c r="IAW2" s="47"/>
      <c r="IAX2" s="47"/>
      <c r="IAY2" s="47"/>
      <c r="IAZ2" s="47"/>
      <c r="IBA2" s="47"/>
      <c r="IBB2" s="47"/>
      <c r="IBC2" s="47"/>
      <c r="IBD2" s="47"/>
      <c r="IBE2" s="47"/>
      <c r="IBF2" s="47"/>
      <c r="IBG2" s="47"/>
      <c r="IBH2" s="47"/>
      <c r="IBI2" s="47"/>
      <c r="IBJ2" s="47"/>
      <c r="IBK2" s="47"/>
      <c r="IBL2" s="47"/>
      <c r="IBM2" s="47"/>
      <c r="IBN2" s="47"/>
      <c r="IBO2" s="47"/>
      <c r="IBP2" s="47"/>
      <c r="IBQ2" s="47"/>
      <c r="IBR2" s="47"/>
      <c r="IBS2" s="47"/>
      <c r="IBT2" s="47"/>
      <c r="IBU2" s="47"/>
      <c r="IBV2" s="47"/>
      <c r="IBW2" s="47"/>
      <c r="IBX2" s="47"/>
      <c r="IBY2" s="47"/>
      <c r="IBZ2" s="47"/>
      <c r="ICA2" s="47"/>
      <c r="ICB2" s="47"/>
      <c r="ICC2" s="47"/>
      <c r="ICD2" s="47"/>
      <c r="ICE2" s="47"/>
      <c r="ICF2" s="47"/>
      <c r="ICG2" s="47"/>
      <c r="ICH2" s="47"/>
      <c r="ICI2" s="47"/>
      <c r="ICJ2" s="47"/>
      <c r="ICK2" s="47"/>
      <c r="ICL2" s="47"/>
      <c r="ICM2" s="47"/>
      <c r="ICN2" s="47"/>
      <c r="ICO2" s="47"/>
      <c r="ICP2" s="47"/>
      <c r="ICQ2" s="47"/>
      <c r="ICR2" s="47"/>
      <c r="ICS2" s="47"/>
      <c r="ICT2" s="47"/>
      <c r="ICU2" s="47"/>
      <c r="ICV2" s="47"/>
      <c r="ICW2" s="47"/>
      <c r="ICX2" s="47"/>
      <c r="ICY2" s="47"/>
      <c r="ICZ2" s="47"/>
      <c r="IDA2" s="47"/>
      <c r="IDB2" s="47"/>
      <c r="IDC2" s="47"/>
      <c r="IDD2" s="47"/>
      <c r="IDE2" s="47"/>
      <c r="IDF2" s="47"/>
      <c r="IDG2" s="47"/>
      <c r="IDH2" s="47"/>
      <c r="IDI2" s="47"/>
      <c r="IDJ2" s="47"/>
      <c r="IDK2" s="47"/>
      <c r="IDL2" s="47"/>
      <c r="IDM2" s="47"/>
      <c r="IDN2" s="47"/>
      <c r="IDO2" s="47"/>
      <c r="IDP2" s="47"/>
      <c r="IDQ2" s="47"/>
      <c r="IDR2" s="47"/>
      <c r="IDS2" s="47"/>
      <c r="IDT2" s="47"/>
      <c r="IDU2" s="47"/>
      <c r="IDV2" s="47"/>
      <c r="IDW2" s="47"/>
      <c r="IDX2" s="47"/>
      <c r="IDY2" s="47"/>
      <c r="IDZ2" s="47"/>
      <c r="IEA2" s="47"/>
      <c r="IEB2" s="47"/>
      <c r="IEC2" s="47"/>
      <c r="IED2" s="47"/>
      <c r="IEE2" s="47"/>
      <c r="IEF2" s="47"/>
      <c r="IEG2" s="47"/>
      <c r="IEH2" s="47"/>
      <c r="IEI2" s="47"/>
      <c r="IEJ2" s="47"/>
      <c r="IEK2" s="47"/>
      <c r="IEL2" s="47"/>
      <c r="IEM2" s="47"/>
      <c r="IEN2" s="47"/>
      <c r="IEO2" s="47"/>
      <c r="IEP2" s="47"/>
      <c r="IEQ2" s="47"/>
      <c r="IER2" s="47"/>
      <c r="IES2" s="47"/>
      <c r="IET2" s="47"/>
      <c r="IEU2" s="47"/>
      <c r="IEV2" s="47"/>
      <c r="IEW2" s="47"/>
      <c r="IEX2" s="47"/>
      <c r="IEY2" s="47"/>
      <c r="IEZ2" s="47"/>
      <c r="IFA2" s="47"/>
      <c r="IFB2" s="47"/>
      <c r="IFC2" s="47"/>
      <c r="IFD2" s="47"/>
      <c r="IFE2" s="47"/>
      <c r="IFF2" s="47"/>
      <c r="IFG2" s="47"/>
      <c r="IFH2" s="47"/>
      <c r="IFI2" s="47"/>
      <c r="IFJ2" s="47"/>
      <c r="IFK2" s="47"/>
      <c r="IFL2" s="47"/>
      <c r="IFM2" s="47"/>
      <c r="IFN2" s="47"/>
      <c r="IFO2" s="47"/>
      <c r="IFP2" s="47"/>
      <c r="IFQ2" s="47"/>
      <c r="IFR2" s="47"/>
      <c r="IFS2" s="47"/>
      <c r="IFT2" s="47"/>
      <c r="IFU2" s="47"/>
      <c r="IFV2" s="47"/>
      <c r="IFW2" s="47"/>
      <c r="IFX2" s="47"/>
      <c r="IFY2" s="47"/>
      <c r="IFZ2" s="47"/>
      <c r="IGA2" s="47"/>
      <c r="IGB2" s="47"/>
      <c r="IGC2" s="47"/>
      <c r="IGD2" s="47"/>
      <c r="IGE2" s="47"/>
      <c r="IGF2" s="47"/>
      <c r="IGG2" s="47"/>
      <c r="IGH2" s="47"/>
      <c r="IGI2" s="47"/>
      <c r="IGJ2" s="47"/>
      <c r="IGK2" s="47"/>
      <c r="IGL2" s="47"/>
      <c r="IGM2" s="47"/>
      <c r="IGN2" s="47"/>
      <c r="IGO2" s="47"/>
      <c r="IGP2" s="47"/>
      <c r="IGQ2" s="47"/>
      <c r="IGR2" s="47"/>
      <c r="IGS2" s="47"/>
      <c r="IGT2" s="47"/>
      <c r="IGU2" s="47"/>
      <c r="IGV2" s="47"/>
      <c r="IGW2" s="47"/>
      <c r="IGX2" s="47"/>
      <c r="IGY2" s="47"/>
      <c r="IGZ2" s="47"/>
      <c r="IHA2" s="47"/>
      <c r="IHB2" s="47"/>
      <c r="IHC2" s="47"/>
      <c r="IHD2" s="47"/>
      <c r="IHE2" s="47"/>
      <c r="IHF2" s="47"/>
      <c r="IHG2" s="47"/>
      <c r="IHH2" s="47"/>
      <c r="IHI2" s="47"/>
      <c r="IHJ2" s="47"/>
      <c r="IHK2" s="47"/>
      <c r="IHL2" s="47"/>
      <c r="IHM2" s="47"/>
      <c r="IHN2" s="47"/>
      <c r="IHO2" s="47"/>
      <c r="IHP2" s="47"/>
      <c r="IHQ2" s="47"/>
      <c r="IHR2" s="47"/>
      <c r="IHS2" s="47"/>
      <c r="IHT2" s="47"/>
      <c r="IHU2" s="47"/>
      <c r="IHV2" s="47"/>
      <c r="IHW2" s="47"/>
      <c r="IHX2" s="47"/>
      <c r="IHY2" s="47"/>
      <c r="IHZ2" s="47"/>
      <c r="IIA2" s="47"/>
      <c r="IIB2" s="47"/>
      <c r="IIC2" s="47"/>
      <c r="IID2" s="47"/>
      <c r="IIE2" s="47"/>
      <c r="IIF2" s="47"/>
      <c r="IIG2" s="47"/>
      <c r="IIH2" s="47"/>
      <c r="III2" s="47"/>
      <c r="IIJ2" s="47"/>
      <c r="IIK2" s="47"/>
      <c r="IIL2" s="47"/>
      <c r="IIM2" s="47"/>
      <c r="IIN2" s="47"/>
      <c r="IIO2" s="47"/>
      <c r="IIP2" s="47"/>
      <c r="IIQ2" s="47"/>
      <c r="IIR2" s="47"/>
      <c r="IIS2" s="47"/>
      <c r="IIT2" s="47"/>
      <c r="IIU2" s="47"/>
      <c r="IIV2" s="47"/>
      <c r="IIW2" s="47"/>
      <c r="IIX2" s="47"/>
      <c r="IIY2" s="47"/>
      <c r="IIZ2" s="47"/>
      <c r="IJA2" s="47"/>
      <c r="IJB2" s="47"/>
      <c r="IJC2" s="47"/>
      <c r="IJD2" s="47"/>
      <c r="IJE2" s="47"/>
      <c r="IJF2" s="47"/>
      <c r="IJG2" s="47"/>
      <c r="IJH2" s="47"/>
      <c r="IJI2" s="47"/>
      <c r="IJJ2" s="47"/>
      <c r="IJK2" s="47"/>
      <c r="IJL2" s="47"/>
      <c r="IJM2" s="47"/>
      <c r="IJN2" s="47"/>
      <c r="IJO2" s="47"/>
      <c r="IJP2" s="47"/>
      <c r="IJQ2" s="47"/>
      <c r="IJR2" s="47"/>
      <c r="IJS2" s="47"/>
      <c r="IJT2" s="47"/>
      <c r="IJU2" s="47"/>
      <c r="IJV2" s="47"/>
      <c r="IJW2" s="47"/>
      <c r="IJX2" s="47"/>
      <c r="IJY2" s="47"/>
      <c r="IJZ2" s="47"/>
      <c r="IKA2" s="47"/>
      <c r="IKB2" s="47"/>
      <c r="IKC2" s="47"/>
      <c r="IKD2" s="47"/>
      <c r="IKE2" s="47"/>
      <c r="IKF2" s="47"/>
      <c r="IKG2" s="47"/>
      <c r="IKH2" s="47"/>
      <c r="IKI2" s="47"/>
      <c r="IKJ2" s="47"/>
      <c r="IKK2" s="47"/>
      <c r="IKL2" s="47"/>
      <c r="IKM2" s="47"/>
      <c r="IKN2" s="47"/>
      <c r="IKO2" s="47"/>
      <c r="IKP2" s="47"/>
      <c r="IKQ2" s="47"/>
      <c r="IKR2" s="47"/>
      <c r="IKS2" s="47"/>
      <c r="IKT2" s="47"/>
      <c r="IKU2" s="47"/>
      <c r="IKV2" s="47"/>
      <c r="IKW2" s="47"/>
      <c r="IKX2" s="47"/>
      <c r="IKY2" s="47"/>
      <c r="IKZ2" s="47"/>
      <c r="ILA2" s="47"/>
      <c r="ILB2" s="47"/>
      <c r="ILC2" s="47"/>
      <c r="ILD2" s="47"/>
      <c r="ILE2" s="47"/>
      <c r="ILF2" s="47"/>
      <c r="ILG2" s="47"/>
      <c r="ILH2" s="47"/>
      <c r="ILI2" s="47"/>
      <c r="ILJ2" s="47"/>
      <c r="ILK2" s="47"/>
      <c r="ILL2" s="47"/>
      <c r="ILM2" s="47"/>
      <c r="ILN2" s="47"/>
      <c r="ILO2" s="47"/>
      <c r="ILP2" s="47"/>
      <c r="ILQ2" s="47"/>
      <c r="ILR2" s="47"/>
      <c r="ILS2" s="47"/>
      <c r="ILT2" s="47"/>
      <c r="ILU2" s="47"/>
      <c r="ILV2" s="47"/>
      <c r="ILW2" s="47"/>
      <c r="ILX2" s="47"/>
      <c r="ILY2" s="47"/>
      <c r="ILZ2" s="47"/>
      <c r="IMA2" s="47"/>
      <c r="IMB2" s="47"/>
      <c r="IMC2" s="47"/>
      <c r="IMD2" s="47"/>
      <c r="IME2" s="47"/>
      <c r="IMF2" s="47"/>
      <c r="IMG2" s="47"/>
      <c r="IMH2" s="47"/>
      <c r="IMI2" s="47"/>
      <c r="IMJ2" s="47"/>
      <c r="IMK2" s="47"/>
      <c r="IML2" s="47"/>
      <c r="IMM2" s="47"/>
      <c r="IMN2" s="47"/>
      <c r="IMO2" s="47"/>
      <c r="IMP2" s="47"/>
      <c r="IMQ2" s="47"/>
      <c r="IMR2" s="47"/>
      <c r="IMS2" s="47"/>
      <c r="IMT2" s="47"/>
      <c r="IMU2" s="47"/>
      <c r="IMV2" s="47"/>
      <c r="IMW2" s="47"/>
      <c r="IMX2" s="47"/>
      <c r="IMY2" s="47"/>
      <c r="IMZ2" s="47"/>
      <c r="INA2" s="47"/>
      <c r="INB2" s="47"/>
      <c r="INC2" s="47"/>
      <c r="IND2" s="47"/>
      <c r="INE2" s="47"/>
      <c r="INF2" s="47"/>
      <c r="ING2" s="47"/>
      <c r="INH2" s="47"/>
      <c r="INI2" s="47"/>
      <c r="INJ2" s="47"/>
      <c r="INK2" s="47"/>
      <c r="INL2" s="47"/>
      <c r="INM2" s="47"/>
      <c r="INN2" s="47"/>
      <c r="INO2" s="47"/>
      <c r="INP2" s="47"/>
      <c r="INQ2" s="47"/>
      <c r="INR2" s="47"/>
      <c r="INS2" s="47"/>
      <c r="INT2" s="47"/>
      <c r="INU2" s="47"/>
      <c r="INV2" s="47"/>
      <c r="INW2" s="47"/>
      <c r="INX2" s="47"/>
      <c r="INY2" s="47"/>
      <c r="INZ2" s="47"/>
      <c r="IOA2" s="47"/>
      <c r="IOB2" s="47"/>
      <c r="IOC2" s="47"/>
      <c r="IOD2" s="47"/>
      <c r="IOE2" s="47"/>
      <c r="IOF2" s="47"/>
      <c r="IOG2" s="47"/>
      <c r="IOH2" s="47"/>
      <c r="IOI2" s="47"/>
      <c r="IOJ2" s="47"/>
      <c r="IOK2" s="47"/>
      <c r="IOL2" s="47"/>
      <c r="IOM2" s="47"/>
      <c r="ION2" s="47"/>
      <c r="IOO2" s="47"/>
      <c r="IOP2" s="47"/>
      <c r="IOQ2" s="47"/>
      <c r="IOR2" s="47"/>
      <c r="IOS2" s="47"/>
      <c r="IOT2" s="47"/>
      <c r="IOU2" s="47"/>
      <c r="IOV2" s="47"/>
      <c r="IOW2" s="47"/>
      <c r="IOX2" s="47"/>
      <c r="IOY2" s="47"/>
      <c r="IOZ2" s="47"/>
      <c r="IPA2" s="47"/>
      <c r="IPB2" s="47"/>
      <c r="IPC2" s="47"/>
      <c r="IPD2" s="47"/>
      <c r="IPE2" s="47"/>
      <c r="IPF2" s="47"/>
      <c r="IPG2" s="47"/>
      <c r="IPH2" s="47"/>
      <c r="IPI2" s="47"/>
      <c r="IPJ2" s="47"/>
      <c r="IPK2" s="47"/>
      <c r="IPL2" s="47"/>
      <c r="IPM2" s="47"/>
      <c r="IPN2" s="47"/>
      <c r="IPO2" s="47"/>
      <c r="IPP2" s="47"/>
      <c r="IPQ2" s="47"/>
      <c r="IPR2" s="47"/>
      <c r="IPS2" s="47"/>
      <c r="IPT2" s="47"/>
      <c r="IPU2" s="47"/>
      <c r="IPV2" s="47"/>
      <c r="IPW2" s="47"/>
      <c r="IPX2" s="47"/>
      <c r="IPY2" s="47"/>
      <c r="IPZ2" s="47"/>
      <c r="IQA2" s="47"/>
      <c r="IQB2" s="47"/>
      <c r="IQC2" s="47"/>
      <c r="IQD2" s="47"/>
      <c r="IQE2" s="47"/>
      <c r="IQF2" s="47"/>
      <c r="IQG2" s="47"/>
      <c r="IQH2" s="47"/>
      <c r="IQI2" s="47"/>
      <c r="IQJ2" s="47"/>
      <c r="IQK2" s="47"/>
      <c r="IQL2" s="47"/>
      <c r="IQM2" s="47"/>
      <c r="IQN2" s="47"/>
      <c r="IQO2" s="47"/>
      <c r="IQP2" s="47"/>
      <c r="IQQ2" s="47"/>
      <c r="IQR2" s="47"/>
      <c r="IQS2" s="47"/>
      <c r="IQT2" s="47"/>
      <c r="IQU2" s="47"/>
      <c r="IQV2" s="47"/>
      <c r="IQW2" s="47"/>
      <c r="IQX2" s="47"/>
      <c r="IQY2" s="47"/>
      <c r="IQZ2" s="47"/>
      <c r="IRA2" s="47"/>
      <c r="IRB2" s="47"/>
      <c r="IRC2" s="47"/>
      <c r="IRD2" s="47"/>
      <c r="IRE2" s="47"/>
      <c r="IRF2" s="47"/>
      <c r="IRG2" s="47"/>
      <c r="IRH2" s="47"/>
      <c r="IRI2" s="47"/>
      <c r="IRJ2" s="47"/>
      <c r="IRK2" s="47"/>
      <c r="IRL2" s="47"/>
      <c r="IRM2" s="47"/>
      <c r="IRN2" s="47"/>
      <c r="IRO2" s="47"/>
      <c r="IRP2" s="47"/>
      <c r="IRQ2" s="47"/>
      <c r="IRR2" s="47"/>
      <c r="IRS2" s="47"/>
      <c r="IRT2" s="47"/>
      <c r="IRU2" s="47"/>
      <c r="IRV2" s="47"/>
      <c r="IRW2" s="47"/>
      <c r="IRX2" s="47"/>
      <c r="IRY2" s="47"/>
      <c r="IRZ2" s="47"/>
      <c r="ISA2" s="47"/>
      <c r="ISB2" s="47"/>
      <c r="ISC2" s="47"/>
      <c r="ISD2" s="47"/>
      <c r="ISE2" s="47"/>
      <c r="ISF2" s="47"/>
      <c r="ISG2" s="47"/>
      <c r="ISH2" s="47"/>
      <c r="ISI2" s="47"/>
      <c r="ISJ2" s="47"/>
      <c r="ISK2" s="47"/>
      <c r="ISL2" s="47"/>
      <c r="ISM2" s="47"/>
      <c r="ISN2" s="47"/>
      <c r="ISO2" s="47"/>
      <c r="ISP2" s="47"/>
      <c r="ISQ2" s="47"/>
      <c r="ISR2" s="47"/>
      <c r="ISS2" s="47"/>
      <c r="IST2" s="47"/>
      <c r="ISU2" s="47"/>
      <c r="ISV2" s="47"/>
      <c r="ISW2" s="47"/>
      <c r="ISX2" s="47"/>
      <c r="ISY2" s="47"/>
      <c r="ISZ2" s="47"/>
      <c r="ITA2" s="47"/>
      <c r="ITB2" s="47"/>
      <c r="ITC2" s="47"/>
      <c r="ITD2" s="47"/>
      <c r="ITE2" s="47"/>
      <c r="ITF2" s="47"/>
      <c r="ITG2" s="47"/>
      <c r="ITH2" s="47"/>
      <c r="ITI2" s="47"/>
      <c r="ITJ2" s="47"/>
      <c r="ITK2" s="47"/>
      <c r="ITL2" s="47"/>
      <c r="ITM2" s="47"/>
      <c r="ITN2" s="47"/>
      <c r="ITO2" s="47"/>
      <c r="ITP2" s="47"/>
      <c r="ITQ2" s="47"/>
      <c r="ITR2" s="47"/>
      <c r="ITS2" s="47"/>
      <c r="ITT2" s="47"/>
      <c r="ITU2" s="47"/>
      <c r="ITV2" s="47"/>
      <c r="ITW2" s="47"/>
      <c r="ITX2" s="47"/>
      <c r="ITY2" s="47"/>
      <c r="ITZ2" s="47"/>
      <c r="IUA2" s="47"/>
      <c r="IUB2" s="47"/>
      <c r="IUC2" s="47"/>
      <c r="IUD2" s="47"/>
      <c r="IUE2" s="47"/>
      <c r="IUF2" s="47"/>
      <c r="IUG2" s="47"/>
      <c r="IUH2" s="47"/>
      <c r="IUI2" s="47"/>
      <c r="IUJ2" s="47"/>
      <c r="IUK2" s="47"/>
      <c r="IUL2" s="47"/>
      <c r="IUM2" s="47"/>
      <c r="IUN2" s="47"/>
      <c r="IUO2" s="47"/>
      <c r="IUP2" s="47"/>
      <c r="IUQ2" s="47"/>
      <c r="IUR2" s="47"/>
      <c r="IUS2" s="47"/>
      <c r="IUT2" s="47"/>
      <c r="IUU2" s="47"/>
      <c r="IUV2" s="47"/>
      <c r="IUW2" s="47"/>
      <c r="IUX2" s="47"/>
      <c r="IUY2" s="47"/>
      <c r="IUZ2" s="47"/>
      <c r="IVA2" s="47"/>
      <c r="IVB2" s="47"/>
      <c r="IVC2" s="47"/>
      <c r="IVD2" s="47"/>
      <c r="IVE2" s="47"/>
      <c r="IVF2" s="47"/>
      <c r="IVG2" s="47"/>
      <c r="IVH2" s="47"/>
      <c r="IVI2" s="47"/>
      <c r="IVJ2" s="47"/>
      <c r="IVK2" s="47"/>
      <c r="IVL2" s="47"/>
      <c r="IVM2" s="47"/>
      <c r="IVN2" s="47"/>
      <c r="IVO2" s="47"/>
      <c r="IVP2" s="47"/>
      <c r="IVQ2" s="47"/>
      <c r="IVR2" s="47"/>
      <c r="IVS2" s="47"/>
      <c r="IVT2" s="47"/>
      <c r="IVU2" s="47"/>
      <c r="IVV2" s="47"/>
      <c r="IVW2" s="47"/>
      <c r="IVX2" s="47"/>
      <c r="IVY2" s="47"/>
      <c r="IVZ2" s="47"/>
      <c r="IWA2" s="47"/>
      <c r="IWB2" s="47"/>
      <c r="IWC2" s="47"/>
      <c r="IWD2" s="47"/>
      <c r="IWE2" s="47"/>
      <c r="IWF2" s="47"/>
      <c r="IWG2" s="47"/>
      <c r="IWH2" s="47"/>
      <c r="IWI2" s="47"/>
      <c r="IWJ2" s="47"/>
      <c r="IWK2" s="47"/>
      <c r="IWL2" s="47"/>
      <c r="IWM2" s="47"/>
      <c r="IWN2" s="47"/>
      <c r="IWO2" s="47"/>
      <c r="IWP2" s="47"/>
      <c r="IWQ2" s="47"/>
      <c r="IWR2" s="47"/>
      <c r="IWS2" s="47"/>
      <c r="IWT2" s="47"/>
      <c r="IWU2" s="47"/>
      <c r="IWV2" s="47"/>
      <c r="IWW2" s="47"/>
      <c r="IWX2" s="47"/>
      <c r="IWY2" s="47"/>
      <c r="IWZ2" s="47"/>
      <c r="IXA2" s="47"/>
      <c r="IXB2" s="47"/>
      <c r="IXC2" s="47"/>
      <c r="IXD2" s="47"/>
      <c r="IXE2" s="47"/>
      <c r="IXF2" s="47"/>
      <c r="IXG2" s="47"/>
      <c r="IXH2" s="47"/>
      <c r="IXI2" s="47"/>
      <c r="IXJ2" s="47"/>
      <c r="IXK2" s="47"/>
      <c r="IXL2" s="47"/>
      <c r="IXM2" s="47"/>
      <c r="IXN2" s="47"/>
      <c r="IXO2" s="47"/>
      <c r="IXP2" s="47"/>
      <c r="IXQ2" s="47"/>
      <c r="IXR2" s="47"/>
      <c r="IXS2" s="47"/>
      <c r="IXT2" s="47"/>
      <c r="IXU2" s="47"/>
      <c r="IXV2" s="47"/>
      <c r="IXW2" s="47"/>
      <c r="IXX2" s="47"/>
      <c r="IXY2" s="47"/>
      <c r="IXZ2" s="47"/>
      <c r="IYA2" s="47"/>
      <c r="IYB2" s="47"/>
      <c r="IYC2" s="47"/>
      <c r="IYD2" s="47"/>
      <c r="IYE2" s="47"/>
      <c r="IYF2" s="47"/>
      <c r="IYG2" s="47"/>
      <c r="IYH2" s="47"/>
      <c r="IYI2" s="47"/>
      <c r="IYJ2" s="47"/>
      <c r="IYK2" s="47"/>
      <c r="IYL2" s="47"/>
      <c r="IYM2" s="47"/>
      <c r="IYN2" s="47"/>
      <c r="IYO2" s="47"/>
      <c r="IYP2" s="47"/>
      <c r="IYQ2" s="47"/>
      <c r="IYR2" s="47"/>
      <c r="IYS2" s="47"/>
      <c r="IYT2" s="47"/>
      <c r="IYU2" s="47"/>
      <c r="IYV2" s="47"/>
      <c r="IYW2" s="47"/>
      <c r="IYX2" s="47"/>
      <c r="IYY2" s="47"/>
      <c r="IYZ2" s="47"/>
      <c r="IZA2" s="47"/>
      <c r="IZB2" s="47"/>
      <c r="IZC2" s="47"/>
      <c r="IZD2" s="47"/>
      <c r="IZE2" s="47"/>
      <c r="IZF2" s="47"/>
      <c r="IZG2" s="47"/>
      <c r="IZH2" s="47"/>
      <c r="IZI2" s="47"/>
      <c r="IZJ2" s="47"/>
      <c r="IZK2" s="47"/>
      <c r="IZL2" s="47"/>
      <c r="IZM2" s="47"/>
      <c r="IZN2" s="47"/>
      <c r="IZO2" s="47"/>
      <c r="IZP2" s="47"/>
      <c r="IZQ2" s="47"/>
      <c r="IZR2" s="47"/>
      <c r="IZS2" s="47"/>
      <c r="IZT2" s="47"/>
      <c r="IZU2" s="47"/>
      <c r="IZV2" s="47"/>
      <c r="IZW2" s="47"/>
      <c r="IZX2" s="47"/>
      <c r="IZY2" s="47"/>
      <c r="IZZ2" s="47"/>
      <c r="JAA2" s="47"/>
      <c r="JAB2" s="47"/>
      <c r="JAC2" s="47"/>
      <c r="JAD2" s="47"/>
      <c r="JAE2" s="47"/>
      <c r="JAF2" s="47"/>
      <c r="JAG2" s="47"/>
      <c r="JAH2" s="47"/>
      <c r="JAI2" s="47"/>
      <c r="JAJ2" s="47"/>
      <c r="JAK2" s="47"/>
      <c r="JAL2" s="47"/>
      <c r="JAM2" s="47"/>
      <c r="JAN2" s="47"/>
      <c r="JAO2" s="47"/>
      <c r="JAP2" s="47"/>
      <c r="JAQ2" s="47"/>
      <c r="JAR2" s="47"/>
      <c r="JAS2" s="47"/>
      <c r="JAT2" s="47"/>
      <c r="JAU2" s="47"/>
      <c r="JAV2" s="47"/>
      <c r="JAW2" s="47"/>
      <c r="JAX2" s="47"/>
      <c r="JAY2" s="47"/>
      <c r="JAZ2" s="47"/>
      <c r="JBA2" s="47"/>
      <c r="JBB2" s="47"/>
      <c r="JBC2" s="47"/>
      <c r="JBD2" s="47"/>
      <c r="JBE2" s="47"/>
      <c r="JBF2" s="47"/>
      <c r="JBG2" s="47"/>
      <c r="JBH2" s="47"/>
      <c r="JBI2" s="47"/>
      <c r="JBJ2" s="47"/>
      <c r="JBK2" s="47"/>
      <c r="JBL2" s="47"/>
      <c r="JBM2" s="47"/>
      <c r="JBN2" s="47"/>
      <c r="JBO2" s="47"/>
      <c r="JBP2" s="47"/>
      <c r="JBQ2" s="47"/>
      <c r="JBR2" s="47"/>
      <c r="JBS2" s="47"/>
      <c r="JBT2" s="47"/>
      <c r="JBU2" s="47"/>
      <c r="JBV2" s="47"/>
      <c r="JBW2" s="47"/>
      <c r="JBX2" s="47"/>
      <c r="JBY2" s="47"/>
      <c r="JBZ2" s="47"/>
      <c r="JCA2" s="47"/>
      <c r="JCB2" s="47"/>
      <c r="JCC2" s="47"/>
      <c r="JCD2" s="47"/>
      <c r="JCE2" s="47"/>
      <c r="JCF2" s="47"/>
      <c r="JCG2" s="47"/>
      <c r="JCH2" s="47"/>
      <c r="JCI2" s="47"/>
      <c r="JCJ2" s="47"/>
      <c r="JCK2" s="47"/>
      <c r="JCL2" s="47"/>
      <c r="JCM2" s="47"/>
      <c r="JCN2" s="47"/>
      <c r="JCO2" s="47"/>
      <c r="JCP2" s="47"/>
      <c r="JCQ2" s="47"/>
      <c r="JCR2" s="47"/>
      <c r="JCS2" s="47"/>
      <c r="JCT2" s="47"/>
      <c r="JCU2" s="47"/>
      <c r="JCV2" s="47"/>
      <c r="JCW2" s="47"/>
      <c r="JCX2" s="47"/>
      <c r="JCY2" s="47"/>
      <c r="JCZ2" s="47"/>
      <c r="JDA2" s="47"/>
      <c r="JDB2" s="47"/>
      <c r="JDC2" s="47"/>
      <c r="JDD2" s="47"/>
      <c r="JDE2" s="47"/>
      <c r="JDF2" s="47"/>
      <c r="JDG2" s="47"/>
      <c r="JDH2" s="47"/>
      <c r="JDI2" s="47"/>
      <c r="JDJ2" s="47"/>
      <c r="JDK2" s="47"/>
      <c r="JDL2" s="47"/>
      <c r="JDM2" s="47"/>
      <c r="JDN2" s="47"/>
      <c r="JDO2" s="47"/>
      <c r="JDP2" s="47"/>
      <c r="JDQ2" s="47"/>
      <c r="JDR2" s="47"/>
      <c r="JDS2" s="47"/>
      <c r="JDT2" s="47"/>
      <c r="JDU2" s="47"/>
      <c r="JDV2" s="47"/>
      <c r="JDW2" s="47"/>
      <c r="JDX2" s="47"/>
      <c r="JDY2" s="47"/>
      <c r="JDZ2" s="47"/>
      <c r="JEA2" s="47"/>
      <c r="JEB2" s="47"/>
      <c r="JEC2" s="47"/>
      <c r="JED2" s="47"/>
      <c r="JEE2" s="47"/>
      <c r="JEF2" s="47"/>
      <c r="JEG2" s="47"/>
      <c r="JEH2" s="47"/>
      <c r="JEI2" s="47"/>
      <c r="JEJ2" s="47"/>
      <c r="JEK2" s="47"/>
      <c r="JEL2" s="47"/>
      <c r="JEM2" s="47"/>
      <c r="JEN2" s="47"/>
      <c r="JEO2" s="47"/>
      <c r="JEP2" s="47"/>
      <c r="JEQ2" s="47"/>
      <c r="JER2" s="47"/>
      <c r="JES2" s="47"/>
      <c r="JET2" s="47"/>
      <c r="JEU2" s="47"/>
      <c r="JEV2" s="47"/>
      <c r="JEW2" s="47"/>
      <c r="JEX2" s="47"/>
      <c r="JEY2" s="47"/>
      <c r="JEZ2" s="47"/>
      <c r="JFA2" s="47"/>
      <c r="JFB2" s="47"/>
      <c r="JFC2" s="47"/>
      <c r="JFD2" s="47"/>
      <c r="JFE2" s="47"/>
      <c r="JFF2" s="47"/>
      <c r="JFG2" s="47"/>
      <c r="JFH2" s="47"/>
      <c r="JFI2" s="47"/>
      <c r="JFJ2" s="47"/>
      <c r="JFK2" s="47"/>
      <c r="JFL2" s="47"/>
      <c r="JFM2" s="47"/>
      <c r="JFN2" s="47"/>
      <c r="JFO2" s="47"/>
      <c r="JFP2" s="47"/>
      <c r="JFQ2" s="47"/>
      <c r="JFR2" s="47"/>
      <c r="JFS2" s="47"/>
      <c r="JFT2" s="47"/>
      <c r="JFU2" s="47"/>
      <c r="JFV2" s="47"/>
      <c r="JFW2" s="47"/>
      <c r="JFX2" s="47"/>
      <c r="JFY2" s="47"/>
      <c r="JFZ2" s="47"/>
      <c r="JGA2" s="47"/>
      <c r="JGB2" s="47"/>
      <c r="JGC2" s="47"/>
      <c r="JGD2" s="47"/>
      <c r="JGE2" s="47"/>
      <c r="JGF2" s="47"/>
      <c r="JGG2" s="47"/>
      <c r="JGH2" s="47"/>
      <c r="JGI2" s="47"/>
      <c r="JGJ2" s="47"/>
      <c r="JGK2" s="47"/>
      <c r="JGL2" s="47"/>
      <c r="JGM2" s="47"/>
      <c r="JGN2" s="47"/>
      <c r="JGO2" s="47"/>
      <c r="JGP2" s="47"/>
      <c r="JGQ2" s="47"/>
      <c r="JGR2" s="47"/>
      <c r="JGS2" s="47"/>
      <c r="JGT2" s="47"/>
      <c r="JGU2" s="47"/>
      <c r="JGV2" s="47"/>
      <c r="JGW2" s="47"/>
      <c r="JGX2" s="47"/>
      <c r="JGY2" s="47"/>
      <c r="JGZ2" s="47"/>
      <c r="JHA2" s="47"/>
      <c r="JHB2" s="47"/>
      <c r="JHC2" s="47"/>
      <c r="JHD2" s="47"/>
      <c r="JHE2" s="47"/>
      <c r="JHF2" s="47"/>
      <c r="JHG2" s="47"/>
      <c r="JHH2" s="47"/>
      <c r="JHI2" s="47"/>
      <c r="JHJ2" s="47"/>
      <c r="JHK2" s="47"/>
      <c r="JHL2" s="47"/>
      <c r="JHM2" s="47"/>
      <c r="JHN2" s="47"/>
      <c r="JHO2" s="47"/>
      <c r="JHP2" s="47"/>
      <c r="JHQ2" s="47"/>
      <c r="JHR2" s="47"/>
      <c r="JHS2" s="47"/>
      <c r="JHT2" s="47"/>
      <c r="JHU2" s="47"/>
      <c r="JHV2" s="47"/>
      <c r="JHW2" s="47"/>
      <c r="JHX2" s="47"/>
      <c r="JHY2" s="47"/>
      <c r="JHZ2" s="47"/>
      <c r="JIA2" s="47"/>
      <c r="JIB2" s="47"/>
      <c r="JIC2" s="47"/>
      <c r="JID2" s="47"/>
      <c r="JIE2" s="47"/>
      <c r="JIF2" s="47"/>
      <c r="JIG2" s="47"/>
      <c r="JIH2" s="47"/>
      <c r="JII2" s="47"/>
      <c r="JIJ2" s="47"/>
      <c r="JIK2" s="47"/>
      <c r="JIL2" s="47"/>
      <c r="JIM2" s="47"/>
      <c r="JIN2" s="47"/>
      <c r="JIO2" s="47"/>
      <c r="JIP2" s="47"/>
      <c r="JIQ2" s="47"/>
      <c r="JIR2" s="47"/>
      <c r="JIS2" s="47"/>
      <c r="JIT2" s="47"/>
      <c r="JIU2" s="47"/>
      <c r="JIV2" s="47"/>
      <c r="JIW2" s="47"/>
      <c r="JIX2" s="47"/>
      <c r="JIY2" s="47"/>
      <c r="JIZ2" s="47"/>
      <c r="JJA2" s="47"/>
      <c r="JJB2" s="47"/>
      <c r="JJC2" s="47"/>
      <c r="JJD2" s="47"/>
      <c r="JJE2" s="47"/>
      <c r="JJF2" s="47"/>
      <c r="JJG2" s="47"/>
      <c r="JJH2" s="47"/>
      <c r="JJI2" s="47"/>
      <c r="JJJ2" s="47"/>
      <c r="JJK2" s="47"/>
      <c r="JJL2" s="47"/>
      <c r="JJM2" s="47"/>
      <c r="JJN2" s="47"/>
      <c r="JJO2" s="47"/>
      <c r="JJP2" s="47"/>
      <c r="JJQ2" s="47"/>
      <c r="JJR2" s="47"/>
      <c r="JJS2" s="47"/>
      <c r="JJT2" s="47"/>
      <c r="JJU2" s="47"/>
      <c r="JJV2" s="47"/>
      <c r="JJW2" s="47"/>
      <c r="JJX2" s="47"/>
      <c r="JJY2" s="47"/>
      <c r="JJZ2" s="47"/>
      <c r="JKA2" s="47"/>
      <c r="JKB2" s="47"/>
      <c r="JKC2" s="47"/>
      <c r="JKD2" s="47"/>
      <c r="JKE2" s="47"/>
      <c r="JKF2" s="47"/>
      <c r="JKG2" s="47"/>
      <c r="JKH2" s="47"/>
      <c r="JKI2" s="47"/>
      <c r="JKJ2" s="47"/>
      <c r="JKK2" s="47"/>
      <c r="JKL2" s="47"/>
      <c r="JKM2" s="47"/>
      <c r="JKN2" s="47"/>
      <c r="JKO2" s="47"/>
      <c r="JKP2" s="47"/>
      <c r="JKQ2" s="47"/>
      <c r="JKR2" s="47"/>
      <c r="JKS2" s="47"/>
      <c r="JKT2" s="47"/>
      <c r="JKU2" s="47"/>
      <c r="JKV2" s="47"/>
      <c r="JKW2" s="47"/>
      <c r="JKX2" s="47"/>
      <c r="JKY2" s="47"/>
      <c r="JKZ2" s="47"/>
      <c r="JLA2" s="47"/>
      <c r="JLB2" s="47"/>
      <c r="JLC2" s="47"/>
      <c r="JLD2" s="47"/>
      <c r="JLE2" s="47"/>
      <c r="JLF2" s="47"/>
      <c r="JLG2" s="47"/>
      <c r="JLH2" s="47"/>
      <c r="JLI2" s="47"/>
      <c r="JLJ2" s="47"/>
      <c r="JLK2" s="47"/>
      <c r="JLL2" s="47"/>
      <c r="JLM2" s="47"/>
      <c r="JLN2" s="47"/>
      <c r="JLO2" s="47"/>
      <c r="JLP2" s="47"/>
      <c r="JLQ2" s="47"/>
      <c r="JLR2" s="47"/>
      <c r="JLS2" s="47"/>
      <c r="JLT2" s="47"/>
      <c r="JLU2" s="47"/>
      <c r="JLV2" s="47"/>
      <c r="JLW2" s="47"/>
      <c r="JLX2" s="47"/>
      <c r="JLY2" s="47"/>
      <c r="JLZ2" s="47"/>
      <c r="JMA2" s="47"/>
      <c r="JMB2" s="47"/>
      <c r="JMC2" s="47"/>
      <c r="JMD2" s="47"/>
      <c r="JME2" s="47"/>
      <c r="JMF2" s="47"/>
      <c r="JMG2" s="47"/>
      <c r="JMH2" s="47"/>
      <c r="JMI2" s="47"/>
      <c r="JMJ2" s="47"/>
      <c r="JMK2" s="47"/>
      <c r="JML2" s="47"/>
      <c r="JMM2" s="47"/>
      <c r="JMN2" s="47"/>
      <c r="JMO2" s="47"/>
      <c r="JMP2" s="47"/>
      <c r="JMQ2" s="47"/>
      <c r="JMR2" s="47"/>
      <c r="JMS2" s="47"/>
      <c r="JMT2" s="47"/>
      <c r="JMU2" s="47"/>
      <c r="JMV2" s="47"/>
      <c r="JMW2" s="47"/>
      <c r="JMX2" s="47"/>
      <c r="JMY2" s="47"/>
      <c r="JMZ2" s="47"/>
      <c r="JNA2" s="47"/>
      <c r="JNB2" s="47"/>
      <c r="JNC2" s="47"/>
      <c r="JND2" s="47"/>
      <c r="JNE2" s="47"/>
      <c r="JNF2" s="47"/>
      <c r="JNG2" s="47"/>
      <c r="JNH2" s="47"/>
      <c r="JNI2" s="47"/>
      <c r="JNJ2" s="47"/>
      <c r="JNK2" s="47"/>
      <c r="JNL2" s="47"/>
      <c r="JNM2" s="47"/>
      <c r="JNN2" s="47"/>
      <c r="JNO2" s="47"/>
      <c r="JNP2" s="47"/>
      <c r="JNQ2" s="47"/>
      <c r="JNR2" s="47"/>
      <c r="JNS2" s="47"/>
      <c r="JNT2" s="47"/>
      <c r="JNU2" s="47"/>
      <c r="JNV2" s="47"/>
      <c r="JNW2" s="47"/>
      <c r="JNX2" s="47"/>
      <c r="JNY2" s="47"/>
      <c r="JNZ2" s="47"/>
      <c r="JOA2" s="47"/>
      <c r="JOB2" s="47"/>
      <c r="JOC2" s="47"/>
      <c r="JOD2" s="47"/>
      <c r="JOE2" s="47"/>
      <c r="JOF2" s="47"/>
      <c r="JOG2" s="47"/>
      <c r="JOH2" s="47"/>
      <c r="JOI2" s="47"/>
      <c r="JOJ2" s="47"/>
      <c r="JOK2" s="47"/>
      <c r="JOL2" s="47"/>
      <c r="JOM2" s="47"/>
      <c r="JON2" s="47"/>
      <c r="JOO2" s="47"/>
      <c r="JOP2" s="47"/>
      <c r="JOQ2" s="47"/>
      <c r="JOR2" s="47"/>
      <c r="JOS2" s="47"/>
      <c r="JOT2" s="47"/>
      <c r="JOU2" s="47"/>
      <c r="JOV2" s="47"/>
      <c r="JOW2" s="47"/>
      <c r="JOX2" s="47"/>
      <c r="JOY2" s="47"/>
      <c r="JOZ2" s="47"/>
      <c r="JPA2" s="47"/>
      <c r="JPB2" s="47"/>
      <c r="JPC2" s="47"/>
      <c r="JPD2" s="47"/>
      <c r="JPE2" s="47"/>
      <c r="JPF2" s="47"/>
      <c r="JPG2" s="47"/>
      <c r="JPH2" s="47"/>
      <c r="JPI2" s="47"/>
      <c r="JPJ2" s="47"/>
      <c r="JPK2" s="47"/>
      <c r="JPL2" s="47"/>
      <c r="JPM2" s="47"/>
      <c r="JPN2" s="47"/>
      <c r="JPO2" s="47"/>
      <c r="JPP2" s="47"/>
      <c r="JPQ2" s="47"/>
      <c r="JPR2" s="47"/>
      <c r="JPS2" s="47"/>
      <c r="JPT2" s="47"/>
      <c r="JPU2" s="47"/>
      <c r="JPV2" s="47"/>
      <c r="JPW2" s="47"/>
      <c r="JPX2" s="47"/>
      <c r="JPY2" s="47"/>
      <c r="JPZ2" s="47"/>
      <c r="JQA2" s="47"/>
      <c r="JQB2" s="47"/>
      <c r="JQC2" s="47"/>
      <c r="JQD2" s="47"/>
      <c r="JQE2" s="47"/>
      <c r="JQF2" s="47"/>
      <c r="JQG2" s="47"/>
      <c r="JQH2" s="47"/>
      <c r="JQI2" s="47"/>
      <c r="JQJ2" s="47"/>
      <c r="JQK2" s="47"/>
      <c r="JQL2" s="47"/>
      <c r="JQM2" s="47"/>
      <c r="JQN2" s="47"/>
      <c r="JQO2" s="47"/>
      <c r="JQP2" s="47"/>
      <c r="JQQ2" s="47"/>
      <c r="JQR2" s="47"/>
      <c r="JQS2" s="47"/>
      <c r="JQT2" s="47"/>
      <c r="JQU2" s="47"/>
      <c r="JQV2" s="47"/>
      <c r="JQW2" s="47"/>
      <c r="JQX2" s="47"/>
      <c r="JQY2" s="47"/>
      <c r="JQZ2" s="47"/>
      <c r="JRA2" s="47"/>
      <c r="JRB2" s="47"/>
      <c r="JRC2" s="47"/>
      <c r="JRD2" s="47"/>
      <c r="JRE2" s="47"/>
      <c r="JRF2" s="47"/>
      <c r="JRG2" s="47"/>
      <c r="JRH2" s="47"/>
      <c r="JRI2" s="47"/>
      <c r="JRJ2" s="47"/>
      <c r="JRK2" s="47"/>
      <c r="JRL2" s="47"/>
      <c r="JRM2" s="47"/>
      <c r="JRN2" s="47"/>
      <c r="JRO2" s="47"/>
      <c r="JRP2" s="47"/>
      <c r="JRQ2" s="47"/>
      <c r="JRR2" s="47"/>
      <c r="JRS2" s="47"/>
      <c r="JRT2" s="47"/>
      <c r="JRU2" s="47"/>
      <c r="JRV2" s="47"/>
      <c r="JRW2" s="47"/>
      <c r="JRX2" s="47"/>
      <c r="JRY2" s="47"/>
      <c r="JRZ2" s="47"/>
      <c r="JSA2" s="47"/>
      <c r="JSB2" s="47"/>
      <c r="JSC2" s="47"/>
      <c r="JSD2" s="47"/>
      <c r="JSE2" s="47"/>
      <c r="JSF2" s="47"/>
      <c r="JSG2" s="47"/>
      <c r="JSH2" s="47"/>
      <c r="JSI2" s="47"/>
      <c r="JSJ2" s="47"/>
      <c r="JSK2" s="47"/>
      <c r="JSL2" s="47"/>
      <c r="JSM2" s="47"/>
      <c r="JSN2" s="47"/>
      <c r="JSO2" s="47"/>
      <c r="JSP2" s="47"/>
      <c r="JSQ2" s="47"/>
      <c r="JSR2" s="47"/>
      <c r="JSS2" s="47"/>
      <c r="JST2" s="47"/>
      <c r="JSU2" s="47"/>
      <c r="JSV2" s="47"/>
      <c r="JSW2" s="47"/>
      <c r="JSX2" s="47"/>
      <c r="JSY2" s="47"/>
      <c r="JSZ2" s="47"/>
      <c r="JTA2" s="47"/>
      <c r="JTB2" s="47"/>
      <c r="JTC2" s="47"/>
      <c r="JTD2" s="47"/>
      <c r="JTE2" s="47"/>
      <c r="JTF2" s="47"/>
      <c r="JTG2" s="47"/>
      <c r="JTH2" s="47"/>
      <c r="JTI2" s="47"/>
      <c r="JTJ2" s="47"/>
      <c r="JTK2" s="47"/>
      <c r="JTL2" s="47"/>
      <c r="JTM2" s="47"/>
      <c r="JTN2" s="47"/>
      <c r="JTO2" s="47"/>
      <c r="JTP2" s="47"/>
      <c r="JTQ2" s="47"/>
      <c r="JTR2" s="47"/>
      <c r="JTS2" s="47"/>
      <c r="JTT2" s="47"/>
      <c r="JTU2" s="47"/>
      <c r="JTV2" s="47"/>
      <c r="JTW2" s="47"/>
      <c r="JTX2" s="47"/>
      <c r="JTY2" s="47"/>
      <c r="JTZ2" s="47"/>
      <c r="JUA2" s="47"/>
      <c r="JUB2" s="47"/>
      <c r="JUC2" s="47"/>
      <c r="JUD2" s="47"/>
      <c r="JUE2" s="47"/>
      <c r="JUF2" s="47"/>
      <c r="JUG2" s="47"/>
      <c r="JUH2" s="47"/>
      <c r="JUI2" s="47"/>
      <c r="JUJ2" s="47"/>
      <c r="JUK2" s="47"/>
      <c r="JUL2" s="47"/>
      <c r="JUM2" s="47"/>
      <c r="JUN2" s="47"/>
      <c r="JUO2" s="47"/>
      <c r="JUP2" s="47"/>
      <c r="JUQ2" s="47"/>
      <c r="JUR2" s="47"/>
      <c r="JUS2" s="47"/>
      <c r="JUT2" s="47"/>
      <c r="JUU2" s="47"/>
      <c r="JUV2" s="47"/>
      <c r="JUW2" s="47"/>
      <c r="JUX2" s="47"/>
      <c r="JUY2" s="47"/>
      <c r="JUZ2" s="47"/>
      <c r="JVA2" s="47"/>
      <c r="JVB2" s="47"/>
      <c r="JVC2" s="47"/>
      <c r="JVD2" s="47"/>
      <c r="JVE2" s="47"/>
      <c r="JVF2" s="47"/>
      <c r="JVG2" s="47"/>
      <c r="JVH2" s="47"/>
      <c r="JVI2" s="47"/>
      <c r="JVJ2" s="47"/>
      <c r="JVK2" s="47"/>
      <c r="JVL2" s="47"/>
      <c r="JVM2" s="47"/>
      <c r="JVN2" s="47"/>
      <c r="JVO2" s="47"/>
      <c r="JVP2" s="47"/>
      <c r="JVQ2" s="47"/>
      <c r="JVR2" s="47"/>
      <c r="JVS2" s="47"/>
      <c r="JVT2" s="47"/>
      <c r="JVU2" s="47"/>
      <c r="JVV2" s="47"/>
      <c r="JVW2" s="47"/>
      <c r="JVX2" s="47"/>
      <c r="JVY2" s="47"/>
      <c r="JVZ2" s="47"/>
      <c r="JWA2" s="47"/>
      <c r="JWB2" s="47"/>
      <c r="JWC2" s="47"/>
      <c r="JWD2" s="47"/>
      <c r="JWE2" s="47"/>
      <c r="JWF2" s="47"/>
      <c r="JWG2" s="47"/>
      <c r="JWH2" s="47"/>
      <c r="JWI2" s="47"/>
      <c r="JWJ2" s="47"/>
      <c r="JWK2" s="47"/>
      <c r="JWL2" s="47"/>
      <c r="JWM2" s="47"/>
      <c r="JWN2" s="47"/>
      <c r="JWO2" s="47"/>
      <c r="JWP2" s="47"/>
      <c r="JWQ2" s="47"/>
      <c r="JWR2" s="47"/>
      <c r="JWS2" s="47"/>
      <c r="JWT2" s="47"/>
      <c r="JWU2" s="47"/>
      <c r="JWV2" s="47"/>
      <c r="JWW2" s="47"/>
      <c r="JWX2" s="47"/>
      <c r="JWY2" s="47"/>
      <c r="JWZ2" s="47"/>
      <c r="JXA2" s="47"/>
      <c r="JXB2" s="47"/>
      <c r="JXC2" s="47"/>
      <c r="JXD2" s="47"/>
      <c r="JXE2" s="47"/>
      <c r="JXF2" s="47"/>
      <c r="JXG2" s="47"/>
      <c r="JXH2" s="47"/>
      <c r="JXI2" s="47"/>
      <c r="JXJ2" s="47"/>
      <c r="JXK2" s="47"/>
      <c r="JXL2" s="47"/>
      <c r="JXM2" s="47"/>
      <c r="JXN2" s="47"/>
      <c r="JXO2" s="47"/>
      <c r="JXP2" s="47"/>
      <c r="JXQ2" s="47"/>
      <c r="JXR2" s="47"/>
      <c r="JXS2" s="47"/>
      <c r="JXT2" s="47"/>
      <c r="JXU2" s="47"/>
      <c r="JXV2" s="47"/>
      <c r="JXW2" s="47"/>
      <c r="JXX2" s="47"/>
      <c r="JXY2" s="47"/>
      <c r="JXZ2" s="47"/>
      <c r="JYA2" s="47"/>
      <c r="JYB2" s="47"/>
      <c r="JYC2" s="47"/>
      <c r="JYD2" s="47"/>
      <c r="JYE2" s="47"/>
      <c r="JYF2" s="47"/>
      <c r="JYG2" s="47"/>
      <c r="JYH2" s="47"/>
      <c r="JYI2" s="47"/>
      <c r="JYJ2" s="47"/>
      <c r="JYK2" s="47"/>
      <c r="JYL2" s="47"/>
      <c r="JYM2" s="47"/>
      <c r="JYN2" s="47"/>
      <c r="JYO2" s="47"/>
      <c r="JYP2" s="47"/>
      <c r="JYQ2" s="47"/>
      <c r="JYR2" s="47"/>
      <c r="JYS2" s="47"/>
      <c r="JYT2" s="47"/>
      <c r="JYU2" s="47"/>
      <c r="JYV2" s="47"/>
      <c r="JYW2" s="47"/>
      <c r="JYX2" s="47"/>
      <c r="JYY2" s="47"/>
      <c r="JYZ2" s="47"/>
      <c r="JZA2" s="47"/>
      <c r="JZB2" s="47"/>
      <c r="JZC2" s="47"/>
      <c r="JZD2" s="47"/>
      <c r="JZE2" s="47"/>
      <c r="JZF2" s="47"/>
      <c r="JZG2" s="47"/>
      <c r="JZH2" s="47"/>
      <c r="JZI2" s="47"/>
      <c r="JZJ2" s="47"/>
      <c r="JZK2" s="47"/>
      <c r="JZL2" s="47"/>
      <c r="JZM2" s="47"/>
      <c r="JZN2" s="47"/>
      <c r="JZO2" s="47"/>
      <c r="JZP2" s="47"/>
      <c r="JZQ2" s="47"/>
      <c r="JZR2" s="47"/>
      <c r="JZS2" s="47"/>
      <c r="JZT2" s="47"/>
      <c r="JZU2" s="47"/>
      <c r="JZV2" s="47"/>
      <c r="JZW2" s="47"/>
      <c r="JZX2" s="47"/>
      <c r="JZY2" s="47"/>
      <c r="JZZ2" s="47"/>
      <c r="KAA2" s="47"/>
      <c r="KAB2" s="47"/>
      <c r="KAC2" s="47"/>
      <c r="KAD2" s="47"/>
      <c r="KAE2" s="47"/>
      <c r="KAF2" s="47"/>
      <c r="KAG2" s="47"/>
      <c r="KAH2" s="47"/>
      <c r="KAI2" s="47"/>
      <c r="KAJ2" s="47"/>
      <c r="KAK2" s="47"/>
      <c r="KAL2" s="47"/>
      <c r="KAM2" s="47"/>
      <c r="KAN2" s="47"/>
      <c r="KAO2" s="47"/>
      <c r="KAP2" s="47"/>
      <c r="KAQ2" s="47"/>
      <c r="KAR2" s="47"/>
      <c r="KAS2" s="47"/>
      <c r="KAT2" s="47"/>
      <c r="KAU2" s="47"/>
      <c r="KAV2" s="47"/>
      <c r="KAW2" s="47"/>
      <c r="KAX2" s="47"/>
      <c r="KAY2" s="47"/>
      <c r="KAZ2" s="47"/>
      <c r="KBA2" s="47"/>
      <c r="KBB2" s="47"/>
      <c r="KBC2" s="47"/>
      <c r="KBD2" s="47"/>
      <c r="KBE2" s="47"/>
      <c r="KBF2" s="47"/>
      <c r="KBG2" s="47"/>
      <c r="KBH2" s="47"/>
      <c r="KBI2" s="47"/>
      <c r="KBJ2" s="47"/>
      <c r="KBK2" s="47"/>
      <c r="KBL2" s="47"/>
      <c r="KBM2" s="47"/>
      <c r="KBN2" s="47"/>
      <c r="KBO2" s="47"/>
      <c r="KBP2" s="47"/>
      <c r="KBQ2" s="47"/>
      <c r="KBR2" s="47"/>
      <c r="KBS2" s="47"/>
      <c r="KBT2" s="47"/>
      <c r="KBU2" s="47"/>
      <c r="KBV2" s="47"/>
      <c r="KBW2" s="47"/>
      <c r="KBX2" s="47"/>
      <c r="KBY2" s="47"/>
      <c r="KBZ2" s="47"/>
      <c r="KCA2" s="47"/>
      <c r="KCB2" s="47"/>
      <c r="KCC2" s="47"/>
      <c r="KCD2" s="47"/>
      <c r="KCE2" s="47"/>
      <c r="KCF2" s="47"/>
      <c r="KCG2" s="47"/>
      <c r="KCH2" s="47"/>
      <c r="KCI2" s="47"/>
      <c r="KCJ2" s="47"/>
      <c r="KCK2" s="47"/>
      <c r="KCL2" s="47"/>
      <c r="KCM2" s="47"/>
      <c r="KCN2" s="47"/>
      <c r="KCO2" s="47"/>
      <c r="KCP2" s="47"/>
      <c r="KCQ2" s="47"/>
      <c r="KCR2" s="47"/>
      <c r="KCS2" s="47"/>
      <c r="KCT2" s="47"/>
      <c r="KCU2" s="47"/>
      <c r="KCV2" s="47"/>
      <c r="KCW2" s="47"/>
      <c r="KCX2" s="47"/>
      <c r="KCY2" s="47"/>
      <c r="KCZ2" s="47"/>
      <c r="KDA2" s="47"/>
      <c r="KDB2" s="47"/>
      <c r="KDC2" s="47"/>
      <c r="KDD2" s="47"/>
      <c r="KDE2" s="47"/>
      <c r="KDF2" s="47"/>
      <c r="KDG2" s="47"/>
      <c r="KDH2" s="47"/>
      <c r="KDI2" s="47"/>
      <c r="KDJ2" s="47"/>
      <c r="KDK2" s="47"/>
      <c r="KDL2" s="47"/>
      <c r="KDM2" s="47"/>
      <c r="KDN2" s="47"/>
      <c r="KDO2" s="47"/>
      <c r="KDP2" s="47"/>
      <c r="KDQ2" s="47"/>
      <c r="KDR2" s="47"/>
      <c r="KDS2" s="47"/>
      <c r="KDT2" s="47"/>
      <c r="KDU2" s="47"/>
      <c r="KDV2" s="47"/>
      <c r="KDW2" s="47"/>
      <c r="KDX2" s="47"/>
      <c r="KDY2" s="47"/>
      <c r="KDZ2" s="47"/>
      <c r="KEA2" s="47"/>
      <c r="KEB2" s="47"/>
      <c r="KEC2" s="47"/>
      <c r="KED2" s="47"/>
      <c r="KEE2" s="47"/>
      <c r="KEF2" s="47"/>
      <c r="KEG2" s="47"/>
      <c r="KEH2" s="47"/>
      <c r="KEI2" s="47"/>
      <c r="KEJ2" s="47"/>
      <c r="KEK2" s="47"/>
      <c r="KEL2" s="47"/>
      <c r="KEM2" s="47"/>
      <c r="KEN2" s="47"/>
      <c r="KEO2" s="47"/>
      <c r="KEP2" s="47"/>
      <c r="KEQ2" s="47"/>
      <c r="KER2" s="47"/>
      <c r="KES2" s="47"/>
      <c r="KET2" s="47"/>
      <c r="KEU2" s="47"/>
      <c r="KEV2" s="47"/>
      <c r="KEW2" s="47"/>
      <c r="KEX2" s="47"/>
      <c r="KEY2" s="47"/>
      <c r="KEZ2" s="47"/>
      <c r="KFA2" s="47"/>
      <c r="KFB2" s="47"/>
      <c r="KFC2" s="47"/>
      <c r="KFD2" s="47"/>
      <c r="KFE2" s="47"/>
      <c r="KFF2" s="47"/>
      <c r="KFG2" s="47"/>
      <c r="KFH2" s="47"/>
      <c r="KFI2" s="47"/>
      <c r="KFJ2" s="47"/>
      <c r="KFK2" s="47"/>
      <c r="KFL2" s="47"/>
      <c r="KFM2" s="47"/>
      <c r="KFN2" s="47"/>
      <c r="KFO2" s="47"/>
      <c r="KFP2" s="47"/>
      <c r="KFQ2" s="47"/>
      <c r="KFR2" s="47"/>
      <c r="KFS2" s="47"/>
      <c r="KFT2" s="47"/>
      <c r="KFU2" s="47"/>
      <c r="KFV2" s="47"/>
      <c r="KFW2" s="47"/>
      <c r="KFX2" s="47"/>
      <c r="KFY2" s="47"/>
      <c r="KFZ2" s="47"/>
      <c r="KGA2" s="47"/>
      <c r="KGB2" s="47"/>
      <c r="KGC2" s="47"/>
      <c r="KGD2" s="47"/>
      <c r="KGE2" s="47"/>
      <c r="KGF2" s="47"/>
      <c r="KGG2" s="47"/>
      <c r="KGH2" s="47"/>
      <c r="KGI2" s="47"/>
      <c r="KGJ2" s="47"/>
      <c r="KGK2" s="47"/>
      <c r="KGL2" s="47"/>
      <c r="KGM2" s="47"/>
      <c r="KGN2" s="47"/>
      <c r="KGO2" s="47"/>
      <c r="KGP2" s="47"/>
      <c r="KGQ2" s="47"/>
      <c r="KGR2" s="47"/>
      <c r="KGS2" s="47"/>
      <c r="KGT2" s="47"/>
      <c r="KGU2" s="47"/>
      <c r="KGV2" s="47"/>
      <c r="KGW2" s="47"/>
      <c r="KGX2" s="47"/>
      <c r="KGY2" s="47"/>
      <c r="KGZ2" s="47"/>
      <c r="KHA2" s="47"/>
      <c r="KHB2" s="47"/>
      <c r="KHC2" s="47"/>
      <c r="KHD2" s="47"/>
      <c r="KHE2" s="47"/>
      <c r="KHF2" s="47"/>
      <c r="KHG2" s="47"/>
      <c r="KHH2" s="47"/>
      <c r="KHI2" s="47"/>
      <c r="KHJ2" s="47"/>
      <c r="KHK2" s="47"/>
      <c r="KHL2" s="47"/>
      <c r="KHM2" s="47"/>
      <c r="KHN2" s="47"/>
      <c r="KHO2" s="47"/>
      <c r="KHP2" s="47"/>
      <c r="KHQ2" s="47"/>
      <c r="KHR2" s="47"/>
      <c r="KHS2" s="47"/>
      <c r="KHT2" s="47"/>
      <c r="KHU2" s="47"/>
      <c r="KHV2" s="47"/>
      <c r="KHW2" s="47"/>
      <c r="KHX2" s="47"/>
      <c r="KHY2" s="47"/>
      <c r="KHZ2" s="47"/>
      <c r="KIA2" s="47"/>
      <c r="KIB2" s="47"/>
      <c r="KIC2" s="47"/>
      <c r="KID2" s="47"/>
      <c r="KIE2" s="47"/>
      <c r="KIF2" s="47"/>
      <c r="KIG2" s="47"/>
      <c r="KIH2" s="47"/>
      <c r="KII2" s="47"/>
      <c r="KIJ2" s="47"/>
      <c r="KIK2" s="47"/>
      <c r="KIL2" s="47"/>
      <c r="KIM2" s="47"/>
      <c r="KIN2" s="47"/>
      <c r="KIO2" s="47"/>
      <c r="KIP2" s="47"/>
      <c r="KIQ2" s="47"/>
      <c r="KIR2" s="47"/>
      <c r="KIS2" s="47"/>
      <c r="KIT2" s="47"/>
      <c r="KIU2" s="47"/>
      <c r="KIV2" s="47"/>
      <c r="KIW2" s="47"/>
      <c r="KIX2" s="47"/>
      <c r="KIY2" s="47"/>
      <c r="KIZ2" s="47"/>
      <c r="KJA2" s="47"/>
      <c r="KJB2" s="47"/>
      <c r="KJC2" s="47"/>
      <c r="KJD2" s="47"/>
      <c r="KJE2" s="47"/>
      <c r="KJF2" s="47"/>
      <c r="KJG2" s="47"/>
      <c r="KJH2" s="47"/>
      <c r="KJI2" s="47"/>
      <c r="KJJ2" s="47"/>
      <c r="KJK2" s="47"/>
      <c r="KJL2" s="47"/>
      <c r="KJM2" s="47"/>
      <c r="KJN2" s="47"/>
      <c r="KJO2" s="47"/>
      <c r="KJP2" s="47"/>
      <c r="KJQ2" s="47"/>
      <c r="KJR2" s="47"/>
      <c r="KJS2" s="47"/>
      <c r="KJT2" s="47"/>
      <c r="KJU2" s="47"/>
      <c r="KJV2" s="47"/>
      <c r="KJW2" s="47"/>
      <c r="KJX2" s="47"/>
      <c r="KJY2" s="47"/>
      <c r="KJZ2" s="47"/>
      <c r="KKA2" s="47"/>
      <c r="KKB2" s="47"/>
      <c r="KKC2" s="47"/>
      <c r="KKD2" s="47"/>
      <c r="KKE2" s="47"/>
      <c r="KKF2" s="47"/>
      <c r="KKG2" s="47"/>
      <c r="KKH2" s="47"/>
      <c r="KKI2" s="47"/>
      <c r="KKJ2" s="47"/>
      <c r="KKK2" s="47"/>
      <c r="KKL2" s="47"/>
      <c r="KKM2" s="47"/>
      <c r="KKN2" s="47"/>
      <c r="KKO2" s="47"/>
      <c r="KKP2" s="47"/>
      <c r="KKQ2" s="47"/>
      <c r="KKR2" s="47"/>
      <c r="KKS2" s="47"/>
      <c r="KKT2" s="47"/>
      <c r="KKU2" s="47"/>
      <c r="KKV2" s="47"/>
      <c r="KKW2" s="47"/>
      <c r="KKX2" s="47"/>
      <c r="KKY2" s="47"/>
      <c r="KKZ2" s="47"/>
      <c r="KLA2" s="47"/>
      <c r="KLB2" s="47"/>
      <c r="KLC2" s="47"/>
      <c r="KLD2" s="47"/>
      <c r="KLE2" s="47"/>
      <c r="KLF2" s="47"/>
      <c r="KLG2" s="47"/>
      <c r="KLH2" s="47"/>
      <c r="KLI2" s="47"/>
      <c r="KLJ2" s="47"/>
      <c r="KLK2" s="47"/>
      <c r="KLL2" s="47"/>
      <c r="KLM2" s="47"/>
      <c r="KLN2" s="47"/>
      <c r="KLO2" s="47"/>
      <c r="KLP2" s="47"/>
      <c r="KLQ2" s="47"/>
      <c r="KLR2" s="47"/>
      <c r="KLS2" s="47"/>
      <c r="KLT2" s="47"/>
      <c r="KLU2" s="47"/>
      <c r="KLV2" s="47"/>
      <c r="KLW2" s="47"/>
      <c r="KLX2" s="47"/>
      <c r="KLY2" s="47"/>
      <c r="KLZ2" s="47"/>
      <c r="KMA2" s="47"/>
      <c r="KMB2" s="47"/>
      <c r="KMC2" s="47"/>
      <c r="KMD2" s="47"/>
      <c r="KME2" s="47"/>
      <c r="KMF2" s="47"/>
      <c r="KMG2" s="47"/>
      <c r="KMH2" s="47"/>
      <c r="KMI2" s="47"/>
      <c r="KMJ2" s="47"/>
      <c r="KMK2" s="47"/>
      <c r="KML2" s="47"/>
      <c r="KMM2" s="47"/>
      <c r="KMN2" s="47"/>
      <c r="KMO2" s="47"/>
      <c r="KMP2" s="47"/>
      <c r="KMQ2" s="47"/>
      <c r="KMR2" s="47"/>
      <c r="KMS2" s="47"/>
      <c r="KMT2" s="47"/>
      <c r="KMU2" s="47"/>
      <c r="KMV2" s="47"/>
      <c r="KMW2" s="47"/>
      <c r="KMX2" s="47"/>
      <c r="KMY2" s="47"/>
      <c r="KMZ2" s="47"/>
      <c r="KNA2" s="47"/>
      <c r="KNB2" s="47"/>
      <c r="KNC2" s="47"/>
      <c r="KND2" s="47"/>
      <c r="KNE2" s="47"/>
      <c r="KNF2" s="47"/>
      <c r="KNG2" s="47"/>
      <c r="KNH2" s="47"/>
      <c r="KNI2" s="47"/>
      <c r="KNJ2" s="47"/>
      <c r="KNK2" s="47"/>
      <c r="KNL2" s="47"/>
      <c r="KNM2" s="47"/>
      <c r="KNN2" s="47"/>
      <c r="KNO2" s="47"/>
      <c r="KNP2" s="47"/>
      <c r="KNQ2" s="47"/>
      <c r="KNR2" s="47"/>
      <c r="KNS2" s="47"/>
      <c r="KNT2" s="47"/>
      <c r="KNU2" s="47"/>
      <c r="KNV2" s="47"/>
      <c r="KNW2" s="47"/>
      <c r="KNX2" s="47"/>
      <c r="KNY2" s="47"/>
      <c r="KNZ2" s="47"/>
      <c r="KOA2" s="47"/>
      <c r="KOB2" s="47"/>
      <c r="KOC2" s="47"/>
      <c r="KOD2" s="47"/>
      <c r="KOE2" s="47"/>
      <c r="KOF2" s="47"/>
      <c r="KOG2" s="47"/>
      <c r="KOH2" s="47"/>
      <c r="KOI2" s="47"/>
      <c r="KOJ2" s="47"/>
      <c r="KOK2" s="47"/>
      <c r="KOL2" s="47"/>
      <c r="KOM2" s="47"/>
      <c r="KON2" s="47"/>
      <c r="KOO2" s="47"/>
      <c r="KOP2" s="47"/>
      <c r="KOQ2" s="47"/>
      <c r="KOR2" s="47"/>
      <c r="KOS2" s="47"/>
      <c r="KOT2" s="47"/>
      <c r="KOU2" s="47"/>
      <c r="KOV2" s="47"/>
      <c r="KOW2" s="47"/>
      <c r="KOX2" s="47"/>
      <c r="KOY2" s="47"/>
      <c r="KOZ2" s="47"/>
      <c r="KPA2" s="47"/>
      <c r="KPB2" s="47"/>
      <c r="KPC2" s="47"/>
      <c r="KPD2" s="47"/>
      <c r="KPE2" s="47"/>
      <c r="KPF2" s="47"/>
      <c r="KPG2" s="47"/>
      <c r="KPH2" s="47"/>
      <c r="KPI2" s="47"/>
      <c r="KPJ2" s="47"/>
      <c r="KPK2" s="47"/>
      <c r="KPL2" s="47"/>
      <c r="KPM2" s="47"/>
      <c r="KPN2" s="47"/>
      <c r="KPO2" s="47"/>
      <c r="KPP2" s="47"/>
      <c r="KPQ2" s="47"/>
      <c r="KPR2" s="47"/>
      <c r="KPS2" s="47"/>
      <c r="KPT2" s="47"/>
      <c r="KPU2" s="47"/>
      <c r="KPV2" s="47"/>
      <c r="KPW2" s="47"/>
      <c r="KPX2" s="47"/>
      <c r="KPY2" s="47"/>
      <c r="KPZ2" s="47"/>
      <c r="KQA2" s="47"/>
      <c r="KQB2" s="47"/>
      <c r="KQC2" s="47"/>
      <c r="KQD2" s="47"/>
      <c r="KQE2" s="47"/>
      <c r="KQF2" s="47"/>
      <c r="KQG2" s="47"/>
      <c r="KQH2" s="47"/>
      <c r="KQI2" s="47"/>
      <c r="KQJ2" s="47"/>
      <c r="KQK2" s="47"/>
      <c r="KQL2" s="47"/>
      <c r="KQM2" s="47"/>
      <c r="KQN2" s="47"/>
      <c r="KQO2" s="47"/>
      <c r="KQP2" s="47"/>
      <c r="KQQ2" s="47"/>
      <c r="KQR2" s="47"/>
      <c r="KQS2" s="47"/>
      <c r="KQT2" s="47"/>
      <c r="KQU2" s="47"/>
      <c r="KQV2" s="47"/>
      <c r="KQW2" s="47"/>
      <c r="KQX2" s="47"/>
      <c r="KQY2" s="47"/>
      <c r="KQZ2" s="47"/>
      <c r="KRA2" s="47"/>
      <c r="KRB2" s="47"/>
      <c r="KRC2" s="47"/>
      <c r="KRD2" s="47"/>
      <c r="KRE2" s="47"/>
      <c r="KRF2" s="47"/>
      <c r="KRG2" s="47"/>
      <c r="KRH2" s="47"/>
      <c r="KRI2" s="47"/>
      <c r="KRJ2" s="47"/>
      <c r="KRK2" s="47"/>
      <c r="KRL2" s="47"/>
      <c r="KRM2" s="47"/>
      <c r="KRN2" s="47"/>
      <c r="KRO2" s="47"/>
      <c r="KRP2" s="47"/>
      <c r="KRQ2" s="47"/>
      <c r="KRR2" s="47"/>
      <c r="KRS2" s="47"/>
      <c r="KRT2" s="47"/>
      <c r="KRU2" s="47"/>
      <c r="KRV2" s="47"/>
      <c r="KRW2" s="47"/>
      <c r="KRX2" s="47"/>
      <c r="KRY2" s="47"/>
      <c r="KRZ2" s="47"/>
      <c r="KSA2" s="47"/>
      <c r="KSB2" s="47"/>
      <c r="KSC2" s="47"/>
      <c r="KSD2" s="47"/>
      <c r="KSE2" s="47"/>
      <c r="KSF2" s="47"/>
      <c r="KSG2" s="47"/>
      <c r="KSH2" s="47"/>
      <c r="KSI2" s="47"/>
      <c r="KSJ2" s="47"/>
      <c r="KSK2" s="47"/>
      <c r="KSL2" s="47"/>
      <c r="KSM2" s="47"/>
      <c r="KSN2" s="47"/>
      <c r="KSO2" s="47"/>
      <c r="KSP2" s="47"/>
      <c r="KSQ2" s="47"/>
      <c r="KSR2" s="47"/>
      <c r="KSS2" s="47"/>
      <c r="KST2" s="47"/>
      <c r="KSU2" s="47"/>
      <c r="KSV2" s="47"/>
      <c r="KSW2" s="47"/>
      <c r="KSX2" s="47"/>
      <c r="KSY2" s="47"/>
      <c r="KSZ2" s="47"/>
      <c r="KTA2" s="47"/>
      <c r="KTB2" s="47"/>
      <c r="KTC2" s="47"/>
      <c r="KTD2" s="47"/>
      <c r="KTE2" s="47"/>
      <c r="KTF2" s="47"/>
      <c r="KTG2" s="47"/>
      <c r="KTH2" s="47"/>
      <c r="KTI2" s="47"/>
      <c r="KTJ2" s="47"/>
      <c r="KTK2" s="47"/>
      <c r="KTL2" s="47"/>
      <c r="KTM2" s="47"/>
      <c r="KTN2" s="47"/>
      <c r="KTO2" s="47"/>
      <c r="KTP2" s="47"/>
      <c r="KTQ2" s="47"/>
      <c r="KTR2" s="47"/>
      <c r="KTS2" s="47"/>
      <c r="KTT2" s="47"/>
      <c r="KTU2" s="47"/>
      <c r="KTV2" s="47"/>
      <c r="KTW2" s="47"/>
      <c r="KTX2" s="47"/>
      <c r="KTY2" s="47"/>
      <c r="KTZ2" s="47"/>
      <c r="KUA2" s="47"/>
      <c r="KUB2" s="47"/>
      <c r="KUC2" s="47"/>
      <c r="KUD2" s="47"/>
      <c r="KUE2" s="47"/>
      <c r="KUF2" s="47"/>
      <c r="KUG2" s="47"/>
      <c r="KUH2" s="47"/>
      <c r="KUI2" s="47"/>
      <c r="KUJ2" s="47"/>
      <c r="KUK2" s="47"/>
      <c r="KUL2" s="47"/>
      <c r="KUM2" s="47"/>
      <c r="KUN2" s="47"/>
      <c r="KUO2" s="47"/>
      <c r="KUP2" s="47"/>
      <c r="KUQ2" s="47"/>
      <c r="KUR2" s="47"/>
      <c r="KUS2" s="47"/>
      <c r="KUT2" s="47"/>
      <c r="KUU2" s="47"/>
      <c r="KUV2" s="47"/>
      <c r="KUW2" s="47"/>
      <c r="KUX2" s="47"/>
      <c r="KUY2" s="47"/>
      <c r="KUZ2" s="47"/>
      <c r="KVA2" s="47"/>
      <c r="KVB2" s="47"/>
      <c r="KVC2" s="47"/>
      <c r="KVD2" s="47"/>
      <c r="KVE2" s="47"/>
      <c r="KVF2" s="47"/>
      <c r="KVG2" s="47"/>
      <c r="KVH2" s="47"/>
      <c r="KVI2" s="47"/>
      <c r="KVJ2" s="47"/>
      <c r="KVK2" s="47"/>
      <c r="KVL2" s="47"/>
      <c r="KVM2" s="47"/>
      <c r="KVN2" s="47"/>
      <c r="KVO2" s="47"/>
      <c r="KVP2" s="47"/>
      <c r="KVQ2" s="47"/>
      <c r="KVR2" s="47"/>
      <c r="KVS2" s="47"/>
      <c r="KVT2" s="47"/>
      <c r="KVU2" s="47"/>
      <c r="KVV2" s="47"/>
      <c r="KVW2" s="47"/>
      <c r="KVX2" s="47"/>
      <c r="KVY2" s="47"/>
      <c r="KVZ2" s="47"/>
      <c r="KWA2" s="47"/>
      <c r="KWB2" s="47"/>
      <c r="KWC2" s="47"/>
      <c r="KWD2" s="47"/>
      <c r="KWE2" s="47"/>
      <c r="KWF2" s="47"/>
      <c r="KWG2" s="47"/>
      <c r="KWH2" s="47"/>
      <c r="KWI2" s="47"/>
      <c r="KWJ2" s="47"/>
      <c r="KWK2" s="47"/>
      <c r="KWL2" s="47"/>
      <c r="KWM2" s="47"/>
      <c r="KWN2" s="47"/>
      <c r="KWO2" s="47"/>
      <c r="KWP2" s="47"/>
      <c r="KWQ2" s="47"/>
      <c r="KWR2" s="47"/>
      <c r="KWS2" s="47"/>
      <c r="KWT2" s="47"/>
      <c r="KWU2" s="47"/>
      <c r="KWV2" s="47"/>
      <c r="KWW2" s="47"/>
      <c r="KWX2" s="47"/>
      <c r="KWY2" s="47"/>
      <c r="KWZ2" s="47"/>
      <c r="KXA2" s="47"/>
      <c r="KXB2" s="47"/>
      <c r="KXC2" s="47"/>
      <c r="KXD2" s="47"/>
      <c r="KXE2" s="47"/>
      <c r="KXF2" s="47"/>
      <c r="KXG2" s="47"/>
      <c r="KXH2" s="47"/>
      <c r="KXI2" s="47"/>
      <c r="KXJ2" s="47"/>
      <c r="KXK2" s="47"/>
      <c r="KXL2" s="47"/>
      <c r="KXM2" s="47"/>
      <c r="KXN2" s="47"/>
      <c r="KXO2" s="47"/>
      <c r="KXP2" s="47"/>
      <c r="KXQ2" s="47"/>
      <c r="KXR2" s="47"/>
      <c r="KXS2" s="47"/>
      <c r="KXT2" s="47"/>
      <c r="KXU2" s="47"/>
      <c r="KXV2" s="47"/>
      <c r="KXW2" s="47"/>
      <c r="KXX2" s="47"/>
      <c r="KXY2" s="47"/>
      <c r="KXZ2" s="47"/>
      <c r="KYA2" s="47"/>
      <c r="KYB2" s="47"/>
      <c r="KYC2" s="47"/>
      <c r="KYD2" s="47"/>
      <c r="KYE2" s="47"/>
      <c r="KYF2" s="47"/>
      <c r="KYG2" s="47"/>
      <c r="KYH2" s="47"/>
      <c r="KYI2" s="47"/>
      <c r="KYJ2" s="47"/>
      <c r="KYK2" s="47"/>
      <c r="KYL2" s="47"/>
      <c r="KYM2" s="47"/>
      <c r="KYN2" s="47"/>
      <c r="KYO2" s="47"/>
      <c r="KYP2" s="47"/>
      <c r="KYQ2" s="47"/>
      <c r="KYR2" s="47"/>
      <c r="KYS2" s="47"/>
      <c r="KYT2" s="47"/>
      <c r="KYU2" s="47"/>
      <c r="KYV2" s="47"/>
      <c r="KYW2" s="47"/>
      <c r="KYX2" s="47"/>
      <c r="KYY2" s="47"/>
      <c r="KYZ2" s="47"/>
      <c r="KZA2" s="47"/>
      <c r="KZB2" s="47"/>
      <c r="KZC2" s="47"/>
      <c r="KZD2" s="47"/>
      <c r="KZE2" s="47"/>
      <c r="KZF2" s="47"/>
      <c r="KZG2" s="47"/>
      <c r="KZH2" s="47"/>
      <c r="KZI2" s="47"/>
      <c r="KZJ2" s="47"/>
      <c r="KZK2" s="47"/>
      <c r="KZL2" s="47"/>
      <c r="KZM2" s="47"/>
      <c r="KZN2" s="47"/>
      <c r="KZO2" s="47"/>
      <c r="KZP2" s="47"/>
      <c r="KZQ2" s="47"/>
      <c r="KZR2" s="47"/>
      <c r="KZS2" s="47"/>
      <c r="KZT2" s="47"/>
      <c r="KZU2" s="47"/>
      <c r="KZV2" s="47"/>
      <c r="KZW2" s="47"/>
      <c r="KZX2" s="47"/>
      <c r="KZY2" s="47"/>
      <c r="KZZ2" s="47"/>
      <c r="LAA2" s="47"/>
      <c r="LAB2" s="47"/>
      <c r="LAC2" s="47"/>
      <c r="LAD2" s="47"/>
      <c r="LAE2" s="47"/>
      <c r="LAF2" s="47"/>
      <c r="LAG2" s="47"/>
      <c r="LAH2" s="47"/>
      <c r="LAI2" s="47"/>
      <c r="LAJ2" s="47"/>
      <c r="LAK2" s="47"/>
      <c r="LAL2" s="47"/>
      <c r="LAM2" s="47"/>
      <c r="LAN2" s="47"/>
      <c r="LAO2" s="47"/>
      <c r="LAP2" s="47"/>
      <c r="LAQ2" s="47"/>
      <c r="LAR2" s="47"/>
      <c r="LAS2" s="47"/>
      <c r="LAT2" s="47"/>
      <c r="LAU2" s="47"/>
      <c r="LAV2" s="47"/>
      <c r="LAW2" s="47"/>
      <c r="LAX2" s="47"/>
      <c r="LAY2" s="47"/>
      <c r="LAZ2" s="47"/>
      <c r="LBA2" s="47"/>
      <c r="LBB2" s="47"/>
      <c r="LBC2" s="47"/>
      <c r="LBD2" s="47"/>
      <c r="LBE2" s="47"/>
      <c r="LBF2" s="47"/>
      <c r="LBG2" s="47"/>
      <c r="LBH2" s="47"/>
      <c r="LBI2" s="47"/>
      <c r="LBJ2" s="47"/>
      <c r="LBK2" s="47"/>
      <c r="LBL2" s="47"/>
      <c r="LBM2" s="47"/>
      <c r="LBN2" s="47"/>
      <c r="LBO2" s="47"/>
      <c r="LBP2" s="47"/>
      <c r="LBQ2" s="47"/>
      <c r="LBR2" s="47"/>
      <c r="LBS2" s="47"/>
      <c r="LBT2" s="47"/>
      <c r="LBU2" s="47"/>
      <c r="LBV2" s="47"/>
      <c r="LBW2" s="47"/>
      <c r="LBX2" s="47"/>
      <c r="LBY2" s="47"/>
      <c r="LBZ2" s="47"/>
      <c r="LCA2" s="47"/>
      <c r="LCB2" s="47"/>
      <c r="LCC2" s="47"/>
      <c r="LCD2" s="47"/>
      <c r="LCE2" s="47"/>
      <c r="LCF2" s="47"/>
      <c r="LCG2" s="47"/>
      <c r="LCH2" s="47"/>
      <c r="LCI2" s="47"/>
      <c r="LCJ2" s="47"/>
      <c r="LCK2" s="47"/>
      <c r="LCL2" s="47"/>
      <c r="LCM2" s="47"/>
      <c r="LCN2" s="47"/>
      <c r="LCO2" s="47"/>
      <c r="LCP2" s="47"/>
      <c r="LCQ2" s="47"/>
      <c r="LCR2" s="47"/>
      <c r="LCS2" s="47"/>
      <c r="LCT2" s="47"/>
      <c r="LCU2" s="47"/>
      <c r="LCV2" s="47"/>
      <c r="LCW2" s="47"/>
      <c r="LCX2" s="47"/>
      <c r="LCY2" s="47"/>
      <c r="LCZ2" s="47"/>
      <c r="LDA2" s="47"/>
      <c r="LDB2" s="47"/>
      <c r="LDC2" s="47"/>
      <c r="LDD2" s="47"/>
      <c r="LDE2" s="47"/>
      <c r="LDF2" s="47"/>
      <c r="LDG2" s="47"/>
      <c r="LDH2" s="47"/>
      <c r="LDI2" s="47"/>
      <c r="LDJ2" s="47"/>
      <c r="LDK2" s="47"/>
      <c r="LDL2" s="47"/>
      <c r="LDM2" s="47"/>
      <c r="LDN2" s="47"/>
      <c r="LDO2" s="47"/>
      <c r="LDP2" s="47"/>
      <c r="LDQ2" s="47"/>
      <c r="LDR2" s="47"/>
      <c r="LDS2" s="47"/>
      <c r="LDT2" s="47"/>
      <c r="LDU2" s="47"/>
      <c r="LDV2" s="47"/>
      <c r="LDW2" s="47"/>
      <c r="LDX2" s="47"/>
      <c r="LDY2" s="47"/>
      <c r="LDZ2" s="47"/>
      <c r="LEA2" s="47"/>
      <c r="LEB2" s="47"/>
      <c r="LEC2" s="47"/>
      <c r="LED2" s="47"/>
      <c r="LEE2" s="47"/>
      <c r="LEF2" s="47"/>
      <c r="LEG2" s="47"/>
      <c r="LEH2" s="47"/>
      <c r="LEI2" s="47"/>
      <c r="LEJ2" s="47"/>
      <c r="LEK2" s="47"/>
      <c r="LEL2" s="47"/>
      <c r="LEM2" s="47"/>
      <c r="LEN2" s="47"/>
      <c r="LEO2" s="47"/>
      <c r="LEP2" s="47"/>
      <c r="LEQ2" s="47"/>
      <c r="LER2" s="47"/>
      <c r="LES2" s="47"/>
      <c r="LET2" s="47"/>
      <c r="LEU2" s="47"/>
      <c r="LEV2" s="47"/>
      <c r="LEW2" s="47"/>
      <c r="LEX2" s="47"/>
      <c r="LEY2" s="47"/>
      <c r="LEZ2" s="47"/>
      <c r="LFA2" s="47"/>
      <c r="LFB2" s="47"/>
      <c r="LFC2" s="47"/>
      <c r="LFD2" s="47"/>
      <c r="LFE2" s="47"/>
      <c r="LFF2" s="47"/>
      <c r="LFG2" s="47"/>
      <c r="LFH2" s="47"/>
      <c r="LFI2" s="47"/>
      <c r="LFJ2" s="47"/>
      <c r="LFK2" s="47"/>
      <c r="LFL2" s="47"/>
      <c r="LFM2" s="47"/>
      <c r="LFN2" s="47"/>
      <c r="LFO2" s="47"/>
      <c r="LFP2" s="47"/>
      <c r="LFQ2" s="47"/>
      <c r="LFR2" s="47"/>
      <c r="LFS2" s="47"/>
      <c r="LFT2" s="47"/>
      <c r="LFU2" s="47"/>
      <c r="LFV2" s="47"/>
      <c r="LFW2" s="47"/>
      <c r="LFX2" s="47"/>
      <c r="LFY2" s="47"/>
      <c r="LFZ2" s="47"/>
      <c r="LGA2" s="47"/>
      <c r="LGB2" s="47"/>
      <c r="LGC2" s="47"/>
      <c r="LGD2" s="47"/>
      <c r="LGE2" s="47"/>
      <c r="LGF2" s="47"/>
      <c r="LGG2" s="47"/>
      <c r="LGH2" s="47"/>
      <c r="LGI2" s="47"/>
      <c r="LGJ2" s="47"/>
      <c r="LGK2" s="47"/>
      <c r="LGL2" s="47"/>
      <c r="LGM2" s="47"/>
      <c r="LGN2" s="47"/>
      <c r="LGO2" s="47"/>
      <c r="LGP2" s="47"/>
      <c r="LGQ2" s="47"/>
      <c r="LGR2" s="47"/>
      <c r="LGS2" s="47"/>
      <c r="LGT2" s="47"/>
      <c r="LGU2" s="47"/>
      <c r="LGV2" s="47"/>
      <c r="LGW2" s="47"/>
      <c r="LGX2" s="47"/>
      <c r="LGY2" s="47"/>
      <c r="LGZ2" s="47"/>
      <c r="LHA2" s="47"/>
      <c r="LHB2" s="47"/>
      <c r="LHC2" s="47"/>
      <c r="LHD2" s="47"/>
      <c r="LHE2" s="47"/>
      <c r="LHF2" s="47"/>
      <c r="LHG2" s="47"/>
      <c r="LHH2" s="47"/>
      <c r="LHI2" s="47"/>
      <c r="LHJ2" s="47"/>
      <c r="LHK2" s="47"/>
      <c r="LHL2" s="47"/>
      <c r="LHM2" s="47"/>
      <c r="LHN2" s="47"/>
      <c r="LHO2" s="47"/>
      <c r="LHP2" s="47"/>
      <c r="LHQ2" s="47"/>
      <c r="LHR2" s="47"/>
      <c r="LHS2" s="47"/>
      <c r="LHT2" s="47"/>
      <c r="LHU2" s="47"/>
      <c r="LHV2" s="47"/>
      <c r="LHW2" s="47"/>
      <c r="LHX2" s="47"/>
      <c r="LHY2" s="47"/>
      <c r="LHZ2" s="47"/>
      <c r="LIA2" s="47"/>
      <c r="LIB2" s="47"/>
      <c r="LIC2" s="47"/>
      <c r="LID2" s="47"/>
      <c r="LIE2" s="47"/>
      <c r="LIF2" s="47"/>
      <c r="LIG2" s="47"/>
      <c r="LIH2" s="47"/>
      <c r="LII2" s="47"/>
      <c r="LIJ2" s="47"/>
      <c r="LIK2" s="47"/>
      <c r="LIL2" s="47"/>
      <c r="LIM2" s="47"/>
      <c r="LIN2" s="47"/>
      <c r="LIO2" s="47"/>
      <c r="LIP2" s="47"/>
      <c r="LIQ2" s="47"/>
      <c r="LIR2" s="47"/>
      <c r="LIS2" s="47"/>
      <c r="LIT2" s="47"/>
      <c r="LIU2" s="47"/>
      <c r="LIV2" s="47"/>
      <c r="LIW2" s="47"/>
      <c r="LIX2" s="47"/>
      <c r="LIY2" s="47"/>
      <c r="LIZ2" s="47"/>
      <c r="LJA2" s="47"/>
      <c r="LJB2" s="47"/>
      <c r="LJC2" s="47"/>
      <c r="LJD2" s="47"/>
      <c r="LJE2" s="47"/>
      <c r="LJF2" s="47"/>
      <c r="LJG2" s="47"/>
      <c r="LJH2" s="47"/>
      <c r="LJI2" s="47"/>
      <c r="LJJ2" s="47"/>
      <c r="LJK2" s="47"/>
      <c r="LJL2" s="47"/>
      <c r="LJM2" s="47"/>
      <c r="LJN2" s="47"/>
      <c r="LJO2" s="47"/>
      <c r="LJP2" s="47"/>
      <c r="LJQ2" s="47"/>
      <c r="LJR2" s="47"/>
      <c r="LJS2" s="47"/>
      <c r="LJT2" s="47"/>
      <c r="LJU2" s="47"/>
      <c r="LJV2" s="47"/>
      <c r="LJW2" s="47"/>
      <c r="LJX2" s="47"/>
      <c r="LJY2" s="47"/>
      <c r="LJZ2" s="47"/>
      <c r="LKA2" s="47"/>
      <c r="LKB2" s="47"/>
      <c r="LKC2" s="47"/>
      <c r="LKD2" s="47"/>
      <c r="LKE2" s="47"/>
      <c r="LKF2" s="47"/>
      <c r="LKG2" s="47"/>
      <c r="LKH2" s="47"/>
      <c r="LKI2" s="47"/>
      <c r="LKJ2" s="47"/>
      <c r="LKK2" s="47"/>
      <c r="LKL2" s="47"/>
      <c r="LKM2" s="47"/>
      <c r="LKN2" s="47"/>
      <c r="LKO2" s="47"/>
      <c r="LKP2" s="47"/>
      <c r="LKQ2" s="47"/>
      <c r="LKR2" s="47"/>
      <c r="LKS2" s="47"/>
      <c r="LKT2" s="47"/>
      <c r="LKU2" s="47"/>
      <c r="LKV2" s="47"/>
      <c r="LKW2" s="47"/>
      <c r="LKX2" s="47"/>
      <c r="LKY2" s="47"/>
      <c r="LKZ2" s="47"/>
      <c r="LLA2" s="47"/>
      <c r="LLB2" s="47"/>
      <c r="LLC2" s="47"/>
      <c r="LLD2" s="47"/>
      <c r="LLE2" s="47"/>
      <c r="LLF2" s="47"/>
      <c r="LLG2" s="47"/>
      <c r="LLH2" s="47"/>
      <c r="LLI2" s="47"/>
      <c r="LLJ2" s="47"/>
      <c r="LLK2" s="47"/>
      <c r="LLL2" s="47"/>
      <c r="LLM2" s="47"/>
      <c r="LLN2" s="47"/>
      <c r="LLO2" s="47"/>
      <c r="LLP2" s="47"/>
      <c r="LLQ2" s="47"/>
      <c r="LLR2" s="47"/>
      <c r="LLS2" s="47"/>
      <c r="LLT2" s="47"/>
      <c r="LLU2" s="47"/>
      <c r="LLV2" s="47"/>
      <c r="LLW2" s="47"/>
      <c r="LLX2" s="47"/>
      <c r="LLY2" s="47"/>
      <c r="LLZ2" s="47"/>
      <c r="LMA2" s="47"/>
      <c r="LMB2" s="47"/>
      <c r="LMC2" s="47"/>
      <c r="LMD2" s="47"/>
      <c r="LME2" s="47"/>
      <c r="LMF2" s="47"/>
      <c r="LMG2" s="47"/>
      <c r="LMH2" s="47"/>
      <c r="LMI2" s="47"/>
      <c r="LMJ2" s="47"/>
      <c r="LMK2" s="47"/>
      <c r="LML2" s="47"/>
      <c r="LMM2" s="47"/>
      <c r="LMN2" s="47"/>
      <c r="LMO2" s="47"/>
      <c r="LMP2" s="47"/>
      <c r="LMQ2" s="47"/>
      <c r="LMR2" s="47"/>
      <c r="LMS2" s="47"/>
      <c r="LMT2" s="47"/>
      <c r="LMU2" s="47"/>
      <c r="LMV2" s="47"/>
      <c r="LMW2" s="47"/>
      <c r="LMX2" s="47"/>
      <c r="LMY2" s="47"/>
      <c r="LMZ2" s="47"/>
      <c r="LNA2" s="47"/>
      <c r="LNB2" s="47"/>
      <c r="LNC2" s="47"/>
      <c r="LND2" s="47"/>
      <c r="LNE2" s="47"/>
      <c r="LNF2" s="47"/>
      <c r="LNG2" s="47"/>
      <c r="LNH2" s="47"/>
      <c r="LNI2" s="47"/>
      <c r="LNJ2" s="47"/>
      <c r="LNK2" s="47"/>
      <c r="LNL2" s="47"/>
      <c r="LNM2" s="47"/>
      <c r="LNN2" s="47"/>
      <c r="LNO2" s="47"/>
      <c r="LNP2" s="47"/>
      <c r="LNQ2" s="47"/>
      <c r="LNR2" s="47"/>
      <c r="LNS2" s="47"/>
      <c r="LNT2" s="47"/>
      <c r="LNU2" s="47"/>
      <c r="LNV2" s="47"/>
      <c r="LNW2" s="47"/>
      <c r="LNX2" s="47"/>
      <c r="LNY2" s="47"/>
      <c r="LNZ2" s="47"/>
      <c r="LOA2" s="47"/>
      <c r="LOB2" s="47"/>
      <c r="LOC2" s="47"/>
      <c r="LOD2" s="47"/>
      <c r="LOE2" s="47"/>
      <c r="LOF2" s="47"/>
      <c r="LOG2" s="47"/>
      <c r="LOH2" s="47"/>
      <c r="LOI2" s="47"/>
      <c r="LOJ2" s="47"/>
      <c r="LOK2" s="47"/>
      <c r="LOL2" s="47"/>
      <c r="LOM2" s="47"/>
      <c r="LON2" s="47"/>
      <c r="LOO2" s="47"/>
      <c r="LOP2" s="47"/>
      <c r="LOQ2" s="47"/>
      <c r="LOR2" s="47"/>
      <c r="LOS2" s="47"/>
      <c r="LOT2" s="47"/>
      <c r="LOU2" s="47"/>
      <c r="LOV2" s="47"/>
      <c r="LOW2" s="47"/>
      <c r="LOX2" s="47"/>
      <c r="LOY2" s="47"/>
      <c r="LOZ2" s="47"/>
      <c r="LPA2" s="47"/>
      <c r="LPB2" s="47"/>
      <c r="LPC2" s="47"/>
      <c r="LPD2" s="47"/>
      <c r="LPE2" s="47"/>
      <c r="LPF2" s="47"/>
      <c r="LPG2" s="47"/>
      <c r="LPH2" s="47"/>
      <c r="LPI2" s="47"/>
      <c r="LPJ2" s="47"/>
      <c r="LPK2" s="47"/>
      <c r="LPL2" s="47"/>
      <c r="LPM2" s="47"/>
      <c r="LPN2" s="47"/>
      <c r="LPO2" s="47"/>
      <c r="LPP2" s="47"/>
      <c r="LPQ2" s="47"/>
      <c r="LPR2" s="47"/>
      <c r="LPS2" s="47"/>
      <c r="LPT2" s="47"/>
      <c r="LPU2" s="47"/>
      <c r="LPV2" s="47"/>
      <c r="LPW2" s="47"/>
      <c r="LPX2" s="47"/>
      <c r="LPY2" s="47"/>
      <c r="LPZ2" s="47"/>
      <c r="LQA2" s="47"/>
      <c r="LQB2" s="47"/>
      <c r="LQC2" s="47"/>
      <c r="LQD2" s="47"/>
      <c r="LQE2" s="47"/>
      <c r="LQF2" s="47"/>
      <c r="LQG2" s="47"/>
      <c r="LQH2" s="47"/>
      <c r="LQI2" s="47"/>
      <c r="LQJ2" s="47"/>
      <c r="LQK2" s="47"/>
      <c r="LQL2" s="47"/>
      <c r="LQM2" s="47"/>
      <c r="LQN2" s="47"/>
      <c r="LQO2" s="47"/>
      <c r="LQP2" s="47"/>
      <c r="LQQ2" s="47"/>
      <c r="LQR2" s="47"/>
      <c r="LQS2" s="47"/>
      <c r="LQT2" s="47"/>
      <c r="LQU2" s="47"/>
      <c r="LQV2" s="47"/>
      <c r="LQW2" s="47"/>
      <c r="LQX2" s="47"/>
      <c r="LQY2" s="47"/>
      <c r="LQZ2" s="47"/>
      <c r="LRA2" s="47"/>
      <c r="LRB2" s="47"/>
      <c r="LRC2" s="47"/>
      <c r="LRD2" s="47"/>
      <c r="LRE2" s="47"/>
      <c r="LRF2" s="47"/>
      <c r="LRG2" s="47"/>
      <c r="LRH2" s="47"/>
      <c r="LRI2" s="47"/>
      <c r="LRJ2" s="47"/>
      <c r="LRK2" s="47"/>
      <c r="LRL2" s="47"/>
      <c r="LRM2" s="47"/>
      <c r="LRN2" s="47"/>
      <c r="LRO2" s="47"/>
      <c r="LRP2" s="47"/>
      <c r="LRQ2" s="47"/>
      <c r="LRR2" s="47"/>
      <c r="LRS2" s="47"/>
      <c r="LRT2" s="47"/>
      <c r="LRU2" s="47"/>
      <c r="LRV2" s="47"/>
      <c r="LRW2" s="47"/>
      <c r="LRX2" s="47"/>
      <c r="LRY2" s="47"/>
      <c r="LRZ2" s="47"/>
      <c r="LSA2" s="47"/>
      <c r="LSB2" s="47"/>
      <c r="LSC2" s="47"/>
      <c r="LSD2" s="47"/>
      <c r="LSE2" s="47"/>
      <c r="LSF2" s="47"/>
      <c r="LSG2" s="47"/>
      <c r="LSH2" s="47"/>
      <c r="LSI2" s="47"/>
      <c r="LSJ2" s="47"/>
      <c r="LSK2" s="47"/>
      <c r="LSL2" s="47"/>
      <c r="LSM2" s="47"/>
      <c r="LSN2" s="47"/>
      <c r="LSO2" s="47"/>
      <c r="LSP2" s="47"/>
      <c r="LSQ2" s="47"/>
      <c r="LSR2" s="47"/>
      <c r="LSS2" s="47"/>
      <c r="LST2" s="47"/>
      <c r="LSU2" s="47"/>
      <c r="LSV2" s="47"/>
      <c r="LSW2" s="47"/>
      <c r="LSX2" s="47"/>
      <c r="LSY2" s="47"/>
      <c r="LSZ2" s="47"/>
      <c r="LTA2" s="47"/>
      <c r="LTB2" s="47"/>
      <c r="LTC2" s="47"/>
      <c r="LTD2" s="47"/>
      <c r="LTE2" s="47"/>
      <c r="LTF2" s="47"/>
      <c r="LTG2" s="47"/>
      <c r="LTH2" s="47"/>
      <c r="LTI2" s="47"/>
      <c r="LTJ2" s="47"/>
      <c r="LTK2" s="47"/>
      <c r="LTL2" s="47"/>
      <c r="LTM2" s="47"/>
      <c r="LTN2" s="47"/>
      <c r="LTO2" s="47"/>
      <c r="LTP2" s="47"/>
      <c r="LTQ2" s="47"/>
      <c r="LTR2" s="47"/>
      <c r="LTS2" s="47"/>
      <c r="LTT2" s="47"/>
      <c r="LTU2" s="47"/>
      <c r="LTV2" s="47"/>
      <c r="LTW2" s="47"/>
      <c r="LTX2" s="47"/>
      <c r="LTY2" s="47"/>
      <c r="LTZ2" s="47"/>
      <c r="LUA2" s="47"/>
      <c r="LUB2" s="47"/>
      <c r="LUC2" s="47"/>
      <c r="LUD2" s="47"/>
      <c r="LUE2" s="47"/>
      <c r="LUF2" s="47"/>
      <c r="LUG2" s="47"/>
      <c r="LUH2" s="47"/>
      <c r="LUI2" s="47"/>
      <c r="LUJ2" s="47"/>
      <c r="LUK2" s="47"/>
      <c r="LUL2" s="47"/>
      <c r="LUM2" s="47"/>
      <c r="LUN2" s="47"/>
      <c r="LUO2" s="47"/>
      <c r="LUP2" s="47"/>
      <c r="LUQ2" s="47"/>
      <c r="LUR2" s="47"/>
      <c r="LUS2" s="47"/>
      <c r="LUT2" s="47"/>
      <c r="LUU2" s="47"/>
      <c r="LUV2" s="47"/>
      <c r="LUW2" s="47"/>
      <c r="LUX2" s="47"/>
      <c r="LUY2" s="47"/>
      <c r="LUZ2" s="47"/>
      <c r="LVA2" s="47"/>
      <c r="LVB2" s="47"/>
      <c r="LVC2" s="47"/>
      <c r="LVD2" s="47"/>
      <c r="LVE2" s="47"/>
      <c r="LVF2" s="47"/>
      <c r="LVG2" s="47"/>
      <c r="LVH2" s="47"/>
      <c r="LVI2" s="47"/>
      <c r="LVJ2" s="47"/>
      <c r="LVK2" s="47"/>
      <c r="LVL2" s="47"/>
      <c r="LVM2" s="47"/>
      <c r="LVN2" s="47"/>
      <c r="LVO2" s="47"/>
      <c r="LVP2" s="47"/>
      <c r="LVQ2" s="47"/>
      <c r="LVR2" s="47"/>
      <c r="LVS2" s="47"/>
      <c r="LVT2" s="47"/>
      <c r="LVU2" s="47"/>
      <c r="LVV2" s="47"/>
      <c r="LVW2" s="47"/>
      <c r="LVX2" s="47"/>
      <c r="LVY2" s="47"/>
      <c r="LVZ2" s="47"/>
      <c r="LWA2" s="47"/>
      <c r="LWB2" s="47"/>
      <c r="LWC2" s="47"/>
      <c r="LWD2" s="47"/>
      <c r="LWE2" s="47"/>
      <c r="LWF2" s="47"/>
      <c r="LWG2" s="47"/>
      <c r="LWH2" s="47"/>
      <c r="LWI2" s="47"/>
      <c r="LWJ2" s="47"/>
      <c r="LWK2" s="47"/>
      <c r="LWL2" s="47"/>
      <c r="LWM2" s="47"/>
      <c r="LWN2" s="47"/>
      <c r="LWO2" s="47"/>
      <c r="LWP2" s="47"/>
      <c r="LWQ2" s="47"/>
      <c r="LWR2" s="47"/>
      <c r="LWS2" s="47"/>
      <c r="LWT2" s="47"/>
      <c r="LWU2" s="47"/>
      <c r="LWV2" s="47"/>
      <c r="LWW2" s="47"/>
      <c r="LWX2" s="47"/>
      <c r="LWY2" s="47"/>
      <c r="LWZ2" s="47"/>
      <c r="LXA2" s="47"/>
      <c r="LXB2" s="47"/>
      <c r="LXC2" s="47"/>
      <c r="LXD2" s="47"/>
      <c r="LXE2" s="47"/>
      <c r="LXF2" s="47"/>
      <c r="LXG2" s="47"/>
      <c r="LXH2" s="47"/>
      <c r="LXI2" s="47"/>
      <c r="LXJ2" s="47"/>
      <c r="LXK2" s="47"/>
      <c r="LXL2" s="47"/>
      <c r="LXM2" s="47"/>
      <c r="LXN2" s="47"/>
      <c r="LXO2" s="47"/>
      <c r="LXP2" s="47"/>
      <c r="LXQ2" s="47"/>
      <c r="LXR2" s="47"/>
      <c r="LXS2" s="47"/>
      <c r="LXT2" s="47"/>
      <c r="LXU2" s="47"/>
      <c r="LXV2" s="47"/>
      <c r="LXW2" s="47"/>
      <c r="LXX2" s="47"/>
      <c r="LXY2" s="47"/>
      <c r="LXZ2" s="47"/>
      <c r="LYA2" s="47"/>
      <c r="LYB2" s="47"/>
      <c r="LYC2" s="47"/>
      <c r="LYD2" s="47"/>
      <c r="LYE2" s="47"/>
      <c r="LYF2" s="47"/>
      <c r="LYG2" s="47"/>
      <c r="LYH2" s="47"/>
      <c r="LYI2" s="47"/>
      <c r="LYJ2" s="47"/>
      <c r="LYK2" s="47"/>
      <c r="LYL2" s="47"/>
      <c r="LYM2" s="47"/>
      <c r="LYN2" s="47"/>
      <c r="LYO2" s="47"/>
      <c r="LYP2" s="47"/>
      <c r="LYQ2" s="47"/>
      <c r="LYR2" s="47"/>
      <c r="LYS2" s="47"/>
      <c r="LYT2" s="47"/>
      <c r="LYU2" s="47"/>
      <c r="LYV2" s="47"/>
      <c r="LYW2" s="47"/>
      <c r="LYX2" s="47"/>
      <c r="LYY2" s="47"/>
      <c r="LYZ2" s="47"/>
      <c r="LZA2" s="47"/>
      <c r="LZB2" s="47"/>
      <c r="LZC2" s="47"/>
      <c r="LZD2" s="47"/>
      <c r="LZE2" s="47"/>
      <c r="LZF2" s="47"/>
      <c r="LZG2" s="47"/>
      <c r="LZH2" s="47"/>
      <c r="LZI2" s="47"/>
      <c r="LZJ2" s="47"/>
      <c r="LZK2" s="47"/>
      <c r="LZL2" s="47"/>
      <c r="LZM2" s="47"/>
      <c r="LZN2" s="47"/>
      <c r="LZO2" s="47"/>
      <c r="LZP2" s="47"/>
      <c r="LZQ2" s="47"/>
      <c r="LZR2" s="47"/>
      <c r="LZS2" s="47"/>
      <c r="LZT2" s="47"/>
      <c r="LZU2" s="47"/>
      <c r="LZV2" s="47"/>
      <c r="LZW2" s="47"/>
      <c r="LZX2" s="47"/>
      <c r="LZY2" s="47"/>
      <c r="LZZ2" s="47"/>
      <c r="MAA2" s="47"/>
      <c r="MAB2" s="47"/>
      <c r="MAC2" s="47"/>
      <c r="MAD2" s="47"/>
      <c r="MAE2" s="47"/>
      <c r="MAF2" s="47"/>
      <c r="MAG2" s="47"/>
      <c r="MAH2" s="47"/>
      <c r="MAI2" s="47"/>
      <c r="MAJ2" s="47"/>
      <c r="MAK2" s="47"/>
      <c r="MAL2" s="47"/>
      <c r="MAM2" s="47"/>
      <c r="MAN2" s="47"/>
      <c r="MAO2" s="47"/>
      <c r="MAP2" s="47"/>
      <c r="MAQ2" s="47"/>
      <c r="MAR2" s="47"/>
      <c r="MAS2" s="47"/>
      <c r="MAT2" s="47"/>
      <c r="MAU2" s="47"/>
      <c r="MAV2" s="47"/>
      <c r="MAW2" s="47"/>
      <c r="MAX2" s="47"/>
      <c r="MAY2" s="47"/>
      <c r="MAZ2" s="47"/>
      <c r="MBA2" s="47"/>
      <c r="MBB2" s="47"/>
      <c r="MBC2" s="47"/>
      <c r="MBD2" s="47"/>
      <c r="MBE2" s="47"/>
      <c r="MBF2" s="47"/>
      <c r="MBG2" s="47"/>
      <c r="MBH2" s="47"/>
      <c r="MBI2" s="47"/>
      <c r="MBJ2" s="47"/>
      <c r="MBK2" s="47"/>
      <c r="MBL2" s="47"/>
      <c r="MBM2" s="47"/>
      <c r="MBN2" s="47"/>
      <c r="MBO2" s="47"/>
      <c r="MBP2" s="47"/>
      <c r="MBQ2" s="47"/>
      <c r="MBR2" s="47"/>
      <c r="MBS2" s="47"/>
      <c r="MBT2" s="47"/>
      <c r="MBU2" s="47"/>
      <c r="MBV2" s="47"/>
      <c r="MBW2" s="47"/>
      <c r="MBX2" s="47"/>
      <c r="MBY2" s="47"/>
      <c r="MBZ2" s="47"/>
      <c r="MCA2" s="47"/>
      <c r="MCB2" s="47"/>
      <c r="MCC2" s="47"/>
      <c r="MCD2" s="47"/>
      <c r="MCE2" s="47"/>
      <c r="MCF2" s="47"/>
      <c r="MCG2" s="47"/>
      <c r="MCH2" s="47"/>
      <c r="MCI2" s="47"/>
      <c r="MCJ2" s="47"/>
      <c r="MCK2" s="47"/>
      <c r="MCL2" s="47"/>
      <c r="MCM2" s="47"/>
      <c r="MCN2" s="47"/>
      <c r="MCO2" s="47"/>
      <c r="MCP2" s="47"/>
      <c r="MCQ2" s="47"/>
      <c r="MCR2" s="47"/>
      <c r="MCS2" s="47"/>
      <c r="MCT2" s="47"/>
      <c r="MCU2" s="47"/>
      <c r="MCV2" s="47"/>
      <c r="MCW2" s="47"/>
      <c r="MCX2" s="47"/>
      <c r="MCY2" s="47"/>
      <c r="MCZ2" s="47"/>
      <c r="MDA2" s="47"/>
      <c r="MDB2" s="47"/>
      <c r="MDC2" s="47"/>
      <c r="MDD2" s="47"/>
      <c r="MDE2" s="47"/>
      <c r="MDF2" s="47"/>
      <c r="MDG2" s="47"/>
      <c r="MDH2" s="47"/>
      <c r="MDI2" s="47"/>
      <c r="MDJ2" s="47"/>
      <c r="MDK2" s="47"/>
      <c r="MDL2" s="47"/>
      <c r="MDM2" s="47"/>
      <c r="MDN2" s="47"/>
      <c r="MDO2" s="47"/>
      <c r="MDP2" s="47"/>
      <c r="MDQ2" s="47"/>
      <c r="MDR2" s="47"/>
      <c r="MDS2" s="47"/>
      <c r="MDT2" s="47"/>
      <c r="MDU2" s="47"/>
      <c r="MDV2" s="47"/>
      <c r="MDW2" s="47"/>
      <c r="MDX2" s="47"/>
      <c r="MDY2" s="47"/>
      <c r="MDZ2" s="47"/>
      <c r="MEA2" s="47"/>
      <c r="MEB2" s="47"/>
      <c r="MEC2" s="47"/>
      <c r="MED2" s="47"/>
      <c r="MEE2" s="47"/>
      <c r="MEF2" s="47"/>
      <c r="MEG2" s="47"/>
      <c r="MEH2" s="47"/>
      <c r="MEI2" s="47"/>
      <c r="MEJ2" s="47"/>
      <c r="MEK2" s="47"/>
      <c r="MEL2" s="47"/>
      <c r="MEM2" s="47"/>
      <c r="MEN2" s="47"/>
      <c r="MEO2" s="47"/>
      <c r="MEP2" s="47"/>
      <c r="MEQ2" s="47"/>
      <c r="MER2" s="47"/>
      <c r="MES2" s="47"/>
      <c r="MET2" s="47"/>
      <c r="MEU2" s="47"/>
      <c r="MEV2" s="47"/>
      <c r="MEW2" s="47"/>
      <c r="MEX2" s="47"/>
      <c r="MEY2" s="47"/>
      <c r="MEZ2" s="47"/>
      <c r="MFA2" s="47"/>
      <c r="MFB2" s="47"/>
      <c r="MFC2" s="47"/>
      <c r="MFD2" s="47"/>
      <c r="MFE2" s="47"/>
      <c r="MFF2" s="47"/>
      <c r="MFG2" s="47"/>
      <c r="MFH2" s="47"/>
      <c r="MFI2" s="47"/>
      <c r="MFJ2" s="47"/>
      <c r="MFK2" s="47"/>
      <c r="MFL2" s="47"/>
      <c r="MFM2" s="47"/>
      <c r="MFN2" s="47"/>
      <c r="MFO2" s="47"/>
      <c r="MFP2" s="47"/>
      <c r="MFQ2" s="47"/>
      <c r="MFR2" s="47"/>
      <c r="MFS2" s="47"/>
      <c r="MFT2" s="47"/>
      <c r="MFU2" s="47"/>
      <c r="MFV2" s="47"/>
      <c r="MFW2" s="47"/>
      <c r="MFX2" s="47"/>
      <c r="MFY2" s="47"/>
      <c r="MFZ2" s="47"/>
      <c r="MGA2" s="47"/>
      <c r="MGB2" s="47"/>
      <c r="MGC2" s="47"/>
      <c r="MGD2" s="47"/>
      <c r="MGE2" s="47"/>
      <c r="MGF2" s="47"/>
      <c r="MGG2" s="47"/>
      <c r="MGH2" s="47"/>
      <c r="MGI2" s="47"/>
      <c r="MGJ2" s="47"/>
      <c r="MGK2" s="47"/>
      <c r="MGL2" s="47"/>
      <c r="MGM2" s="47"/>
      <c r="MGN2" s="47"/>
      <c r="MGO2" s="47"/>
      <c r="MGP2" s="47"/>
      <c r="MGQ2" s="47"/>
      <c r="MGR2" s="47"/>
      <c r="MGS2" s="47"/>
      <c r="MGT2" s="47"/>
      <c r="MGU2" s="47"/>
      <c r="MGV2" s="47"/>
      <c r="MGW2" s="47"/>
      <c r="MGX2" s="47"/>
      <c r="MGY2" s="47"/>
      <c r="MGZ2" s="47"/>
      <c r="MHA2" s="47"/>
      <c r="MHB2" s="47"/>
      <c r="MHC2" s="47"/>
      <c r="MHD2" s="47"/>
      <c r="MHE2" s="47"/>
      <c r="MHF2" s="47"/>
      <c r="MHG2" s="47"/>
      <c r="MHH2" s="47"/>
      <c r="MHI2" s="47"/>
      <c r="MHJ2" s="47"/>
      <c r="MHK2" s="47"/>
      <c r="MHL2" s="47"/>
      <c r="MHM2" s="47"/>
      <c r="MHN2" s="47"/>
      <c r="MHO2" s="47"/>
      <c r="MHP2" s="47"/>
      <c r="MHQ2" s="47"/>
      <c r="MHR2" s="47"/>
      <c r="MHS2" s="47"/>
      <c r="MHT2" s="47"/>
      <c r="MHU2" s="47"/>
      <c r="MHV2" s="47"/>
      <c r="MHW2" s="47"/>
      <c r="MHX2" s="47"/>
      <c r="MHY2" s="47"/>
      <c r="MHZ2" s="47"/>
      <c r="MIA2" s="47"/>
      <c r="MIB2" s="47"/>
      <c r="MIC2" s="47"/>
      <c r="MID2" s="47"/>
      <c r="MIE2" s="47"/>
      <c r="MIF2" s="47"/>
      <c r="MIG2" s="47"/>
      <c r="MIH2" s="47"/>
      <c r="MII2" s="47"/>
      <c r="MIJ2" s="47"/>
      <c r="MIK2" s="47"/>
      <c r="MIL2" s="47"/>
      <c r="MIM2" s="47"/>
      <c r="MIN2" s="47"/>
      <c r="MIO2" s="47"/>
      <c r="MIP2" s="47"/>
      <c r="MIQ2" s="47"/>
      <c r="MIR2" s="47"/>
      <c r="MIS2" s="47"/>
      <c r="MIT2" s="47"/>
      <c r="MIU2" s="47"/>
      <c r="MIV2" s="47"/>
      <c r="MIW2" s="47"/>
      <c r="MIX2" s="47"/>
      <c r="MIY2" s="47"/>
      <c r="MIZ2" s="47"/>
      <c r="MJA2" s="47"/>
      <c r="MJB2" s="47"/>
      <c r="MJC2" s="47"/>
      <c r="MJD2" s="47"/>
      <c r="MJE2" s="47"/>
      <c r="MJF2" s="47"/>
      <c r="MJG2" s="47"/>
      <c r="MJH2" s="47"/>
      <c r="MJI2" s="47"/>
      <c r="MJJ2" s="47"/>
      <c r="MJK2" s="47"/>
      <c r="MJL2" s="47"/>
      <c r="MJM2" s="47"/>
      <c r="MJN2" s="47"/>
      <c r="MJO2" s="47"/>
      <c r="MJP2" s="47"/>
      <c r="MJQ2" s="47"/>
      <c r="MJR2" s="47"/>
      <c r="MJS2" s="47"/>
      <c r="MJT2" s="47"/>
      <c r="MJU2" s="47"/>
      <c r="MJV2" s="47"/>
      <c r="MJW2" s="47"/>
      <c r="MJX2" s="47"/>
      <c r="MJY2" s="47"/>
      <c r="MJZ2" s="47"/>
      <c r="MKA2" s="47"/>
      <c r="MKB2" s="47"/>
      <c r="MKC2" s="47"/>
      <c r="MKD2" s="47"/>
      <c r="MKE2" s="47"/>
      <c r="MKF2" s="47"/>
      <c r="MKG2" s="47"/>
      <c r="MKH2" s="47"/>
      <c r="MKI2" s="47"/>
      <c r="MKJ2" s="47"/>
      <c r="MKK2" s="47"/>
      <c r="MKL2" s="47"/>
      <c r="MKM2" s="47"/>
      <c r="MKN2" s="47"/>
      <c r="MKO2" s="47"/>
      <c r="MKP2" s="47"/>
      <c r="MKQ2" s="47"/>
      <c r="MKR2" s="47"/>
      <c r="MKS2" s="47"/>
      <c r="MKT2" s="47"/>
      <c r="MKU2" s="47"/>
      <c r="MKV2" s="47"/>
      <c r="MKW2" s="47"/>
      <c r="MKX2" s="47"/>
      <c r="MKY2" s="47"/>
      <c r="MKZ2" s="47"/>
      <c r="MLA2" s="47"/>
      <c r="MLB2" s="47"/>
      <c r="MLC2" s="47"/>
      <c r="MLD2" s="47"/>
      <c r="MLE2" s="47"/>
      <c r="MLF2" s="47"/>
      <c r="MLG2" s="47"/>
      <c r="MLH2" s="47"/>
      <c r="MLI2" s="47"/>
      <c r="MLJ2" s="47"/>
      <c r="MLK2" s="47"/>
      <c r="MLL2" s="47"/>
      <c r="MLM2" s="47"/>
      <c r="MLN2" s="47"/>
      <c r="MLO2" s="47"/>
      <c r="MLP2" s="47"/>
      <c r="MLQ2" s="47"/>
      <c r="MLR2" s="47"/>
      <c r="MLS2" s="47"/>
      <c r="MLT2" s="47"/>
      <c r="MLU2" s="47"/>
      <c r="MLV2" s="47"/>
      <c r="MLW2" s="47"/>
      <c r="MLX2" s="47"/>
      <c r="MLY2" s="47"/>
      <c r="MLZ2" s="47"/>
      <c r="MMA2" s="47"/>
      <c r="MMB2" s="47"/>
      <c r="MMC2" s="47"/>
      <c r="MMD2" s="47"/>
      <c r="MME2" s="47"/>
      <c r="MMF2" s="47"/>
      <c r="MMG2" s="47"/>
      <c r="MMH2" s="47"/>
      <c r="MMI2" s="47"/>
      <c r="MMJ2" s="47"/>
      <c r="MMK2" s="47"/>
      <c r="MML2" s="47"/>
      <c r="MMM2" s="47"/>
      <c r="MMN2" s="47"/>
      <c r="MMO2" s="47"/>
      <c r="MMP2" s="47"/>
      <c r="MMQ2" s="47"/>
      <c r="MMR2" s="47"/>
      <c r="MMS2" s="47"/>
      <c r="MMT2" s="47"/>
      <c r="MMU2" s="47"/>
      <c r="MMV2" s="47"/>
      <c r="MMW2" s="47"/>
      <c r="MMX2" s="47"/>
      <c r="MMY2" s="47"/>
      <c r="MMZ2" s="47"/>
      <c r="MNA2" s="47"/>
      <c r="MNB2" s="47"/>
      <c r="MNC2" s="47"/>
      <c r="MND2" s="47"/>
      <c r="MNE2" s="47"/>
      <c r="MNF2" s="47"/>
      <c r="MNG2" s="47"/>
      <c r="MNH2" s="47"/>
      <c r="MNI2" s="47"/>
      <c r="MNJ2" s="47"/>
      <c r="MNK2" s="47"/>
      <c r="MNL2" s="47"/>
      <c r="MNM2" s="47"/>
      <c r="MNN2" s="47"/>
      <c r="MNO2" s="47"/>
      <c r="MNP2" s="47"/>
      <c r="MNQ2" s="47"/>
      <c r="MNR2" s="47"/>
      <c r="MNS2" s="47"/>
      <c r="MNT2" s="47"/>
      <c r="MNU2" s="47"/>
      <c r="MNV2" s="47"/>
      <c r="MNW2" s="47"/>
      <c r="MNX2" s="47"/>
      <c r="MNY2" s="47"/>
      <c r="MNZ2" s="47"/>
      <c r="MOA2" s="47"/>
      <c r="MOB2" s="47"/>
      <c r="MOC2" s="47"/>
      <c r="MOD2" s="47"/>
      <c r="MOE2" s="47"/>
      <c r="MOF2" s="47"/>
      <c r="MOG2" s="47"/>
      <c r="MOH2" s="47"/>
      <c r="MOI2" s="47"/>
      <c r="MOJ2" s="47"/>
      <c r="MOK2" s="47"/>
      <c r="MOL2" s="47"/>
      <c r="MOM2" s="47"/>
      <c r="MON2" s="47"/>
      <c r="MOO2" s="47"/>
      <c r="MOP2" s="47"/>
      <c r="MOQ2" s="47"/>
      <c r="MOR2" s="47"/>
      <c r="MOS2" s="47"/>
      <c r="MOT2" s="47"/>
      <c r="MOU2" s="47"/>
      <c r="MOV2" s="47"/>
      <c r="MOW2" s="47"/>
      <c r="MOX2" s="47"/>
      <c r="MOY2" s="47"/>
      <c r="MOZ2" s="47"/>
      <c r="MPA2" s="47"/>
      <c r="MPB2" s="47"/>
      <c r="MPC2" s="47"/>
      <c r="MPD2" s="47"/>
      <c r="MPE2" s="47"/>
      <c r="MPF2" s="47"/>
      <c r="MPG2" s="47"/>
      <c r="MPH2" s="47"/>
      <c r="MPI2" s="47"/>
      <c r="MPJ2" s="47"/>
      <c r="MPK2" s="47"/>
      <c r="MPL2" s="47"/>
      <c r="MPM2" s="47"/>
      <c r="MPN2" s="47"/>
      <c r="MPO2" s="47"/>
      <c r="MPP2" s="47"/>
      <c r="MPQ2" s="47"/>
      <c r="MPR2" s="47"/>
      <c r="MPS2" s="47"/>
      <c r="MPT2" s="47"/>
      <c r="MPU2" s="47"/>
      <c r="MPV2" s="47"/>
      <c r="MPW2" s="47"/>
      <c r="MPX2" s="47"/>
      <c r="MPY2" s="47"/>
      <c r="MPZ2" s="47"/>
      <c r="MQA2" s="47"/>
      <c r="MQB2" s="47"/>
      <c r="MQC2" s="47"/>
      <c r="MQD2" s="47"/>
      <c r="MQE2" s="47"/>
      <c r="MQF2" s="47"/>
      <c r="MQG2" s="47"/>
      <c r="MQH2" s="47"/>
      <c r="MQI2" s="47"/>
      <c r="MQJ2" s="47"/>
      <c r="MQK2" s="47"/>
      <c r="MQL2" s="47"/>
      <c r="MQM2" s="47"/>
      <c r="MQN2" s="47"/>
      <c r="MQO2" s="47"/>
      <c r="MQP2" s="47"/>
      <c r="MQQ2" s="47"/>
      <c r="MQR2" s="47"/>
      <c r="MQS2" s="47"/>
      <c r="MQT2" s="47"/>
      <c r="MQU2" s="47"/>
      <c r="MQV2" s="47"/>
      <c r="MQW2" s="47"/>
      <c r="MQX2" s="47"/>
      <c r="MQY2" s="47"/>
      <c r="MQZ2" s="47"/>
      <c r="MRA2" s="47"/>
      <c r="MRB2" s="47"/>
      <c r="MRC2" s="47"/>
      <c r="MRD2" s="47"/>
      <c r="MRE2" s="47"/>
      <c r="MRF2" s="47"/>
      <c r="MRG2" s="47"/>
      <c r="MRH2" s="47"/>
      <c r="MRI2" s="47"/>
      <c r="MRJ2" s="47"/>
      <c r="MRK2" s="47"/>
      <c r="MRL2" s="47"/>
      <c r="MRM2" s="47"/>
      <c r="MRN2" s="47"/>
      <c r="MRO2" s="47"/>
      <c r="MRP2" s="47"/>
      <c r="MRQ2" s="47"/>
      <c r="MRR2" s="47"/>
      <c r="MRS2" s="47"/>
      <c r="MRT2" s="47"/>
      <c r="MRU2" s="47"/>
      <c r="MRV2" s="47"/>
      <c r="MRW2" s="47"/>
      <c r="MRX2" s="47"/>
      <c r="MRY2" s="47"/>
      <c r="MRZ2" s="47"/>
      <c r="MSA2" s="47"/>
      <c r="MSB2" s="47"/>
      <c r="MSC2" s="47"/>
      <c r="MSD2" s="47"/>
      <c r="MSE2" s="47"/>
      <c r="MSF2" s="47"/>
      <c r="MSG2" s="47"/>
      <c r="MSH2" s="47"/>
      <c r="MSI2" s="47"/>
      <c r="MSJ2" s="47"/>
      <c r="MSK2" s="47"/>
      <c r="MSL2" s="47"/>
      <c r="MSM2" s="47"/>
      <c r="MSN2" s="47"/>
      <c r="MSO2" s="47"/>
      <c r="MSP2" s="47"/>
      <c r="MSQ2" s="47"/>
      <c r="MSR2" s="47"/>
      <c r="MSS2" s="47"/>
      <c r="MST2" s="47"/>
      <c r="MSU2" s="47"/>
      <c r="MSV2" s="47"/>
      <c r="MSW2" s="47"/>
      <c r="MSX2" s="47"/>
      <c r="MSY2" s="47"/>
      <c r="MSZ2" s="47"/>
      <c r="MTA2" s="47"/>
      <c r="MTB2" s="47"/>
      <c r="MTC2" s="47"/>
      <c r="MTD2" s="47"/>
      <c r="MTE2" s="47"/>
      <c r="MTF2" s="47"/>
      <c r="MTG2" s="47"/>
      <c r="MTH2" s="47"/>
      <c r="MTI2" s="47"/>
      <c r="MTJ2" s="47"/>
      <c r="MTK2" s="47"/>
      <c r="MTL2" s="47"/>
      <c r="MTM2" s="47"/>
      <c r="MTN2" s="47"/>
      <c r="MTO2" s="47"/>
      <c r="MTP2" s="47"/>
      <c r="MTQ2" s="47"/>
      <c r="MTR2" s="47"/>
      <c r="MTS2" s="47"/>
      <c r="MTT2" s="47"/>
      <c r="MTU2" s="47"/>
      <c r="MTV2" s="47"/>
      <c r="MTW2" s="47"/>
      <c r="MTX2" s="47"/>
      <c r="MTY2" s="47"/>
      <c r="MTZ2" s="47"/>
      <c r="MUA2" s="47"/>
      <c r="MUB2" s="47"/>
      <c r="MUC2" s="47"/>
      <c r="MUD2" s="47"/>
      <c r="MUE2" s="47"/>
      <c r="MUF2" s="47"/>
      <c r="MUG2" s="47"/>
      <c r="MUH2" s="47"/>
      <c r="MUI2" s="47"/>
      <c r="MUJ2" s="47"/>
      <c r="MUK2" s="47"/>
      <c r="MUL2" s="47"/>
      <c r="MUM2" s="47"/>
      <c r="MUN2" s="47"/>
      <c r="MUO2" s="47"/>
      <c r="MUP2" s="47"/>
      <c r="MUQ2" s="47"/>
      <c r="MUR2" s="47"/>
      <c r="MUS2" s="47"/>
      <c r="MUT2" s="47"/>
      <c r="MUU2" s="47"/>
      <c r="MUV2" s="47"/>
      <c r="MUW2" s="47"/>
      <c r="MUX2" s="47"/>
      <c r="MUY2" s="47"/>
      <c r="MUZ2" s="47"/>
      <c r="MVA2" s="47"/>
      <c r="MVB2" s="47"/>
      <c r="MVC2" s="47"/>
      <c r="MVD2" s="47"/>
      <c r="MVE2" s="47"/>
      <c r="MVF2" s="47"/>
      <c r="MVG2" s="47"/>
      <c r="MVH2" s="47"/>
      <c r="MVI2" s="47"/>
      <c r="MVJ2" s="47"/>
      <c r="MVK2" s="47"/>
      <c r="MVL2" s="47"/>
      <c r="MVM2" s="47"/>
      <c r="MVN2" s="47"/>
      <c r="MVO2" s="47"/>
      <c r="MVP2" s="47"/>
      <c r="MVQ2" s="47"/>
      <c r="MVR2" s="47"/>
      <c r="MVS2" s="47"/>
      <c r="MVT2" s="47"/>
      <c r="MVU2" s="47"/>
      <c r="MVV2" s="47"/>
      <c r="MVW2" s="47"/>
      <c r="MVX2" s="47"/>
      <c r="MVY2" s="47"/>
      <c r="MVZ2" s="47"/>
      <c r="MWA2" s="47"/>
      <c r="MWB2" s="47"/>
      <c r="MWC2" s="47"/>
      <c r="MWD2" s="47"/>
      <c r="MWE2" s="47"/>
      <c r="MWF2" s="47"/>
      <c r="MWG2" s="47"/>
      <c r="MWH2" s="47"/>
      <c r="MWI2" s="47"/>
      <c r="MWJ2" s="47"/>
      <c r="MWK2" s="47"/>
      <c r="MWL2" s="47"/>
      <c r="MWM2" s="47"/>
      <c r="MWN2" s="47"/>
      <c r="MWO2" s="47"/>
      <c r="MWP2" s="47"/>
      <c r="MWQ2" s="47"/>
      <c r="MWR2" s="47"/>
      <c r="MWS2" s="47"/>
      <c r="MWT2" s="47"/>
      <c r="MWU2" s="47"/>
      <c r="MWV2" s="47"/>
      <c r="MWW2" s="47"/>
      <c r="MWX2" s="47"/>
      <c r="MWY2" s="47"/>
      <c r="MWZ2" s="47"/>
      <c r="MXA2" s="47"/>
      <c r="MXB2" s="47"/>
      <c r="MXC2" s="47"/>
      <c r="MXD2" s="47"/>
      <c r="MXE2" s="47"/>
      <c r="MXF2" s="47"/>
      <c r="MXG2" s="47"/>
      <c r="MXH2" s="47"/>
      <c r="MXI2" s="47"/>
      <c r="MXJ2" s="47"/>
      <c r="MXK2" s="47"/>
      <c r="MXL2" s="47"/>
      <c r="MXM2" s="47"/>
      <c r="MXN2" s="47"/>
      <c r="MXO2" s="47"/>
      <c r="MXP2" s="47"/>
      <c r="MXQ2" s="47"/>
      <c r="MXR2" s="47"/>
      <c r="MXS2" s="47"/>
      <c r="MXT2" s="47"/>
      <c r="MXU2" s="47"/>
      <c r="MXV2" s="47"/>
      <c r="MXW2" s="47"/>
      <c r="MXX2" s="47"/>
      <c r="MXY2" s="47"/>
      <c r="MXZ2" s="47"/>
      <c r="MYA2" s="47"/>
      <c r="MYB2" s="47"/>
      <c r="MYC2" s="47"/>
      <c r="MYD2" s="47"/>
      <c r="MYE2" s="47"/>
      <c r="MYF2" s="47"/>
      <c r="MYG2" s="47"/>
      <c r="MYH2" s="47"/>
      <c r="MYI2" s="47"/>
      <c r="MYJ2" s="47"/>
      <c r="MYK2" s="47"/>
      <c r="MYL2" s="47"/>
      <c r="MYM2" s="47"/>
      <c r="MYN2" s="47"/>
      <c r="MYO2" s="47"/>
      <c r="MYP2" s="47"/>
      <c r="MYQ2" s="47"/>
      <c r="MYR2" s="47"/>
      <c r="MYS2" s="47"/>
      <c r="MYT2" s="47"/>
      <c r="MYU2" s="47"/>
      <c r="MYV2" s="47"/>
      <c r="MYW2" s="47"/>
      <c r="MYX2" s="47"/>
      <c r="MYY2" s="47"/>
      <c r="MYZ2" s="47"/>
      <c r="MZA2" s="47"/>
      <c r="MZB2" s="47"/>
      <c r="MZC2" s="47"/>
      <c r="MZD2" s="47"/>
      <c r="MZE2" s="47"/>
      <c r="MZF2" s="47"/>
      <c r="MZG2" s="47"/>
      <c r="MZH2" s="47"/>
      <c r="MZI2" s="47"/>
      <c r="MZJ2" s="47"/>
      <c r="MZK2" s="47"/>
      <c r="MZL2" s="47"/>
      <c r="MZM2" s="47"/>
      <c r="MZN2" s="47"/>
      <c r="MZO2" s="47"/>
      <c r="MZP2" s="47"/>
      <c r="MZQ2" s="47"/>
      <c r="MZR2" s="47"/>
      <c r="MZS2" s="47"/>
      <c r="MZT2" s="47"/>
      <c r="MZU2" s="47"/>
      <c r="MZV2" s="47"/>
      <c r="MZW2" s="47"/>
      <c r="MZX2" s="47"/>
      <c r="MZY2" s="47"/>
      <c r="MZZ2" s="47"/>
      <c r="NAA2" s="47"/>
      <c r="NAB2" s="47"/>
      <c r="NAC2" s="47"/>
      <c r="NAD2" s="47"/>
      <c r="NAE2" s="47"/>
      <c r="NAF2" s="47"/>
      <c r="NAG2" s="47"/>
      <c r="NAH2" s="47"/>
      <c r="NAI2" s="47"/>
      <c r="NAJ2" s="47"/>
      <c r="NAK2" s="47"/>
      <c r="NAL2" s="47"/>
      <c r="NAM2" s="47"/>
      <c r="NAN2" s="47"/>
      <c r="NAO2" s="47"/>
      <c r="NAP2" s="47"/>
      <c r="NAQ2" s="47"/>
      <c r="NAR2" s="47"/>
      <c r="NAS2" s="47"/>
      <c r="NAT2" s="47"/>
      <c r="NAU2" s="47"/>
      <c r="NAV2" s="47"/>
      <c r="NAW2" s="47"/>
      <c r="NAX2" s="47"/>
      <c r="NAY2" s="47"/>
      <c r="NAZ2" s="47"/>
      <c r="NBA2" s="47"/>
      <c r="NBB2" s="47"/>
      <c r="NBC2" s="47"/>
      <c r="NBD2" s="47"/>
      <c r="NBE2" s="47"/>
      <c r="NBF2" s="47"/>
      <c r="NBG2" s="47"/>
      <c r="NBH2" s="47"/>
      <c r="NBI2" s="47"/>
      <c r="NBJ2" s="47"/>
      <c r="NBK2" s="47"/>
      <c r="NBL2" s="47"/>
      <c r="NBM2" s="47"/>
      <c r="NBN2" s="47"/>
      <c r="NBO2" s="47"/>
      <c r="NBP2" s="47"/>
      <c r="NBQ2" s="47"/>
      <c r="NBR2" s="47"/>
      <c r="NBS2" s="47"/>
      <c r="NBT2" s="47"/>
      <c r="NBU2" s="47"/>
      <c r="NBV2" s="47"/>
      <c r="NBW2" s="47"/>
      <c r="NBX2" s="47"/>
      <c r="NBY2" s="47"/>
      <c r="NBZ2" s="47"/>
      <c r="NCA2" s="47"/>
      <c r="NCB2" s="47"/>
      <c r="NCC2" s="47"/>
      <c r="NCD2" s="47"/>
      <c r="NCE2" s="47"/>
      <c r="NCF2" s="47"/>
      <c r="NCG2" s="47"/>
      <c r="NCH2" s="47"/>
      <c r="NCI2" s="47"/>
      <c r="NCJ2" s="47"/>
      <c r="NCK2" s="47"/>
      <c r="NCL2" s="47"/>
      <c r="NCM2" s="47"/>
      <c r="NCN2" s="47"/>
      <c r="NCO2" s="47"/>
      <c r="NCP2" s="47"/>
      <c r="NCQ2" s="47"/>
      <c r="NCR2" s="47"/>
      <c r="NCS2" s="47"/>
      <c r="NCT2" s="47"/>
      <c r="NCU2" s="47"/>
      <c r="NCV2" s="47"/>
      <c r="NCW2" s="47"/>
      <c r="NCX2" s="47"/>
      <c r="NCY2" s="47"/>
      <c r="NCZ2" s="47"/>
      <c r="NDA2" s="47"/>
      <c r="NDB2" s="47"/>
      <c r="NDC2" s="47"/>
      <c r="NDD2" s="47"/>
      <c r="NDE2" s="47"/>
      <c r="NDF2" s="47"/>
      <c r="NDG2" s="47"/>
      <c r="NDH2" s="47"/>
      <c r="NDI2" s="47"/>
      <c r="NDJ2" s="47"/>
      <c r="NDK2" s="47"/>
      <c r="NDL2" s="47"/>
      <c r="NDM2" s="47"/>
      <c r="NDN2" s="47"/>
      <c r="NDO2" s="47"/>
      <c r="NDP2" s="47"/>
      <c r="NDQ2" s="47"/>
      <c r="NDR2" s="47"/>
      <c r="NDS2" s="47"/>
      <c r="NDT2" s="47"/>
      <c r="NDU2" s="47"/>
      <c r="NDV2" s="47"/>
      <c r="NDW2" s="47"/>
      <c r="NDX2" s="47"/>
      <c r="NDY2" s="47"/>
      <c r="NDZ2" s="47"/>
      <c r="NEA2" s="47"/>
      <c r="NEB2" s="47"/>
      <c r="NEC2" s="47"/>
      <c r="NED2" s="47"/>
      <c r="NEE2" s="47"/>
      <c r="NEF2" s="47"/>
      <c r="NEG2" s="47"/>
      <c r="NEH2" s="47"/>
      <c r="NEI2" s="47"/>
      <c r="NEJ2" s="47"/>
      <c r="NEK2" s="47"/>
      <c r="NEL2" s="47"/>
      <c r="NEM2" s="47"/>
      <c r="NEN2" s="47"/>
      <c r="NEO2" s="47"/>
      <c r="NEP2" s="47"/>
      <c r="NEQ2" s="47"/>
      <c r="NER2" s="47"/>
      <c r="NES2" s="47"/>
      <c r="NET2" s="47"/>
      <c r="NEU2" s="47"/>
      <c r="NEV2" s="47"/>
      <c r="NEW2" s="47"/>
      <c r="NEX2" s="47"/>
      <c r="NEY2" s="47"/>
      <c r="NEZ2" s="47"/>
      <c r="NFA2" s="47"/>
      <c r="NFB2" s="47"/>
      <c r="NFC2" s="47"/>
      <c r="NFD2" s="47"/>
      <c r="NFE2" s="47"/>
      <c r="NFF2" s="47"/>
      <c r="NFG2" s="47"/>
      <c r="NFH2" s="47"/>
      <c r="NFI2" s="47"/>
      <c r="NFJ2" s="47"/>
      <c r="NFK2" s="47"/>
      <c r="NFL2" s="47"/>
      <c r="NFM2" s="47"/>
      <c r="NFN2" s="47"/>
      <c r="NFO2" s="47"/>
      <c r="NFP2" s="47"/>
      <c r="NFQ2" s="47"/>
      <c r="NFR2" s="47"/>
      <c r="NFS2" s="47"/>
      <c r="NFT2" s="47"/>
      <c r="NFU2" s="47"/>
      <c r="NFV2" s="47"/>
      <c r="NFW2" s="47"/>
      <c r="NFX2" s="47"/>
      <c r="NFY2" s="47"/>
      <c r="NFZ2" s="47"/>
      <c r="NGA2" s="47"/>
      <c r="NGB2" s="47"/>
      <c r="NGC2" s="47"/>
      <c r="NGD2" s="47"/>
      <c r="NGE2" s="47"/>
      <c r="NGF2" s="47"/>
      <c r="NGG2" s="47"/>
      <c r="NGH2" s="47"/>
      <c r="NGI2" s="47"/>
      <c r="NGJ2" s="47"/>
      <c r="NGK2" s="47"/>
      <c r="NGL2" s="47"/>
      <c r="NGM2" s="47"/>
      <c r="NGN2" s="47"/>
      <c r="NGO2" s="47"/>
      <c r="NGP2" s="47"/>
      <c r="NGQ2" s="47"/>
      <c r="NGR2" s="47"/>
      <c r="NGS2" s="47"/>
      <c r="NGT2" s="47"/>
      <c r="NGU2" s="47"/>
      <c r="NGV2" s="47"/>
      <c r="NGW2" s="47"/>
      <c r="NGX2" s="47"/>
      <c r="NGY2" s="47"/>
      <c r="NGZ2" s="47"/>
      <c r="NHA2" s="47"/>
      <c r="NHB2" s="47"/>
      <c r="NHC2" s="47"/>
      <c r="NHD2" s="47"/>
      <c r="NHE2" s="47"/>
      <c r="NHF2" s="47"/>
      <c r="NHG2" s="47"/>
      <c r="NHH2" s="47"/>
      <c r="NHI2" s="47"/>
      <c r="NHJ2" s="47"/>
      <c r="NHK2" s="47"/>
      <c r="NHL2" s="47"/>
      <c r="NHM2" s="47"/>
      <c r="NHN2" s="47"/>
      <c r="NHO2" s="47"/>
      <c r="NHP2" s="47"/>
      <c r="NHQ2" s="47"/>
      <c r="NHR2" s="47"/>
      <c r="NHS2" s="47"/>
      <c r="NHT2" s="47"/>
      <c r="NHU2" s="47"/>
      <c r="NHV2" s="47"/>
      <c r="NHW2" s="47"/>
      <c r="NHX2" s="47"/>
      <c r="NHY2" s="47"/>
      <c r="NHZ2" s="47"/>
      <c r="NIA2" s="47"/>
      <c r="NIB2" s="47"/>
      <c r="NIC2" s="47"/>
      <c r="NID2" s="47"/>
      <c r="NIE2" s="47"/>
      <c r="NIF2" s="47"/>
      <c r="NIG2" s="47"/>
      <c r="NIH2" s="47"/>
      <c r="NII2" s="47"/>
      <c r="NIJ2" s="47"/>
      <c r="NIK2" s="47"/>
      <c r="NIL2" s="47"/>
      <c r="NIM2" s="47"/>
      <c r="NIN2" s="47"/>
      <c r="NIO2" s="47"/>
      <c r="NIP2" s="47"/>
      <c r="NIQ2" s="47"/>
      <c r="NIR2" s="47"/>
      <c r="NIS2" s="47"/>
      <c r="NIT2" s="47"/>
      <c r="NIU2" s="47"/>
      <c r="NIV2" s="47"/>
      <c r="NIW2" s="47"/>
      <c r="NIX2" s="47"/>
      <c r="NIY2" s="47"/>
      <c r="NIZ2" s="47"/>
      <c r="NJA2" s="47"/>
      <c r="NJB2" s="47"/>
      <c r="NJC2" s="47"/>
      <c r="NJD2" s="47"/>
      <c r="NJE2" s="47"/>
      <c r="NJF2" s="47"/>
      <c r="NJG2" s="47"/>
      <c r="NJH2" s="47"/>
      <c r="NJI2" s="47"/>
      <c r="NJJ2" s="47"/>
      <c r="NJK2" s="47"/>
      <c r="NJL2" s="47"/>
      <c r="NJM2" s="47"/>
      <c r="NJN2" s="47"/>
      <c r="NJO2" s="47"/>
      <c r="NJP2" s="47"/>
      <c r="NJQ2" s="47"/>
      <c r="NJR2" s="47"/>
      <c r="NJS2" s="47"/>
      <c r="NJT2" s="47"/>
      <c r="NJU2" s="47"/>
      <c r="NJV2" s="47"/>
      <c r="NJW2" s="47"/>
      <c r="NJX2" s="47"/>
      <c r="NJY2" s="47"/>
      <c r="NJZ2" s="47"/>
      <c r="NKA2" s="47"/>
      <c r="NKB2" s="47"/>
      <c r="NKC2" s="47"/>
      <c r="NKD2" s="47"/>
      <c r="NKE2" s="47"/>
      <c r="NKF2" s="47"/>
      <c r="NKG2" s="47"/>
      <c r="NKH2" s="47"/>
      <c r="NKI2" s="47"/>
      <c r="NKJ2" s="47"/>
      <c r="NKK2" s="47"/>
      <c r="NKL2" s="47"/>
      <c r="NKM2" s="47"/>
      <c r="NKN2" s="47"/>
      <c r="NKO2" s="47"/>
      <c r="NKP2" s="47"/>
      <c r="NKQ2" s="47"/>
      <c r="NKR2" s="47"/>
      <c r="NKS2" s="47"/>
      <c r="NKT2" s="47"/>
      <c r="NKU2" s="47"/>
      <c r="NKV2" s="47"/>
      <c r="NKW2" s="47"/>
      <c r="NKX2" s="47"/>
      <c r="NKY2" s="47"/>
      <c r="NKZ2" s="47"/>
      <c r="NLA2" s="47"/>
      <c r="NLB2" s="47"/>
      <c r="NLC2" s="47"/>
      <c r="NLD2" s="47"/>
      <c r="NLE2" s="47"/>
      <c r="NLF2" s="47"/>
      <c r="NLG2" s="47"/>
      <c r="NLH2" s="47"/>
      <c r="NLI2" s="47"/>
      <c r="NLJ2" s="47"/>
      <c r="NLK2" s="47"/>
      <c r="NLL2" s="47"/>
      <c r="NLM2" s="47"/>
      <c r="NLN2" s="47"/>
      <c r="NLO2" s="47"/>
      <c r="NLP2" s="47"/>
      <c r="NLQ2" s="47"/>
      <c r="NLR2" s="47"/>
      <c r="NLS2" s="47"/>
      <c r="NLT2" s="47"/>
      <c r="NLU2" s="47"/>
      <c r="NLV2" s="47"/>
      <c r="NLW2" s="47"/>
      <c r="NLX2" s="47"/>
      <c r="NLY2" s="47"/>
      <c r="NLZ2" s="47"/>
      <c r="NMA2" s="47"/>
      <c r="NMB2" s="47"/>
      <c r="NMC2" s="47"/>
      <c r="NMD2" s="47"/>
      <c r="NME2" s="47"/>
      <c r="NMF2" s="47"/>
      <c r="NMG2" s="47"/>
      <c r="NMH2" s="47"/>
      <c r="NMI2" s="47"/>
      <c r="NMJ2" s="47"/>
      <c r="NMK2" s="47"/>
      <c r="NML2" s="47"/>
      <c r="NMM2" s="47"/>
      <c r="NMN2" s="47"/>
      <c r="NMO2" s="47"/>
      <c r="NMP2" s="47"/>
      <c r="NMQ2" s="47"/>
      <c r="NMR2" s="47"/>
      <c r="NMS2" s="47"/>
      <c r="NMT2" s="47"/>
      <c r="NMU2" s="47"/>
      <c r="NMV2" s="47"/>
      <c r="NMW2" s="47"/>
      <c r="NMX2" s="47"/>
      <c r="NMY2" s="47"/>
      <c r="NMZ2" s="47"/>
      <c r="NNA2" s="47"/>
      <c r="NNB2" s="47"/>
      <c r="NNC2" s="47"/>
      <c r="NND2" s="47"/>
      <c r="NNE2" s="47"/>
      <c r="NNF2" s="47"/>
      <c r="NNG2" s="47"/>
      <c r="NNH2" s="47"/>
      <c r="NNI2" s="47"/>
      <c r="NNJ2" s="47"/>
      <c r="NNK2" s="47"/>
      <c r="NNL2" s="47"/>
      <c r="NNM2" s="47"/>
      <c r="NNN2" s="47"/>
      <c r="NNO2" s="47"/>
      <c r="NNP2" s="47"/>
      <c r="NNQ2" s="47"/>
      <c r="NNR2" s="47"/>
      <c r="NNS2" s="47"/>
      <c r="NNT2" s="47"/>
      <c r="NNU2" s="47"/>
      <c r="NNV2" s="47"/>
      <c r="NNW2" s="47"/>
      <c r="NNX2" s="47"/>
      <c r="NNY2" s="47"/>
      <c r="NNZ2" s="47"/>
      <c r="NOA2" s="47"/>
      <c r="NOB2" s="47"/>
      <c r="NOC2" s="47"/>
      <c r="NOD2" s="47"/>
      <c r="NOE2" s="47"/>
      <c r="NOF2" s="47"/>
      <c r="NOG2" s="47"/>
      <c r="NOH2" s="47"/>
      <c r="NOI2" s="47"/>
      <c r="NOJ2" s="47"/>
      <c r="NOK2" s="47"/>
      <c r="NOL2" s="47"/>
      <c r="NOM2" s="47"/>
      <c r="NON2" s="47"/>
      <c r="NOO2" s="47"/>
      <c r="NOP2" s="47"/>
      <c r="NOQ2" s="47"/>
      <c r="NOR2" s="47"/>
      <c r="NOS2" s="47"/>
      <c r="NOT2" s="47"/>
      <c r="NOU2" s="47"/>
      <c r="NOV2" s="47"/>
      <c r="NOW2" s="47"/>
      <c r="NOX2" s="47"/>
      <c r="NOY2" s="47"/>
      <c r="NOZ2" s="47"/>
      <c r="NPA2" s="47"/>
      <c r="NPB2" s="47"/>
      <c r="NPC2" s="47"/>
      <c r="NPD2" s="47"/>
      <c r="NPE2" s="47"/>
      <c r="NPF2" s="47"/>
      <c r="NPG2" s="47"/>
      <c r="NPH2" s="47"/>
      <c r="NPI2" s="47"/>
      <c r="NPJ2" s="47"/>
      <c r="NPK2" s="47"/>
      <c r="NPL2" s="47"/>
      <c r="NPM2" s="47"/>
      <c r="NPN2" s="47"/>
      <c r="NPO2" s="47"/>
      <c r="NPP2" s="47"/>
      <c r="NPQ2" s="47"/>
      <c r="NPR2" s="47"/>
      <c r="NPS2" s="47"/>
      <c r="NPT2" s="47"/>
      <c r="NPU2" s="47"/>
      <c r="NPV2" s="47"/>
      <c r="NPW2" s="47"/>
      <c r="NPX2" s="47"/>
      <c r="NPY2" s="47"/>
      <c r="NPZ2" s="47"/>
      <c r="NQA2" s="47"/>
      <c r="NQB2" s="47"/>
      <c r="NQC2" s="47"/>
      <c r="NQD2" s="47"/>
      <c r="NQE2" s="47"/>
      <c r="NQF2" s="47"/>
      <c r="NQG2" s="47"/>
      <c r="NQH2" s="47"/>
      <c r="NQI2" s="47"/>
      <c r="NQJ2" s="47"/>
      <c r="NQK2" s="47"/>
      <c r="NQL2" s="47"/>
      <c r="NQM2" s="47"/>
      <c r="NQN2" s="47"/>
      <c r="NQO2" s="47"/>
      <c r="NQP2" s="47"/>
      <c r="NQQ2" s="47"/>
      <c r="NQR2" s="47"/>
      <c r="NQS2" s="47"/>
      <c r="NQT2" s="47"/>
      <c r="NQU2" s="47"/>
      <c r="NQV2" s="47"/>
      <c r="NQW2" s="47"/>
      <c r="NQX2" s="47"/>
      <c r="NQY2" s="47"/>
      <c r="NQZ2" s="47"/>
      <c r="NRA2" s="47"/>
      <c r="NRB2" s="47"/>
      <c r="NRC2" s="47"/>
      <c r="NRD2" s="47"/>
      <c r="NRE2" s="47"/>
      <c r="NRF2" s="47"/>
      <c r="NRG2" s="47"/>
      <c r="NRH2" s="47"/>
      <c r="NRI2" s="47"/>
      <c r="NRJ2" s="47"/>
      <c r="NRK2" s="47"/>
      <c r="NRL2" s="47"/>
      <c r="NRM2" s="47"/>
      <c r="NRN2" s="47"/>
      <c r="NRO2" s="47"/>
      <c r="NRP2" s="47"/>
      <c r="NRQ2" s="47"/>
      <c r="NRR2" s="47"/>
      <c r="NRS2" s="47"/>
      <c r="NRT2" s="47"/>
      <c r="NRU2" s="47"/>
      <c r="NRV2" s="47"/>
      <c r="NRW2" s="47"/>
      <c r="NRX2" s="47"/>
      <c r="NRY2" s="47"/>
      <c r="NRZ2" s="47"/>
      <c r="NSA2" s="47"/>
      <c r="NSB2" s="47"/>
      <c r="NSC2" s="47"/>
      <c r="NSD2" s="47"/>
      <c r="NSE2" s="47"/>
      <c r="NSF2" s="47"/>
      <c r="NSG2" s="47"/>
      <c r="NSH2" s="47"/>
      <c r="NSI2" s="47"/>
      <c r="NSJ2" s="47"/>
      <c r="NSK2" s="47"/>
      <c r="NSL2" s="47"/>
      <c r="NSM2" s="47"/>
      <c r="NSN2" s="47"/>
      <c r="NSO2" s="47"/>
      <c r="NSP2" s="47"/>
      <c r="NSQ2" s="47"/>
      <c r="NSR2" s="47"/>
      <c r="NSS2" s="47"/>
      <c r="NST2" s="47"/>
      <c r="NSU2" s="47"/>
      <c r="NSV2" s="47"/>
      <c r="NSW2" s="47"/>
      <c r="NSX2" s="47"/>
      <c r="NSY2" s="47"/>
      <c r="NSZ2" s="47"/>
      <c r="NTA2" s="47"/>
      <c r="NTB2" s="47"/>
      <c r="NTC2" s="47"/>
      <c r="NTD2" s="47"/>
      <c r="NTE2" s="47"/>
      <c r="NTF2" s="47"/>
      <c r="NTG2" s="47"/>
      <c r="NTH2" s="47"/>
      <c r="NTI2" s="47"/>
      <c r="NTJ2" s="47"/>
      <c r="NTK2" s="47"/>
      <c r="NTL2" s="47"/>
      <c r="NTM2" s="47"/>
      <c r="NTN2" s="47"/>
      <c r="NTO2" s="47"/>
      <c r="NTP2" s="47"/>
      <c r="NTQ2" s="47"/>
      <c r="NTR2" s="47"/>
      <c r="NTS2" s="47"/>
      <c r="NTT2" s="47"/>
      <c r="NTU2" s="47"/>
      <c r="NTV2" s="47"/>
      <c r="NTW2" s="47"/>
      <c r="NTX2" s="47"/>
      <c r="NTY2" s="47"/>
      <c r="NTZ2" s="47"/>
      <c r="NUA2" s="47"/>
      <c r="NUB2" s="47"/>
      <c r="NUC2" s="47"/>
      <c r="NUD2" s="47"/>
      <c r="NUE2" s="47"/>
      <c r="NUF2" s="47"/>
      <c r="NUG2" s="47"/>
      <c r="NUH2" s="47"/>
      <c r="NUI2" s="47"/>
      <c r="NUJ2" s="47"/>
      <c r="NUK2" s="47"/>
      <c r="NUL2" s="47"/>
      <c r="NUM2" s="47"/>
      <c r="NUN2" s="47"/>
      <c r="NUO2" s="47"/>
      <c r="NUP2" s="47"/>
      <c r="NUQ2" s="47"/>
      <c r="NUR2" s="47"/>
      <c r="NUS2" s="47"/>
      <c r="NUT2" s="47"/>
      <c r="NUU2" s="47"/>
      <c r="NUV2" s="47"/>
      <c r="NUW2" s="47"/>
      <c r="NUX2" s="47"/>
      <c r="NUY2" s="47"/>
      <c r="NUZ2" s="47"/>
      <c r="NVA2" s="47"/>
      <c r="NVB2" s="47"/>
      <c r="NVC2" s="47"/>
      <c r="NVD2" s="47"/>
      <c r="NVE2" s="47"/>
      <c r="NVF2" s="47"/>
      <c r="NVG2" s="47"/>
      <c r="NVH2" s="47"/>
      <c r="NVI2" s="47"/>
      <c r="NVJ2" s="47"/>
      <c r="NVK2" s="47"/>
      <c r="NVL2" s="47"/>
      <c r="NVM2" s="47"/>
      <c r="NVN2" s="47"/>
      <c r="NVO2" s="47"/>
      <c r="NVP2" s="47"/>
      <c r="NVQ2" s="47"/>
      <c r="NVR2" s="47"/>
      <c r="NVS2" s="47"/>
      <c r="NVT2" s="47"/>
      <c r="NVU2" s="47"/>
      <c r="NVV2" s="47"/>
      <c r="NVW2" s="47"/>
      <c r="NVX2" s="47"/>
      <c r="NVY2" s="47"/>
      <c r="NVZ2" s="47"/>
      <c r="NWA2" s="47"/>
      <c r="NWB2" s="47"/>
      <c r="NWC2" s="47"/>
      <c r="NWD2" s="47"/>
      <c r="NWE2" s="47"/>
      <c r="NWF2" s="47"/>
      <c r="NWG2" s="47"/>
      <c r="NWH2" s="47"/>
      <c r="NWI2" s="47"/>
      <c r="NWJ2" s="47"/>
      <c r="NWK2" s="47"/>
      <c r="NWL2" s="47"/>
      <c r="NWM2" s="47"/>
      <c r="NWN2" s="47"/>
      <c r="NWO2" s="47"/>
      <c r="NWP2" s="47"/>
      <c r="NWQ2" s="47"/>
      <c r="NWR2" s="47"/>
      <c r="NWS2" s="47"/>
      <c r="NWT2" s="47"/>
      <c r="NWU2" s="47"/>
      <c r="NWV2" s="47"/>
      <c r="NWW2" s="47"/>
      <c r="NWX2" s="47"/>
      <c r="NWY2" s="47"/>
      <c r="NWZ2" s="47"/>
      <c r="NXA2" s="47"/>
      <c r="NXB2" s="47"/>
      <c r="NXC2" s="47"/>
      <c r="NXD2" s="47"/>
      <c r="NXE2" s="47"/>
      <c r="NXF2" s="47"/>
      <c r="NXG2" s="47"/>
      <c r="NXH2" s="47"/>
      <c r="NXI2" s="47"/>
      <c r="NXJ2" s="47"/>
      <c r="NXK2" s="47"/>
      <c r="NXL2" s="47"/>
      <c r="NXM2" s="47"/>
      <c r="NXN2" s="47"/>
      <c r="NXO2" s="47"/>
      <c r="NXP2" s="47"/>
      <c r="NXQ2" s="47"/>
      <c r="NXR2" s="47"/>
      <c r="NXS2" s="47"/>
      <c r="NXT2" s="47"/>
      <c r="NXU2" s="47"/>
      <c r="NXV2" s="47"/>
      <c r="NXW2" s="47"/>
      <c r="NXX2" s="47"/>
      <c r="NXY2" s="47"/>
      <c r="NXZ2" s="47"/>
      <c r="NYA2" s="47"/>
      <c r="NYB2" s="47"/>
      <c r="NYC2" s="47"/>
      <c r="NYD2" s="47"/>
      <c r="NYE2" s="47"/>
      <c r="NYF2" s="47"/>
      <c r="NYG2" s="47"/>
      <c r="NYH2" s="47"/>
      <c r="NYI2" s="47"/>
      <c r="NYJ2" s="47"/>
      <c r="NYK2" s="47"/>
      <c r="NYL2" s="47"/>
      <c r="NYM2" s="47"/>
      <c r="NYN2" s="47"/>
      <c r="NYO2" s="47"/>
      <c r="NYP2" s="47"/>
      <c r="NYQ2" s="47"/>
      <c r="NYR2" s="47"/>
      <c r="NYS2" s="47"/>
      <c r="NYT2" s="47"/>
      <c r="NYU2" s="47"/>
      <c r="NYV2" s="47"/>
      <c r="NYW2" s="47"/>
      <c r="NYX2" s="47"/>
      <c r="NYY2" s="47"/>
      <c r="NYZ2" s="47"/>
      <c r="NZA2" s="47"/>
      <c r="NZB2" s="47"/>
      <c r="NZC2" s="47"/>
      <c r="NZD2" s="47"/>
      <c r="NZE2" s="47"/>
      <c r="NZF2" s="47"/>
      <c r="NZG2" s="47"/>
      <c r="NZH2" s="47"/>
      <c r="NZI2" s="47"/>
      <c r="NZJ2" s="47"/>
      <c r="NZK2" s="47"/>
      <c r="NZL2" s="47"/>
      <c r="NZM2" s="47"/>
      <c r="NZN2" s="47"/>
      <c r="NZO2" s="47"/>
      <c r="NZP2" s="47"/>
      <c r="NZQ2" s="47"/>
      <c r="NZR2" s="47"/>
      <c r="NZS2" s="47"/>
      <c r="NZT2" s="47"/>
      <c r="NZU2" s="47"/>
      <c r="NZV2" s="47"/>
      <c r="NZW2" s="47"/>
      <c r="NZX2" s="47"/>
      <c r="NZY2" s="47"/>
      <c r="NZZ2" s="47"/>
      <c r="OAA2" s="47"/>
      <c r="OAB2" s="47"/>
      <c r="OAC2" s="47"/>
      <c r="OAD2" s="47"/>
      <c r="OAE2" s="47"/>
      <c r="OAF2" s="47"/>
      <c r="OAG2" s="47"/>
      <c r="OAH2" s="47"/>
      <c r="OAI2" s="47"/>
      <c r="OAJ2" s="47"/>
      <c r="OAK2" s="47"/>
      <c r="OAL2" s="47"/>
      <c r="OAM2" s="47"/>
      <c r="OAN2" s="47"/>
      <c r="OAO2" s="47"/>
      <c r="OAP2" s="47"/>
      <c r="OAQ2" s="47"/>
      <c r="OAR2" s="47"/>
      <c r="OAS2" s="47"/>
      <c r="OAT2" s="47"/>
      <c r="OAU2" s="47"/>
      <c r="OAV2" s="47"/>
      <c r="OAW2" s="47"/>
      <c r="OAX2" s="47"/>
      <c r="OAY2" s="47"/>
      <c r="OAZ2" s="47"/>
      <c r="OBA2" s="47"/>
      <c r="OBB2" s="47"/>
      <c r="OBC2" s="47"/>
      <c r="OBD2" s="47"/>
      <c r="OBE2" s="47"/>
      <c r="OBF2" s="47"/>
      <c r="OBG2" s="47"/>
      <c r="OBH2" s="47"/>
      <c r="OBI2" s="47"/>
      <c r="OBJ2" s="47"/>
      <c r="OBK2" s="47"/>
      <c r="OBL2" s="47"/>
      <c r="OBM2" s="47"/>
      <c r="OBN2" s="47"/>
      <c r="OBO2" s="47"/>
      <c r="OBP2" s="47"/>
      <c r="OBQ2" s="47"/>
      <c r="OBR2" s="47"/>
      <c r="OBS2" s="47"/>
      <c r="OBT2" s="47"/>
      <c r="OBU2" s="47"/>
      <c r="OBV2" s="47"/>
      <c r="OBW2" s="47"/>
      <c r="OBX2" s="47"/>
      <c r="OBY2" s="47"/>
      <c r="OBZ2" s="47"/>
      <c r="OCA2" s="47"/>
      <c r="OCB2" s="47"/>
      <c r="OCC2" s="47"/>
      <c r="OCD2" s="47"/>
      <c r="OCE2" s="47"/>
      <c r="OCF2" s="47"/>
      <c r="OCG2" s="47"/>
      <c r="OCH2" s="47"/>
      <c r="OCI2" s="47"/>
      <c r="OCJ2" s="47"/>
      <c r="OCK2" s="47"/>
      <c r="OCL2" s="47"/>
      <c r="OCM2" s="47"/>
      <c r="OCN2" s="47"/>
      <c r="OCO2" s="47"/>
      <c r="OCP2" s="47"/>
      <c r="OCQ2" s="47"/>
      <c r="OCR2" s="47"/>
      <c r="OCS2" s="47"/>
      <c r="OCT2" s="47"/>
      <c r="OCU2" s="47"/>
      <c r="OCV2" s="47"/>
      <c r="OCW2" s="47"/>
      <c r="OCX2" s="47"/>
      <c r="OCY2" s="47"/>
      <c r="OCZ2" s="47"/>
      <c r="ODA2" s="47"/>
      <c r="ODB2" s="47"/>
      <c r="ODC2" s="47"/>
      <c r="ODD2" s="47"/>
      <c r="ODE2" s="47"/>
      <c r="ODF2" s="47"/>
      <c r="ODG2" s="47"/>
      <c r="ODH2" s="47"/>
      <c r="ODI2" s="47"/>
      <c r="ODJ2" s="47"/>
      <c r="ODK2" s="47"/>
      <c r="ODL2" s="47"/>
      <c r="ODM2" s="47"/>
      <c r="ODN2" s="47"/>
      <c r="ODO2" s="47"/>
      <c r="ODP2" s="47"/>
      <c r="ODQ2" s="47"/>
      <c r="ODR2" s="47"/>
      <c r="ODS2" s="47"/>
      <c r="ODT2" s="47"/>
      <c r="ODU2" s="47"/>
      <c r="ODV2" s="47"/>
      <c r="ODW2" s="47"/>
      <c r="ODX2" s="47"/>
      <c r="ODY2" s="47"/>
      <c r="ODZ2" s="47"/>
      <c r="OEA2" s="47"/>
      <c r="OEB2" s="47"/>
      <c r="OEC2" s="47"/>
      <c r="OED2" s="47"/>
      <c r="OEE2" s="47"/>
      <c r="OEF2" s="47"/>
      <c r="OEG2" s="47"/>
      <c r="OEH2" s="47"/>
      <c r="OEI2" s="47"/>
      <c r="OEJ2" s="47"/>
      <c r="OEK2" s="47"/>
      <c r="OEL2" s="47"/>
      <c r="OEM2" s="47"/>
      <c r="OEN2" s="47"/>
      <c r="OEO2" s="47"/>
      <c r="OEP2" s="47"/>
      <c r="OEQ2" s="47"/>
      <c r="OER2" s="47"/>
      <c r="OES2" s="47"/>
      <c r="OET2" s="47"/>
      <c r="OEU2" s="47"/>
      <c r="OEV2" s="47"/>
      <c r="OEW2" s="47"/>
      <c r="OEX2" s="47"/>
      <c r="OEY2" s="47"/>
      <c r="OEZ2" s="47"/>
      <c r="OFA2" s="47"/>
      <c r="OFB2" s="47"/>
      <c r="OFC2" s="47"/>
      <c r="OFD2" s="47"/>
      <c r="OFE2" s="47"/>
      <c r="OFF2" s="47"/>
      <c r="OFG2" s="47"/>
      <c r="OFH2" s="47"/>
      <c r="OFI2" s="47"/>
      <c r="OFJ2" s="47"/>
      <c r="OFK2" s="47"/>
      <c r="OFL2" s="47"/>
      <c r="OFM2" s="47"/>
      <c r="OFN2" s="47"/>
      <c r="OFO2" s="47"/>
      <c r="OFP2" s="47"/>
      <c r="OFQ2" s="47"/>
      <c r="OFR2" s="47"/>
      <c r="OFS2" s="47"/>
      <c r="OFT2" s="47"/>
      <c r="OFU2" s="47"/>
      <c r="OFV2" s="47"/>
      <c r="OFW2" s="47"/>
      <c r="OFX2" s="47"/>
      <c r="OFY2" s="47"/>
      <c r="OFZ2" s="47"/>
      <c r="OGA2" s="47"/>
      <c r="OGB2" s="47"/>
      <c r="OGC2" s="47"/>
      <c r="OGD2" s="47"/>
      <c r="OGE2" s="47"/>
      <c r="OGF2" s="47"/>
      <c r="OGG2" s="47"/>
      <c r="OGH2" s="47"/>
      <c r="OGI2" s="47"/>
      <c r="OGJ2" s="47"/>
      <c r="OGK2" s="47"/>
      <c r="OGL2" s="47"/>
      <c r="OGM2" s="47"/>
      <c r="OGN2" s="47"/>
      <c r="OGO2" s="47"/>
      <c r="OGP2" s="47"/>
      <c r="OGQ2" s="47"/>
      <c r="OGR2" s="47"/>
      <c r="OGS2" s="47"/>
      <c r="OGT2" s="47"/>
      <c r="OGU2" s="47"/>
      <c r="OGV2" s="47"/>
      <c r="OGW2" s="47"/>
      <c r="OGX2" s="47"/>
      <c r="OGY2" s="47"/>
      <c r="OGZ2" s="47"/>
      <c r="OHA2" s="47"/>
      <c r="OHB2" s="47"/>
      <c r="OHC2" s="47"/>
      <c r="OHD2" s="47"/>
      <c r="OHE2" s="47"/>
      <c r="OHF2" s="47"/>
      <c r="OHG2" s="47"/>
      <c r="OHH2" s="47"/>
      <c r="OHI2" s="47"/>
      <c r="OHJ2" s="47"/>
      <c r="OHK2" s="47"/>
      <c r="OHL2" s="47"/>
      <c r="OHM2" s="47"/>
      <c r="OHN2" s="47"/>
      <c r="OHO2" s="47"/>
      <c r="OHP2" s="47"/>
      <c r="OHQ2" s="47"/>
      <c r="OHR2" s="47"/>
      <c r="OHS2" s="47"/>
      <c r="OHT2" s="47"/>
      <c r="OHU2" s="47"/>
      <c r="OHV2" s="47"/>
      <c r="OHW2" s="47"/>
      <c r="OHX2" s="47"/>
      <c r="OHY2" s="47"/>
      <c r="OHZ2" s="47"/>
      <c r="OIA2" s="47"/>
      <c r="OIB2" s="47"/>
      <c r="OIC2" s="47"/>
      <c r="OID2" s="47"/>
      <c r="OIE2" s="47"/>
      <c r="OIF2" s="47"/>
      <c r="OIG2" s="47"/>
      <c r="OIH2" s="47"/>
      <c r="OII2" s="47"/>
      <c r="OIJ2" s="47"/>
      <c r="OIK2" s="47"/>
      <c r="OIL2" s="47"/>
      <c r="OIM2" s="47"/>
      <c r="OIN2" s="47"/>
      <c r="OIO2" s="47"/>
      <c r="OIP2" s="47"/>
      <c r="OIQ2" s="47"/>
      <c r="OIR2" s="47"/>
      <c r="OIS2" s="47"/>
      <c r="OIT2" s="47"/>
      <c r="OIU2" s="47"/>
      <c r="OIV2" s="47"/>
      <c r="OIW2" s="47"/>
      <c r="OIX2" s="47"/>
      <c r="OIY2" s="47"/>
      <c r="OIZ2" s="47"/>
      <c r="OJA2" s="47"/>
      <c r="OJB2" s="47"/>
      <c r="OJC2" s="47"/>
      <c r="OJD2" s="47"/>
      <c r="OJE2" s="47"/>
      <c r="OJF2" s="47"/>
      <c r="OJG2" s="47"/>
      <c r="OJH2" s="47"/>
      <c r="OJI2" s="47"/>
      <c r="OJJ2" s="47"/>
      <c r="OJK2" s="47"/>
      <c r="OJL2" s="47"/>
      <c r="OJM2" s="47"/>
      <c r="OJN2" s="47"/>
      <c r="OJO2" s="47"/>
      <c r="OJP2" s="47"/>
      <c r="OJQ2" s="47"/>
      <c r="OJR2" s="47"/>
      <c r="OJS2" s="47"/>
      <c r="OJT2" s="47"/>
      <c r="OJU2" s="47"/>
      <c r="OJV2" s="47"/>
      <c r="OJW2" s="47"/>
      <c r="OJX2" s="47"/>
      <c r="OJY2" s="47"/>
      <c r="OJZ2" s="47"/>
      <c r="OKA2" s="47"/>
      <c r="OKB2" s="47"/>
      <c r="OKC2" s="47"/>
      <c r="OKD2" s="47"/>
      <c r="OKE2" s="47"/>
      <c r="OKF2" s="47"/>
      <c r="OKG2" s="47"/>
      <c r="OKH2" s="47"/>
      <c r="OKI2" s="47"/>
      <c r="OKJ2" s="47"/>
      <c r="OKK2" s="47"/>
      <c r="OKL2" s="47"/>
      <c r="OKM2" s="47"/>
      <c r="OKN2" s="47"/>
      <c r="OKO2" s="47"/>
      <c r="OKP2" s="47"/>
      <c r="OKQ2" s="47"/>
      <c r="OKR2" s="47"/>
      <c r="OKS2" s="47"/>
      <c r="OKT2" s="47"/>
      <c r="OKU2" s="47"/>
      <c r="OKV2" s="47"/>
      <c r="OKW2" s="47"/>
      <c r="OKX2" s="47"/>
      <c r="OKY2" s="47"/>
      <c r="OKZ2" s="47"/>
      <c r="OLA2" s="47"/>
      <c r="OLB2" s="47"/>
      <c r="OLC2" s="47"/>
      <c r="OLD2" s="47"/>
      <c r="OLE2" s="47"/>
      <c r="OLF2" s="47"/>
      <c r="OLG2" s="47"/>
      <c r="OLH2" s="47"/>
      <c r="OLI2" s="47"/>
      <c r="OLJ2" s="47"/>
      <c r="OLK2" s="47"/>
      <c r="OLL2" s="47"/>
      <c r="OLM2" s="47"/>
      <c r="OLN2" s="47"/>
      <c r="OLO2" s="47"/>
      <c r="OLP2" s="47"/>
      <c r="OLQ2" s="47"/>
      <c r="OLR2" s="47"/>
      <c r="OLS2" s="47"/>
      <c r="OLT2" s="47"/>
      <c r="OLU2" s="47"/>
      <c r="OLV2" s="47"/>
      <c r="OLW2" s="47"/>
      <c r="OLX2" s="47"/>
      <c r="OLY2" s="47"/>
      <c r="OLZ2" s="47"/>
      <c r="OMA2" s="47"/>
      <c r="OMB2" s="47"/>
      <c r="OMC2" s="47"/>
      <c r="OMD2" s="47"/>
      <c r="OME2" s="47"/>
      <c r="OMF2" s="47"/>
      <c r="OMG2" s="47"/>
      <c r="OMH2" s="47"/>
      <c r="OMI2" s="47"/>
      <c r="OMJ2" s="47"/>
      <c r="OMK2" s="47"/>
      <c r="OML2" s="47"/>
      <c r="OMM2" s="47"/>
      <c r="OMN2" s="47"/>
      <c r="OMO2" s="47"/>
      <c r="OMP2" s="47"/>
      <c r="OMQ2" s="47"/>
      <c r="OMR2" s="47"/>
      <c r="OMS2" s="47"/>
      <c r="OMT2" s="47"/>
      <c r="OMU2" s="47"/>
      <c r="OMV2" s="47"/>
      <c r="OMW2" s="47"/>
      <c r="OMX2" s="47"/>
      <c r="OMY2" s="47"/>
      <c r="OMZ2" s="47"/>
      <c r="ONA2" s="47"/>
      <c r="ONB2" s="47"/>
      <c r="ONC2" s="47"/>
      <c r="OND2" s="47"/>
      <c r="ONE2" s="47"/>
      <c r="ONF2" s="47"/>
      <c r="ONG2" s="47"/>
      <c r="ONH2" s="47"/>
      <c r="ONI2" s="47"/>
      <c r="ONJ2" s="47"/>
      <c r="ONK2" s="47"/>
      <c r="ONL2" s="47"/>
      <c r="ONM2" s="47"/>
      <c r="ONN2" s="47"/>
      <c r="ONO2" s="47"/>
      <c r="ONP2" s="47"/>
      <c r="ONQ2" s="47"/>
      <c r="ONR2" s="47"/>
      <c r="ONS2" s="47"/>
      <c r="ONT2" s="47"/>
      <c r="ONU2" s="47"/>
      <c r="ONV2" s="47"/>
      <c r="ONW2" s="47"/>
      <c r="ONX2" s="47"/>
      <c r="ONY2" s="47"/>
      <c r="ONZ2" s="47"/>
      <c r="OOA2" s="47"/>
      <c r="OOB2" s="47"/>
      <c r="OOC2" s="47"/>
      <c r="OOD2" s="47"/>
      <c r="OOE2" s="47"/>
      <c r="OOF2" s="47"/>
      <c r="OOG2" s="47"/>
      <c r="OOH2" s="47"/>
      <c r="OOI2" s="47"/>
      <c r="OOJ2" s="47"/>
      <c r="OOK2" s="47"/>
      <c r="OOL2" s="47"/>
      <c r="OOM2" s="47"/>
      <c r="OON2" s="47"/>
      <c r="OOO2" s="47"/>
      <c r="OOP2" s="47"/>
      <c r="OOQ2" s="47"/>
      <c r="OOR2" s="47"/>
      <c r="OOS2" s="47"/>
      <c r="OOT2" s="47"/>
      <c r="OOU2" s="47"/>
      <c r="OOV2" s="47"/>
      <c r="OOW2" s="47"/>
      <c r="OOX2" s="47"/>
      <c r="OOY2" s="47"/>
      <c r="OOZ2" s="47"/>
      <c r="OPA2" s="47"/>
      <c r="OPB2" s="47"/>
      <c r="OPC2" s="47"/>
      <c r="OPD2" s="47"/>
      <c r="OPE2" s="47"/>
      <c r="OPF2" s="47"/>
      <c r="OPG2" s="47"/>
      <c r="OPH2" s="47"/>
      <c r="OPI2" s="47"/>
      <c r="OPJ2" s="47"/>
      <c r="OPK2" s="47"/>
      <c r="OPL2" s="47"/>
      <c r="OPM2" s="47"/>
      <c r="OPN2" s="47"/>
      <c r="OPO2" s="47"/>
      <c r="OPP2" s="47"/>
      <c r="OPQ2" s="47"/>
      <c r="OPR2" s="47"/>
      <c r="OPS2" s="47"/>
      <c r="OPT2" s="47"/>
      <c r="OPU2" s="47"/>
      <c r="OPV2" s="47"/>
      <c r="OPW2" s="47"/>
      <c r="OPX2" s="47"/>
      <c r="OPY2" s="47"/>
      <c r="OPZ2" s="47"/>
      <c r="OQA2" s="47"/>
      <c r="OQB2" s="47"/>
      <c r="OQC2" s="47"/>
      <c r="OQD2" s="47"/>
      <c r="OQE2" s="47"/>
      <c r="OQF2" s="47"/>
      <c r="OQG2" s="47"/>
      <c r="OQH2" s="47"/>
      <c r="OQI2" s="47"/>
      <c r="OQJ2" s="47"/>
      <c r="OQK2" s="47"/>
      <c r="OQL2" s="47"/>
      <c r="OQM2" s="47"/>
      <c r="OQN2" s="47"/>
      <c r="OQO2" s="47"/>
      <c r="OQP2" s="47"/>
      <c r="OQQ2" s="47"/>
      <c r="OQR2" s="47"/>
      <c r="OQS2" s="47"/>
      <c r="OQT2" s="47"/>
      <c r="OQU2" s="47"/>
      <c r="OQV2" s="47"/>
      <c r="OQW2" s="47"/>
      <c r="OQX2" s="47"/>
      <c r="OQY2" s="47"/>
      <c r="OQZ2" s="47"/>
      <c r="ORA2" s="47"/>
      <c r="ORB2" s="47"/>
      <c r="ORC2" s="47"/>
      <c r="ORD2" s="47"/>
      <c r="ORE2" s="47"/>
      <c r="ORF2" s="47"/>
      <c r="ORG2" s="47"/>
      <c r="ORH2" s="47"/>
      <c r="ORI2" s="47"/>
      <c r="ORJ2" s="47"/>
      <c r="ORK2" s="47"/>
      <c r="ORL2" s="47"/>
      <c r="ORM2" s="47"/>
      <c r="ORN2" s="47"/>
      <c r="ORO2" s="47"/>
      <c r="ORP2" s="47"/>
      <c r="ORQ2" s="47"/>
      <c r="ORR2" s="47"/>
      <c r="ORS2" s="47"/>
      <c r="ORT2" s="47"/>
      <c r="ORU2" s="47"/>
      <c r="ORV2" s="47"/>
      <c r="ORW2" s="47"/>
      <c r="ORX2" s="47"/>
      <c r="ORY2" s="47"/>
      <c r="ORZ2" s="47"/>
      <c r="OSA2" s="47"/>
      <c r="OSB2" s="47"/>
      <c r="OSC2" s="47"/>
      <c r="OSD2" s="47"/>
      <c r="OSE2" s="47"/>
      <c r="OSF2" s="47"/>
      <c r="OSG2" s="47"/>
      <c r="OSH2" s="47"/>
      <c r="OSI2" s="47"/>
      <c r="OSJ2" s="47"/>
      <c r="OSK2" s="47"/>
      <c r="OSL2" s="47"/>
      <c r="OSM2" s="47"/>
      <c r="OSN2" s="47"/>
      <c r="OSO2" s="47"/>
      <c r="OSP2" s="47"/>
      <c r="OSQ2" s="47"/>
      <c r="OSR2" s="47"/>
      <c r="OSS2" s="47"/>
      <c r="OST2" s="47"/>
      <c r="OSU2" s="47"/>
      <c r="OSV2" s="47"/>
      <c r="OSW2" s="47"/>
      <c r="OSX2" s="47"/>
      <c r="OSY2" s="47"/>
      <c r="OSZ2" s="47"/>
      <c r="OTA2" s="47"/>
      <c r="OTB2" s="47"/>
      <c r="OTC2" s="47"/>
      <c r="OTD2" s="47"/>
      <c r="OTE2" s="47"/>
      <c r="OTF2" s="47"/>
      <c r="OTG2" s="47"/>
      <c r="OTH2" s="47"/>
      <c r="OTI2" s="47"/>
      <c r="OTJ2" s="47"/>
      <c r="OTK2" s="47"/>
      <c r="OTL2" s="47"/>
      <c r="OTM2" s="47"/>
      <c r="OTN2" s="47"/>
      <c r="OTO2" s="47"/>
      <c r="OTP2" s="47"/>
      <c r="OTQ2" s="47"/>
      <c r="OTR2" s="47"/>
      <c r="OTS2" s="47"/>
      <c r="OTT2" s="47"/>
      <c r="OTU2" s="47"/>
      <c r="OTV2" s="47"/>
      <c r="OTW2" s="47"/>
      <c r="OTX2" s="47"/>
      <c r="OTY2" s="47"/>
      <c r="OTZ2" s="47"/>
      <c r="OUA2" s="47"/>
      <c r="OUB2" s="47"/>
      <c r="OUC2" s="47"/>
      <c r="OUD2" s="47"/>
      <c r="OUE2" s="47"/>
      <c r="OUF2" s="47"/>
      <c r="OUG2" s="47"/>
      <c r="OUH2" s="47"/>
      <c r="OUI2" s="47"/>
      <c r="OUJ2" s="47"/>
      <c r="OUK2" s="47"/>
      <c r="OUL2" s="47"/>
      <c r="OUM2" s="47"/>
      <c r="OUN2" s="47"/>
      <c r="OUO2" s="47"/>
      <c r="OUP2" s="47"/>
      <c r="OUQ2" s="47"/>
      <c r="OUR2" s="47"/>
      <c r="OUS2" s="47"/>
      <c r="OUT2" s="47"/>
      <c r="OUU2" s="47"/>
      <c r="OUV2" s="47"/>
      <c r="OUW2" s="47"/>
      <c r="OUX2" s="47"/>
      <c r="OUY2" s="47"/>
      <c r="OUZ2" s="47"/>
      <c r="OVA2" s="47"/>
      <c r="OVB2" s="47"/>
      <c r="OVC2" s="47"/>
      <c r="OVD2" s="47"/>
      <c r="OVE2" s="47"/>
      <c r="OVF2" s="47"/>
      <c r="OVG2" s="47"/>
      <c r="OVH2" s="47"/>
      <c r="OVI2" s="47"/>
      <c r="OVJ2" s="47"/>
      <c r="OVK2" s="47"/>
      <c r="OVL2" s="47"/>
      <c r="OVM2" s="47"/>
      <c r="OVN2" s="47"/>
      <c r="OVO2" s="47"/>
      <c r="OVP2" s="47"/>
      <c r="OVQ2" s="47"/>
      <c r="OVR2" s="47"/>
      <c r="OVS2" s="47"/>
      <c r="OVT2" s="47"/>
      <c r="OVU2" s="47"/>
      <c r="OVV2" s="47"/>
      <c r="OVW2" s="47"/>
      <c r="OVX2" s="47"/>
      <c r="OVY2" s="47"/>
      <c r="OVZ2" s="47"/>
      <c r="OWA2" s="47"/>
      <c r="OWB2" s="47"/>
      <c r="OWC2" s="47"/>
      <c r="OWD2" s="47"/>
      <c r="OWE2" s="47"/>
      <c r="OWF2" s="47"/>
      <c r="OWG2" s="47"/>
      <c r="OWH2" s="47"/>
      <c r="OWI2" s="47"/>
      <c r="OWJ2" s="47"/>
      <c r="OWK2" s="47"/>
      <c r="OWL2" s="47"/>
      <c r="OWM2" s="47"/>
      <c r="OWN2" s="47"/>
      <c r="OWO2" s="47"/>
      <c r="OWP2" s="47"/>
      <c r="OWQ2" s="47"/>
      <c r="OWR2" s="47"/>
      <c r="OWS2" s="47"/>
      <c r="OWT2" s="47"/>
      <c r="OWU2" s="47"/>
      <c r="OWV2" s="47"/>
      <c r="OWW2" s="47"/>
      <c r="OWX2" s="47"/>
      <c r="OWY2" s="47"/>
      <c r="OWZ2" s="47"/>
      <c r="OXA2" s="47"/>
      <c r="OXB2" s="47"/>
      <c r="OXC2" s="47"/>
      <c r="OXD2" s="47"/>
      <c r="OXE2" s="47"/>
      <c r="OXF2" s="47"/>
      <c r="OXG2" s="47"/>
      <c r="OXH2" s="47"/>
      <c r="OXI2" s="47"/>
      <c r="OXJ2" s="47"/>
      <c r="OXK2" s="47"/>
      <c r="OXL2" s="47"/>
      <c r="OXM2" s="47"/>
      <c r="OXN2" s="47"/>
      <c r="OXO2" s="47"/>
      <c r="OXP2" s="47"/>
      <c r="OXQ2" s="47"/>
      <c r="OXR2" s="47"/>
      <c r="OXS2" s="47"/>
      <c r="OXT2" s="47"/>
      <c r="OXU2" s="47"/>
      <c r="OXV2" s="47"/>
      <c r="OXW2" s="47"/>
      <c r="OXX2" s="47"/>
      <c r="OXY2" s="47"/>
      <c r="OXZ2" s="47"/>
      <c r="OYA2" s="47"/>
      <c r="OYB2" s="47"/>
      <c r="OYC2" s="47"/>
      <c r="OYD2" s="47"/>
      <c r="OYE2" s="47"/>
      <c r="OYF2" s="47"/>
      <c r="OYG2" s="47"/>
      <c r="OYH2" s="47"/>
      <c r="OYI2" s="47"/>
      <c r="OYJ2" s="47"/>
      <c r="OYK2" s="47"/>
      <c r="OYL2" s="47"/>
      <c r="OYM2" s="47"/>
      <c r="OYN2" s="47"/>
      <c r="OYO2" s="47"/>
      <c r="OYP2" s="47"/>
      <c r="OYQ2" s="47"/>
      <c r="OYR2" s="47"/>
      <c r="OYS2" s="47"/>
      <c r="OYT2" s="47"/>
      <c r="OYU2" s="47"/>
      <c r="OYV2" s="47"/>
      <c r="OYW2" s="47"/>
      <c r="OYX2" s="47"/>
      <c r="OYY2" s="47"/>
      <c r="OYZ2" s="47"/>
      <c r="OZA2" s="47"/>
      <c r="OZB2" s="47"/>
      <c r="OZC2" s="47"/>
      <c r="OZD2" s="47"/>
      <c r="OZE2" s="47"/>
      <c r="OZF2" s="47"/>
      <c r="OZG2" s="47"/>
      <c r="OZH2" s="47"/>
      <c r="OZI2" s="47"/>
      <c r="OZJ2" s="47"/>
      <c r="OZK2" s="47"/>
      <c r="OZL2" s="47"/>
      <c r="OZM2" s="47"/>
      <c r="OZN2" s="47"/>
      <c r="OZO2" s="47"/>
      <c r="OZP2" s="47"/>
      <c r="OZQ2" s="47"/>
      <c r="OZR2" s="47"/>
      <c r="OZS2" s="47"/>
      <c r="OZT2" s="47"/>
      <c r="OZU2" s="47"/>
      <c r="OZV2" s="47"/>
      <c r="OZW2" s="47"/>
      <c r="OZX2" s="47"/>
      <c r="OZY2" s="47"/>
      <c r="OZZ2" s="47"/>
      <c r="PAA2" s="47"/>
      <c r="PAB2" s="47"/>
      <c r="PAC2" s="47"/>
      <c r="PAD2" s="47"/>
      <c r="PAE2" s="47"/>
      <c r="PAF2" s="47"/>
      <c r="PAG2" s="47"/>
      <c r="PAH2" s="47"/>
      <c r="PAI2" s="47"/>
      <c r="PAJ2" s="47"/>
      <c r="PAK2" s="47"/>
      <c r="PAL2" s="47"/>
      <c r="PAM2" s="47"/>
      <c r="PAN2" s="47"/>
      <c r="PAO2" s="47"/>
      <c r="PAP2" s="47"/>
      <c r="PAQ2" s="47"/>
      <c r="PAR2" s="47"/>
      <c r="PAS2" s="47"/>
      <c r="PAT2" s="47"/>
      <c r="PAU2" s="47"/>
      <c r="PAV2" s="47"/>
      <c r="PAW2" s="47"/>
      <c r="PAX2" s="47"/>
      <c r="PAY2" s="47"/>
      <c r="PAZ2" s="47"/>
      <c r="PBA2" s="47"/>
      <c r="PBB2" s="47"/>
      <c r="PBC2" s="47"/>
      <c r="PBD2" s="47"/>
      <c r="PBE2" s="47"/>
      <c r="PBF2" s="47"/>
      <c r="PBG2" s="47"/>
      <c r="PBH2" s="47"/>
      <c r="PBI2" s="47"/>
      <c r="PBJ2" s="47"/>
      <c r="PBK2" s="47"/>
      <c r="PBL2" s="47"/>
      <c r="PBM2" s="47"/>
      <c r="PBN2" s="47"/>
      <c r="PBO2" s="47"/>
      <c r="PBP2" s="47"/>
      <c r="PBQ2" s="47"/>
      <c r="PBR2" s="47"/>
      <c r="PBS2" s="47"/>
      <c r="PBT2" s="47"/>
      <c r="PBU2" s="47"/>
      <c r="PBV2" s="47"/>
      <c r="PBW2" s="47"/>
      <c r="PBX2" s="47"/>
      <c r="PBY2" s="47"/>
      <c r="PBZ2" s="47"/>
      <c r="PCA2" s="47"/>
      <c r="PCB2" s="47"/>
      <c r="PCC2" s="47"/>
      <c r="PCD2" s="47"/>
      <c r="PCE2" s="47"/>
      <c r="PCF2" s="47"/>
      <c r="PCG2" s="47"/>
      <c r="PCH2" s="47"/>
      <c r="PCI2" s="47"/>
      <c r="PCJ2" s="47"/>
      <c r="PCK2" s="47"/>
      <c r="PCL2" s="47"/>
      <c r="PCM2" s="47"/>
      <c r="PCN2" s="47"/>
      <c r="PCO2" s="47"/>
      <c r="PCP2" s="47"/>
      <c r="PCQ2" s="47"/>
      <c r="PCR2" s="47"/>
      <c r="PCS2" s="47"/>
      <c r="PCT2" s="47"/>
      <c r="PCU2" s="47"/>
      <c r="PCV2" s="47"/>
      <c r="PCW2" s="47"/>
      <c r="PCX2" s="47"/>
      <c r="PCY2" s="47"/>
      <c r="PCZ2" s="47"/>
      <c r="PDA2" s="47"/>
      <c r="PDB2" s="47"/>
      <c r="PDC2" s="47"/>
      <c r="PDD2" s="47"/>
      <c r="PDE2" s="47"/>
      <c r="PDF2" s="47"/>
      <c r="PDG2" s="47"/>
      <c r="PDH2" s="47"/>
      <c r="PDI2" s="47"/>
      <c r="PDJ2" s="47"/>
      <c r="PDK2" s="47"/>
      <c r="PDL2" s="47"/>
      <c r="PDM2" s="47"/>
      <c r="PDN2" s="47"/>
      <c r="PDO2" s="47"/>
      <c r="PDP2" s="47"/>
      <c r="PDQ2" s="47"/>
      <c r="PDR2" s="47"/>
      <c r="PDS2" s="47"/>
      <c r="PDT2" s="47"/>
      <c r="PDU2" s="47"/>
      <c r="PDV2" s="47"/>
      <c r="PDW2" s="47"/>
      <c r="PDX2" s="47"/>
      <c r="PDY2" s="47"/>
      <c r="PDZ2" s="47"/>
      <c r="PEA2" s="47"/>
      <c r="PEB2" s="47"/>
      <c r="PEC2" s="47"/>
      <c r="PED2" s="47"/>
      <c r="PEE2" s="47"/>
      <c r="PEF2" s="47"/>
      <c r="PEG2" s="47"/>
      <c r="PEH2" s="47"/>
      <c r="PEI2" s="47"/>
      <c r="PEJ2" s="47"/>
      <c r="PEK2" s="47"/>
      <c r="PEL2" s="47"/>
      <c r="PEM2" s="47"/>
      <c r="PEN2" s="47"/>
      <c r="PEO2" s="47"/>
      <c r="PEP2" s="47"/>
      <c r="PEQ2" s="47"/>
      <c r="PER2" s="47"/>
      <c r="PES2" s="47"/>
      <c r="PET2" s="47"/>
      <c r="PEU2" s="47"/>
      <c r="PEV2" s="47"/>
      <c r="PEW2" s="47"/>
      <c r="PEX2" s="47"/>
      <c r="PEY2" s="47"/>
      <c r="PEZ2" s="47"/>
      <c r="PFA2" s="47"/>
      <c r="PFB2" s="47"/>
      <c r="PFC2" s="47"/>
      <c r="PFD2" s="47"/>
      <c r="PFE2" s="47"/>
      <c r="PFF2" s="47"/>
      <c r="PFG2" s="47"/>
      <c r="PFH2" s="47"/>
      <c r="PFI2" s="47"/>
      <c r="PFJ2" s="47"/>
      <c r="PFK2" s="47"/>
      <c r="PFL2" s="47"/>
      <c r="PFM2" s="47"/>
      <c r="PFN2" s="47"/>
      <c r="PFO2" s="47"/>
      <c r="PFP2" s="47"/>
      <c r="PFQ2" s="47"/>
      <c r="PFR2" s="47"/>
      <c r="PFS2" s="47"/>
      <c r="PFT2" s="47"/>
      <c r="PFU2" s="47"/>
      <c r="PFV2" s="47"/>
      <c r="PFW2" s="47"/>
      <c r="PFX2" s="47"/>
      <c r="PFY2" s="47"/>
      <c r="PFZ2" s="47"/>
      <c r="PGA2" s="47"/>
      <c r="PGB2" s="47"/>
      <c r="PGC2" s="47"/>
      <c r="PGD2" s="47"/>
      <c r="PGE2" s="47"/>
      <c r="PGF2" s="47"/>
      <c r="PGG2" s="47"/>
      <c r="PGH2" s="47"/>
      <c r="PGI2" s="47"/>
      <c r="PGJ2" s="47"/>
      <c r="PGK2" s="47"/>
      <c r="PGL2" s="47"/>
      <c r="PGM2" s="47"/>
      <c r="PGN2" s="47"/>
      <c r="PGO2" s="47"/>
      <c r="PGP2" s="47"/>
      <c r="PGQ2" s="47"/>
      <c r="PGR2" s="47"/>
      <c r="PGS2" s="47"/>
      <c r="PGT2" s="47"/>
      <c r="PGU2" s="47"/>
      <c r="PGV2" s="47"/>
      <c r="PGW2" s="47"/>
      <c r="PGX2" s="47"/>
      <c r="PGY2" s="47"/>
      <c r="PGZ2" s="47"/>
      <c r="PHA2" s="47"/>
      <c r="PHB2" s="47"/>
      <c r="PHC2" s="47"/>
      <c r="PHD2" s="47"/>
      <c r="PHE2" s="47"/>
      <c r="PHF2" s="47"/>
      <c r="PHG2" s="47"/>
      <c r="PHH2" s="47"/>
      <c r="PHI2" s="47"/>
      <c r="PHJ2" s="47"/>
      <c r="PHK2" s="47"/>
      <c r="PHL2" s="47"/>
      <c r="PHM2" s="47"/>
      <c r="PHN2" s="47"/>
      <c r="PHO2" s="47"/>
      <c r="PHP2" s="47"/>
      <c r="PHQ2" s="47"/>
      <c r="PHR2" s="47"/>
      <c r="PHS2" s="47"/>
      <c r="PHT2" s="47"/>
      <c r="PHU2" s="47"/>
      <c r="PHV2" s="47"/>
      <c r="PHW2" s="47"/>
      <c r="PHX2" s="47"/>
      <c r="PHY2" s="47"/>
      <c r="PHZ2" s="47"/>
      <c r="PIA2" s="47"/>
      <c r="PIB2" s="47"/>
      <c r="PIC2" s="47"/>
      <c r="PID2" s="47"/>
      <c r="PIE2" s="47"/>
      <c r="PIF2" s="47"/>
      <c r="PIG2" s="47"/>
      <c r="PIH2" s="47"/>
      <c r="PII2" s="47"/>
      <c r="PIJ2" s="47"/>
      <c r="PIK2" s="47"/>
      <c r="PIL2" s="47"/>
      <c r="PIM2" s="47"/>
      <c r="PIN2" s="47"/>
      <c r="PIO2" s="47"/>
      <c r="PIP2" s="47"/>
      <c r="PIQ2" s="47"/>
      <c r="PIR2" s="47"/>
      <c r="PIS2" s="47"/>
      <c r="PIT2" s="47"/>
      <c r="PIU2" s="47"/>
      <c r="PIV2" s="47"/>
      <c r="PIW2" s="47"/>
      <c r="PIX2" s="47"/>
      <c r="PIY2" s="47"/>
      <c r="PIZ2" s="47"/>
      <c r="PJA2" s="47"/>
      <c r="PJB2" s="47"/>
      <c r="PJC2" s="47"/>
      <c r="PJD2" s="47"/>
      <c r="PJE2" s="47"/>
      <c r="PJF2" s="47"/>
      <c r="PJG2" s="47"/>
      <c r="PJH2" s="47"/>
      <c r="PJI2" s="47"/>
      <c r="PJJ2" s="47"/>
      <c r="PJK2" s="47"/>
      <c r="PJL2" s="47"/>
      <c r="PJM2" s="47"/>
      <c r="PJN2" s="47"/>
      <c r="PJO2" s="47"/>
      <c r="PJP2" s="47"/>
      <c r="PJQ2" s="47"/>
      <c r="PJR2" s="47"/>
      <c r="PJS2" s="47"/>
      <c r="PJT2" s="47"/>
      <c r="PJU2" s="47"/>
      <c r="PJV2" s="47"/>
      <c r="PJW2" s="47"/>
      <c r="PJX2" s="47"/>
      <c r="PJY2" s="47"/>
      <c r="PJZ2" s="47"/>
      <c r="PKA2" s="47"/>
      <c r="PKB2" s="47"/>
      <c r="PKC2" s="47"/>
      <c r="PKD2" s="47"/>
      <c r="PKE2" s="47"/>
      <c r="PKF2" s="47"/>
      <c r="PKG2" s="47"/>
      <c r="PKH2" s="47"/>
      <c r="PKI2" s="47"/>
      <c r="PKJ2" s="47"/>
      <c r="PKK2" s="47"/>
      <c r="PKL2" s="47"/>
      <c r="PKM2" s="47"/>
      <c r="PKN2" s="47"/>
      <c r="PKO2" s="47"/>
      <c r="PKP2" s="47"/>
      <c r="PKQ2" s="47"/>
      <c r="PKR2" s="47"/>
      <c r="PKS2" s="47"/>
      <c r="PKT2" s="47"/>
      <c r="PKU2" s="47"/>
      <c r="PKV2" s="47"/>
      <c r="PKW2" s="47"/>
      <c r="PKX2" s="47"/>
      <c r="PKY2" s="47"/>
      <c r="PKZ2" s="47"/>
      <c r="PLA2" s="47"/>
      <c r="PLB2" s="47"/>
      <c r="PLC2" s="47"/>
      <c r="PLD2" s="47"/>
      <c r="PLE2" s="47"/>
      <c r="PLF2" s="47"/>
      <c r="PLG2" s="47"/>
      <c r="PLH2" s="47"/>
      <c r="PLI2" s="47"/>
      <c r="PLJ2" s="47"/>
      <c r="PLK2" s="47"/>
      <c r="PLL2" s="47"/>
      <c r="PLM2" s="47"/>
      <c r="PLN2" s="47"/>
      <c r="PLO2" s="47"/>
      <c r="PLP2" s="47"/>
      <c r="PLQ2" s="47"/>
      <c r="PLR2" s="47"/>
      <c r="PLS2" s="47"/>
      <c r="PLT2" s="47"/>
      <c r="PLU2" s="47"/>
      <c r="PLV2" s="47"/>
      <c r="PLW2" s="47"/>
      <c r="PLX2" s="47"/>
      <c r="PLY2" s="47"/>
      <c r="PLZ2" s="47"/>
      <c r="PMA2" s="47"/>
      <c r="PMB2" s="47"/>
      <c r="PMC2" s="47"/>
      <c r="PMD2" s="47"/>
      <c r="PME2" s="47"/>
      <c r="PMF2" s="47"/>
      <c r="PMG2" s="47"/>
      <c r="PMH2" s="47"/>
      <c r="PMI2" s="47"/>
      <c r="PMJ2" s="47"/>
      <c r="PMK2" s="47"/>
      <c r="PML2" s="47"/>
      <c r="PMM2" s="47"/>
      <c r="PMN2" s="47"/>
      <c r="PMO2" s="47"/>
      <c r="PMP2" s="47"/>
      <c r="PMQ2" s="47"/>
      <c r="PMR2" s="47"/>
      <c r="PMS2" s="47"/>
      <c r="PMT2" s="47"/>
      <c r="PMU2" s="47"/>
      <c r="PMV2" s="47"/>
      <c r="PMW2" s="47"/>
      <c r="PMX2" s="47"/>
      <c r="PMY2" s="47"/>
      <c r="PMZ2" s="47"/>
      <c r="PNA2" s="47"/>
      <c r="PNB2" s="47"/>
      <c r="PNC2" s="47"/>
      <c r="PND2" s="47"/>
      <c r="PNE2" s="47"/>
      <c r="PNF2" s="47"/>
      <c r="PNG2" s="47"/>
      <c r="PNH2" s="47"/>
      <c r="PNI2" s="47"/>
      <c r="PNJ2" s="47"/>
      <c r="PNK2" s="47"/>
      <c r="PNL2" s="47"/>
      <c r="PNM2" s="47"/>
      <c r="PNN2" s="47"/>
      <c r="PNO2" s="47"/>
      <c r="PNP2" s="47"/>
      <c r="PNQ2" s="47"/>
      <c r="PNR2" s="47"/>
      <c r="PNS2" s="47"/>
      <c r="PNT2" s="47"/>
      <c r="PNU2" s="47"/>
      <c r="PNV2" s="47"/>
      <c r="PNW2" s="47"/>
      <c r="PNX2" s="47"/>
      <c r="PNY2" s="47"/>
      <c r="PNZ2" s="47"/>
      <c r="POA2" s="47"/>
      <c r="POB2" s="47"/>
      <c r="POC2" s="47"/>
      <c r="POD2" s="47"/>
      <c r="POE2" s="47"/>
      <c r="POF2" s="47"/>
      <c r="POG2" s="47"/>
      <c r="POH2" s="47"/>
      <c r="POI2" s="47"/>
      <c r="POJ2" s="47"/>
      <c r="POK2" s="47"/>
      <c r="POL2" s="47"/>
      <c r="POM2" s="47"/>
      <c r="PON2" s="47"/>
      <c r="POO2" s="47"/>
      <c r="POP2" s="47"/>
      <c r="POQ2" s="47"/>
      <c r="POR2" s="47"/>
      <c r="POS2" s="47"/>
      <c r="POT2" s="47"/>
      <c r="POU2" s="47"/>
      <c r="POV2" s="47"/>
      <c r="POW2" s="47"/>
      <c r="POX2" s="47"/>
      <c r="POY2" s="47"/>
      <c r="POZ2" s="47"/>
      <c r="PPA2" s="47"/>
      <c r="PPB2" s="47"/>
      <c r="PPC2" s="47"/>
      <c r="PPD2" s="47"/>
      <c r="PPE2" s="47"/>
      <c r="PPF2" s="47"/>
      <c r="PPG2" s="47"/>
      <c r="PPH2" s="47"/>
      <c r="PPI2" s="47"/>
      <c r="PPJ2" s="47"/>
      <c r="PPK2" s="47"/>
      <c r="PPL2" s="47"/>
      <c r="PPM2" s="47"/>
      <c r="PPN2" s="47"/>
      <c r="PPO2" s="47"/>
      <c r="PPP2" s="47"/>
      <c r="PPQ2" s="47"/>
      <c r="PPR2" s="47"/>
      <c r="PPS2" s="47"/>
      <c r="PPT2" s="47"/>
      <c r="PPU2" s="47"/>
      <c r="PPV2" s="47"/>
      <c r="PPW2" s="47"/>
      <c r="PPX2" s="47"/>
      <c r="PPY2" s="47"/>
      <c r="PPZ2" s="47"/>
      <c r="PQA2" s="47"/>
      <c r="PQB2" s="47"/>
      <c r="PQC2" s="47"/>
      <c r="PQD2" s="47"/>
      <c r="PQE2" s="47"/>
      <c r="PQF2" s="47"/>
      <c r="PQG2" s="47"/>
      <c r="PQH2" s="47"/>
      <c r="PQI2" s="47"/>
      <c r="PQJ2" s="47"/>
      <c r="PQK2" s="47"/>
      <c r="PQL2" s="47"/>
      <c r="PQM2" s="47"/>
      <c r="PQN2" s="47"/>
      <c r="PQO2" s="47"/>
      <c r="PQP2" s="47"/>
      <c r="PQQ2" s="47"/>
      <c r="PQR2" s="47"/>
      <c r="PQS2" s="47"/>
      <c r="PQT2" s="47"/>
      <c r="PQU2" s="47"/>
      <c r="PQV2" s="47"/>
      <c r="PQW2" s="47"/>
      <c r="PQX2" s="47"/>
      <c r="PQY2" s="47"/>
      <c r="PQZ2" s="47"/>
      <c r="PRA2" s="47"/>
      <c r="PRB2" s="47"/>
      <c r="PRC2" s="47"/>
      <c r="PRD2" s="47"/>
      <c r="PRE2" s="47"/>
      <c r="PRF2" s="47"/>
      <c r="PRG2" s="47"/>
      <c r="PRH2" s="47"/>
      <c r="PRI2" s="47"/>
      <c r="PRJ2" s="47"/>
      <c r="PRK2" s="47"/>
      <c r="PRL2" s="47"/>
      <c r="PRM2" s="47"/>
      <c r="PRN2" s="47"/>
      <c r="PRO2" s="47"/>
      <c r="PRP2" s="47"/>
      <c r="PRQ2" s="47"/>
      <c r="PRR2" s="47"/>
      <c r="PRS2" s="47"/>
      <c r="PRT2" s="47"/>
      <c r="PRU2" s="47"/>
      <c r="PRV2" s="47"/>
      <c r="PRW2" s="47"/>
      <c r="PRX2" s="47"/>
      <c r="PRY2" s="47"/>
      <c r="PRZ2" s="47"/>
      <c r="PSA2" s="47"/>
      <c r="PSB2" s="47"/>
      <c r="PSC2" s="47"/>
      <c r="PSD2" s="47"/>
      <c r="PSE2" s="47"/>
      <c r="PSF2" s="47"/>
      <c r="PSG2" s="47"/>
      <c r="PSH2" s="47"/>
      <c r="PSI2" s="47"/>
      <c r="PSJ2" s="47"/>
      <c r="PSK2" s="47"/>
      <c r="PSL2" s="47"/>
      <c r="PSM2" s="47"/>
      <c r="PSN2" s="47"/>
      <c r="PSO2" s="47"/>
      <c r="PSP2" s="47"/>
      <c r="PSQ2" s="47"/>
      <c r="PSR2" s="47"/>
      <c r="PSS2" s="47"/>
      <c r="PST2" s="47"/>
      <c r="PSU2" s="47"/>
      <c r="PSV2" s="47"/>
      <c r="PSW2" s="47"/>
      <c r="PSX2" s="47"/>
      <c r="PSY2" s="47"/>
      <c r="PSZ2" s="47"/>
      <c r="PTA2" s="47"/>
      <c r="PTB2" s="47"/>
      <c r="PTC2" s="47"/>
      <c r="PTD2" s="47"/>
      <c r="PTE2" s="47"/>
      <c r="PTF2" s="47"/>
      <c r="PTG2" s="47"/>
      <c r="PTH2" s="47"/>
      <c r="PTI2" s="47"/>
      <c r="PTJ2" s="47"/>
      <c r="PTK2" s="47"/>
      <c r="PTL2" s="47"/>
      <c r="PTM2" s="47"/>
      <c r="PTN2" s="47"/>
      <c r="PTO2" s="47"/>
      <c r="PTP2" s="47"/>
      <c r="PTQ2" s="47"/>
      <c r="PTR2" s="47"/>
      <c r="PTS2" s="47"/>
      <c r="PTT2" s="47"/>
      <c r="PTU2" s="47"/>
      <c r="PTV2" s="47"/>
      <c r="PTW2" s="47"/>
      <c r="PTX2" s="47"/>
      <c r="PTY2" s="47"/>
      <c r="PTZ2" s="47"/>
      <c r="PUA2" s="47"/>
      <c r="PUB2" s="47"/>
      <c r="PUC2" s="47"/>
      <c r="PUD2" s="47"/>
      <c r="PUE2" s="47"/>
      <c r="PUF2" s="47"/>
      <c r="PUG2" s="47"/>
      <c r="PUH2" s="47"/>
      <c r="PUI2" s="47"/>
      <c r="PUJ2" s="47"/>
      <c r="PUK2" s="47"/>
      <c r="PUL2" s="47"/>
      <c r="PUM2" s="47"/>
      <c r="PUN2" s="47"/>
      <c r="PUO2" s="47"/>
      <c r="PUP2" s="47"/>
      <c r="PUQ2" s="47"/>
      <c r="PUR2" s="47"/>
      <c r="PUS2" s="47"/>
      <c r="PUT2" s="47"/>
      <c r="PUU2" s="47"/>
      <c r="PUV2" s="47"/>
      <c r="PUW2" s="47"/>
      <c r="PUX2" s="47"/>
      <c r="PUY2" s="47"/>
      <c r="PUZ2" s="47"/>
      <c r="PVA2" s="47"/>
      <c r="PVB2" s="47"/>
      <c r="PVC2" s="47"/>
      <c r="PVD2" s="47"/>
      <c r="PVE2" s="47"/>
      <c r="PVF2" s="47"/>
      <c r="PVG2" s="47"/>
      <c r="PVH2" s="47"/>
      <c r="PVI2" s="47"/>
      <c r="PVJ2" s="47"/>
      <c r="PVK2" s="47"/>
      <c r="PVL2" s="47"/>
      <c r="PVM2" s="47"/>
      <c r="PVN2" s="47"/>
      <c r="PVO2" s="47"/>
      <c r="PVP2" s="47"/>
      <c r="PVQ2" s="47"/>
      <c r="PVR2" s="47"/>
      <c r="PVS2" s="47"/>
      <c r="PVT2" s="47"/>
      <c r="PVU2" s="47"/>
      <c r="PVV2" s="47"/>
      <c r="PVW2" s="47"/>
      <c r="PVX2" s="47"/>
      <c r="PVY2" s="47"/>
      <c r="PVZ2" s="47"/>
      <c r="PWA2" s="47"/>
      <c r="PWB2" s="47"/>
      <c r="PWC2" s="47"/>
      <c r="PWD2" s="47"/>
      <c r="PWE2" s="47"/>
      <c r="PWF2" s="47"/>
      <c r="PWG2" s="47"/>
      <c r="PWH2" s="47"/>
      <c r="PWI2" s="47"/>
      <c r="PWJ2" s="47"/>
      <c r="PWK2" s="47"/>
      <c r="PWL2" s="47"/>
      <c r="PWM2" s="47"/>
      <c r="PWN2" s="47"/>
      <c r="PWO2" s="47"/>
      <c r="PWP2" s="47"/>
      <c r="PWQ2" s="47"/>
      <c r="PWR2" s="47"/>
      <c r="PWS2" s="47"/>
      <c r="PWT2" s="47"/>
      <c r="PWU2" s="47"/>
      <c r="PWV2" s="47"/>
      <c r="PWW2" s="47"/>
      <c r="PWX2" s="47"/>
      <c r="PWY2" s="47"/>
      <c r="PWZ2" s="47"/>
      <c r="PXA2" s="47"/>
      <c r="PXB2" s="47"/>
      <c r="PXC2" s="47"/>
      <c r="PXD2" s="47"/>
      <c r="PXE2" s="47"/>
      <c r="PXF2" s="47"/>
      <c r="PXG2" s="47"/>
      <c r="PXH2" s="47"/>
      <c r="PXI2" s="47"/>
      <c r="PXJ2" s="47"/>
      <c r="PXK2" s="47"/>
      <c r="PXL2" s="47"/>
      <c r="PXM2" s="47"/>
      <c r="PXN2" s="47"/>
      <c r="PXO2" s="47"/>
      <c r="PXP2" s="47"/>
      <c r="PXQ2" s="47"/>
      <c r="PXR2" s="47"/>
      <c r="PXS2" s="47"/>
      <c r="PXT2" s="47"/>
      <c r="PXU2" s="47"/>
      <c r="PXV2" s="47"/>
      <c r="PXW2" s="47"/>
      <c r="PXX2" s="47"/>
      <c r="PXY2" s="47"/>
      <c r="PXZ2" s="47"/>
      <c r="PYA2" s="47"/>
      <c r="PYB2" s="47"/>
      <c r="PYC2" s="47"/>
      <c r="PYD2" s="47"/>
      <c r="PYE2" s="47"/>
      <c r="PYF2" s="47"/>
      <c r="PYG2" s="47"/>
      <c r="PYH2" s="47"/>
      <c r="PYI2" s="47"/>
      <c r="PYJ2" s="47"/>
      <c r="PYK2" s="47"/>
      <c r="PYL2" s="47"/>
      <c r="PYM2" s="47"/>
      <c r="PYN2" s="47"/>
      <c r="PYO2" s="47"/>
      <c r="PYP2" s="47"/>
      <c r="PYQ2" s="47"/>
      <c r="PYR2" s="47"/>
      <c r="PYS2" s="47"/>
      <c r="PYT2" s="47"/>
      <c r="PYU2" s="47"/>
      <c r="PYV2" s="47"/>
      <c r="PYW2" s="47"/>
      <c r="PYX2" s="47"/>
      <c r="PYY2" s="47"/>
      <c r="PYZ2" s="47"/>
      <c r="PZA2" s="47"/>
      <c r="PZB2" s="47"/>
      <c r="PZC2" s="47"/>
      <c r="PZD2" s="47"/>
      <c r="PZE2" s="47"/>
      <c r="PZF2" s="47"/>
      <c r="PZG2" s="47"/>
      <c r="PZH2" s="47"/>
      <c r="PZI2" s="47"/>
      <c r="PZJ2" s="47"/>
      <c r="PZK2" s="47"/>
      <c r="PZL2" s="47"/>
      <c r="PZM2" s="47"/>
      <c r="PZN2" s="47"/>
      <c r="PZO2" s="47"/>
      <c r="PZP2" s="47"/>
      <c r="PZQ2" s="47"/>
      <c r="PZR2" s="47"/>
      <c r="PZS2" s="47"/>
      <c r="PZT2" s="47"/>
      <c r="PZU2" s="47"/>
      <c r="PZV2" s="47"/>
      <c r="PZW2" s="47"/>
      <c r="PZX2" s="47"/>
      <c r="PZY2" s="47"/>
      <c r="PZZ2" s="47"/>
      <c r="QAA2" s="47"/>
      <c r="QAB2" s="47"/>
      <c r="QAC2" s="47"/>
      <c r="QAD2" s="47"/>
      <c r="QAE2" s="47"/>
      <c r="QAF2" s="47"/>
      <c r="QAG2" s="47"/>
      <c r="QAH2" s="47"/>
      <c r="QAI2" s="47"/>
      <c r="QAJ2" s="47"/>
      <c r="QAK2" s="47"/>
      <c r="QAL2" s="47"/>
      <c r="QAM2" s="47"/>
      <c r="QAN2" s="47"/>
      <c r="QAO2" s="47"/>
      <c r="QAP2" s="47"/>
      <c r="QAQ2" s="47"/>
      <c r="QAR2" s="47"/>
      <c r="QAS2" s="47"/>
      <c r="QAT2" s="47"/>
      <c r="QAU2" s="47"/>
      <c r="QAV2" s="47"/>
      <c r="QAW2" s="47"/>
      <c r="QAX2" s="47"/>
      <c r="QAY2" s="47"/>
      <c r="QAZ2" s="47"/>
      <c r="QBA2" s="47"/>
      <c r="QBB2" s="47"/>
      <c r="QBC2" s="47"/>
      <c r="QBD2" s="47"/>
      <c r="QBE2" s="47"/>
      <c r="QBF2" s="47"/>
      <c r="QBG2" s="47"/>
      <c r="QBH2" s="47"/>
      <c r="QBI2" s="47"/>
      <c r="QBJ2" s="47"/>
      <c r="QBK2" s="47"/>
      <c r="QBL2" s="47"/>
      <c r="QBM2" s="47"/>
      <c r="QBN2" s="47"/>
      <c r="QBO2" s="47"/>
      <c r="QBP2" s="47"/>
      <c r="QBQ2" s="47"/>
      <c r="QBR2" s="47"/>
      <c r="QBS2" s="47"/>
      <c r="QBT2" s="47"/>
      <c r="QBU2" s="47"/>
      <c r="QBV2" s="47"/>
      <c r="QBW2" s="47"/>
      <c r="QBX2" s="47"/>
      <c r="QBY2" s="47"/>
      <c r="QBZ2" s="47"/>
      <c r="QCA2" s="47"/>
      <c r="QCB2" s="47"/>
      <c r="QCC2" s="47"/>
      <c r="QCD2" s="47"/>
      <c r="QCE2" s="47"/>
      <c r="QCF2" s="47"/>
      <c r="QCG2" s="47"/>
      <c r="QCH2" s="47"/>
      <c r="QCI2" s="47"/>
      <c r="QCJ2" s="47"/>
      <c r="QCK2" s="47"/>
      <c r="QCL2" s="47"/>
      <c r="QCM2" s="47"/>
      <c r="QCN2" s="47"/>
      <c r="QCO2" s="47"/>
      <c r="QCP2" s="47"/>
      <c r="QCQ2" s="47"/>
      <c r="QCR2" s="47"/>
      <c r="QCS2" s="47"/>
      <c r="QCT2" s="47"/>
      <c r="QCU2" s="47"/>
      <c r="QCV2" s="47"/>
      <c r="QCW2" s="47"/>
      <c r="QCX2" s="47"/>
      <c r="QCY2" s="47"/>
      <c r="QCZ2" s="47"/>
      <c r="QDA2" s="47"/>
      <c r="QDB2" s="47"/>
      <c r="QDC2" s="47"/>
      <c r="QDD2" s="47"/>
      <c r="QDE2" s="47"/>
      <c r="QDF2" s="47"/>
      <c r="QDG2" s="47"/>
      <c r="QDH2" s="47"/>
      <c r="QDI2" s="47"/>
      <c r="QDJ2" s="47"/>
      <c r="QDK2" s="47"/>
      <c r="QDL2" s="47"/>
      <c r="QDM2" s="47"/>
      <c r="QDN2" s="47"/>
      <c r="QDO2" s="47"/>
      <c r="QDP2" s="47"/>
      <c r="QDQ2" s="47"/>
      <c r="QDR2" s="47"/>
      <c r="QDS2" s="47"/>
      <c r="QDT2" s="47"/>
      <c r="QDU2" s="47"/>
      <c r="QDV2" s="47"/>
      <c r="QDW2" s="47"/>
      <c r="QDX2" s="47"/>
      <c r="QDY2" s="47"/>
      <c r="QDZ2" s="47"/>
      <c r="QEA2" s="47"/>
      <c r="QEB2" s="47"/>
      <c r="QEC2" s="47"/>
      <c r="QED2" s="47"/>
      <c r="QEE2" s="47"/>
      <c r="QEF2" s="47"/>
      <c r="QEG2" s="47"/>
      <c r="QEH2" s="47"/>
      <c r="QEI2" s="47"/>
      <c r="QEJ2" s="47"/>
      <c r="QEK2" s="47"/>
      <c r="QEL2" s="47"/>
      <c r="QEM2" s="47"/>
      <c r="QEN2" s="47"/>
      <c r="QEO2" s="47"/>
      <c r="QEP2" s="47"/>
      <c r="QEQ2" s="47"/>
      <c r="QER2" s="47"/>
      <c r="QES2" s="47"/>
      <c r="QET2" s="47"/>
      <c r="QEU2" s="47"/>
      <c r="QEV2" s="47"/>
      <c r="QEW2" s="47"/>
      <c r="QEX2" s="47"/>
      <c r="QEY2" s="47"/>
      <c r="QEZ2" s="47"/>
      <c r="QFA2" s="47"/>
      <c r="QFB2" s="47"/>
      <c r="QFC2" s="47"/>
      <c r="QFD2" s="47"/>
      <c r="QFE2" s="47"/>
      <c r="QFF2" s="47"/>
      <c r="QFG2" s="47"/>
      <c r="QFH2" s="47"/>
      <c r="QFI2" s="47"/>
      <c r="QFJ2" s="47"/>
      <c r="QFK2" s="47"/>
      <c r="QFL2" s="47"/>
      <c r="QFM2" s="47"/>
      <c r="QFN2" s="47"/>
      <c r="QFO2" s="47"/>
      <c r="QFP2" s="47"/>
      <c r="QFQ2" s="47"/>
      <c r="QFR2" s="47"/>
      <c r="QFS2" s="47"/>
      <c r="QFT2" s="47"/>
      <c r="QFU2" s="47"/>
      <c r="QFV2" s="47"/>
      <c r="QFW2" s="47"/>
      <c r="QFX2" s="47"/>
      <c r="QFY2" s="47"/>
      <c r="QFZ2" s="47"/>
      <c r="QGA2" s="47"/>
      <c r="QGB2" s="47"/>
      <c r="QGC2" s="47"/>
      <c r="QGD2" s="47"/>
      <c r="QGE2" s="47"/>
      <c r="QGF2" s="47"/>
      <c r="QGG2" s="47"/>
      <c r="QGH2" s="47"/>
      <c r="QGI2" s="47"/>
      <c r="QGJ2" s="47"/>
      <c r="QGK2" s="47"/>
      <c r="QGL2" s="47"/>
      <c r="QGM2" s="47"/>
      <c r="QGN2" s="47"/>
      <c r="QGO2" s="47"/>
      <c r="QGP2" s="47"/>
      <c r="QGQ2" s="47"/>
      <c r="QGR2" s="47"/>
      <c r="QGS2" s="47"/>
      <c r="QGT2" s="47"/>
      <c r="QGU2" s="47"/>
      <c r="QGV2" s="47"/>
      <c r="QGW2" s="47"/>
      <c r="QGX2" s="47"/>
      <c r="QGY2" s="47"/>
      <c r="QGZ2" s="47"/>
      <c r="QHA2" s="47"/>
      <c r="QHB2" s="47"/>
      <c r="QHC2" s="47"/>
      <c r="QHD2" s="47"/>
      <c r="QHE2" s="47"/>
      <c r="QHF2" s="47"/>
      <c r="QHG2" s="47"/>
      <c r="QHH2" s="47"/>
      <c r="QHI2" s="47"/>
      <c r="QHJ2" s="47"/>
      <c r="QHK2" s="47"/>
      <c r="QHL2" s="47"/>
      <c r="QHM2" s="47"/>
      <c r="QHN2" s="47"/>
      <c r="QHO2" s="47"/>
      <c r="QHP2" s="47"/>
      <c r="QHQ2" s="47"/>
      <c r="QHR2" s="47"/>
      <c r="QHS2" s="47"/>
      <c r="QHT2" s="47"/>
      <c r="QHU2" s="47"/>
      <c r="QHV2" s="47"/>
      <c r="QHW2" s="47"/>
      <c r="QHX2" s="47"/>
      <c r="QHY2" s="47"/>
      <c r="QHZ2" s="47"/>
      <c r="QIA2" s="47"/>
      <c r="QIB2" s="47"/>
      <c r="QIC2" s="47"/>
      <c r="QID2" s="47"/>
      <c r="QIE2" s="47"/>
      <c r="QIF2" s="47"/>
      <c r="QIG2" s="47"/>
      <c r="QIH2" s="47"/>
      <c r="QII2" s="47"/>
      <c r="QIJ2" s="47"/>
      <c r="QIK2" s="47"/>
      <c r="QIL2" s="47"/>
      <c r="QIM2" s="47"/>
      <c r="QIN2" s="47"/>
      <c r="QIO2" s="47"/>
      <c r="QIP2" s="47"/>
      <c r="QIQ2" s="47"/>
      <c r="QIR2" s="47"/>
      <c r="QIS2" s="47"/>
      <c r="QIT2" s="47"/>
      <c r="QIU2" s="47"/>
      <c r="QIV2" s="47"/>
      <c r="QIW2" s="47"/>
      <c r="QIX2" s="47"/>
      <c r="QIY2" s="47"/>
      <c r="QIZ2" s="47"/>
      <c r="QJA2" s="47"/>
      <c r="QJB2" s="47"/>
      <c r="QJC2" s="47"/>
      <c r="QJD2" s="47"/>
      <c r="QJE2" s="47"/>
      <c r="QJF2" s="47"/>
      <c r="QJG2" s="47"/>
      <c r="QJH2" s="47"/>
      <c r="QJI2" s="47"/>
      <c r="QJJ2" s="47"/>
      <c r="QJK2" s="47"/>
      <c r="QJL2" s="47"/>
      <c r="QJM2" s="47"/>
      <c r="QJN2" s="47"/>
      <c r="QJO2" s="47"/>
      <c r="QJP2" s="47"/>
      <c r="QJQ2" s="47"/>
      <c r="QJR2" s="47"/>
      <c r="QJS2" s="47"/>
      <c r="QJT2" s="47"/>
      <c r="QJU2" s="47"/>
      <c r="QJV2" s="47"/>
      <c r="QJW2" s="47"/>
      <c r="QJX2" s="47"/>
      <c r="QJY2" s="47"/>
      <c r="QJZ2" s="47"/>
      <c r="QKA2" s="47"/>
      <c r="QKB2" s="47"/>
      <c r="QKC2" s="47"/>
      <c r="QKD2" s="47"/>
      <c r="QKE2" s="47"/>
      <c r="QKF2" s="47"/>
      <c r="QKG2" s="47"/>
      <c r="QKH2" s="47"/>
      <c r="QKI2" s="47"/>
      <c r="QKJ2" s="47"/>
      <c r="QKK2" s="47"/>
      <c r="QKL2" s="47"/>
      <c r="QKM2" s="47"/>
      <c r="QKN2" s="47"/>
      <c r="QKO2" s="47"/>
      <c r="QKP2" s="47"/>
      <c r="QKQ2" s="47"/>
      <c r="QKR2" s="47"/>
      <c r="QKS2" s="47"/>
      <c r="QKT2" s="47"/>
      <c r="QKU2" s="47"/>
      <c r="QKV2" s="47"/>
      <c r="QKW2" s="47"/>
      <c r="QKX2" s="47"/>
      <c r="QKY2" s="47"/>
      <c r="QKZ2" s="47"/>
      <c r="QLA2" s="47"/>
      <c r="QLB2" s="47"/>
      <c r="QLC2" s="47"/>
      <c r="QLD2" s="47"/>
      <c r="QLE2" s="47"/>
      <c r="QLF2" s="47"/>
      <c r="QLG2" s="47"/>
      <c r="QLH2" s="47"/>
      <c r="QLI2" s="47"/>
      <c r="QLJ2" s="47"/>
      <c r="QLK2" s="47"/>
      <c r="QLL2" s="47"/>
      <c r="QLM2" s="47"/>
      <c r="QLN2" s="47"/>
      <c r="QLO2" s="47"/>
      <c r="QLP2" s="47"/>
      <c r="QLQ2" s="47"/>
      <c r="QLR2" s="47"/>
      <c r="QLS2" s="47"/>
      <c r="QLT2" s="47"/>
      <c r="QLU2" s="47"/>
      <c r="QLV2" s="47"/>
      <c r="QLW2" s="47"/>
      <c r="QLX2" s="47"/>
      <c r="QLY2" s="47"/>
      <c r="QLZ2" s="47"/>
      <c r="QMA2" s="47"/>
      <c r="QMB2" s="47"/>
      <c r="QMC2" s="47"/>
      <c r="QMD2" s="47"/>
      <c r="QME2" s="47"/>
      <c r="QMF2" s="47"/>
      <c r="QMG2" s="47"/>
      <c r="QMH2" s="47"/>
      <c r="QMI2" s="47"/>
      <c r="QMJ2" s="47"/>
      <c r="QMK2" s="47"/>
      <c r="QML2" s="47"/>
      <c r="QMM2" s="47"/>
      <c r="QMN2" s="47"/>
      <c r="QMO2" s="47"/>
      <c r="QMP2" s="47"/>
      <c r="QMQ2" s="47"/>
      <c r="QMR2" s="47"/>
      <c r="QMS2" s="47"/>
      <c r="QMT2" s="47"/>
      <c r="QMU2" s="47"/>
      <c r="QMV2" s="47"/>
      <c r="QMW2" s="47"/>
      <c r="QMX2" s="47"/>
      <c r="QMY2" s="47"/>
      <c r="QMZ2" s="47"/>
      <c r="QNA2" s="47"/>
      <c r="QNB2" s="47"/>
      <c r="QNC2" s="47"/>
      <c r="QND2" s="47"/>
      <c r="QNE2" s="47"/>
      <c r="QNF2" s="47"/>
      <c r="QNG2" s="47"/>
      <c r="QNH2" s="47"/>
      <c r="QNI2" s="47"/>
      <c r="QNJ2" s="47"/>
      <c r="QNK2" s="47"/>
      <c r="QNL2" s="47"/>
      <c r="QNM2" s="47"/>
      <c r="QNN2" s="47"/>
      <c r="QNO2" s="47"/>
      <c r="QNP2" s="47"/>
      <c r="QNQ2" s="47"/>
      <c r="QNR2" s="47"/>
      <c r="QNS2" s="47"/>
      <c r="QNT2" s="47"/>
      <c r="QNU2" s="47"/>
      <c r="QNV2" s="47"/>
      <c r="QNW2" s="47"/>
      <c r="QNX2" s="47"/>
      <c r="QNY2" s="47"/>
      <c r="QNZ2" s="47"/>
      <c r="QOA2" s="47"/>
      <c r="QOB2" s="47"/>
      <c r="QOC2" s="47"/>
      <c r="QOD2" s="47"/>
      <c r="QOE2" s="47"/>
      <c r="QOF2" s="47"/>
      <c r="QOG2" s="47"/>
      <c r="QOH2" s="47"/>
      <c r="QOI2" s="47"/>
      <c r="QOJ2" s="47"/>
      <c r="QOK2" s="47"/>
      <c r="QOL2" s="47"/>
      <c r="QOM2" s="47"/>
      <c r="QON2" s="47"/>
      <c r="QOO2" s="47"/>
      <c r="QOP2" s="47"/>
      <c r="QOQ2" s="47"/>
      <c r="QOR2" s="47"/>
      <c r="QOS2" s="47"/>
      <c r="QOT2" s="47"/>
      <c r="QOU2" s="47"/>
      <c r="QOV2" s="47"/>
      <c r="QOW2" s="47"/>
      <c r="QOX2" s="47"/>
      <c r="QOY2" s="47"/>
      <c r="QOZ2" s="47"/>
      <c r="QPA2" s="47"/>
      <c r="QPB2" s="47"/>
      <c r="QPC2" s="47"/>
      <c r="QPD2" s="47"/>
      <c r="QPE2" s="47"/>
      <c r="QPF2" s="47"/>
      <c r="QPG2" s="47"/>
      <c r="QPH2" s="47"/>
      <c r="QPI2" s="47"/>
      <c r="QPJ2" s="47"/>
      <c r="QPK2" s="47"/>
      <c r="QPL2" s="47"/>
      <c r="QPM2" s="47"/>
      <c r="QPN2" s="47"/>
      <c r="QPO2" s="47"/>
      <c r="QPP2" s="47"/>
      <c r="QPQ2" s="47"/>
      <c r="QPR2" s="47"/>
      <c r="QPS2" s="47"/>
      <c r="QPT2" s="47"/>
      <c r="QPU2" s="47"/>
      <c r="QPV2" s="47"/>
      <c r="QPW2" s="47"/>
      <c r="QPX2" s="47"/>
      <c r="QPY2" s="47"/>
      <c r="QPZ2" s="47"/>
      <c r="QQA2" s="47"/>
      <c r="QQB2" s="47"/>
      <c r="QQC2" s="47"/>
      <c r="QQD2" s="47"/>
      <c r="QQE2" s="47"/>
      <c r="QQF2" s="47"/>
      <c r="QQG2" s="47"/>
      <c r="QQH2" s="47"/>
      <c r="QQI2" s="47"/>
      <c r="QQJ2" s="47"/>
      <c r="QQK2" s="47"/>
      <c r="QQL2" s="47"/>
      <c r="QQM2" s="47"/>
      <c r="QQN2" s="47"/>
      <c r="QQO2" s="47"/>
      <c r="QQP2" s="47"/>
      <c r="QQQ2" s="47"/>
      <c r="QQR2" s="47"/>
      <c r="QQS2" s="47"/>
      <c r="QQT2" s="47"/>
      <c r="QQU2" s="47"/>
      <c r="QQV2" s="47"/>
      <c r="QQW2" s="47"/>
      <c r="QQX2" s="47"/>
      <c r="QQY2" s="47"/>
      <c r="QQZ2" s="47"/>
      <c r="QRA2" s="47"/>
      <c r="QRB2" s="47"/>
      <c r="QRC2" s="47"/>
      <c r="QRD2" s="47"/>
      <c r="QRE2" s="47"/>
      <c r="QRF2" s="47"/>
      <c r="QRG2" s="47"/>
      <c r="QRH2" s="47"/>
      <c r="QRI2" s="47"/>
      <c r="QRJ2" s="47"/>
      <c r="QRK2" s="47"/>
      <c r="QRL2" s="47"/>
      <c r="QRM2" s="47"/>
      <c r="QRN2" s="47"/>
      <c r="QRO2" s="47"/>
      <c r="QRP2" s="47"/>
      <c r="QRQ2" s="47"/>
      <c r="QRR2" s="47"/>
      <c r="QRS2" s="47"/>
      <c r="QRT2" s="47"/>
      <c r="QRU2" s="47"/>
      <c r="QRV2" s="47"/>
      <c r="QRW2" s="47"/>
      <c r="QRX2" s="47"/>
      <c r="QRY2" s="47"/>
      <c r="QRZ2" s="47"/>
      <c r="QSA2" s="47"/>
      <c r="QSB2" s="47"/>
      <c r="QSC2" s="47"/>
      <c r="QSD2" s="47"/>
      <c r="QSE2" s="47"/>
      <c r="QSF2" s="47"/>
      <c r="QSG2" s="47"/>
      <c r="QSH2" s="47"/>
      <c r="QSI2" s="47"/>
      <c r="QSJ2" s="47"/>
      <c r="QSK2" s="47"/>
      <c r="QSL2" s="47"/>
      <c r="QSM2" s="47"/>
      <c r="QSN2" s="47"/>
      <c r="QSO2" s="47"/>
      <c r="QSP2" s="47"/>
      <c r="QSQ2" s="47"/>
      <c r="QSR2" s="47"/>
      <c r="QSS2" s="47"/>
      <c r="QST2" s="47"/>
      <c r="QSU2" s="47"/>
      <c r="QSV2" s="47"/>
      <c r="QSW2" s="47"/>
      <c r="QSX2" s="47"/>
      <c r="QSY2" s="47"/>
      <c r="QSZ2" s="47"/>
      <c r="QTA2" s="47"/>
      <c r="QTB2" s="47"/>
      <c r="QTC2" s="47"/>
      <c r="QTD2" s="47"/>
      <c r="QTE2" s="47"/>
      <c r="QTF2" s="47"/>
      <c r="QTG2" s="47"/>
      <c r="QTH2" s="47"/>
      <c r="QTI2" s="47"/>
      <c r="QTJ2" s="47"/>
      <c r="QTK2" s="47"/>
      <c r="QTL2" s="47"/>
      <c r="QTM2" s="47"/>
      <c r="QTN2" s="47"/>
      <c r="QTO2" s="47"/>
      <c r="QTP2" s="47"/>
      <c r="QTQ2" s="47"/>
      <c r="QTR2" s="47"/>
      <c r="QTS2" s="47"/>
      <c r="QTT2" s="47"/>
      <c r="QTU2" s="47"/>
      <c r="QTV2" s="47"/>
      <c r="QTW2" s="47"/>
      <c r="QTX2" s="47"/>
      <c r="QTY2" s="47"/>
      <c r="QTZ2" s="47"/>
      <c r="QUA2" s="47"/>
      <c r="QUB2" s="47"/>
      <c r="QUC2" s="47"/>
      <c r="QUD2" s="47"/>
      <c r="QUE2" s="47"/>
      <c r="QUF2" s="47"/>
      <c r="QUG2" s="47"/>
      <c r="QUH2" s="47"/>
      <c r="QUI2" s="47"/>
      <c r="QUJ2" s="47"/>
      <c r="QUK2" s="47"/>
      <c r="QUL2" s="47"/>
      <c r="QUM2" s="47"/>
      <c r="QUN2" s="47"/>
      <c r="QUO2" s="47"/>
      <c r="QUP2" s="47"/>
      <c r="QUQ2" s="47"/>
      <c r="QUR2" s="47"/>
      <c r="QUS2" s="47"/>
      <c r="QUT2" s="47"/>
      <c r="QUU2" s="47"/>
      <c r="QUV2" s="47"/>
      <c r="QUW2" s="47"/>
      <c r="QUX2" s="47"/>
      <c r="QUY2" s="47"/>
      <c r="QUZ2" s="47"/>
      <c r="QVA2" s="47"/>
      <c r="QVB2" s="47"/>
      <c r="QVC2" s="47"/>
      <c r="QVD2" s="47"/>
      <c r="QVE2" s="47"/>
      <c r="QVF2" s="47"/>
      <c r="QVG2" s="47"/>
      <c r="QVH2" s="47"/>
      <c r="QVI2" s="47"/>
      <c r="QVJ2" s="47"/>
      <c r="QVK2" s="47"/>
      <c r="QVL2" s="47"/>
      <c r="QVM2" s="47"/>
      <c r="QVN2" s="47"/>
      <c r="QVO2" s="47"/>
      <c r="QVP2" s="47"/>
      <c r="QVQ2" s="47"/>
      <c r="QVR2" s="47"/>
      <c r="QVS2" s="47"/>
      <c r="QVT2" s="47"/>
      <c r="QVU2" s="47"/>
      <c r="QVV2" s="47"/>
      <c r="QVW2" s="47"/>
      <c r="QVX2" s="47"/>
      <c r="QVY2" s="47"/>
      <c r="QVZ2" s="47"/>
      <c r="QWA2" s="47"/>
      <c r="QWB2" s="47"/>
      <c r="QWC2" s="47"/>
      <c r="QWD2" s="47"/>
      <c r="QWE2" s="47"/>
      <c r="QWF2" s="47"/>
      <c r="QWG2" s="47"/>
      <c r="QWH2" s="47"/>
      <c r="QWI2" s="47"/>
      <c r="QWJ2" s="47"/>
      <c r="QWK2" s="47"/>
      <c r="QWL2" s="47"/>
      <c r="QWM2" s="47"/>
      <c r="QWN2" s="47"/>
      <c r="QWO2" s="47"/>
      <c r="QWP2" s="47"/>
      <c r="QWQ2" s="47"/>
      <c r="QWR2" s="47"/>
      <c r="QWS2" s="47"/>
      <c r="QWT2" s="47"/>
      <c r="QWU2" s="47"/>
      <c r="QWV2" s="47"/>
      <c r="QWW2" s="47"/>
      <c r="QWX2" s="47"/>
      <c r="QWY2" s="47"/>
      <c r="QWZ2" s="47"/>
      <c r="QXA2" s="47"/>
      <c r="QXB2" s="47"/>
      <c r="QXC2" s="47"/>
      <c r="QXD2" s="47"/>
      <c r="QXE2" s="47"/>
      <c r="QXF2" s="47"/>
      <c r="QXG2" s="47"/>
      <c r="QXH2" s="47"/>
      <c r="QXI2" s="47"/>
      <c r="QXJ2" s="47"/>
      <c r="QXK2" s="47"/>
      <c r="QXL2" s="47"/>
      <c r="QXM2" s="47"/>
      <c r="QXN2" s="47"/>
      <c r="QXO2" s="47"/>
      <c r="QXP2" s="47"/>
      <c r="QXQ2" s="47"/>
      <c r="QXR2" s="47"/>
      <c r="QXS2" s="47"/>
      <c r="QXT2" s="47"/>
      <c r="QXU2" s="47"/>
      <c r="QXV2" s="47"/>
      <c r="QXW2" s="47"/>
      <c r="QXX2" s="47"/>
      <c r="QXY2" s="47"/>
      <c r="QXZ2" s="47"/>
      <c r="QYA2" s="47"/>
      <c r="QYB2" s="47"/>
      <c r="QYC2" s="47"/>
      <c r="QYD2" s="47"/>
      <c r="QYE2" s="47"/>
      <c r="QYF2" s="47"/>
      <c r="QYG2" s="47"/>
      <c r="QYH2" s="47"/>
      <c r="QYI2" s="47"/>
      <c r="QYJ2" s="47"/>
      <c r="QYK2" s="47"/>
      <c r="QYL2" s="47"/>
      <c r="QYM2" s="47"/>
      <c r="QYN2" s="47"/>
      <c r="QYO2" s="47"/>
      <c r="QYP2" s="47"/>
      <c r="QYQ2" s="47"/>
      <c r="QYR2" s="47"/>
      <c r="QYS2" s="47"/>
      <c r="QYT2" s="47"/>
      <c r="QYU2" s="47"/>
      <c r="QYV2" s="47"/>
      <c r="QYW2" s="47"/>
      <c r="QYX2" s="47"/>
      <c r="QYY2" s="47"/>
      <c r="QYZ2" s="47"/>
      <c r="QZA2" s="47"/>
      <c r="QZB2" s="47"/>
      <c r="QZC2" s="47"/>
      <c r="QZD2" s="47"/>
      <c r="QZE2" s="47"/>
      <c r="QZF2" s="47"/>
      <c r="QZG2" s="47"/>
      <c r="QZH2" s="47"/>
      <c r="QZI2" s="47"/>
      <c r="QZJ2" s="47"/>
      <c r="QZK2" s="47"/>
      <c r="QZL2" s="47"/>
      <c r="QZM2" s="47"/>
      <c r="QZN2" s="47"/>
      <c r="QZO2" s="47"/>
      <c r="QZP2" s="47"/>
      <c r="QZQ2" s="47"/>
      <c r="QZR2" s="47"/>
      <c r="QZS2" s="47"/>
      <c r="QZT2" s="47"/>
      <c r="QZU2" s="47"/>
      <c r="QZV2" s="47"/>
      <c r="QZW2" s="47"/>
      <c r="QZX2" s="47"/>
      <c r="QZY2" s="47"/>
      <c r="QZZ2" s="47"/>
      <c r="RAA2" s="47"/>
      <c r="RAB2" s="47"/>
      <c r="RAC2" s="47"/>
      <c r="RAD2" s="47"/>
      <c r="RAE2" s="47"/>
      <c r="RAF2" s="47"/>
      <c r="RAG2" s="47"/>
      <c r="RAH2" s="47"/>
      <c r="RAI2" s="47"/>
      <c r="RAJ2" s="47"/>
      <c r="RAK2" s="47"/>
      <c r="RAL2" s="47"/>
      <c r="RAM2" s="47"/>
      <c r="RAN2" s="47"/>
      <c r="RAO2" s="47"/>
      <c r="RAP2" s="47"/>
      <c r="RAQ2" s="47"/>
      <c r="RAR2" s="47"/>
      <c r="RAS2" s="47"/>
      <c r="RAT2" s="47"/>
      <c r="RAU2" s="47"/>
      <c r="RAV2" s="47"/>
      <c r="RAW2" s="47"/>
      <c r="RAX2" s="47"/>
      <c r="RAY2" s="47"/>
      <c r="RAZ2" s="47"/>
      <c r="RBA2" s="47"/>
      <c r="RBB2" s="47"/>
      <c r="RBC2" s="47"/>
      <c r="RBD2" s="47"/>
      <c r="RBE2" s="47"/>
      <c r="RBF2" s="47"/>
      <c r="RBG2" s="47"/>
      <c r="RBH2" s="47"/>
      <c r="RBI2" s="47"/>
      <c r="RBJ2" s="47"/>
      <c r="RBK2" s="47"/>
      <c r="RBL2" s="47"/>
      <c r="RBM2" s="47"/>
      <c r="RBN2" s="47"/>
      <c r="RBO2" s="47"/>
      <c r="RBP2" s="47"/>
      <c r="RBQ2" s="47"/>
      <c r="RBR2" s="47"/>
      <c r="RBS2" s="47"/>
      <c r="RBT2" s="47"/>
      <c r="RBU2" s="47"/>
      <c r="RBV2" s="47"/>
      <c r="RBW2" s="47"/>
      <c r="RBX2" s="47"/>
      <c r="RBY2" s="47"/>
      <c r="RBZ2" s="47"/>
      <c r="RCA2" s="47"/>
      <c r="RCB2" s="47"/>
      <c r="RCC2" s="47"/>
      <c r="RCD2" s="47"/>
      <c r="RCE2" s="47"/>
      <c r="RCF2" s="47"/>
      <c r="RCG2" s="47"/>
      <c r="RCH2" s="47"/>
      <c r="RCI2" s="47"/>
      <c r="RCJ2" s="47"/>
      <c r="RCK2" s="47"/>
      <c r="RCL2" s="47"/>
      <c r="RCM2" s="47"/>
      <c r="RCN2" s="47"/>
      <c r="RCO2" s="47"/>
      <c r="RCP2" s="47"/>
      <c r="RCQ2" s="47"/>
      <c r="RCR2" s="47"/>
      <c r="RCS2" s="47"/>
      <c r="RCT2" s="47"/>
      <c r="RCU2" s="47"/>
      <c r="RCV2" s="47"/>
      <c r="RCW2" s="47"/>
      <c r="RCX2" s="47"/>
      <c r="RCY2" s="47"/>
      <c r="RCZ2" s="47"/>
      <c r="RDA2" s="47"/>
      <c r="RDB2" s="47"/>
      <c r="RDC2" s="47"/>
      <c r="RDD2" s="47"/>
      <c r="RDE2" s="47"/>
      <c r="RDF2" s="47"/>
      <c r="RDG2" s="47"/>
      <c r="RDH2" s="47"/>
      <c r="RDI2" s="47"/>
      <c r="RDJ2" s="47"/>
      <c r="RDK2" s="47"/>
      <c r="RDL2" s="47"/>
      <c r="RDM2" s="47"/>
      <c r="RDN2" s="47"/>
      <c r="RDO2" s="47"/>
      <c r="RDP2" s="47"/>
      <c r="RDQ2" s="47"/>
      <c r="RDR2" s="47"/>
      <c r="RDS2" s="47"/>
      <c r="RDT2" s="47"/>
      <c r="RDU2" s="47"/>
      <c r="RDV2" s="47"/>
      <c r="RDW2" s="47"/>
      <c r="RDX2" s="47"/>
      <c r="RDY2" s="47"/>
      <c r="RDZ2" s="47"/>
      <c r="REA2" s="47"/>
      <c r="REB2" s="47"/>
      <c r="REC2" s="47"/>
      <c r="RED2" s="47"/>
      <c r="REE2" s="47"/>
      <c r="REF2" s="47"/>
      <c r="REG2" s="47"/>
      <c r="REH2" s="47"/>
      <c r="REI2" s="47"/>
      <c r="REJ2" s="47"/>
      <c r="REK2" s="47"/>
      <c r="REL2" s="47"/>
      <c r="REM2" s="47"/>
      <c r="REN2" s="47"/>
      <c r="REO2" s="47"/>
      <c r="REP2" s="47"/>
      <c r="REQ2" s="47"/>
      <c r="RER2" s="47"/>
      <c r="RES2" s="47"/>
      <c r="RET2" s="47"/>
      <c r="REU2" s="47"/>
      <c r="REV2" s="47"/>
      <c r="REW2" s="47"/>
      <c r="REX2" s="47"/>
      <c r="REY2" s="47"/>
      <c r="REZ2" s="47"/>
      <c r="RFA2" s="47"/>
      <c r="RFB2" s="47"/>
      <c r="RFC2" s="47"/>
      <c r="RFD2" s="47"/>
      <c r="RFE2" s="47"/>
      <c r="RFF2" s="47"/>
      <c r="RFG2" s="47"/>
      <c r="RFH2" s="47"/>
      <c r="RFI2" s="47"/>
      <c r="RFJ2" s="47"/>
      <c r="RFK2" s="47"/>
      <c r="RFL2" s="47"/>
      <c r="RFM2" s="47"/>
      <c r="RFN2" s="47"/>
      <c r="RFO2" s="47"/>
      <c r="RFP2" s="47"/>
      <c r="RFQ2" s="47"/>
      <c r="RFR2" s="47"/>
      <c r="RFS2" s="47"/>
      <c r="RFT2" s="47"/>
      <c r="RFU2" s="47"/>
      <c r="RFV2" s="47"/>
      <c r="RFW2" s="47"/>
      <c r="RFX2" s="47"/>
      <c r="RFY2" s="47"/>
      <c r="RFZ2" s="47"/>
      <c r="RGA2" s="47"/>
      <c r="RGB2" s="47"/>
      <c r="RGC2" s="47"/>
      <c r="RGD2" s="47"/>
      <c r="RGE2" s="47"/>
      <c r="RGF2" s="47"/>
      <c r="RGG2" s="47"/>
      <c r="RGH2" s="47"/>
      <c r="RGI2" s="47"/>
      <c r="RGJ2" s="47"/>
      <c r="RGK2" s="47"/>
      <c r="RGL2" s="47"/>
      <c r="RGM2" s="47"/>
      <c r="RGN2" s="47"/>
      <c r="RGO2" s="47"/>
      <c r="RGP2" s="47"/>
      <c r="RGQ2" s="47"/>
      <c r="RGR2" s="47"/>
      <c r="RGS2" s="47"/>
      <c r="RGT2" s="47"/>
      <c r="RGU2" s="47"/>
      <c r="RGV2" s="47"/>
      <c r="RGW2" s="47"/>
      <c r="RGX2" s="47"/>
      <c r="RGY2" s="47"/>
      <c r="RGZ2" s="47"/>
      <c r="RHA2" s="47"/>
      <c r="RHB2" s="47"/>
      <c r="RHC2" s="47"/>
      <c r="RHD2" s="47"/>
      <c r="RHE2" s="47"/>
      <c r="RHF2" s="47"/>
      <c r="RHG2" s="47"/>
      <c r="RHH2" s="47"/>
      <c r="RHI2" s="47"/>
      <c r="RHJ2" s="47"/>
      <c r="RHK2" s="47"/>
      <c r="RHL2" s="47"/>
      <c r="RHM2" s="47"/>
      <c r="RHN2" s="47"/>
      <c r="RHO2" s="47"/>
      <c r="RHP2" s="47"/>
      <c r="RHQ2" s="47"/>
      <c r="RHR2" s="47"/>
      <c r="RHS2" s="47"/>
      <c r="RHT2" s="47"/>
      <c r="RHU2" s="47"/>
      <c r="RHV2" s="47"/>
      <c r="RHW2" s="47"/>
      <c r="RHX2" s="47"/>
      <c r="RHY2" s="47"/>
      <c r="RHZ2" s="47"/>
      <c r="RIA2" s="47"/>
      <c r="RIB2" s="47"/>
      <c r="RIC2" s="47"/>
      <c r="RID2" s="47"/>
      <c r="RIE2" s="47"/>
      <c r="RIF2" s="47"/>
      <c r="RIG2" s="47"/>
      <c r="RIH2" s="47"/>
      <c r="RII2" s="47"/>
      <c r="RIJ2" s="47"/>
      <c r="RIK2" s="47"/>
      <c r="RIL2" s="47"/>
      <c r="RIM2" s="47"/>
      <c r="RIN2" s="47"/>
      <c r="RIO2" s="47"/>
      <c r="RIP2" s="47"/>
      <c r="RIQ2" s="47"/>
      <c r="RIR2" s="47"/>
      <c r="RIS2" s="47"/>
      <c r="RIT2" s="47"/>
      <c r="RIU2" s="47"/>
      <c r="RIV2" s="47"/>
      <c r="RIW2" s="47"/>
      <c r="RIX2" s="47"/>
      <c r="RIY2" s="47"/>
      <c r="RIZ2" s="47"/>
      <c r="RJA2" s="47"/>
      <c r="RJB2" s="47"/>
      <c r="RJC2" s="47"/>
      <c r="RJD2" s="47"/>
      <c r="RJE2" s="47"/>
      <c r="RJF2" s="47"/>
      <c r="RJG2" s="47"/>
      <c r="RJH2" s="47"/>
      <c r="RJI2" s="47"/>
      <c r="RJJ2" s="47"/>
      <c r="RJK2" s="47"/>
      <c r="RJL2" s="47"/>
      <c r="RJM2" s="47"/>
      <c r="RJN2" s="47"/>
      <c r="RJO2" s="47"/>
      <c r="RJP2" s="47"/>
      <c r="RJQ2" s="47"/>
      <c r="RJR2" s="47"/>
      <c r="RJS2" s="47"/>
      <c r="RJT2" s="47"/>
      <c r="RJU2" s="47"/>
      <c r="RJV2" s="47"/>
      <c r="RJW2" s="47"/>
      <c r="RJX2" s="47"/>
      <c r="RJY2" s="47"/>
      <c r="RJZ2" s="47"/>
      <c r="RKA2" s="47"/>
      <c r="RKB2" s="47"/>
      <c r="RKC2" s="47"/>
      <c r="RKD2" s="47"/>
      <c r="RKE2" s="47"/>
      <c r="RKF2" s="47"/>
      <c r="RKG2" s="47"/>
      <c r="RKH2" s="47"/>
      <c r="RKI2" s="47"/>
      <c r="RKJ2" s="47"/>
      <c r="RKK2" s="47"/>
      <c r="RKL2" s="47"/>
      <c r="RKM2" s="47"/>
      <c r="RKN2" s="47"/>
      <c r="RKO2" s="47"/>
      <c r="RKP2" s="47"/>
      <c r="RKQ2" s="47"/>
      <c r="RKR2" s="47"/>
      <c r="RKS2" s="47"/>
      <c r="RKT2" s="47"/>
      <c r="RKU2" s="47"/>
      <c r="RKV2" s="47"/>
      <c r="RKW2" s="47"/>
      <c r="RKX2" s="47"/>
      <c r="RKY2" s="47"/>
      <c r="RKZ2" s="47"/>
      <c r="RLA2" s="47"/>
      <c r="RLB2" s="47"/>
      <c r="RLC2" s="47"/>
      <c r="RLD2" s="47"/>
      <c r="RLE2" s="47"/>
      <c r="RLF2" s="47"/>
      <c r="RLG2" s="47"/>
      <c r="RLH2" s="47"/>
      <c r="RLI2" s="47"/>
      <c r="RLJ2" s="47"/>
      <c r="RLK2" s="47"/>
      <c r="RLL2" s="47"/>
      <c r="RLM2" s="47"/>
      <c r="RLN2" s="47"/>
      <c r="RLO2" s="47"/>
      <c r="RLP2" s="47"/>
      <c r="RLQ2" s="47"/>
      <c r="RLR2" s="47"/>
      <c r="RLS2" s="47"/>
      <c r="RLT2" s="47"/>
      <c r="RLU2" s="47"/>
      <c r="RLV2" s="47"/>
      <c r="RLW2" s="47"/>
      <c r="RLX2" s="47"/>
      <c r="RLY2" s="47"/>
      <c r="RLZ2" s="47"/>
      <c r="RMA2" s="47"/>
      <c r="RMB2" s="47"/>
      <c r="RMC2" s="47"/>
      <c r="RMD2" s="47"/>
      <c r="RME2" s="47"/>
      <c r="RMF2" s="47"/>
      <c r="RMG2" s="47"/>
      <c r="RMH2" s="47"/>
      <c r="RMI2" s="47"/>
      <c r="RMJ2" s="47"/>
      <c r="RMK2" s="47"/>
      <c r="RML2" s="47"/>
      <c r="RMM2" s="47"/>
      <c r="RMN2" s="47"/>
      <c r="RMO2" s="47"/>
      <c r="RMP2" s="47"/>
      <c r="RMQ2" s="47"/>
      <c r="RMR2" s="47"/>
      <c r="RMS2" s="47"/>
      <c r="RMT2" s="47"/>
      <c r="RMU2" s="47"/>
      <c r="RMV2" s="47"/>
      <c r="RMW2" s="47"/>
      <c r="RMX2" s="47"/>
      <c r="RMY2" s="47"/>
      <c r="RMZ2" s="47"/>
      <c r="RNA2" s="47"/>
      <c r="RNB2" s="47"/>
      <c r="RNC2" s="47"/>
      <c r="RND2" s="47"/>
      <c r="RNE2" s="47"/>
      <c r="RNF2" s="47"/>
      <c r="RNG2" s="47"/>
      <c r="RNH2" s="47"/>
      <c r="RNI2" s="47"/>
      <c r="RNJ2" s="47"/>
      <c r="RNK2" s="47"/>
      <c r="RNL2" s="47"/>
      <c r="RNM2" s="47"/>
      <c r="RNN2" s="47"/>
      <c r="RNO2" s="47"/>
      <c r="RNP2" s="47"/>
      <c r="RNQ2" s="47"/>
      <c r="RNR2" s="47"/>
      <c r="RNS2" s="47"/>
      <c r="RNT2" s="47"/>
      <c r="RNU2" s="47"/>
      <c r="RNV2" s="47"/>
      <c r="RNW2" s="47"/>
      <c r="RNX2" s="47"/>
      <c r="RNY2" s="47"/>
      <c r="RNZ2" s="47"/>
      <c r="ROA2" s="47"/>
      <c r="ROB2" s="47"/>
      <c r="ROC2" s="47"/>
      <c r="ROD2" s="47"/>
      <c r="ROE2" s="47"/>
      <c r="ROF2" s="47"/>
      <c r="ROG2" s="47"/>
      <c r="ROH2" s="47"/>
      <c r="ROI2" s="47"/>
      <c r="ROJ2" s="47"/>
      <c r="ROK2" s="47"/>
      <c r="ROL2" s="47"/>
      <c r="ROM2" s="47"/>
      <c r="RON2" s="47"/>
      <c r="ROO2" s="47"/>
      <c r="ROP2" s="47"/>
      <c r="ROQ2" s="47"/>
      <c r="ROR2" s="47"/>
      <c r="ROS2" s="47"/>
      <c r="ROT2" s="47"/>
      <c r="ROU2" s="47"/>
      <c r="ROV2" s="47"/>
      <c r="ROW2" s="47"/>
      <c r="ROX2" s="47"/>
      <c r="ROY2" s="47"/>
      <c r="ROZ2" s="47"/>
      <c r="RPA2" s="47"/>
      <c r="RPB2" s="47"/>
      <c r="RPC2" s="47"/>
      <c r="RPD2" s="47"/>
      <c r="RPE2" s="47"/>
      <c r="RPF2" s="47"/>
      <c r="RPG2" s="47"/>
      <c r="RPH2" s="47"/>
      <c r="RPI2" s="47"/>
      <c r="RPJ2" s="47"/>
      <c r="RPK2" s="47"/>
      <c r="RPL2" s="47"/>
      <c r="RPM2" s="47"/>
      <c r="RPN2" s="47"/>
      <c r="RPO2" s="47"/>
      <c r="RPP2" s="47"/>
      <c r="RPQ2" s="47"/>
      <c r="RPR2" s="47"/>
      <c r="RPS2" s="47"/>
      <c r="RPT2" s="47"/>
      <c r="RPU2" s="47"/>
      <c r="RPV2" s="47"/>
      <c r="RPW2" s="47"/>
      <c r="RPX2" s="47"/>
      <c r="RPY2" s="47"/>
      <c r="RPZ2" s="47"/>
      <c r="RQA2" s="47"/>
      <c r="RQB2" s="47"/>
      <c r="RQC2" s="47"/>
      <c r="RQD2" s="47"/>
      <c r="RQE2" s="47"/>
      <c r="RQF2" s="47"/>
      <c r="RQG2" s="47"/>
      <c r="RQH2" s="47"/>
      <c r="RQI2" s="47"/>
      <c r="RQJ2" s="47"/>
      <c r="RQK2" s="47"/>
      <c r="RQL2" s="47"/>
      <c r="RQM2" s="47"/>
      <c r="RQN2" s="47"/>
      <c r="RQO2" s="47"/>
      <c r="RQP2" s="47"/>
      <c r="RQQ2" s="47"/>
      <c r="RQR2" s="47"/>
      <c r="RQS2" s="47"/>
      <c r="RQT2" s="47"/>
      <c r="RQU2" s="47"/>
      <c r="RQV2" s="47"/>
      <c r="RQW2" s="47"/>
      <c r="RQX2" s="47"/>
      <c r="RQY2" s="47"/>
      <c r="RQZ2" s="47"/>
      <c r="RRA2" s="47"/>
      <c r="RRB2" s="47"/>
      <c r="RRC2" s="47"/>
      <c r="RRD2" s="47"/>
      <c r="RRE2" s="47"/>
      <c r="RRF2" s="47"/>
      <c r="RRG2" s="47"/>
      <c r="RRH2" s="47"/>
      <c r="RRI2" s="47"/>
      <c r="RRJ2" s="47"/>
      <c r="RRK2" s="47"/>
      <c r="RRL2" s="47"/>
      <c r="RRM2" s="47"/>
      <c r="RRN2" s="47"/>
      <c r="RRO2" s="47"/>
      <c r="RRP2" s="47"/>
      <c r="RRQ2" s="47"/>
      <c r="RRR2" s="47"/>
      <c r="RRS2" s="47"/>
      <c r="RRT2" s="47"/>
      <c r="RRU2" s="47"/>
      <c r="RRV2" s="47"/>
      <c r="RRW2" s="47"/>
      <c r="RRX2" s="47"/>
      <c r="RRY2" s="47"/>
      <c r="RRZ2" s="47"/>
      <c r="RSA2" s="47"/>
      <c r="RSB2" s="47"/>
      <c r="RSC2" s="47"/>
      <c r="RSD2" s="47"/>
      <c r="RSE2" s="47"/>
      <c r="RSF2" s="47"/>
      <c r="RSG2" s="47"/>
      <c r="RSH2" s="47"/>
      <c r="RSI2" s="47"/>
      <c r="RSJ2" s="47"/>
      <c r="RSK2" s="47"/>
      <c r="RSL2" s="47"/>
      <c r="RSM2" s="47"/>
      <c r="RSN2" s="47"/>
      <c r="RSO2" s="47"/>
      <c r="RSP2" s="47"/>
      <c r="RSQ2" s="47"/>
      <c r="RSR2" s="47"/>
      <c r="RSS2" s="47"/>
      <c r="RST2" s="47"/>
      <c r="RSU2" s="47"/>
      <c r="RSV2" s="47"/>
      <c r="RSW2" s="47"/>
      <c r="RSX2" s="47"/>
      <c r="RSY2" s="47"/>
      <c r="RSZ2" s="47"/>
      <c r="RTA2" s="47"/>
      <c r="RTB2" s="47"/>
      <c r="RTC2" s="47"/>
      <c r="RTD2" s="47"/>
      <c r="RTE2" s="47"/>
      <c r="RTF2" s="47"/>
      <c r="RTG2" s="47"/>
      <c r="RTH2" s="47"/>
      <c r="RTI2" s="47"/>
      <c r="RTJ2" s="47"/>
      <c r="RTK2" s="47"/>
      <c r="RTL2" s="47"/>
      <c r="RTM2" s="47"/>
      <c r="RTN2" s="47"/>
      <c r="RTO2" s="47"/>
      <c r="RTP2" s="47"/>
      <c r="RTQ2" s="47"/>
      <c r="RTR2" s="47"/>
      <c r="RTS2" s="47"/>
      <c r="RTT2" s="47"/>
      <c r="RTU2" s="47"/>
      <c r="RTV2" s="47"/>
      <c r="RTW2" s="47"/>
      <c r="RTX2" s="47"/>
      <c r="RTY2" s="47"/>
      <c r="RTZ2" s="47"/>
      <c r="RUA2" s="47"/>
      <c r="RUB2" s="47"/>
      <c r="RUC2" s="47"/>
      <c r="RUD2" s="47"/>
      <c r="RUE2" s="47"/>
      <c r="RUF2" s="47"/>
      <c r="RUG2" s="47"/>
      <c r="RUH2" s="47"/>
      <c r="RUI2" s="47"/>
      <c r="RUJ2" s="47"/>
      <c r="RUK2" s="47"/>
      <c r="RUL2" s="47"/>
      <c r="RUM2" s="47"/>
      <c r="RUN2" s="47"/>
      <c r="RUO2" s="47"/>
      <c r="RUP2" s="47"/>
      <c r="RUQ2" s="47"/>
      <c r="RUR2" s="47"/>
      <c r="RUS2" s="47"/>
      <c r="RUT2" s="47"/>
      <c r="RUU2" s="47"/>
      <c r="RUV2" s="47"/>
      <c r="RUW2" s="47"/>
      <c r="RUX2" s="47"/>
      <c r="RUY2" s="47"/>
      <c r="RUZ2" s="47"/>
      <c r="RVA2" s="47"/>
      <c r="RVB2" s="47"/>
      <c r="RVC2" s="47"/>
      <c r="RVD2" s="47"/>
      <c r="RVE2" s="47"/>
      <c r="RVF2" s="47"/>
      <c r="RVG2" s="47"/>
      <c r="RVH2" s="47"/>
      <c r="RVI2" s="47"/>
      <c r="RVJ2" s="47"/>
      <c r="RVK2" s="47"/>
      <c r="RVL2" s="47"/>
      <c r="RVM2" s="47"/>
      <c r="RVN2" s="47"/>
      <c r="RVO2" s="47"/>
      <c r="RVP2" s="47"/>
      <c r="RVQ2" s="47"/>
      <c r="RVR2" s="47"/>
      <c r="RVS2" s="47"/>
      <c r="RVT2" s="47"/>
      <c r="RVU2" s="47"/>
      <c r="RVV2" s="47"/>
      <c r="RVW2" s="47"/>
      <c r="RVX2" s="47"/>
      <c r="RVY2" s="47"/>
      <c r="RVZ2" s="47"/>
      <c r="RWA2" s="47"/>
      <c r="RWB2" s="47"/>
      <c r="RWC2" s="47"/>
      <c r="RWD2" s="47"/>
      <c r="RWE2" s="47"/>
      <c r="RWF2" s="47"/>
      <c r="RWG2" s="47"/>
      <c r="RWH2" s="47"/>
      <c r="RWI2" s="47"/>
      <c r="RWJ2" s="47"/>
      <c r="RWK2" s="47"/>
      <c r="RWL2" s="47"/>
      <c r="RWM2" s="47"/>
      <c r="RWN2" s="47"/>
      <c r="RWO2" s="47"/>
      <c r="RWP2" s="47"/>
      <c r="RWQ2" s="47"/>
      <c r="RWR2" s="47"/>
      <c r="RWS2" s="47"/>
      <c r="RWT2" s="47"/>
      <c r="RWU2" s="47"/>
      <c r="RWV2" s="47"/>
      <c r="RWW2" s="47"/>
      <c r="RWX2" s="47"/>
      <c r="RWY2" s="47"/>
      <c r="RWZ2" s="47"/>
      <c r="RXA2" s="47"/>
      <c r="RXB2" s="47"/>
      <c r="RXC2" s="47"/>
      <c r="RXD2" s="47"/>
      <c r="RXE2" s="47"/>
      <c r="RXF2" s="47"/>
      <c r="RXG2" s="47"/>
      <c r="RXH2" s="47"/>
      <c r="RXI2" s="47"/>
      <c r="RXJ2" s="47"/>
      <c r="RXK2" s="47"/>
      <c r="RXL2" s="47"/>
      <c r="RXM2" s="47"/>
      <c r="RXN2" s="47"/>
      <c r="RXO2" s="47"/>
      <c r="RXP2" s="47"/>
      <c r="RXQ2" s="47"/>
      <c r="RXR2" s="47"/>
      <c r="RXS2" s="47"/>
      <c r="RXT2" s="47"/>
      <c r="RXU2" s="47"/>
      <c r="RXV2" s="47"/>
      <c r="RXW2" s="47"/>
      <c r="RXX2" s="47"/>
      <c r="RXY2" s="47"/>
      <c r="RXZ2" s="47"/>
      <c r="RYA2" s="47"/>
      <c r="RYB2" s="47"/>
      <c r="RYC2" s="47"/>
      <c r="RYD2" s="47"/>
      <c r="RYE2" s="47"/>
      <c r="RYF2" s="47"/>
      <c r="RYG2" s="47"/>
      <c r="RYH2" s="47"/>
      <c r="RYI2" s="47"/>
      <c r="RYJ2" s="47"/>
      <c r="RYK2" s="47"/>
      <c r="RYL2" s="47"/>
      <c r="RYM2" s="47"/>
      <c r="RYN2" s="47"/>
      <c r="RYO2" s="47"/>
      <c r="RYP2" s="47"/>
      <c r="RYQ2" s="47"/>
      <c r="RYR2" s="47"/>
      <c r="RYS2" s="47"/>
      <c r="RYT2" s="47"/>
      <c r="RYU2" s="47"/>
      <c r="RYV2" s="47"/>
      <c r="RYW2" s="47"/>
      <c r="RYX2" s="47"/>
      <c r="RYY2" s="47"/>
      <c r="RYZ2" s="47"/>
      <c r="RZA2" s="47"/>
      <c r="RZB2" s="47"/>
      <c r="RZC2" s="47"/>
      <c r="RZD2" s="47"/>
      <c r="RZE2" s="47"/>
      <c r="RZF2" s="47"/>
      <c r="RZG2" s="47"/>
      <c r="RZH2" s="47"/>
      <c r="RZI2" s="47"/>
      <c r="RZJ2" s="47"/>
      <c r="RZK2" s="47"/>
      <c r="RZL2" s="47"/>
      <c r="RZM2" s="47"/>
      <c r="RZN2" s="47"/>
      <c r="RZO2" s="47"/>
      <c r="RZP2" s="47"/>
      <c r="RZQ2" s="47"/>
      <c r="RZR2" s="47"/>
      <c r="RZS2" s="47"/>
      <c r="RZT2" s="47"/>
      <c r="RZU2" s="47"/>
      <c r="RZV2" s="47"/>
      <c r="RZW2" s="47"/>
      <c r="RZX2" s="47"/>
      <c r="RZY2" s="47"/>
      <c r="RZZ2" s="47"/>
      <c r="SAA2" s="47"/>
      <c r="SAB2" s="47"/>
      <c r="SAC2" s="47"/>
      <c r="SAD2" s="47"/>
      <c r="SAE2" s="47"/>
      <c r="SAF2" s="47"/>
      <c r="SAG2" s="47"/>
      <c r="SAH2" s="47"/>
      <c r="SAI2" s="47"/>
      <c r="SAJ2" s="47"/>
      <c r="SAK2" s="47"/>
      <c r="SAL2" s="47"/>
      <c r="SAM2" s="47"/>
      <c r="SAN2" s="47"/>
      <c r="SAO2" s="47"/>
      <c r="SAP2" s="47"/>
      <c r="SAQ2" s="47"/>
      <c r="SAR2" s="47"/>
      <c r="SAS2" s="47"/>
      <c r="SAT2" s="47"/>
      <c r="SAU2" s="47"/>
      <c r="SAV2" s="47"/>
      <c r="SAW2" s="47"/>
      <c r="SAX2" s="47"/>
      <c r="SAY2" s="47"/>
      <c r="SAZ2" s="47"/>
      <c r="SBA2" s="47"/>
      <c r="SBB2" s="47"/>
      <c r="SBC2" s="47"/>
      <c r="SBD2" s="47"/>
      <c r="SBE2" s="47"/>
      <c r="SBF2" s="47"/>
      <c r="SBG2" s="47"/>
      <c r="SBH2" s="47"/>
      <c r="SBI2" s="47"/>
      <c r="SBJ2" s="47"/>
      <c r="SBK2" s="47"/>
      <c r="SBL2" s="47"/>
      <c r="SBM2" s="47"/>
      <c r="SBN2" s="47"/>
      <c r="SBO2" s="47"/>
      <c r="SBP2" s="47"/>
      <c r="SBQ2" s="47"/>
      <c r="SBR2" s="47"/>
      <c r="SBS2" s="47"/>
      <c r="SBT2" s="47"/>
      <c r="SBU2" s="47"/>
      <c r="SBV2" s="47"/>
      <c r="SBW2" s="47"/>
      <c r="SBX2" s="47"/>
      <c r="SBY2" s="47"/>
      <c r="SBZ2" s="47"/>
      <c r="SCA2" s="47"/>
      <c r="SCB2" s="47"/>
      <c r="SCC2" s="47"/>
      <c r="SCD2" s="47"/>
      <c r="SCE2" s="47"/>
      <c r="SCF2" s="47"/>
      <c r="SCG2" s="47"/>
      <c r="SCH2" s="47"/>
      <c r="SCI2" s="47"/>
      <c r="SCJ2" s="47"/>
      <c r="SCK2" s="47"/>
      <c r="SCL2" s="47"/>
      <c r="SCM2" s="47"/>
      <c r="SCN2" s="47"/>
      <c r="SCO2" s="47"/>
      <c r="SCP2" s="47"/>
      <c r="SCQ2" s="47"/>
      <c r="SCR2" s="47"/>
      <c r="SCS2" s="47"/>
      <c r="SCT2" s="47"/>
      <c r="SCU2" s="47"/>
      <c r="SCV2" s="47"/>
      <c r="SCW2" s="47"/>
      <c r="SCX2" s="47"/>
      <c r="SCY2" s="47"/>
      <c r="SCZ2" s="47"/>
      <c r="SDA2" s="47"/>
      <c r="SDB2" s="47"/>
      <c r="SDC2" s="47"/>
      <c r="SDD2" s="47"/>
      <c r="SDE2" s="47"/>
      <c r="SDF2" s="47"/>
      <c r="SDG2" s="47"/>
      <c r="SDH2" s="47"/>
      <c r="SDI2" s="47"/>
      <c r="SDJ2" s="47"/>
      <c r="SDK2" s="47"/>
      <c r="SDL2" s="47"/>
      <c r="SDM2" s="47"/>
      <c r="SDN2" s="47"/>
      <c r="SDO2" s="47"/>
      <c r="SDP2" s="47"/>
      <c r="SDQ2" s="47"/>
      <c r="SDR2" s="47"/>
      <c r="SDS2" s="47"/>
      <c r="SDT2" s="47"/>
      <c r="SDU2" s="47"/>
      <c r="SDV2" s="47"/>
      <c r="SDW2" s="47"/>
      <c r="SDX2" s="47"/>
      <c r="SDY2" s="47"/>
      <c r="SDZ2" s="47"/>
      <c r="SEA2" s="47"/>
      <c r="SEB2" s="47"/>
      <c r="SEC2" s="47"/>
      <c r="SED2" s="47"/>
      <c r="SEE2" s="47"/>
      <c r="SEF2" s="47"/>
      <c r="SEG2" s="47"/>
      <c r="SEH2" s="47"/>
      <c r="SEI2" s="47"/>
      <c r="SEJ2" s="47"/>
      <c r="SEK2" s="47"/>
      <c r="SEL2" s="47"/>
      <c r="SEM2" s="47"/>
      <c r="SEN2" s="47"/>
      <c r="SEO2" s="47"/>
      <c r="SEP2" s="47"/>
      <c r="SEQ2" s="47"/>
      <c r="SER2" s="47"/>
      <c r="SES2" s="47"/>
      <c r="SET2" s="47"/>
      <c r="SEU2" s="47"/>
      <c r="SEV2" s="47"/>
      <c r="SEW2" s="47"/>
      <c r="SEX2" s="47"/>
      <c r="SEY2" s="47"/>
      <c r="SEZ2" s="47"/>
      <c r="SFA2" s="47"/>
      <c r="SFB2" s="47"/>
      <c r="SFC2" s="47"/>
      <c r="SFD2" s="47"/>
      <c r="SFE2" s="47"/>
      <c r="SFF2" s="47"/>
      <c r="SFG2" s="47"/>
      <c r="SFH2" s="47"/>
      <c r="SFI2" s="47"/>
      <c r="SFJ2" s="47"/>
      <c r="SFK2" s="47"/>
      <c r="SFL2" s="47"/>
      <c r="SFM2" s="47"/>
      <c r="SFN2" s="47"/>
      <c r="SFO2" s="47"/>
      <c r="SFP2" s="47"/>
      <c r="SFQ2" s="47"/>
      <c r="SFR2" s="47"/>
      <c r="SFS2" s="47"/>
      <c r="SFT2" s="47"/>
      <c r="SFU2" s="47"/>
      <c r="SFV2" s="47"/>
      <c r="SFW2" s="47"/>
      <c r="SFX2" s="47"/>
      <c r="SFY2" s="47"/>
      <c r="SFZ2" s="47"/>
      <c r="SGA2" s="47"/>
      <c r="SGB2" s="47"/>
      <c r="SGC2" s="47"/>
      <c r="SGD2" s="47"/>
      <c r="SGE2" s="47"/>
      <c r="SGF2" s="47"/>
      <c r="SGG2" s="47"/>
      <c r="SGH2" s="47"/>
      <c r="SGI2" s="47"/>
      <c r="SGJ2" s="47"/>
      <c r="SGK2" s="47"/>
      <c r="SGL2" s="47"/>
      <c r="SGM2" s="47"/>
      <c r="SGN2" s="47"/>
      <c r="SGO2" s="47"/>
      <c r="SGP2" s="47"/>
      <c r="SGQ2" s="47"/>
      <c r="SGR2" s="47"/>
      <c r="SGS2" s="47"/>
      <c r="SGT2" s="47"/>
      <c r="SGU2" s="47"/>
      <c r="SGV2" s="47"/>
      <c r="SGW2" s="47"/>
      <c r="SGX2" s="47"/>
      <c r="SGY2" s="47"/>
      <c r="SGZ2" s="47"/>
      <c r="SHA2" s="47"/>
      <c r="SHB2" s="47"/>
      <c r="SHC2" s="47"/>
      <c r="SHD2" s="47"/>
      <c r="SHE2" s="47"/>
      <c r="SHF2" s="47"/>
      <c r="SHG2" s="47"/>
      <c r="SHH2" s="47"/>
      <c r="SHI2" s="47"/>
      <c r="SHJ2" s="47"/>
      <c r="SHK2" s="47"/>
      <c r="SHL2" s="47"/>
      <c r="SHM2" s="47"/>
      <c r="SHN2" s="47"/>
      <c r="SHO2" s="47"/>
      <c r="SHP2" s="47"/>
      <c r="SHQ2" s="47"/>
      <c r="SHR2" s="47"/>
      <c r="SHS2" s="47"/>
      <c r="SHT2" s="47"/>
      <c r="SHU2" s="47"/>
      <c r="SHV2" s="47"/>
      <c r="SHW2" s="47"/>
      <c r="SHX2" s="47"/>
      <c r="SHY2" s="47"/>
      <c r="SHZ2" s="47"/>
      <c r="SIA2" s="47"/>
      <c r="SIB2" s="47"/>
      <c r="SIC2" s="47"/>
      <c r="SID2" s="47"/>
      <c r="SIE2" s="47"/>
      <c r="SIF2" s="47"/>
      <c r="SIG2" s="47"/>
      <c r="SIH2" s="47"/>
      <c r="SII2" s="47"/>
      <c r="SIJ2" s="47"/>
      <c r="SIK2" s="47"/>
      <c r="SIL2" s="47"/>
      <c r="SIM2" s="47"/>
      <c r="SIN2" s="47"/>
      <c r="SIO2" s="47"/>
      <c r="SIP2" s="47"/>
      <c r="SIQ2" s="47"/>
      <c r="SIR2" s="47"/>
      <c r="SIS2" s="47"/>
      <c r="SIT2" s="47"/>
      <c r="SIU2" s="47"/>
      <c r="SIV2" s="47"/>
      <c r="SIW2" s="47"/>
      <c r="SIX2" s="47"/>
      <c r="SIY2" s="47"/>
      <c r="SIZ2" s="47"/>
      <c r="SJA2" s="47"/>
      <c r="SJB2" s="47"/>
      <c r="SJC2" s="47"/>
      <c r="SJD2" s="47"/>
      <c r="SJE2" s="47"/>
      <c r="SJF2" s="47"/>
      <c r="SJG2" s="47"/>
      <c r="SJH2" s="47"/>
      <c r="SJI2" s="47"/>
      <c r="SJJ2" s="47"/>
      <c r="SJK2" s="47"/>
      <c r="SJL2" s="47"/>
      <c r="SJM2" s="47"/>
      <c r="SJN2" s="47"/>
      <c r="SJO2" s="47"/>
      <c r="SJP2" s="47"/>
      <c r="SJQ2" s="47"/>
      <c r="SJR2" s="47"/>
      <c r="SJS2" s="47"/>
      <c r="SJT2" s="47"/>
      <c r="SJU2" s="47"/>
      <c r="SJV2" s="47"/>
      <c r="SJW2" s="47"/>
      <c r="SJX2" s="47"/>
      <c r="SJY2" s="47"/>
      <c r="SJZ2" s="47"/>
      <c r="SKA2" s="47"/>
      <c r="SKB2" s="47"/>
      <c r="SKC2" s="47"/>
      <c r="SKD2" s="47"/>
      <c r="SKE2" s="47"/>
      <c r="SKF2" s="47"/>
      <c r="SKG2" s="47"/>
      <c r="SKH2" s="47"/>
      <c r="SKI2" s="47"/>
      <c r="SKJ2" s="47"/>
      <c r="SKK2" s="47"/>
      <c r="SKL2" s="47"/>
      <c r="SKM2" s="47"/>
      <c r="SKN2" s="47"/>
      <c r="SKO2" s="47"/>
      <c r="SKP2" s="47"/>
      <c r="SKQ2" s="47"/>
      <c r="SKR2" s="47"/>
      <c r="SKS2" s="47"/>
      <c r="SKT2" s="47"/>
      <c r="SKU2" s="47"/>
      <c r="SKV2" s="47"/>
      <c r="SKW2" s="47"/>
      <c r="SKX2" s="47"/>
      <c r="SKY2" s="47"/>
      <c r="SKZ2" s="47"/>
      <c r="SLA2" s="47"/>
      <c r="SLB2" s="47"/>
      <c r="SLC2" s="47"/>
      <c r="SLD2" s="47"/>
      <c r="SLE2" s="47"/>
      <c r="SLF2" s="47"/>
      <c r="SLG2" s="47"/>
      <c r="SLH2" s="47"/>
      <c r="SLI2" s="47"/>
      <c r="SLJ2" s="47"/>
      <c r="SLK2" s="47"/>
      <c r="SLL2" s="47"/>
      <c r="SLM2" s="47"/>
      <c r="SLN2" s="47"/>
      <c r="SLO2" s="47"/>
      <c r="SLP2" s="47"/>
      <c r="SLQ2" s="47"/>
      <c r="SLR2" s="47"/>
      <c r="SLS2" s="47"/>
      <c r="SLT2" s="47"/>
      <c r="SLU2" s="47"/>
      <c r="SLV2" s="47"/>
      <c r="SLW2" s="47"/>
      <c r="SLX2" s="47"/>
      <c r="SLY2" s="47"/>
      <c r="SLZ2" s="47"/>
      <c r="SMA2" s="47"/>
      <c r="SMB2" s="47"/>
      <c r="SMC2" s="47"/>
      <c r="SMD2" s="47"/>
      <c r="SME2" s="47"/>
      <c r="SMF2" s="47"/>
      <c r="SMG2" s="47"/>
      <c r="SMH2" s="47"/>
      <c r="SMI2" s="47"/>
      <c r="SMJ2" s="47"/>
      <c r="SMK2" s="47"/>
      <c r="SML2" s="47"/>
      <c r="SMM2" s="47"/>
      <c r="SMN2" s="47"/>
      <c r="SMO2" s="47"/>
      <c r="SMP2" s="47"/>
      <c r="SMQ2" s="47"/>
      <c r="SMR2" s="47"/>
      <c r="SMS2" s="47"/>
      <c r="SMT2" s="47"/>
      <c r="SMU2" s="47"/>
      <c r="SMV2" s="47"/>
      <c r="SMW2" s="47"/>
      <c r="SMX2" s="47"/>
      <c r="SMY2" s="47"/>
      <c r="SMZ2" s="47"/>
      <c r="SNA2" s="47"/>
      <c r="SNB2" s="47"/>
      <c r="SNC2" s="47"/>
      <c r="SND2" s="47"/>
      <c r="SNE2" s="47"/>
      <c r="SNF2" s="47"/>
      <c r="SNG2" s="47"/>
      <c r="SNH2" s="47"/>
      <c r="SNI2" s="47"/>
      <c r="SNJ2" s="47"/>
      <c r="SNK2" s="47"/>
      <c r="SNL2" s="47"/>
      <c r="SNM2" s="47"/>
      <c r="SNN2" s="47"/>
      <c r="SNO2" s="47"/>
      <c r="SNP2" s="47"/>
      <c r="SNQ2" s="47"/>
      <c r="SNR2" s="47"/>
      <c r="SNS2" s="47"/>
      <c r="SNT2" s="47"/>
      <c r="SNU2" s="47"/>
      <c r="SNV2" s="47"/>
      <c r="SNW2" s="47"/>
      <c r="SNX2" s="47"/>
      <c r="SNY2" s="47"/>
      <c r="SNZ2" s="47"/>
      <c r="SOA2" s="47"/>
      <c r="SOB2" s="47"/>
      <c r="SOC2" s="47"/>
      <c r="SOD2" s="47"/>
      <c r="SOE2" s="47"/>
      <c r="SOF2" s="47"/>
      <c r="SOG2" s="47"/>
      <c r="SOH2" s="47"/>
      <c r="SOI2" s="47"/>
      <c r="SOJ2" s="47"/>
      <c r="SOK2" s="47"/>
      <c r="SOL2" s="47"/>
      <c r="SOM2" s="47"/>
      <c r="SON2" s="47"/>
      <c r="SOO2" s="47"/>
      <c r="SOP2" s="47"/>
      <c r="SOQ2" s="47"/>
      <c r="SOR2" s="47"/>
      <c r="SOS2" s="47"/>
      <c r="SOT2" s="47"/>
      <c r="SOU2" s="47"/>
      <c r="SOV2" s="47"/>
      <c r="SOW2" s="47"/>
      <c r="SOX2" s="47"/>
      <c r="SOY2" s="47"/>
      <c r="SOZ2" s="47"/>
      <c r="SPA2" s="47"/>
      <c r="SPB2" s="47"/>
      <c r="SPC2" s="47"/>
      <c r="SPD2" s="47"/>
      <c r="SPE2" s="47"/>
      <c r="SPF2" s="47"/>
      <c r="SPG2" s="47"/>
      <c r="SPH2" s="47"/>
      <c r="SPI2" s="47"/>
      <c r="SPJ2" s="47"/>
      <c r="SPK2" s="47"/>
      <c r="SPL2" s="47"/>
      <c r="SPM2" s="47"/>
      <c r="SPN2" s="47"/>
      <c r="SPO2" s="47"/>
      <c r="SPP2" s="47"/>
      <c r="SPQ2" s="47"/>
      <c r="SPR2" s="47"/>
      <c r="SPS2" s="47"/>
      <c r="SPT2" s="47"/>
      <c r="SPU2" s="47"/>
      <c r="SPV2" s="47"/>
      <c r="SPW2" s="47"/>
      <c r="SPX2" s="47"/>
      <c r="SPY2" s="47"/>
      <c r="SPZ2" s="47"/>
      <c r="SQA2" s="47"/>
      <c r="SQB2" s="47"/>
      <c r="SQC2" s="47"/>
      <c r="SQD2" s="47"/>
      <c r="SQE2" s="47"/>
      <c r="SQF2" s="47"/>
      <c r="SQG2" s="47"/>
      <c r="SQH2" s="47"/>
      <c r="SQI2" s="47"/>
      <c r="SQJ2" s="47"/>
      <c r="SQK2" s="47"/>
      <c r="SQL2" s="47"/>
      <c r="SQM2" s="47"/>
      <c r="SQN2" s="47"/>
      <c r="SQO2" s="47"/>
      <c r="SQP2" s="47"/>
      <c r="SQQ2" s="47"/>
      <c r="SQR2" s="47"/>
      <c r="SQS2" s="47"/>
      <c r="SQT2" s="47"/>
      <c r="SQU2" s="47"/>
      <c r="SQV2" s="47"/>
      <c r="SQW2" s="47"/>
      <c r="SQX2" s="47"/>
      <c r="SQY2" s="47"/>
      <c r="SQZ2" s="47"/>
      <c r="SRA2" s="47"/>
      <c r="SRB2" s="47"/>
      <c r="SRC2" s="47"/>
      <c r="SRD2" s="47"/>
      <c r="SRE2" s="47"/>
      <c r="SRF2" s="47"/>
      <c r="SRG2" s="47"/>
      <c r="SRH2" s="47"/>
      <c r="SRI2" s="47"/>
      <c r="SRJ2" s="47"/>
      <c r="SRK2" s="47"/>
      <c r="SRL2" s="47"/>
      <c r="SRM2" s="47"/>
      <c r="SRN2" s="47"/>
      <c r="SRO2" s="47"/>
      <c r="SRP2" s="47"/>
      <c r="SRQ2" s="47"/>
      <c r="SRR2" s="47"/>
      <c r="SRS2" s="47"/>
      <c r="SRT2" s="47"/>
      <c r="SRU2" s="47"/>
      <c r="SRV2" s="47"/>
      <c r="SRW2" s="47"/>
      <c r="SRX2" s="47"/>
      <c r="SRY2" s="47"/>
      <c r="SRZ2" s="47"/>
      <c r="SSA2" s="47"/>
      <c r="SSB2" s="47"/>
      <c r="SSC2" s="47"/>
      <c r="SSD2" s="47"/>
      <c r="SSE2" s="47"/>
      <c r="SSF2" s="47"/>
      <c r="SSG2" s="47"/>
      <c r="SSH2" s="47"/>
      <c r="SSI2" s="47"/>
      <c r="SSJ2" s="47"/>
      <c r="SSK2" s="47"/>
      <c r="SSL2" s="47"/>
      <c r="SSM2" s="47"/>
      <c r="SSN2" s="47"/>
      <c r="SSO2" s="47"/>
      <c r="SSP2" s="47"/>
      <c r="SSQ2" s="47"/>
      <c r="SSR2" s="47"/>
      <c r="SSS2" s="47"/>
      <c r="SST2" s="47"/>
      <c r="SSU2" s="47"/>
      <c r="SSV2" s="47"/>
      <c r="SSW2" s="47"/>
      <c r="SSX2" s="47"/>
      <c r="SSY2" s="47"/>
      <c r="SSZ2" s="47"/>
      <c r="STA2" s="47"/>
      <c r="STB2" s="47"/>
      <c r="STC2" s="47"/>
      <c r="STD2" s="47"/>
      <c r="STE2" s="47"/>
      <c r="STF2" s="47"/>
      <c r="STG2" s="47"/>
      <c r="STH2" s="47"/>
      <c r="STI2" s="47"/>
      <c r="STJ2" s="47"/>
      <c r="STK2" s="47"/>
      <c r="STL2" s="47"/>
      <c r="STM2" s="47"/>
      <c r="STN2" s="47"/>
      <c r="STO2" s="47"/>
      <c r="STP2" s="47"/>
      <c r="STQ2" s="47"/>
      <c r="STR2" s="47"/>
      <c r="STS2" s="47"/>
      <c r="STT2" s="47"/>
      <c r="STU2" s="47"/>
      <c r="STV2" s="47"/>
      <c r="STW2" s="47"/>
      <c r="STX2" s="47"/>
      <c r="STY2" s="47"/>
      <c r="STZ2" s="47"/>
      <c r="SUA2" s="47"/>
      <c r="SUB2" s="47"/>
      <c r="SUC2" s="47"/>
      <c r="SUD2" s="47"/>
      <c r="SUE2" s="47"/>
      <c r="SUF2" s="47"/>
      <c r="SUG2" s="47"/>
      <c r="SUH2" s="47"/>
      <c r="SUI2" s="47"/>
      <c r="SUJ2" s="47"/>
      <c r="SUK2" s="47"/>
      <c r="SUL2" s="47"/>
      <c r="SUM2" s="47"/>
      <c r="SUN2" s="47"/>
      <c r="SUO2" s="47"/>
      <c r="SUP2" s="47"/>
      <c r="SUQ2" s="47"/>
      <c r="SUR2" s="47"/>
      <c r="SUS2" s="47"/>
      <c r="SUT2" s="47"/>
      <c r="SUU2" s="47"/>
      <c r="SUV2" s="47"/>
      <c r="SUW2" s="47"/>
      <c r="SUX2" s="47"/>
      <c r="SUY2" s="47"/>
      <c r="SUZ2" s="47"/>
      <c r="SVA2" s="47"/>
      <c r="SVB2" s="47"/>
      <c r="SVC2" s="47"/>
      <c r="SVD2" s="47"/>
      <c r="SVE2" s="47"/>
      <c r="SVF2" s="47"/>
      <c r="SVG2" s="47"/>
      <c r="SVH2" s="47"/>
      <c r="SVI2" s="47"/>
      <c r="SVJ2" s="47"/>
      <c r="SVK2" s="47"/>
      <c r="SVL2" s="47"/>
      <c r="SVM2" s="47"/>
      <c r="SVN2" s="47"/>
      <c r="SVO2" s="47"/>
      <c r="SVP2" s="47"/>
      <c r="SVQ2" s="47"/>
      <c r="SVR2" s="47"/>
      <c r="SVS2" s="47"/>
      <c r="SVT2" s="47"/>
      <c r="SVU2" s="47"/>
      <c r="SVV2" s="47"/>
      <c r="SVW2" s="47"/>
      <c r="SVX2" s="47"/>
      <c r="SVY2" s="47"/>
      <c r="SVZ2" s="47"/>
      <c r="SWA2" s="47"/>
      <c r="SWB2" s="47"/>
      <c r="SWC2" s="47"/>
      <c r="SWD2" s="47"/>
      <c r="SWE2" s="47"/>
      <c r="SWF2" s="47"/>
      <c r="SWG2" s="47"/>
      <c r="SWH2" s="47"/>
      <c r="SWI2" s="47"/>
      <c r="SWJ2" s="47"/>
      <c r="SWK2" s="47"/>
      <c r="SWL2" s="47"/>
      <c r="SWM2" s="47"/>
      <c r="SWN2" s="47"/>
      <c r="SWO2" s="47"/>
      <c r="SWP2" s="47"/>
      <c r="SWQ2" s="47"/>
      <c r="SWR2" s="47"/>
      <c r="SWS2" s="47"/>
      <c r="SWT2" s="47"/>
      <c r="SWU2" s="47"/>
      <c r="SWV2" s="47"/>
      <c r="SWW2" s="47"/>
      <c r="SWX2" s="47"/>
      <c r="SWY2" s="47"/>
      <c r="SWZ2" s="47"/>
      <c r="SXA2" s="47"/>
      <c r="SXB2" s="47"/>
      <c r="SXC2" s="47"/>
      <c r="SXD2" s="47"/>
      <c r="SXE2" s="47"/>
      <c r="SXF2" s="47"/>
      <c r="SXG2" s="47"/>
      <c r="SXH2" s="47"/>
      <c r="SXI2" s="47"/>
      <c r="SXJ2" s="47"/>
      <c r="SXK2" s="47"/>
      <c r="SXL2" s="47"/>
      <c r="SXM2" s="47"/>
      <c r="SXN2" s="47"/>
      <c r="SXO2" s="47"/>
      <c r="SXP2" s="47"/>
      <c r="SXQ2" s="47"/>
      <c r="SXR2" s="47"/>
      <c r="SXS2" s="47"/>
      <c r="SXT2" s="47"/>
      <c r="SXU2" s="47"/>
      <c r="SXV2" s="47"/>
      <c r="SXW2" s="47"/>
      <c r="SXX2" s="47"/>
      <c r="SXY2" s="47"/>
      <c r="SXZ2" s="47"/>
      <c r="SYA2" s="47"/>
      <c r="SYB2" s="47"/>
      <c r="SYC2" s="47"/>
      <c r="SYD2" s="47"/>
      <c r="SYE2" s="47"/>
      <c r="SYF2" s="47"/>
      <c r="SYG2" s="47"/>
      <c r="SYH2" s="47"/>
      <c r="SYI2" s="47"/>
      <c r="SYJ2" s="47"/>
      <c r="SYK2" s="47"/>
      <c r="SYL2" s="47"/>
      <c r="SYM2" s="47"/>
      <c r="SYN2" s="47"/>
      <c r="SYO2" s="47"/>
      <c r="SYP2" s="47"/>
      <c r="SYQ2" s="47"/>
      <c r="SYR2" s="47"/>
      <c r="SYS2" s="47"/>
      <c r="SYT2" s="47"/>
      <c r="SYU2" s="47"/>
      <c r="SYV2" s="47"/>
      <c r="SYW2" s="47"/>
      <c r="SYX2" s="47"/>
      <c r="SYY2" s="47"/>
      <c r="SYZ2" s="47"/>
      <c r="SZA2" s="47"/>
      <c r="SZB2" s="47"/>
      <c r="SZC2" s="47"/>
      <c r="SZD2" s="47"/>
      <c r="SZE2" s="47"/>
      <c r="SZF2" s="47"/>
      <c r="SZG2" s="47"/>
      <c r="SZH2" s="47"/>
      <c r="SZI2" s="47"/>
      <c r="SZJ2" s="47"/>
      <c r="SZK2" s="47"/>
      <c r="SZL2" s="47"/>
      <c r="SZM2" s="47"/>
      <c r="SZN2" s="47"/>
      <c r="SZO2" s="47"/>
      <c r="SZP2" s="47"/>
      <c r="SZQ2" s="47"/>
      <c r="SZR2" s="47"/>
      <c r="SZS2" s="47"/>
      <c r="SZT2" s="47"/>
      <c r="SZU2" s="47"/>
      <c r="SZV2" s="47"/>
      <c r="SZW2" s="47"/>
      <c r="SZX2" s="47"/>
      <c r="SZY2" s="47"/>
      <c r="SZZ2" s="47"/>
      <c r="TAA2" s="47"/>
      <c r="TAB2" s="47"/>
      <c r="TAC2" s="47"/>
      <c r="TAD2" s="47"/>
      <c r="TAE2" s="47"/>
      <c r="TAF2" s="47"/>
      <c r="TAG2" s="47"/>
      <c r="TAH2" s="47"/>
      <c r="TAI2" s="47"/>
      <c r="TAJ2" s="47"/>
      <c r="TAK2" s="47"/>
      <c r="TAL2" s="47"/>
      <c r="TAM2" s="47"/>
      <c r="TAN2" s="47"/>
      <c r="TAO2" s="47"/>
      <c r="TAP2" s="47"/>
      <c r="TAQ2" s="47"/>
      <c r="TAR2" s="47"/>
      <c r="TAS2" s="47"/>
      <c r="TAT2" s="47"/>
      <c r="TAU2" s="47"/>
      <c r="TAV2" s="47"/>
      <c r="TAW2" s="47"/>
      <c r="TAX2" s="47"/>
      <c r="TAY2" s="47"/>
      <c r="TAZ2" s="47"/>
      <c r="TBA2" s="47"/>
      <c r="TBB2" s="47"/>
      <c r="TBC2" s="47"/>
      <c r="TBD2" s="47"/>
      <c r="TBE2" s="47"/>
      <c r="TBF2" s="47"/>
      <c r="TBG2" s="47"/>
      <c r="TBH2" s="47"/>
      <c r="TBI2" s="47"/>
      <c r="TBJ2" s="47"/>
      <c r="TBK2" s="47"/>
      <c r="TBL2" s="47"/>
      <c r="TBM2" s="47"/>
      <c r="TBN2" s="47"/>
      <c r="TBO2" s="47"/>
      <c r="TBP2" s="47"/>
      <c r="TBQ2" s="47"/>
      <c r="TBR2" s="47"/>
      <c r="TBS2" s="47"/>
      <c r="TBT2" s="47"/>
      <c r="TBU2" s="47"/>
      <c r="TBV2" s="47"/>
      <c r="TBW2" s="47"/>
      <c r="TBX2" s="47"/>
      <c r="TBY2" s="47"/>
      <c r="TBZ2" s="47"/>
      <c r="TCA2" s="47"/>
      <c r="TCB2" s="47"/>
      <c r="TCC2" s="47"/>
      <c r="TCD2" s="47"/>
      <c r="TCE2" s="47"/>
      <c r="TCF2" s="47"/>
      <c r="TCG2" s="47"/>
      <c r="TCH2" s="47"/>
      <c r="TCI2" s="47"/>
      <c r="TCJ2" s="47"/>
      <c r="TCK2" s="47"/>
      <c r="TCL2" s="47"/>
      <c r="TCM2" s="47"/>
      <c r="TCN2" s="47"/>
      <c r="TCO2" s="47"/>
      <c r="TCP2" s="47"/>
      <c r="TCQ2" s="47"/>
      <c r="TCR2" s="47"/>
      <c r="TCS2" s="47"/>
      <c r="TCT2" s="47"/>
      <c r="TCU2" s="47"/>
      <c r="TCV2" s="47"/>
      <c r="TCW2" s="47"/>
      <c r="TCX2" s="47"/>
      <c r="TCY2" s="47"/>
      <c r="TCZ2" s="47"/>
      <c r="TDA2" s="47"/>
      <c r="TDB2" s="47"/>
      <c r="TDC2" s="47"/>
      <c r="TDD2" s="47"/>
      <c r="TDE2" s="47"/>
      <c r="TDF2" s="47"/>
      <c r="TDG2" s="47"/>
      <c r="TDH2" s="47"/>
      <c r="TDI2" s="47"/>
      <c r="TDJ2" s="47"/>
      <c r="TDK2" s="47"/>
      <c r="TDL2" s="47"/>
      <c r="TDM2" s="47"/>
      <c r="TDN2" s="47"/>
      <c r="TDO2" s="47"/>
      <c r="TDP2" s="47"/>
      <c r="TDQ2" s="47"/>
      <c r="TDR2" s="47"/>
      <c r="TDS2" s="47"/>
      <c r="TDT2" s="47"/>
      <c r="TDU2" s="47"/>
      <c r="TDV2" s="47"/>
      <c r="TDW2" s="47"/>
      <c r="TDX2" s="47"/>
      <c r="TDY2" s="47"/>
      <c r="TDZ2" s="47"/>
      <c r="TEA2" s="47"/>
      <c r="TEB2" s="47"/>
      <c r="TEC2" s="47"/>
      <c r="TED2" s="47"/>
      <c r="TEE2" s="47"/>
      <c r="TEF2" s="47"/>
      <c r="TEG2" s="47"/>
      <c r="TEH2" s="47"/>
      <c r="TEI2" s="47"/>
      <c r="TEJ2" s="47"/>
      <c r="TEK2" s="47"/>
      <c r="TEL2" s="47"/>
      <c r="TEM2" s="47"/>
      <c r="TEN2" s="47"/>
      <c r="TEO2" s="47"/>
      <c r="TEP2" s="47"/>
      <c r="TEQ2" s="47"/>
      <c r="TER2" s="47"/>
      <c r="TES2" s="47"/>
      <c r="TET2" s="47"/>
      <c r="TEU2" s="47"/>
      <c r="TEV2" s="47"/>
      <c r="TEW2" s="47"/>
      <c r="TEX2" s="47"/>
      <c r="TEY2" s="47"/>
      <c r="TEZ2" s="47"/>
      <c r="TFA2" s="47"/>
      <c r="TFB2" s="47"/>
      <c r="TFC2" s="47"/>
      <c r="TFD2" s="47"/>
      <c r="TFE2" s="47"/>
      <c r="TFF2" s="47"/>
      <c r="TFG2" s="47"/>
      <c r="TFH2" s="47"/>
      <c r="TFI2" s="47"/>
      <c r="TFJ2" s="47"/>
      <c r="TFK2" s="47"/>
      <c r="TFL2" s="47"/>
      <c r="TFM2" s="47"/>
      <c r="TFN2" s="47"/>
      <c r="TFO2" s="47"/>
      <c r="TFP2" s="47"/>
      <c r="TFQ2" s="47"/>
      <c r="TFR2" s="47"/>
      <c r="TFS2" s="47"/>
      <c r="TFT2" s="47"/>
      <c r="TFU2" s="47"/>
      <c r="TFV2" s="47"/>
      <c r="TFW2" s="47"/>
      <c r="TFX2" s="47"/>
      <c r="TFY2" s="47"/>
      <c r="TFZ2" s="47"/>
      <c r="TGA2" s="47"/>
      <c r="TGB2" s="47"/>
      <c r="TGC2" s="47"/>
      <c r="TGD2" s="47"/>
      <c r="TGE2" s="47"/>
      <c r="TGF2" s="47"/>
      <c r="TGG2" s="47"/>
      <c r="TGH2" s="47"/>
      <c r="TGI2" s="47"/>
      <c r="TGJ2" s="47"/>
      <c r="TGK2" s="47"/>
      <c r="TGL2" s="47"/>
      <c r="TGM2" s="47"/>
      <c r="TGN2" s="47"/>
      <c r="TGO2" s="47"/>
      <c r="TGP2" s="47"/>
      <c r="TGQ2" s="47"/>
      <c r="TGR2" s="47"/>
      <c r="TGS2" s="47"/>
      <c r="TGT2" s="47"/>
      <c r="TGU2" s="47"/>
      <c r="TGV2" s="47"/>
      <c r="TGW2" s="47"/>
      <c r="TGX2" s="47"/>
      <c r="TGY2" s="47"/>
      <c r="TGZ2" s="47"/>
      <c r="THA2" s="47"/>
      <c r="THB2" s="47"/>
      <c r="THC2" s="47"/>
      <c r="THD2" s="47"/>
      <c r="THE2" s="47"/>
      <c r="THF2" s="47"/>
      <c r="THG2" s="47"/>
      <c r="THH2" s="47"/>
      <c r="THI2" s="47"/>
      <c r="THJ2" s="47"/>
      <c r="THK2" s="47"/>
      <c r="THL2" s="47"/>
      <c r="THM2" s="47"/>
      <c r="THN2" s="47"/>
      <c r="THO2" s="47"/>
      <c r="THP2" s="47"/>
      <c r="THQ2" s="47"/>
      <c r="THR2" s="47"/>
      <c r="THS2" s="47"/>
      <c r="THT2" s="47"/>
      <c r="THU2" s="47"/>
      <c r="THV2" s="47"/>
      <c r="THW2" s="47"/>
      <c r="THX2" s="47"/>
      <c r="THY2" s="47"/>
      <c r="THZ2" s="47"/>
      <c r="TIA2" s="47"/>
      <c r="TIB2" s="47"/>
      <c r="TIC2" s="47"/>
      <c r="TID2" s="47"/>
      <c r="TIE2" s="47"/>
      <c r="TIF2" s="47"/>
      <c r="TIG2" s="47"/>
      <c r="TIH2" s="47"/>
      <c r="TII2" s="47"/>
      <c r="TIJ2" s="47"/>
      <c r="TIK2" s="47"/>
      <c r="TIL2" s="47"/>
      <c r="TIM2" s="47"/>
      <c r="TIN2" s="47"/>
      <c r="TIO2" s="47"/>
      <c r="TIP2" s="47"/>
      <c r="TIQ2" s="47"/>
      <c r="TIR2" s="47"/>
      <c r="TIS2" s="47"/>
      <c r="TIT2" s="47"/>
      <c r="TIU2" s="47"/>
      <c r="TIV2" s="47"/>
      <c r="TIW2" s="47"/>
      <c r="TIX2" s="47"/>
      <c r="TIY2" s="47"/>
      <c r="TIZ2" s="47"/>
      <c r="TJA2" s="47"/>
      <c r="TJB2" s="47"/>
      <c r="TJC2" s="47"/>
      <c r="TJD2" s="47"/>
      <c r="TJE2" s="47"/>
      <c r="TJF2" s="47"/>
      <c r="TJG2" s="47"/>
      <c r="TJH2" s="47"/>
      <c r="TJI2" s="47"/>
      <c r="TJJ2" s="47"/>
      <c r="TJK2" s="47"/>
      <c r="TJL2" s="47"/>
      <c r="TJM2" s="47"/>
      <c r="TJN2" s="47"/>
      <c r="TJO2" s="47"/>
      <c r="TJP2" s="47"/>
      <c r="TJQ2" s="47"/>
      <c r="TJR2" s="47"/>
      <c r="TJS2" s="47"/>
      <c r="TJT2" s="47"/>
      <c r="TJU2" s="47"/>
      <c r="TJV2" s="47"/>
      <c r="TJW2" s="47"/>
      <c r="TJX2" s="47"/>
      <c r="TJY2" s="47"/>
      <c r="TJZ2" s="47"/>
      <c r="TKA2" s="47"/>
      <c r="TKB2" s="47"/>
      <c r="TKC2" s="47"/>
      <c r="TKD2" s="47"/>
      <c r="TKE2" s="47"/>
      <c r="TKF2" s="47"/>
      <c r="TKG2" s="47"/>
      <c r="TKH2" s="47"/>
      <c r="TKI2" s="47"/>
      <c r="TKJ2" s="47"/>
      <c r="TKK2" s="47"/>
      <c r="TKL2" s="47"/>
      <c r="TKM2" s="47"/>
      <c r="TKN2" s="47"/>
      <c r="TKO2" s="47"/>
      <c r="TKP2" s="47"/>
      <c r="TKQ2" s="47"/>
      <c r="TKR2" s="47"/>
      <c r="TKS2" s="47"/>
      <c r="TKT2" s="47"/>
      <c r="TKU2" s="47"/>
      <c r="TKV2" s="47"/>
      <c r="TKW2" s="47"/>
      <c r="TKX2" s="47"/>
      <c r="TKY2" s="47"/>
      <c r="TKZ2" s="47"/>
      <c r="TLA2" s="47"/>
      <c r="TLB2" s="47"/>
      <c r="TLC2" s="47"/>
      <c r="TLD2" s="47"/>
      <c r="TLE2" s="47"/>
      <c r="TLF2" s="47"/>
      <c r="TLG2" s="47"/>
      <c r="TLH2" s="47"/>
      <c r="TLI2" s="47"/>
      <c r="TLJ2" s="47"/>
      <c r="TLK2" s="47"/>
      <c r="TLL2" s="47"/>
      <c r="TLM2" s="47"/>
      <c r="TLN2" s="47"/>
      <c r="TLO2" s="47"/>
      <c r="TLP2" s="47"/>
      <c r="TLQ2" s="47"/>
      <c r="TLR2" s="47"/>
      <c r="TLS2" s="47"/>
      <c r="TLT2" s="47"/>
      <c r="TLU2" s="47"/>
      <c r="TLV2" s="47"/>
      <c r="TLW2" s="47"/>
      <c r="TLX2" s="47"/>
      <c r="TLY2" s="47"/>
      <c r="TLZ2" s="47"/>
      <c r="TMA2" s="47"/>
      <c r="TMB2" s="47"/>
      <c r="TMC2" s="47"/>
      <c r="TMD2" s="47"/>
      <c r="TME2" s="47"/>
      <c r="TMF2" s="47"/>
      <c r="TMG2" s="47"/>
      <c r="TMH2" s="47"/>
      <c r="TMI2" s="47"/>
      <c r="TMJ2" s="47"/>
      <c r="TMK2" s="47"/>
      <c r="TML2" s="47"/>
      <c r="TMM2" s="47"/>
      <c r="TMN2" s="47"/>
      <c r="TMO2" s="47"/>
      <c r="TMP2" s="47"/>
      <c r="TMQ2" s="47"/>
      <c r="TMR2" s="47"/>
      <c r="TMS2" s="47"/>
      <c r="TMT2" s="47"/>
      <c r="TMU2" s="47"/>
      <c r="TMV2" s="47"/>
      <c r="TMW2" s="47"/>
      <c r="TMX2" s="47"/>
      <c r="TMY2" s="47"/>
      <c r="TMZ2" s="47"/>
      <c r="TNA2" s="47"/>
      <c r="TNB2" s="47"/>
      <c r="TNC2" s="47"/>
      <c r="TND2" s="47"/>
      <c r="TNE2" s="47"/>
      <c r="TNF2" s="47"/>
      <c r="TNG2" s="47"/>
      <c r="TNH2" s="47"/>
      <c r="TNI2" s="47"/>
      <c r="TNJ2" s="47"/>
      <c r="TNK2" s="47"/>
      <c r="TNL2" s="47"/>
      <c r="TNM2" s="47"/>
      <c r="TNN2" s="47"/>
      <c r="TNO2" s="47"/>
      <c r="TNP2" s="47"/>
      <c r="TNQ2" s="47"/>
      <c r="TNR2" s="47"/>
      <c r="TNS2" s="47"/>
      <c r="TNT2" s="47"/>
      <c r="TNU2" s="47"/>
      <c r="TNV2" s="47"/>
      <c r="TNW2" s="47"/>
      <c r="TNX2" s="47"/>
      <c r="TNY2" s="47"/>
      <c r="TNZ2" s="47"/>
      <c r="TOA2" s="47"/>
      <c r="TOB2" s="47"/>
      <c r="TOC2" s="47"/>
      <c r="TOD2" s="47"/>
      <c r="TOE2" s="47"/>
      <c r="TOF2" s="47"/>
      <c r="TOG2" s="47"/>
      <c r="TOH2" s="47"/>
      <c r="TOI2" s="47"/>
      <c r="TOJ2" s="47"/>
      <c r="TOK2" s="47"/>
      <c r="TOL2" s="47"/>
      <c r="TOM2" s="47"/>
      <c r="TON2" s="47"/>
      <c r="TOO2" s="47"/>
      <c r="TOP2" s="47"/>
      <c r="TOQ2" s="47"/>
      <c r="TOR2" s="47"/>
      <c r="TOS2" s="47"/>
      <c r="TOT2" s="47"/>
      <c r="TOU2" s="47"/>
      <c r="TOV2" s="47"/>
      <c r="TOW2" s="47"/>
      <c r="TOX2" s="47"/>
      <c r="TOY2" s="47"/>
      <c r="TOZ2" s="47"/>
      <c r="TPA2" s="47"/>
      <c r="TPB2" s="47"/>
      <c r="TPC2" s="47"/>
      <c r="TPD2" s="47"/>
      <c r="TPE2" s="47"/>
      <c r="TPF2" s="47"/>
      <c r="TPG2" s="47"/>
      <c r="TPH2" s="47"/>
      <c r="TPI2" s="47"/>
      <c r="TPJ2" s="47"/>
      <c r="TPK2" s="47"/>
      <c r="TPL2" s="47"/>
      <c r="TPM2" s="47"/>
      <c r="TPN2" s="47"/>
      <c r="TPO2" s="47"/>
      <c r="TPP2" s="47"/>
      <c r="TPQ2" s="47"/>
      <c r="TPR2" s="47"/>
      <c r="TPS2" s="47"/>
      <c r="TPT2" s="47"/>
      <c r="TPU2" s="47"/>
      <c r="TPV2" s="47"/>
      <c r="TPW2" s="47"/>
      <c r="TPX2" s="47"/>
      <c r="TPY2" s="47"/>
      <c r="TPZ2" s="47"/>
      <c r="TQA2" s="47"/>
      <c r="TQB2" s="47"/>
      <c r="TQC2" s="47"/>
      <c r="TQD2" s="47"/>
      <c r="TQE2" s="47"/>
      <c r="TQF2" s="47"/>
      <c r="TQG2" s="47"/>
      <c r="TQH2" s="47"/>
      <c r="TQI2" s="47"/>
      <c r="TQJ2" s="47"/>
      <c r="TQK2" s="47"/>
      <c r="TQL2" s="47"/>
      <c r="TQM2" s="47"/>
      <c r="TQN2" s="47"/>
      <c r="TQO2" s="47"/>
      <c r="TQP2" s="47"/>
      <c r="TQQ2" s="47"/>
      <c r="TQR2" s="47"/>
      <c r="TQS2" s="47"/>
      <c r="TQT2" s="47"/>
      <c r="TQU2" s="47"/>
      <c r="TQV2" s="47"/>
      <c r="TQW2" s="47"/>
      <c r="TQX2" s="47"/>
      <c r="TQY2" s="47"/>
      <c r="TQZ2" s="47"/>
      <c r="TRA2" s="47"/>
      <c r="TRB2" s="47"/>
      <c r="TRC2" s="47"/>
      <c r="TRD2" s="47"/>
      <c r="TRE2" s="47"/>
      <c r="TRF2" s="47"/>
      <c r="TRG2" s="47"/>
      <c r="TRH2" s="47"/>
      <c r="TRI2" s="47"/>
      <c r="TRJ2" s="47"/>
      <c r="TRK2" s="47"/>
      <c r="TRL2" s="47"/>
      <c r="TRM2" s="47"/>
      <c r="TRN2" s="47"/>
      <c r="TRO2" s="47"/>
      <c r="TRP2" s="47"/>
      <c r="TRQ2" s="47"/>
      <c r="TRR2" s="47"/>
      <c r="TRS2" s="47"/>
      <c r="TRT2" s="47"/>
      <c r="TRU2" s="47"/>
      <c r="TRV2" s="47"/>
      <c r="TRW2" s="47"/>
      <c r="TRX2" s="47"/>
      <c r="TRY2" s="47"/>
      <c r="TRZ2" s="47"/>
      <c r="TSA2" s="47"/>
      <c r="TSB2" s="47"/>
      <c r="TSC2" s="47"/>
      <c r="TSD2" s="47"/>
      <c r="TSE2" s="47"/>
      <c r="TSF2" s="47"/>
      <c r="TSG2" s="47"/>
      <c r="TSH2" s="47"/>
      <c r="TSI2" s="47"/>
      <c r="TSJ2" s="47"/>
      <c r="TSK2" s="47"/>
      <c r="TSL2" s="47"/>
      <c r="TSM2" s="47"/>
      <c r="TSN2" s="47"/>
      <c r="TSO2" s="47"/>
      <c r="TSP2" s="47"/>
      <c r="TSQ2" s="47"/>
      <c r="TSR2" s="47"/>
      <c r="TSS2" s="47"/>
      <c r="TST2" s="47"/>
      <c r="TSU2" s="47"/>
      <c r="TSV2" s="47"/>
      <c r="TSW2" s="47"/>
      <c r="TSX2" s="47"/>
      <c r="TSY2" s="47"/>
      <c r="TSZ2" s="47"/>
      <c r="TTA2" s="47"/>
      <c r="TTB2" s="47"/>
      <c r="TTC2" s="47"/>
      <c r="TTD2" s="47"/>
      <c r="TTE2" s="47"/>
      <c r="TTF2" s="47"/>
      <c r="TTG2" s="47"/>
      <c r="TTH2" s="47"/>
      <c r="TTI2" s="47"/>
      <c r="TTJ2" s="47"/>
      <c r="TTK2" s="47"/>
      <c r="TTL2" s="47"/>
      <c r="TTM2" s="47"/>
      <c r="TTN2" s="47"/>
      <c r="TTO2" s="47"/>
      <c r="TTP2" s="47"/>
      <c r="TTQ2" s="47"/>
      <c r="TTR2" s="47"/>
      <c r="TTS2" s="47"/>
      <c r="TTT2" s="47"/>
      <c r="TTU2" s="47"/>
      <c r="TTV2" s="47"/>
      <c r="TTW2" s="47"/>
      <c r="TTX2" s="47"/>
      <c r="TTY2" s="47"/>
      <c r="TTZ2" s="47"/>
      <c r="TUA2" s="47"/>
      <c r="TUB2" s="47"/>
      <c r="TUC2" s="47"/>
      <c r="TUD2" s="47"/>
      <c r="TUE2" s="47"/>
      <c r="TUF2" s="47"/>
      <c r="TUG2" s="47"/>
      <c r="TUH2" s="47"/>
      <c r="TUI2" s="47"/>
      <c r="TUJ2" s="47"/>
      <c r="TUK2" s="47"/>
      <c r="TUL2" s="47"/>
      <c r="TUM2" s="47"/>
      <c r="TUN2" s="47"/>
      <c r="TUO2" s="47"/>
      <c r="TUP2" s="47"/>
      <c r="TUQ2" s="47"/>
      <c r="TUR2" s="47"/>
      <c r="TUS2" s="47"/>
      <c r="TUT2" s="47"/>
      <c r="TUU2" s="47"/>
      <c r="TUV2" s="47"/>
      <c r="TUW2" s="47"/>
      <c r="TUX2" s="47"/>
      <c r="TUY2" s="47"/>
      <c r="TUZ2" s="47"/>
      <c r="TVA2" s="47"/>
      <c r="TVB2" s="47"/>
      <c r="TVC2" s="47"/>
      <c r="TVD2" s="47"/>
      <c r="TVE2" s="47"/>
      <c r="TVF2" s="47"/>
      <c r="TVG2" s="47"/>
      <c r="TVH2" s="47"/>
      <c r="TVI2" s="47"/>
      <c r="TVJ2" s="47"/>
      <c r="TVK2" s="47"/>
      <c r="TVL2" s="47"/>
      <c r="TVM2" s="47"/>
      <c r="TVN2" s="47"/>
      <c r="TVO2" s="47"/>
      <c r="TVP2" s="47"/>
      <c r="TVQ2" s="47"/>
      <c r="TVR2" s="47"/>
      <c r="TVS2" s="47"/>
      <c r="TVT2" s="47"/>
      <c r="TVU2" s="47"/>
      <c r="TVV2" s="47"/>
      <c r="TVW2" s="47"/>
      <c r="TVX2" s="47"/>
      <c r="TVY2" s="47"/>
      <c r="TVZ2" s="47"/>
      <c r="TWA2" s="47"/>
      <c r="TWB2" s="47"/>
      <c r="TWC2" s="47"/>
      <c r="TWD2" s="47"/>
      <c r="TWE2" s="47"/>
      <c r="TWF2" s="47"/>
      <c r="TWG2" s="47"/>
      <c r="TWH2" s="47"/>
      <c r="TWI2" s="47"/>
      <c r="TWJ2" s="47"/>
      <c r="TWK2" s="47"/>
      <c r="TWL2" s="47"/>
      <c r="TWM2" s="47"/>
      <c r="TWN2" s="47"/>
      <c r="TWO2" s="47"/>
      <c r="TWP2" s="47"/>
      <c r="TWQ2" s="47"/>
      <c r="TWR2" s="47"/>
      <c r="TWS2" s="47"/>
      <c r="TWT2" s="47"/>
      <c r="TWU2" s="47"/>
      <c r="TWV2" s="47"/>
      <c r="TWW2" s="47"/>
      <c r="TWX2" s="47"/>
      <c r="TWY2" s="47"/>
      <c r="TWZ2" s="47"/>
      <c r="TXA2" s="47"/>
      <c r="TXB2" s="47"/>
      <c r="TXC2" s="47"/>
      <c r="TXD2" s="47"/>
      <c r="TXE2" s="47"/>
      <c r="TXF2" s="47"/>
      <c r="TXG2" s="47"/>
      <c r="TXH2" s="47"/>
      <c r="TXI2" s="47"/>
      <c r="TXJ2" s="47"/>
      <c r="TXK2" s="47"/>
      <c r="TXL2" s="47"/>
      <c r="TXM2" s="47"/>
      <c r="TXN2" s="47"/>
      <c r="TXO2" s="47"/>
      <c r="TXP2" s="47"/>
      <c r="TXQ2" s="47"/>
      <c r="TXR2" s="47"/>
      <c r="TXS2" s="47"/>
      <c r="TXT2" s="47"/>
      <c r="TXU2" s="47"/>
      <c r="TXV2" s="47"/>
      <c r="TXW2" s="47"/>
      <c r="TXX2" s="47"/>
      <c r="TXY2" s="47"/>
      <c r="TXZ2" s="47"/>
      <c r="TYA2" s="47"/>
      <c r="TYB2" s="47"/>
      <c r="TYC2" s="47"/>
      <c r="TYD2" s="47"/>
      <c r="TYE2" s="47"/>
      <c r="TYF2" s="47"/>
      <c r="TYG2" s="47"/>
      <c r="TYH2" s="47"/>
      <c r="TYI2" s="47"/>
      <c r="TYJ2" s="47"/>
      <c r="TYK2" s="47"/>
      <c r="TYL2" s="47"/>
      <c r="TYM2" s="47"/>
      <c r="TYN2" s="47"/>
      <c r="TYO2" s="47"/>
      <c r="TYP2" s="47"/>
      <c r="TYQ2" s="47"/>
      <c r="TYR2" s="47"/>
      <c r="TYS2" s="47"/>
      <c r="TYT2" s="47"/>
      <c r="TYU2" s="47"/>
      <c r="TYV2" s="47"/>
      <c r="TYW2" s="47"/>
      <c r="TYX2" s="47"/>
      <c r="TYY2" s="47"/>
      <c r="TYZ2" s="47"/>
      <c r="TZA2" s="47"/>
      <c r="TZB2" s="47"/>
      <c r="TZC2" s="47"/>
      <c r="TZD2" s="47"/>
      <c r="TZE2" s="47"/>
      <c r="TZF2" s="47"/>
      <c r="TZG2" s="47"/>
      <c r="TZH2" s="47"/>
      <c r="TZI2" s="47"/>
      <c r="TZJ2" s="47"/>
      <c r="TZK2" s="47"/>
      <c r="TZL2" s="47"/>
      <c r="TZM2" s="47"/>
      <c r="TZN2" s="47"/>
      <c r="TZO2" s="47"/>
      <c r="TZP2" s="47"/>
      <c r="TZQ2" s="47"/>
      <c r="TZR2" s="47"/>
      <c r="TZS2" s="47"/>
      <c r="TZT2" s="47"/>
      <c r="TZU2" s="47"/>
      <c r="TZV2" s="47"/>
      <c r="TZW2" s="47"/>
      <c r="TZX2" s="47"/>
      <c r="TZY2" s="47"/>
      <c r="TZZ2" s="47"/>
      <c r="UAA2" s="47"/>
      <c r="UAB2" s="47"/>
      <c r="UAC2" s="47"/>
      <c r="UAD2" s="47"/>
      <c r="UAE2" s="47"/>
      <c r="UAF2" s="47"/>
      <c r="UAG2" s="47"/>
      <c r="UAH2" s="47"/>
      <c r="UAI2" s="47"/>
      <c r="UAJ2" s="47"/>
      <c r="UAK2" s="47"/>
      <c r="UAL2" s="47"/>
      <c r="UAM2" s="47"/>
      <c r="UAN2" s="47"/>
      <c r="UAO2" s="47"/>
      <c r="UAP2" s="47"/>
      <c r="UAQ2" s="47"/>
      <c r="UAR2" s="47"/>
      <c r="UAS2" s="47"/>
      <c r="UAT2" s="47"/>
      <c r="UAU2" s="47"/>
      <c r="UAV2" s="47"/>
      <c r="UAW2" s="47"/>
      <c r="UAX2" s="47"/>
      <c r="UAY2" s="47"/>
      <c r="UAZ2" s="47"/>
      <c r="UBA2" s="47"/>
      <c r="UBB2" s="47"/>
      <c r="UBC2" s="47"/>
      <c r="UBD2" s="47"/>
      <c r="UBE2" s="47"/>
      <c r="UBF2" s="47"/>
      <c r="UBG2" s="47"/>
      <c r="UBH2" s="47"/>
      <c r="UBI2" s="47"/>
      <c r="UBJ2" s="47"/>
      <c r="UBK2" s="47"/>
      <c r="UBL2" s="47"/>
      <c r="UBM2" s="47"/>
      <c r="UBN2" s="47"/>
      <c r="UBO2" s="47"/>
      <c r="UBP2" s="47"/>
      <c r="UBQ2" s="47"/>
      <c r="UBR2" s="47"/>
      <c r="UBS2" s="47"/>
      <c r="UBT2" s="47"/>
      <c r="UBU2" s="47"/>
      <c r="UBV2" s="47"/>
      <c r="UBW2" s="47"/>
      <c r="UBX2" s="47"/>
      <c r="UBY2" s="47"/>
      <c r="UBZ2" s="47"/>
      <c r="UCA2" s="47"/>
      <c r="UCB2" s="47"/>
      <c r="UCC2" s="47"/>
      <c r="UCD2" s="47"/>
      <c r="UCE2" s="47"/>
      <c r="UCF2" s="47"/>
      <c r="UCG2" s="47"/>
      <c r="UCH2" s="47"/>
      <c r="UCI2" s="47"/>
      <c r="UCJ2" s="47"/>
      <c r="UCK2" s="47"/>
      <c r="UCL2" s="47"/>
      <c r="UCM2" s="47"/>
      <c r="UCN2" s="47"/>
      <c r="UCO2" s="47"/>
      <c r="UCP2" s="47"/>
      <c r="UCQ2" s="47"/>
      <c r="UCR2" s="47"/>
      <c r="UCS2" s="47"/>
      <c r="UCT2" s="47"/>
      <c r="UCU2" s="47"/>
      <c r="UCV2" s="47"/>
      <c r="UCW2" s="47"/>
      <c r="UCX2" s="47"/>
      <c r="UCY2" s="47"/>
      <c r="UCZ2" s="47"/>
      <c r="UDA2" s="47"/>
      <c r="UDB2" s="47"/>
      <c r="UDC2" s="47"/>
      <c r="UDD2" s="47"/>
      <c r="UDE2" s="47"/>
      <c r="UDF2" s="47"/>
      <c r="UDG2" s="47"/>
      <c r="UDH2" s="47"/>
      <c r="UDI2" s="47"/>
      <c r="UDJ2" s="47"/>
      <c r="UDK2" s="47"/>
      <c r="UDL2" s="47"/>
      <c r="UDM2" s="47"/>
      <c r="UDN2" s="47"/>
      <c r="UDO2" s="47"/>
      <c r="UDP2" s="47"/>
      <c r="UDQ2" s="47"/>
      <c r="UDR2" s="47"/>
      <c r="UDS2" s="47"/>
      <c r="UDT2" s="47"/>
      <c r="UDU2" s="47"/>
      <c r="UDV2" s="47"/>
      <c r="UDW2" s="47"/>
      <c r="UDX2" s="47"/>
      <c r="UDY2" s="47"/>
      <c r="UDZ2" s="47"/>
      <c r="UEA2" s="47"/>
      <c r="UEB2" s="47"/>
      <c r="UEC2" s="47"/>
      <c r="UED2" s="47"/>
      <c r="UEE2" s="47"/>
      <c r="UEF2" s="47"/>
      <c r="UEG2" s="47"/>
      <c r="UEH2" s="47"/>
      <c r="UEI2" s="47"/>
      <c r="UEJ2" s="47"/>
      <c r="UEK2" s="47"/>
      <c r="UEL2" s="47"/>
      <c r="UEM2" s="47"/>
      <c r="UEN2" s="47"/>
      <c r="UEO2" s="47"/>
      <c r="UEP2" s="47"/>
      <c r="UEQ2" s="47"/>
      <c r="UER2" s="47"/>
      <c r="UES2" s="47"/>
      <c r="UET2" s="47"/>
      <c r="UEU2" s="47"/>
      <c r="UEV2" s="47"/>
      <c r="UEW2" s="47"/>
      <c r="UEX2" s="47"/>
      <c r="UEY2" s="47"/>
      <c r="UEZ2" s="47"/>
      <c r="UFA2" s="47"/>
      <c r="UFB2" s="47"/>
      <c r="UFC2" s="47"/>
      <c r="UFD2" s="47"/>
      <c r="UFE2" s="47"/>
      <c r="UFF2" s="47"/>
      <c r="UFG2" s="47"/>
      <c r="UFH2" s="47"/>
      <c r="UFI2" s="47"/>
      <c r="UFJ2" s="47"/>
      <c r="UFK2" s="47"/>
      <c r="UFL2" s="47"/>
      <c r="UFM2" s="47"/>
      <c r="UFN2" s="47"/>
      <c r="UFO2" s="47"/>
      <c r="UFP2" s="47"/>
      <c r="UFQ2" s="47"/>
      <c r="UFR2" s="47"/>
      <c r="UFS2" s="47"/>
      <c r="UFT2" s="47"/>
      <c r="UFU2" s="47"/>
      <c r="UFV2" s="47"/>
      <c r="UFW2" s="47"/>
      <c r="UFX2" s="47"/>
      <c r="UFY2" s="47"/>
      <c r="UFZ2" s="47"/>
      <c r="UGA2" s="47"/>
      <c r="UGB2" s="47"/>
      <c r="UGC2" s="47"/>
      <c r="UGD2" s="47"/>
      <c r="UGE2" s="47"/>
      <c r="UGF2" s="47"/>
      <c r="UGG2" s="47"/>
      <c r="UGH2" s="47"/>
      <c r="UGI2" s="47"/>
      <c r="UGJ2" s="47"/>
      <c r="UGK2" s="47"/>
      <c r="UGL2" s="47"/>
      <c r="UGM2" s="47"/>
      <c r="UGN2" s="47"/>
      <c r="UGO2" s="47"/>
      <c r="UGP2" s="47"/>
      <c r="UGQ2" s="47"/>
      <c r="UGR2" s="47"/>
      <c r="UGS2" s="47"/>
      <c r="UGT2" s="47"/>
      <c r="UGU2" s="47"/>
      <c r="UGV2" s="47"/>
      <c r="UGW2" s="47"/>
      <c r="UGX2" s="47"/>
      <c r="UGY2" s="47"/>
      <c r="UGZ2" s="47"/>
      <c r="UHA2" s="47"/>
      <c r="UHB2" s="47"/>
      <c r="UHC2" s="47"/>
      <c r="UHD2" s="47"/>
      <c r="UHE2" s="47"/>
      <c r="UHF2" s="47"/>
      <c r="UHG2" s="47"/>
      <c r="UHH2" s="47"/>
      <c r="UHI2" s="47"/>
      <c r="UHJ2" s="47"/>
      <c r="UHK2" s="47"/>
      <c r="UHL2" s="47"/>
      <c r="UHM2" s="47"/>
      <c r="UHN2" s="47"/>
      <c r="UHO2" s="47"/>
      <c r="UHP2" s="47"/>
      <c r="UHQ2" s="47"/>
      <c r="UHR2" s="47"/>
      <c r="UHS2" s="47"/>
      <c r="UHT2" s="47"/>
      <c r="UHU2" s="47"/>
      <c r="UHV2" s="47"/>
      <c r="UHW2" s="47"/>
      <c r="UHX2" s="47"/>
      <c r="UHY2" s="47"/>
      <c r="UHZ2" s="47"/>
      <c r="UIA2" s="47"/>
      <c r="UIB2" s="47"/>
      <c r="UIC2" s="47"/>
      <c r="UID2" s="47"/>
      <c r="UIE2" s="47"/>
      <c r="UIF2" s="47"/>
      <c r="UIG2" s="47"/>
      <c r="UIH2" s="47"/>
      <c r="UII2" s="47"/>
      <c r="UIJ2" s="47"/>
      <c r="UIK2" s="47"/>
      <c r="UIL2" s="47"/>
      <c r="UIM2" s="47"/>
      <c r="UIN2" s="47"/>
      <c r="UIO2" s="47"/>
      <c r="UIP2" s="47"/>
      <c r="UIQ2" s="47"/>
      <c r="UIR2" s="47"/>
      <c r="UIS2" s="47"/>
      <c r="UIT2" s="47"/>
      <c r="UIU2" s="47"/>
      <c r="UIV2" s="47"/>
      <c r="UIW2" s="47"/>
      <c r="UIX2" s="47"/>
      <c r="UIY2" s="47"/>
      <c r="UIZ2" s="47"/>
      <c r="UJA2" s="47"/>
      <c r="UJB2" s="47"/>
      <c r="UJC2" s="47"/>
      <c r="UJD2" s="47"/>
      <c r="UJE2" s="47"/>
      <c r="UJF2" s="47"/>
      <c r="UJG2" s="47"/>
      <c r="UJH2" s="47"/>
      <c r="UJI2" s="47"/>
      <c r="UJJ2" s="47"/>
      <c r="UJK2" s="47"/>
      <c r="UJL2" s="47"/>
      <c r="UJM2" s="47"/>
      <c r="UJN2" s="47"/>
      <c r="UJO2" s="47"/>
      <c r="UJP2" s="47"/>
      <c r="UJQ2" s="47"/>
      <c r="UJR2" s="47"/>
      <c r="UJS2" s="47"/>
      <c r="UJT2" s="47"/>
      <c r="UJU2" s="47"/>
      <c r="UJV2" s="47"/>
      <c r="UJW2" s="47"/>
      <c r="UJX2" s="47"/>
      <c r="UJY2" s="47"/>
      <c r="UJZ2" s="47"/>
      <c r="UKA2" s="47"/>
      <c r="UKB2" s="47"/>
      <c r="UKC2" s="47"/>
      <c r="UKD2" s="47"/>
      <c r="UKE2" s="47"/>
      <c r="UKF2" s="47"/>
      <c r="UKG2" s="47"/>
      <c r="UKH2" s="47"/>
      <c r="UKI2" s="47"/>
      <c r="UKJ2" s="47"/>
      <c r="UKK2" s="47"/>
      <c r="UKL2" s="47"/>
      <c r="UKM2" s="47"/>
      <c r="UKN2" s="47"/>
      <c r="UKO2" s="47"/>
      <c r="UKP2" s="47"/>
      <c r="UKQ2" s="47"/>
      <c r="UKR2" s="47"/>
      <c r="UKS2" s="47"/>
      <c r="UKT2" s="47"/>
      <c r="UKU2" s="47"/>
      <c r="UKV2" s="47"/>
      <c r="UKW2" s="47"/>
      <c r="UKX2" s="47"/>
      <c r="UKY2" s="47"/>
      <c r="UKZ2" s="47"/>
      <c r="ULA2" s="47"/>
      <c r="ULB2" s="47"/>
      <c r="ULC2" s="47"/>
      <c r="ULD2" s="47"/>
      <c r="ULE2" s="47"/>
      <c r="ULF2" s="47"/>
      <c r="ULG2" s="47"/>
      <c r="ULH2" s="47"/>
      <c r="ULI2" s="47"/>
      <c r="ULJ2" s="47"/>
      <c r="ULK2" s="47"/>
      <c r="ULL2" s="47"/>
      <c r="ULM2" s="47"/>
      <c r="ULN2" s="47"/>
      <c r="ULO2" s="47"/>
      <c r="ULP2" s="47"/>
      <c r="ULQ2" s="47"/>
      <c r="ULR2" s="47"/>
      <c r="ULS2" s="47"/>
      <c r="ULT2" s="47"/>
      <c r="ULU2" s="47"/>
      <c r="ULV2" s="47"/>
      <c r="ULW2" s="47"/>
      <c r="ULX2" s="47"/>
      <c r="ULY2" s="47"/>
      <c r="ULZ2" s="47"/>
      <c r="UMA2" s="47"/>
      <c r="UMB2" s="47"/>
      <c r="UMC2" s="47"/>
      <c r="UMD2" s="47"/>
      <c r="UME2" s="47"/>
      <c r="UMF2" s="47"/>
      <c r="UMG2" s="47"/>
      <c r="UMH2" s="47"/>
      <c r="UMI2" s="47"/>
      <c r="UMJ2" s="47"/>
      <c r="UMK2" s="47"/>
      <c r="UML2" s="47"/>
      <c r="UMM2" s="47"/>
      <c r="UMN2" s="47"/>
      <c r="UMO2" s="47"/>
      <c r="UMP2" s="47"/>
      <c r="UMQ2" s="47"/>
      <c r="UMR2" s="47"/>
      <c r="UMS2" s="47"/>
      <c r="UMT2" s="47"/>
      <c r="UMU2" s="47"/>
      <c r="UMV2" s="47"/>
      <c r="UMW2" s="47"/>
      <c r="UMX2" s="47"/>
      <c r="UMY2" s="47"/>
      <c r="UMZ2" s="47"/>
      <c r="UNA2" s="47"/>
      <c r="UNB2" s="47"/>
      <c r="UNC2" s="47"/>
      <c r="UND2" s="47"/>
      <c r="UNE2" s="47"/>
      <c r="UNF2" s="47"/>
      <c r="UNG2" s="47"/>
      <c r="UNH2" s="47"/>
      <c r="UNI2" s="47"/>
      <c r="UNJ2" s="47"/>
      <c r="UNK2" s="47"/>
      <c r="UNL2" s="47"/>
      <c r="UNM2" s="47"/>
      <c r="UNN2" s="47"/>
      <c r="UNO2" s="47"/>
      <c r="UNP2" s="47"/>
      <c r="UNQ2" s="47"/>
      <c r="UNR2" s="47"/>
      <c r="UNS2" s="47"/>
      <c r="UNT2" s="47"/>
      <c r="UNU2" s="47"/>
      <c r="UNV2" s="47"/>
      <c r="UNW2" s="47"/>
      <c r="UNX2" s="47"/>
      <c r="UNY2" s="47"/>
      <c r="UNZ2" s="47"/>
      <c r="UOA2" s="47"/>
      <c r="UOB2" s="47"/>
      <c r="UOC2" s="47"/>
      <c r="UOD2" s="47"/>
      <c r="UOE2" s="47"/>
      <c r="UOF2" s="47"/>
      <c r="UOG2" s="47"/>
      <c r="UOH2" s="47"/>
      <c r="UOI2" s="47"/>
      <c r="UOJ2" s="47"/>
      <c r="UOK2" s="47"/>
      <c r="UOL2" s="47"/>
      <c r="UOM2" s="47"/>
      <c r="UON2" s="47"/>
      <c r="UOO2" s="47"/>
      <c r="UOP2" s="47"/>
      <c r="UOQ2" s="47"/>
      <c r="UOR2" s="47"/>
      <c r="UOS2" s="47"/>
      <c r="UOT2" s="47"/>
      <c r="UOU2" s="47"/>
      <c r="UOV2" s="47"/>
      <c r="UOW2" s="47"/>
      <c r="UOX2" s="47"/>
      <c r="UOY2" s="47"/>
      <c r="UOZ2" s="47"/>
      <c r="UPA2" s="47"/>
      <c r="UPB2" s="47"/>
      <c r="UPC2" s="47"/>
      <c r="UPD2" s="47"/>
      <c r="UPE2" s="47"/>
      <c r="UPF2" s="47"/>
      <c r="UPG2" s="47"/>
      <c r="UPH2" s="47"/>
      <c r="UPI2" s="47"/>
      <c r="UPJ2" s="47"/>
      <c r="UPK2" s="47"/>
      <c r="UPL2" s="47"/>
      <c r="UPM2" s="47"/>
      <c r="UPN2" s="47"/>
      <c r="UPO2" s="47"/>
      <c r="UPP2" s="47"/>
      <c r="UPQ2" s="47"/>
      <c r="UPR2" s="47"/>
      <c r="UPS2" s="47"/>
      <c r="UPT2" s="47"/>
      <c r="UPU2" s="47"/>
      <c r="UPV2" s="47"/>
      <c r="UPW2" s="47"/>
      <c r="UPX2" s="47"/>
      <c r="UPY2" s="47"/>
      <c r="UPZ2" s="47"/>
      <c r="UQA2" s="47"/>
      <c r="UQB2" s="47"/>
      <c r="UQC2" s="47"/>
      <c r="UQD2" s="47"/>
      <c r="UQE2" s="47"/>
      <c r="UQF2" s="47"/>
      <c r="UQG2" s="47"/>
      <c r="UQH2" s="47"/>
      <c r="UQI2" s="47"/>
      <c r="UQJ2" s="47"/>
      <c r="UQK2" s="47"/>
      <c r="UQL2" s="47"/>
      <c r="UQM2" s="47"/>
      <c r="UQN2" s="47"/>
      <c r="UQO2" s="47"/>
      <c r="UQP2" s="47"/>
      <c r="UQQ2" s="47"/>
      <c r="UQR2" s="47"/>
      <c r="UQS2" s="47"/>
      <c r="UQT2" s="47"/>
      <c r="UQU2" s="47"/>
      <c r="UQV2" s="47"/>
      <c r="UQW2" s="47"/>
      <c r="UQX2" s="47"/>
      <c r="UQY2" s="47"/>
      <c r="UQZ2" s="47"/>
      <c r="URA2" s="47"/>
      <c r="URB2" s="47"/>
      <c r="URC2" s="47"/>
      <c r="URD2" s="47"/>
      <c r="URE2" s="47"/>
      <c r="URF2" s="47"/>
      <c r="URG2" s="47"/>
      <c r="URH2" s="47"/>
      <c r="URI2" s="47"/>
      <c r="URJ2" s="47"/>
      <c r="URK2" s="47"/>
      <c r="URL2" s="47"/>
      <c r="URM2" s="47"/>
      <c r="URN2" s="47"/>
      <c r="URO2" s="47"/>
      <c r="URP2" s="47"/>
      <c r="URQ2" s="47"/>
      <c r="URR2" s="47"/>
      <c r="URS2" s="47"/>
      <c r="URT2" s="47"/>
      <c r="URU2" s="47"/>
      <c r="URV2" s="47"/>
      <c r="URW2" s="47"/>
      <c r="URX2" s="47"/>
      <c r="URY2" s="47"/>
      <c r="URZ2" s="47"/>
      <c r="USA2" s="47"/>
      <c r="USB2" s="47"/>
      <c r="USC2" s="47"/>
      <c r="USD2" s="47"/>
      <c r="USE2" s="47"/>
      <c r="USF2" s="47"/>
      <c r="USG2" s="47"/>
      <c r="USH2" s="47"/>
      <c r="USI2" s="47"/>
      <c r="USJ2" s="47"/>
      <c r="USK2" s="47"/>
      <c r="USL2" s="47"/>
      <c r="USM2" s="47"/>
      <c r="USN2" s="47"/>
      <c r="USO2" s="47"/>
      <c r="USP2" s="47"/>
      <c r="USQ2" s="47"/>
      <c r="USR2" s="47"/>
      <c r="USS2" s="47"/>
      <c r="UST2" s="47"/>
      <c r="USU2" s="47"/>
      <c r="USV2" s="47"/>
      <c r="USW2" s="47"/>
      <c r="USX2" s="47"/>
      <c r="USY2" s="47"/>
      <c r="USZ2" s="47"/>
      <c r="UTA2" s="47"/>
      <c r="UTB2" s="47"/>
      <c r="UTC2" s="47"/>
      <c r="UTD2" s="47"/>
      <c r="UTE2" s="47"/>
      <c r="UTF2" s="47"/>
      <c r="UTG2" s="47"/>
      <c r="UTH2" s="47"/>
      <c r="UTI2" s="47"/>
      <c r="UTJ2" s="47"/>
      <c r="UTK2" s="47"/>
      <c r="UTL2" s="47"/>
      <c r="UTM2" s="47"/>
      <c r="UTN2" s="47"/>
      <c r="UTO2" s="47"/>
      <c r="UTP2" s="47"/>
      <c r="UTQ2" s="47"/>
      <c r="UTR2" s="47"/>
      <c r="UTS2" s="47"/>
      <c r="UTT2" s="47"/>
      <c r="UTU2" s="47"/>
      <c r="UTV2" s="47"/>
      <c r="UTW2" s="47"/>
      <c r="UTX2" s="47"/>
      <c r="UTY2" s="47"/>
      <c r="UTZ2" s="47"/>
      <c r="UUA2" s="47"/>
      <c r="UUB2" s="47"/>
      <c r="UUC2" s="47"/>
      <c r="UUD2" s="47"/>
      <c r="UUE2" s="47"/>
      <c r="UUF2" s="47"/>
      <c r="UUG2" s="47"/>
      <c r="UUH2" s="47"/>
      <c r="UUI2" s="47"/>
      <c r="UUJ2" s="47"/>
      <c r="UUK2" s="47"/>
      <c r="UUL2" s="47"/>
      <c r="UUM2" s="47"/>
      <c r="UUN2" s="47"/>
      <c r="UUO2" s="47"/>
      <c r="UUP2" s="47"/>
      <c r="UUQ2" s="47"/>
      <c r="UUR2" s="47"/>
      <c r="UUS2" s="47"/>
      <c r="UUT2" s="47"/>
      <c r="UUU2" s="47"/>
      <c r="UUV2" s="47"/>
      <c r="UUW2" s="47"/>
      <c r="UUX2" s="47"/>
      <c r="UUY2" s="47"/>
      <c r="UUZ2" s="47"/>
      <c r="UVA2" s="47"/>
      <c r="UVB2" s="47"/>
      <c r="UVC2" s="47"/>
      <c r="UVD2" s="47"/>
      <c r="UVE2" s="47"/>
      <c r="UVF2" s="47"/>
      <c r="UVG2" s="47"/>
      <c r="UVH2" s="47"/>
      <c r="UVI2" s="47"/>
      <c r="UVJ2" s="47"/>
      <c r="UVK2" s="47"/>
      <c r="UVL2" s="47"/>
      <c r="UVM2" s="47"/>
      <c r="UVN2" s="47"/>
      <c r="UVO2" s="47"/>
      <c r="UVP2" s="47"/>
      <c r="UVQ2" s="47"/>
      <c r="UVR2" s="47"/>
      <c r="UVS2" s="47"/>
      <c r="UVT2" s="47"/>
      <c r="UVU2" s="47"/>
      <c r="UVV2" s="47"/>
      <c r="UVW2" s="47"/>
      <c r="UVX2" s="47"/>
      <c r="UVY2" s="47"/>
      <c r="UVZ2" s="47"/>
      <c r="UWA2" s="47"/>
      <c r="UWB2" s="47"/>
      <c r="UWC2" s="47"/>
      <c r="UWD2" s="47"/>
      <c r="UWE2" s="47"/>
      <c r="UWF2" s="47"/>
      <c r="UWG2" s="47"/>
      <c r="UWH2" s="47"/>
      <c r="UWI2" s="47"/>
      <c r="UWJ2" s="47"/>
      <c r="UWK2" s="47"/>
      <c r="UWL2" s="47"/>
      <c r="UWM2" s="47"/>
      <c r="UWN2" s="47"/>
      <c r="UWO2" s="47"/>
      <c r="UWP2" s="47"/>
      <c r="UWQ2" s="47"/>
      <c r="UWR2" s="47"/>
      <c r="UWS2" s="47"/>
      <c r="UWT2" s="47"/>
      <c r="UWU2" s="47"/>
      <c r="UWV2" s="47"/>
      <c r="UWW2" s="47"/>
      <c r="UWX2" s="47"/>
      <c r="UWY2" s="47"/>
      <c r="UWZ2" s="47"/>
      <c r="UXA2" s="47"/>
      <c r="UXB2" s="47"/>
      <c r="UXC2" s="47"/>
      <c r="UXD2" s="47"/>
      <c r="UXE2" s="47"/>
      <c r="UXF2" s="47"/>
      <c r="UXG2" s="47"/>
      <c r="UXH2" s="47"/>
      <c r="UXI2" s="47"/>
      <c r="UXJ2" s="47"/>
      <c r="UXK2" s="47"/>
      <c r="UXL2" s="47"/>
      <c r="UXM2" s="47"/>
      <c r="UXN2" s="47"/>
      <c r="UXO2" s="47"/>
      <c r="UXP2" s="47"/>
      <c r="UXQ2" s="47"/>
      <c r="UXR2" s="47"/>
      <c r="UXS2" s="47"/>
      <c r="UXT2" s="47"/>
      <c r="UXU2" s="47"/>
      <c r="UXV2" s="47"/>
      <c r="UXW2" s="47"/>
      <c r="UXX2" s="47"/>
      <c r="UXY2" s="47"/>
      <c r="UXZ2" s="47"/>
      <c r="UYA2" s="47"/>
      <c r="UYB2" s="47"/>
      <c r="UYC2" s="47"/>
      <c r="UYD2" s="47"/>
      <c r="UYE2" s="47"/>
      <c r="UYF2" s="47"/>
      <c r="UYG2" s="47"/>
      <c r="UYH2" s="47"/>
      <c r="UYI2" s="47"/>
      <c r="UYJ2" s="47"/>
      <c r="UYK2" s="47"/>
      <c r="UYL2" s="47"/>
      <c r="UYM2" s="47"/>
      <c r="UYN2" s="47"/>
      <c r="UYO2" s="47"/>
      <c r="UYP2" s="47"/>
      <c r="UYQ2" s="47"/>
      <c r="UYR2" s="47"/>
      <c r="UYS2" s="47"/>
      <c r="UYT2" s="47"/>
      <c r="UYU2" s="47"/>
      <c r="UYV2" s="47"/>
      <c r="UYW2" s="47"/>
      <c r="UYX2" s="47"/>
      <c r="UYY2" s="47"/>
      <c r="UYZ2" s="47"/>
      <c r="UZA2" s="47"/>
      <c r="UZB2" s="47"/>
      <c r="UZC2" s="47"/>
      <c r="UZD2" s="47"/>
      <c r="UZE2" s="47"/>
      <c r="UZF2" s="47"/>
      <c r="UZG2" s="47"/>
      <c r="UZH2" s="47"/>
      <c r="UZI2" s="47"/>
      <c r="UZJ2" s="47"/>
      <c r="UZK2" s="47"/>
      <c r="UZL2" s="47"/>
      <c r="UZM2" s="47"/>
      <c r="UZN2" s="47"/>
      <c r="UZO2" s="47"/>
      <c r="UZP2" s="47"/>
      <c r="UZQ2" s="47"/>
      <c r="UZR2" s="47"/>
      <c r="UZS2" s="47"/>
      <c r="UZT2" s="47"/>
      <c r="UZU2" s="47"/>
      <c r="UZV2" s="47"/>
      <c r="UZW2" s="47"/>
      <c r="UZX2" s="47"/>
      <c r="UZY2" s="47"/>
      <c r="UZZ2" s="47"/>
      <c r="VAA2" s="47"/>
      <c r="VAB2" s="47"/>
      <c r="VAC2" s="47"/>
      <c r="VAD2" s="47"/>
      <c r="VAE2" s="47"/>
      <c r="VAF2" s="47"/>
      <c r="VAG2" s="47"/>
      <c r="VAH2" s="47"/>
      <c r="VAI2" s="47"/>
      <c r="VAJ2" s="47"/>
      <c r="VAK2" s="47"/>
      <c r="VAL2" s="47"/>
      <c r="VAM2" s="47"/>
      <c r="VAN2" s="47"/>
      <c r="VAO2" s="47"/>
      <c r="VAP2" s="47"/>
      <c r="VAQ2" s="47"/>
      <c r="VAR2" s="47"/>
      <c r="VAS2" s="47"/>
      <c r="VAT2" s="47"/>
      <c r="VAU2" s="47"/>
      <c r="VAV2" s="47"/>
      <c r="VAW2" s="47"/>
      <c r="VAX2" s="47"/>
      <c r="VAY2" s="47"/>
      <c r="VAZ2" s="47"/>
      <c r="VBA2" s="47"/>
      <c r="VBB2" s="47"/>
      <c r="VBC2" s="47"/>
      <c r="VBD2" s="47"/>
      <c r="VBE2" s="47"/>
      <c r="VBF2" s="47"/>
      <c r="VBG2" s="47"/>
      <c r="VBH2" s="47"/>
      <c r="VBI2" s="47"/>
      <c r="VBJ2" s="47"/>
      <c r="VBK2" s="47"/>
      <c r="VBL2" s="47"/>
      <c r="VBM2" s="47"/>
      <c r="VBN2" s="47"/>
      <c r="VBO2" s="47"/>
      <c r="VBP2" s="47"/>
      <c r="VBQ2" s="47"/>
      <c r="VBR2" s="47"/>
      <c r="VBS2" s="47"/>
      <c r="VBT2" s="47"/>
      <c r="VBU2" s="47"/>
      <c r="VBV2" s="47"/>
      <c r="VBW2" s="47"/>
      <c r="VBX2" s="47"/>
      <c r="VBY2" s="47"/>
      <c r="VBZ2" s="47"/>
      <c r="VCA2" s="47"/>
      <c r="VCB2" s="47"/>
      <c r="VCC2" s="47"/>
      <c r="VCD2" s="47"/>
      <c r="VCE2" s="47"/>
      <c r="VCF2" s="47"/>
      <c r="VCG2" s="47"/>
      <c r="VCH2" s="47"/>
      <c r="VCI2" s="47"/>
      <c r="VCJ2" s="47"/>
      <c r="VCK2" s="47"/>
      <c r="VCL2" s="47"/>
      <c r="VCM2" s="47"/>
      <c r="VCN2" s="47"/>
      <c r="VCO2" s="47"/>
      <c r="VCP2" s="47"/>
      <c r="VCQ2" s="47"/>
      <c r="VCR2" s="47"/>
      <c r="VCS2" s="47"/>
      <c r="VCT2" s="47"/>
      <c r="VCU2" s="47"/>
      <c r="VCV2" s="47"/>
      <c r="VCW2" s="47"/>
      <c r="VCX2" s="47"/>
      <c r="VCY2" s="47"/>
      <c r="VCZ2" s="47"/>
      <c r="VDA2" s="47"/>
      <c r="VDB2" s="47"/>
      <c r="VDC2" s="47"/>
      <c r="VDD2" s="47"/>
      <c r="VDE2" s="47"/>
      <c r="VDF2" s="47"/>
      <c r="VDG2" s="47"/>
      <c r="VDH2" s="47"/>
      <c r="VDI2" s="47"/>
      <c r="VDJ2" s="47"/>
      <c r="VDK2" s="47"/>
      <c r="VDL2" s="47"/>
      <c r="VDM2" s="47"/>
      <c r="VDN2" s="47"/>
      <c r="VDO2" s="47"/>
      <c r="VDP2" s="47"/>
      <c r="VDQ2" s="47"/>
      <c r="VDR2" s="47"/>
      <c r="VDS2" s="47"/>
      <c r="VDT2" s="47"/>
      <c r="VDU2" s="47"/>
      <c r="VDV2" s="47"/>
      <c r="VDW2" s="47"/>
      <c r="VDX2" s="47"/>
      <c r="VDY2" s="47"/>
      <c r="VDZ2" s="47"/>
      <c r="VEA2" s="47"/>
      <c r="VEB2" s="47"/>
      <c r="VEC2" s="47"/>
      <c r="VED2" s="47"/>
      <c r="VEE2" s="47"/>
      <c r="VEF2" s="47"/>
      <c r="VEG2" s="47"/>
      <c r="VEH2" s="47"/>
      <c r="VEI2" s="47"/>
      <c r="VEJ2" s="47"/>
      <c r="VEK2" s="47"/>
      <c r="VEL2" s="47"/>
      <c r="VEM2" s="47"/>
      <c r="VEN2" s="47"/>
      <c r="VEO2" s="47"/>
      <c r="VEP2" s="47"/>
      <c r="VEQ2" s="47"/>
      <c r="VER2" s="47"/>
      <c r="VES2" s="47"/>
      <c r="VET2" s="47"/>
      <c r="VEU2" s="47"/>
      <c r="VEV2" s="47"/>
      <c r="VEW2" s="47"/>
      <c r="VEX2" s="47"/>
      <c r="VEY2" s="47"/>
      <c r="VEZ2" s="47"/>
      <c r="VFA2" s="47"/>
      <c r="VFB2" s="47"/>
      <c r="VFC2" s="47"/>
      <c r="VFD2" s="47"/>
      <c r="VFE2" s="47"/>
      <c r="VFF2" s="47"/>
      <c r="VFG2" s="47"/>
      <c r="VFH2" s="47"/>
      <c r="VFI2" s="47"/>
      <c r="VFJ2" s="47"/>
      <c r="VFK2" s="47"/>
      <c r="VFL2" s="47"/>
      <c r="VFM2" s="47"/>
      <c r="VFN2" s="47"/>
      <c r="VFO2" s="47"/>
      <c r="VFP2" s="47"/>
      <c r="VFQ2" s="47"/>
      <c r="VFR2" s="47"/>
      <c r="VFS2" s="47"/>
      <c r="VFT2" s="47"/>
      <c r="VFU2" s="47"/>
      <c r="VFV2" s="47"/>
      <c r="VFW2" s="47"/>
      <c r="VFX2" s="47"/>
      <c r="VFY2" s="47"/>
      <c r="VFZ2" s="47"/>
      <c r="VGA2" s="47"/>
      <c r="VGB2" s="47"/>
      <c r="VGC2" s="47"/>
      <c r="VGD2" s="47"/>
      <c r="VGE2" s="47"/>
      <c r="VGF2" s="47"/>
      <c r="VGG2" s="47"/>
      <c r="VGH2" s="47"/>
      <c r="VGI2" s="47"/>
      <c r="VGJ2" s="47"/>
      <c r="VGK2" s="47"/>
      <c r="VGL2" s="47"/>
      <c r="VGM2" s="47"/>
      <c r="VGN2" s="47"/>
      <c r="VGO2" s="47"/>
      <c r="VGP2" s="47"/>
      <c r="VGQ2" s="47"/>
      <c r="VGR2" s="47"/>
      <c r="VGS2" s="47"/>
      <c r="VGT2" s="47"/>
      <c r="VGU2" s="47"/>
      <c r="VGV2" s="47"/>
      <c r="VGW2" s="47"/>
      <c r="VGX2" s="47"/>
      <c r="VGY2" s="47"/>
      <c r="VGZ2" s="47"/>
      <c r="VHA2" s="47"/>
      <c r="VHB2" s="47"/>
      <c r="VHC2" s="47"/>
      <c r="VHD2" s="47"/>
      <c r="VHE2" s="47"/>
      <c r="VHF2" s="47"/>
      <c r="VHG2" s="47"/>
      <c r="VHH2" s="47"/>
      <c r="VHI2" s="47"/>
      <c r="VHJ2" s="47"/>
      <c r="VHK2" s="47"/>
      <c r="VHL2" s="47"/>
      <c r="VHM2" s="47"/>
      <c r="VHN2" s="47"/>
      <c r="VHO2" s="47"/>
      <c r="VHP2" s="47"/>
      <c r="VHQ2" s="47"/>
      <c r="VHR2" s="47"/>
      <c r="VHS2" s="47"/>
      <c r="VHT2" s="47"/>
      <c r="VHU2" s="47"/>
      <c r="VHV2" s="47"/>
      <c r="VHW2" s="47"/>
      <c r="VHX2" s="47"/>
      <c r="VHY2" s="47"/>
      <c r="VHZ2" s="47"/>
      <c r="VIA2" s="47"/>
      <c r="VIB2" s="47"/>
      <c r="VIC2" s="47"/>
      <c r="VID2" s="47"/>
      <c r="VIE2" s="47"/>
      <c r="VIF2" s="47"/>
      <c r="VIG2" s="47"/>
      <c r="VIH2" s="47"/>
      <c r="VII2" s="47"/>
      <c r="VIJ2" s="47"/>
      <c r="VIK2" s="47"/>
      <c r="VIL2" s="47"/>
      <c r="VIM2" s="47"/>
      <c r="VIN2" s="47"/>
      <c r="VIO2" s="47"/>
      <c r="VIP2" s="47"/>
      <c r="VIQ2" s="47"/>
      <c r="VIR2" s="47"/>
      <c r="VIS2" s="47"/>
      <c r="VIT2" s="47"/>
      <c r="VIU2" s="47"/>
      <c r="VIV2" s="47"/>
      <c r="VIW2" s="47"/>
      <c r="VIX2" s="47"/>
      <c r="VIY2" s="47"/>
      <c r="VIZ2" s="47"/>
      <c r="VJA2" s="47"/>
      <c r="VJB2" s="47"/>
      <c r="VJC2" s="47"/>
      <c r="VJD2" s="47"/>
      <c r="VJE2" s="47"/>
      <c r="VJF2" s="47"/>
      <c r="VJG2" s="47"/>
      <c r="VJH2" s="47"/>
      <c r="VJI2" s="47"/>
      <c r="VJJ2" s="47"/>
      <c r="VJK2" s="47"/>
      <c r="VJL2" s="47"/>
      <c r="VJM2" s="47"/>
      <c r="VJN2" s="47"/>
      <c r="VJO2" s="47"/>
      <c r="VJP2" s="47"/>
      <c r="VJQ2" s="47"/>
      <c r="VJR2" s="47"/>
      <c r="VJS2" s="47"/>
      <c r="VJT2" s="47"/>
      <c r="VJU2" s="47"/>
      <c r="VJV2" s="47"/>
      <c r="VJW2" s="47"/>
      <c r="VJX2" s="47"/>
      <c r="VJY2" s="47"/>
      <c r="VJZ2" s="47"/>
      <c r="VKA2" s="47"/>
      <c r="VKB2" s="47"/>
      <c r="VKC2" s="47"/>
      <c r="VKD2" s="47"/>
      <c r="VKE2" s="47"/>
      <c r="VKF2" s="47"/>
      <c r="VKG2" s="47"/>
      <c r="VKH2" s="47"/>
      <c r="VKI2" s="47"/>
      <c r="VKJ2" s="47"/>
      <c r="VKK2" s="47"/>
      <c r="VKL2" s="47"/>
      <c r="VKM2" s="47"/>
      <c r="VKN2" s="47"/>
      <c r="VKO2" s="47"/>
      <c r="VKP2" s="47"/>
      <c r="VKQ2" s="47"/>
      <c r="VKR2" s="47"/>
      <c r="VKS2" s="47"/>
      <c r="VKT2" s="47"/>
      <c r="VKU2" s="47"/>
      <c r="VKV2" s="47"/>
      <c r="VKW2" s="47"/>
      <c r="VKX2" s="47"/>
      <c r="VKY2" s="47"/>
      <c r="VKZ2" s="47"/>
      <c r="VLA2" s="47"/>
      <c r="VLB2" s="47"/>
      <c r="VLC2" s="47"/>
      <c r="VLD2" s="47"/>
      <c r="VLE2" s="47"/>
      <c r="VLF2" s="47"/>
      <c r="VLG2" s="47"/>
      <c r="VLH2" s="47"/>
      <c r="VLI2" s="47"/>
      <c r="VLJ2" s="47"/>
      <c r="VLK2" s="47"/>
      <c r="VLL2" s="47"/>
      <c r="VLM2" s="47"/>
      <c r="VLN2" s="47"/>
      <c r="VLO2" s="47"/>
      <c r="VLP2" s="47"/>
      <c r="VLQ2" s="47"/>
      <c r="VLR2" s="47"/>
      <c r="VLS2" s="47"/>
      <c r="VLT2" s="47"/>
      <c r="VLU2" s="47"/>
      <c r="VLV2" s="47"/>
      <c r="VLW2" s="47"/>
      <c r="VLX2" s="47"/>
      <c r="VLY2" s="47"/>
      <c r="VLZ2" s="47"/>
      <c r="VMA2" s="47"/>
      <c r="VMB2" s="47"/>
      <c r="VMC2" s="47"/>
      <c r="VMD2" s="47"/>
      <c r="VME2" s="47"/>
      <c r="VMF2" s="47"/>
      <c r="VMG2" s="47"/>
      <c r="VMH2" s="47"/>
      <c r="VMI2" s="47"/>
      <c r="VMJ2" s="47"/>
      <c r="VMK2" s="47"/>
      <c r="VML2" s="47"/>
      <c r="VMM2" s="47"/>
      <c r="VMN2" s="47"/>
      <c r="VMO2" s="47"/>
      <c r="VMP2" s="47"/>
      <c r="VMQ2" s="47"/>
      <c r="VMR2" s="47"/>
      <c r="VMS2" s="47"/>
      <c r="VMT2" s="47"/>
      <c r="VMU2" s="47"/>
      <c r="VMV2" s="47"/>
      <c r="VMW2" s="47"/>
      <c r="VMX2" s="47"/>
      <c r="VMY2" s="47"/>
      <c r="VMZ2" s="47"/>
      <c r="VNA2" s="47"/>
      <c r="VNB2" s="47"/>
      <c r="VNC2" s="47"/>
      <c r="VND2" s="47"/>
      <c r="VNE2" s="47"/>
      <c r="VNF2" s="47"/>
      <c r="VNG2" s="47"/>
      <c r="VNH2" s="47"/>
      <c r="VNI2" s="47"/>
      <c r="VNJ2" s="47"/>
      <c r="VNK2" s="47"/>
      <c r="VNL2" s="47"/>
      <c r="VNM2" s="47"/>
      <c r="VNN2" s="47"/>
      <c r="VNO2" s="47"/>
      <c r="VNP2" s="47"/>
      <c r="VNQ2" s="47"/>
      <c r="VNR2" s="47"/>
      <c r="VNS2" s="47"/>
      <c r="VNT2" s="47"/>
      <c r="VNU2" s="47"/>
      <c r="VNV2" s="47"/>
      <c r="VNW2" s="47"/>
      <c r="VNX2" s="47"/>
      <c r="VNY2" s="47"/>
      <c r="VNZ2" s="47"/>
      <c r="VOA2" s="47"/>
      <c r="VOB2" s="47"/>
      <c r="VOC2" s="47"/>
      <c r="VOD2" s="47"/>
      <c r="VOE2" s="47"/>
      <c r="VOF2" s="47"/>
      <c r="VOG2" s="47"/>
      <c r="VOH2" s="47"/>
      <c r="VOI2" s="47"/>
      <c r="VOJ2" s="47"/>
      <c r="VOK2" s="47"/>
      <c r="VOL2" s="47"/>
      <c r="VOM2" s="47"/>
      <c r="VON2" s="47"/>
      <c r="VOO2" s="47"/>
      <c r="VOP2" s="47"/>
      <c r="VOQ2" s="47"/>
      <c r="VOR2" s="47"/>
      <c r="VOS2" s="47"/>
      <c r="VOT2" s="47"/>
      <c r="VOU2" s="47"/>
      <c r="VOV2" s="47"/>
      <c r="VOW2" s="47"/>
      <c r="VOX2" s="47"/>
      <c r="VOY2" s="47"/>
      <c r="VOZ2" s="47"/>
      <c r="VPA2" s="47"/>
      <c r="VPB2" s="47"/>
      <c r="VPC2" s="47"/>
      <c r="VPD2" s="47"/>
      <c r="VPE2" s="47"/>
      <c r="VPF2" s="47"/>
      <c r="VPG2" s="47"/>
      <c r="VPH2" s="47"/>
      <c r="VPI2" s="47"/>
      <c r="VPJ2" s="47"/>
      <c r="VPK2" s="47"/>
      <c r="VPL2" s="47"/>
      <c r="VPM2" s="47"/>
      <c r="VPN2" s="47"/>
      <c r="VPO2" s="47"/>
      <c r="VPP2" s="47"/>
      <c r="VPQ2" s="47"/>
      <c r="VPR2" s="47"/>
      <c r="VPS2" s="47"/>
      <c r="VPT2" s="47"/>
      <c r="VPU2" s="47"/>
      <c r="VPV2" s="47"/>
      <c r="VPW2" s="47"/>
      <c r="VPX2" s="47"/>
      <c r="VPY2" s="47"/>
      <c r="VPZ2" s="47"/>
      <c r="VQA2" s="47"/>
      <c r="VQB2" s="47"/>
      <c r="VQC2" s="47"/>
      <c r="VQD2" s="47"/>
      <c r="VQE2" s="47"/>
      <c r="VQF2" s="47"/>
      <c r="VQG2" s="47"/>
      <c r="VQH2" s="47"/>
      <c r="VQI2" s="47"/>
      <c r="VQJ2" s="47"/>
      <c r="VQK2" s="47"/>
      <c r="VQL2" s="47"/>
      <c r="VQM2" s="47"/>
      <c r="VQN2" s="47"/>
      <c r="VQO2" s="47"/>
      <c r="VQP2" s="47"/>
      <c r="VQQ2" s="47"/>
      <c r="VQR2" s="47"/>
      <c r="VQS2" s="47"/>
      <c r="VQT2" s="47"/>
      <c r="VQU2" s="47"/>
      <c r="VQV2" s="47"/>
      <c r="VQW2" s="47"/>
      <c r="VQX2" s="47"/>
      <c r="VQY2" s="47"/>
      <c r="VQZ2" s="47"/>
      <c r="VRA2" s="47"/>
      <c r="VRB2" s="47"/>
      <c r="VRC2" s="47"/>
      <c r="VRD2" s="47"/>
      <c r="VRE2" s="47"/>
      <c r="VRF2" s="47"/>
      <c r="VRG2" s="47"/>
      <c r="VRH2" s="47"/>
      <c r="VRI2" s="47"/>
      <c r="VRJ2" s="47"/>
      <c r="VRK2" s="47"/>
      <c r="VRL2" s="47"/>
      <c r="VRM2" s="47"/>
      <c r="VRN2" s="47"/>
      <c r="VRO2" s="47"/>
      <c r="VRP2" s="47"/>
      <c r="VRQ2" s="47"/>
      <c r="VRR2" s="47"/>
      <c r="VRS2" s="47"/>
      <c r="VRT2" s="47"/>
      <c r="VRU2" s="47"/>
      <c r="VRV2" s="47"/>
      <c r="VRW2" s="47"/>
      <c r="VRX2" s="47"/>
      <c r="VRY2" s="47"/>
      <c r="VRZ2" s="47"/>
      <c r="VSA2" s="47"/>
      <c r="VSB2" s="47"/>
      <c r="VSC2" s="47"/>
      <c r="VSD2" s="47"/>
      <c r="VSE2" s="47"/>
      <c r="VSF2" s="47"/>
      <c r="VSG2" s="47"/>
      <c r="VSH2" s="47"/>
      <c r="VSI2" s="47"/>
      <c r="VSJ2" s="47"/>
      <c r="VSK2" s="47"/>
      <c r="VSL2" s="47"/>
      <c r="VSM2" s="47"/>
      <c r="VSN2" s="47"/>
      <c r="VSO2" s="47"/>
      <c r="VSP2" s="47"/>
      <c r="VSQ2" s="47"/>
      <c r="VSR2" s="47"/>
      <c r="VSS2" s="47"/>
      <c r="VST2" s="47"/>
      <c r="VSU2" s="47"/>
      <c r="VSV2" s="47"/>
      <c r="VSW2" s="47"/>
      <c r="VSX2" s="47"/>
      <c r="VSY2" s="47"/>
      <c r="VSZ2" s="47"/>
      <c r="VTA2" s="47"/>
      <c r="VTB2" s="47"/>
      <c r="VTC2" s="47"/>
      <c r="VTD2" s="47"/>
      <c r="VTE2" s="47"/>
      <c r="VTF2" s="47"/>
      <c r="VTG2" s="47"/>
      <c r="VTH2" s="47"/>
      <c r="VTI2" s="47"/>
      <c r="VTJ2" s="47"/>
      <c r="VTK2" s="47"/>
      <c r="VTL2" s="47"/>
      <c r="VTM2" s="47"/>
      <c r="VTN2" s="47"/>
      <c r="VTO2" s="47"/>
      <c r="VTP2" s="47"/>
      <c r="VTQ2" s="47"/>
      <c r="VTR2" s="47"/>
      <c r="VTS2" s="47"/>
      <c r="VTT2" s="47"/>
      <c r="VTU2" s="47"/>
      <c r="VTV2" s="47"/>
      <c r="VTW2" s="47"/>
      <c r="VTX2" s="47"/>
      <c r="VTY2" s="47"/>
      <c r="VTZ2" s="47"/>
      <c r="VUA2" s="47"/>
      <c r="VUB2" s="47"/>
      <c r="VUC2" s="47"/>
      <c r="VUD2" s="47"/>
      <c r="VUE2" s="47"/>
      <c r="VUF2" s="47"/>
      <c r="VUG2" s="47"/>
      <c r="VUH2" s="47"/>
      <c r="VUI2" s="47"/>
      <c r="VUJ2" s="47"/>
      <c r="VUK2" s="47"/>
      <c r="VUL2" s="47"/>
      <c r="VUM2" s="47"/>
      <c r="VUN2" s="47"/>
      <c r="VUO2" s="47"/>
      <c r="VUP2" s="47"/>
      <c r="VUQ2" s="47"/>
      <c r="VUR2" s="47"/>
      <c r="VUS2" s="47"/>
      <c r="VUT2" s="47"/>
      <c r="VUU2" s="47"/>
      <c r="VUV2" s="47"/>
      <c r="VUW2" s="47"/>
      <c r="VUX2" s="47"/>
      <c r="VUY2" s="47"/>
      <c r="VUZ2" s="47"/>
      <c r="VVA2" s="47"/>
      <c r="VVB2" s="47"/>
      <c r="VVC2" s="47"/>
      <c r="VVD2" s="47"/>
      <c r="VVE2" s="47"/>
      <c r="VVF2" s="47"/>
      <c r="VVG2" s="47"/>
      <c r="VVH2" s="47"/>
      <c r="VVI2" s="47"/>
      <c r="VVJ2" s="47"/>
      <c r="VVK2" s="47"/>
      <c r="VVL2" s="47"/>
      <c r="VVM2" s="47"/>
      <c r="VVN2" s="47"/>
      <c r="VVO2" s="47"/>
      <c r="VVP2" s="47"/>
      <c r="VVQ2" s="47"/>
      <c r="VVR2" s="47"/>
      <c r="VVS2" s="47"/>
      <c r="VVT2" s="47"/>
      <c r="VVU2" s="47"/>
      <c r="VVV2" s="47"/>
      <c r="VVW2" s="47"/>
      <c r="VVX2" s="47"/>
      <c r="VVY2" s="47"/>
      <c r="VVZ2" s="47"/>
      <c r="VWA2" s="47"/>
      <c r="VWB2" s="47"/>
      <c r="VWC2" s="47"/>
      <c r="VWD2" s="47"/>
      <c r="VWE2" s="47"/>
      <c r="VWF2" s="47"/>
      <c r="VWG2" s="47"/>
      <c r="VWH2" s="47"/>
      <c r="VWI2" s="47"/>
      <c r="VWJ2" s="47"/>
      <c r="VWK2" s="47"/>
      <c r="VWL2" s="47"/>
      <c r="VWM2" s="47"/>
      <c r="VWN2" s="47"/>
      <c r="VWO2" s="47"/>
      <c r="VWP2" s="47"/>
      <c r="VWQ2" s="47"/>
      <c r="VWR2" s="47"/>
      <c r="VWS2" s="47"/>
      <c r="VWT2" s="47"/>
      <c r="VWU2" s="47"/>
      <c r="VWV2" s="47"/>
      <c r="VWW2" s="47"/>
      <c r="VWX2" s="47"/>
      <c r="VWY2" s="47"/>
      <c r="VWZ2" s="47"/>
      <c r="VXA2" s="47"/>
      <c r="VXB2" s="47"/>
      <c r="VXC2" s="47"/>
      <c r="VXD2" s="47"/>
      <c r="VXE2" s="47"/>
      <c r="VXF2" s="47"/>
      <c r="VXG2" s="47"/>
      <c r="VXH2" s="47"/>
      <c r="VXI2" s="47"/>
      <c r="VXJ2" s="47"/>
      <c r="VXK2" s="47"/>
      <c r="VXL2" s="47"/>
      <c r="VXM2" s="47"/>
      <c r="VXN2" s="47"/>
      <c r="VXO2" s="47"/>
      <c r="VXP2" s="47"/>
      <c r="VXQ2" s="47"/>
      <c r="VXR2" s="47"/>
      <c r="VXS2" s="47"/>
      <c r="VXT2" s="47"/>
      <c r="VXU2" s="47"/>
      <c r="VXV2" s="47"/>
      <c r="VXW2" s="47"/>
      <c r="VXX2" s="47"/>
      <c r="VXY2" s="47"/>
      <c r="VXZ2" s="47"/>
      <c r="VYA2" s="47"/>
      <c r="VYB2" s="47"/>
      <c r="VYC2" s="47"/>
      <c r="VYD2" s="47"/>
      <c r="VYE2" s="47"/>
      <c r="VYF2" s="47"/>
      <c r="VYG2" s="47"/>
      <c r="VYH2" s="47"/>
      <c r="VYI2" s="47"/>
      <c r="VYJ2" s="47"/>
      <c r="VYK2" s="47"/>
      <c r="VYL2" s="47"/>
      <c r="VYM2" s="47"/>
      <c r="VYN2" s="47"/>
      <c r="VYO2" s="47"/>
      <c r="VYP2" s="47"/>
      <c r="VYQ2" s="47"/>
      <c r="VYR2" s="47"/>
      <c r="VYS2" s="47"/>
      <c r="VYT2" s="47"/>
      <c r="VYU2" s="47"/>
      <c r="VYV2" s="47"/>
      <c r="VYW2" s="47"/>
      <c r="VYX2" s="47"/>
      <c r="VYY2" s="47"/>
      <c r="VYZ2" s="47"/>
      <c r="VZA2" s="47"/>
      <c r="VZB2" s="47"/>
      <c r="VZC2" s="47"/>
      <c r="VZD2" s="47"/>
      <c r="VZE2" s="47"/>
      <c r="VZF2" s="47"/>
      <c r="VZG2" s="47"/>
      <c r="VZH2" s="47"/>
      <c r="VZI2" s="47"/>
      <c r="VZJ2" s="47"/>
      <c r="VZK2" s="47"/>
      <c r="VZL2" s="47"/>
      <c r="VZM2" s="47"/>
      <c r="VZN2" s="47"/>
      <c r="VZO2" s="47"/>
      <c r="VZP2" s="47"/>
      <c r="VZQ2" s="47"/>
      <c r="VZR2" s="47"/>
      <c r="VZS2" s="47"/>
      <c r="VZT2" s="47"/>
      <c r="VZU2" s="47"/>
      <c r="VZV2" s="47"/>
      <c r="VZW2" s="47"/>
      <c r="VZX2" s="47"/>
      <c r="VZY2" s="47"/>
      <c r="VZZ2" s="47"/>
      <c r="WAA2" s="47"/>
      <c r="WAB2" s="47"/>
      <c r="WAC2" s="47"/>
      <c r="WAD2" s="47"/>
      <c r="WAE2" s="47"/>
      <c r="WAF2" s="47"/>
      <c r="WAG2" s="47"/>
      <c r="WAH2" s="47"/>
      <c r="WAI2" s="47"/>
      <c r="WAJ2" s="47"/>
      <c r="WAK2" s="47"/>
      <c r="WAL2" s="47"/>
      <c r="WAM2" s="47"/>
      <c r="WAN2" s="47"/>
      <c r="WAO2" s="47"/>
      <c r="WAP2" s="47"/>
      <c r="WAQ2" s="47"/>
      <c r="WAR2" s="47"/>
      <c r="WAS2" s="47"/>
      <c r="WAT2" s="47"/>
      <c r="WAU2" s="47"/>
      <c r="WAV2" s="47"/>
      <c r="WAW2" s="47"/>
      <c r="WAX2" s="47"/>
      <c r="WAY2" s="47"/>
      <c r="WAZ2" s="47"/>
      <c r="WBA2" s="47"/>
      <c r="WBB2" s="47"/>
      <c r="WBC2" s="47"/>
      <c r="WBD2" s="47"/>
      <c r="WBE2" s="47"/>
      <c r="WBF2" s="47"/>
      <c r="WBG2" s="47"/>
      <c r="WBH2" s="47"/>
      <c r="WBI2" s="47"/>
      <c r="WBJ2" s="47"/>
      <c r="WBK2" s="47"/>
      <c r="WBL2" s="47"/>
      <c r="WBM2" s="47"/>
      <c r="WBN2" s="47"/>
      <c r="WBO2" s="47"/>
      <c r="WBP2" s="47"/>
      <c r="WBQ2" s="47"/>
      <c r="WBR2" s="47"/>
      <c r="WBS2" s="47"/>
      <c r="WBT2" s="47"/>
      <c r="WBU2" s="47"/>
      <c r="WBV2" s="47"/>
      <c r="WBW2" s="47"/>
      <c r="WBX2" s="47"/>
      <c r="WBY2" s="47"/>
      <c r="WBZ2" s="47"/>
      <c r="WCA2" s="47"/>
      <c r="WCB2" s="47"/>
      <c r="WCC2" s="47"/>
      <c r="WCD2" s="47"/>
      <c r="WCE2" s="47"/>
      <c r="WCF2" s="47"/>
      <c r="WCG2" s="47"/>
      <c r="WCH2" s="47"/>
      <c r="WCI2" s="47"/>
      <c r="WCJ2" s="47"/>
      <c r="WCK2" s="47"/>
      <c r="WCL2" s="47"/>
      <c r="WCM2" s="47"/>
      <c r="WCN2" s="47"/>
      <c r="WCO2" s="47"/>
      <c r="WCP2" s="47"/>
      <c r="WCQ2" s="47"/>
      <c r="WCR2" s="47"/>
      <c r="WCS2" s="47"/>
      <c r="WCT2" s="47"/>
      <c r="WCU2" s="47"/>
      <c r="WCV2" s="47"/>
      <c r="WCW2" s="47"/>
      <c r="WCX2" s="47"/>
      <c r="WCY2" s="47"/>
      <c r="WCZ2" s="47"/>
      <c r="WDA2" s="47"/>
      <c r="WDB2" s="47"/>
      <c r="WDC2" s="47"/>
      <c r="WDD2" s="47"/>
      <c r="WDE2" s="47"/>
      <c r="WDF2" s="47"/>
      <c r="WDG2" s="47"/>
      <c r="WDH2" s="47"/>
      <c r="WDI2" s="47"/>
      <c r="WDJ2" s="47"/>
      <c r="WDK2" s="47"/>
      <c r="WDL2" s="47"/>
      <c r="WDM2" s="47"/>
      <c r="WDN2" s="47"/>
      <c r="WDO2" s="47"/>
      <c r="WDP2" s="47"/>
      <c r="WDQ2" s="47"/>
      <c r="WDR2" s="47"/>
      <c r="WDS2" s="47"/>
      <c r="WDT2" s="47"/>
      <c r="WDU2" s="47"/>
      <c r="WDV2" s="47"/>
      <c r="WDW2" s="47"/>
      <c r="WDX2" s="47"/>
      <c r="WDY2" s="47"/>
      <c r="WDZ2" s="47"/>
      <c r="WEA2" s="47"/>
      <c r="WEB2" s="47"/>
      <c r="WEC2" s="47"/>
      <c r="WED2" s="47"/>
      <c r="WEE2" s="47"/>
      <c r="WEF2" s="47"/>
      <c r="WEG2" s="47"/>
      <c r="WEH2" s="47"/>
      <c r="WEI2" s="47"/>
      <c r="WEJ2" s="47"/>
      <c r="WEK2" s="47"/>
      <c r="WEL2" s="47"/>
      <c r="WEM2" s="47"/>
      <c r="WEN2" s="47"/>
      <c r="WEO2" s="47"/>
      <c r="WEP2" s="47"/>
      <c r="WEQ2" s="47"/>
      <c r="WER2" s="47"/>
      <c r="WES2" s="47"/>
      <c r="WET2" s="47"/>
      <c r="WEU2" s="47"/>
      <c r="WEV2" s="47"/>
      <c r="WEW2" s="47"/>
      <c r="WEX2" s="47"/>
      <c r="WEY2" s="47"/>
      <c r="WEZ2" s="47"/>
      <c r="WFA2" s="47"/>
      <c r="WFB2" s="47"/>
      <c r="WFC2" s="47"/>
      <c r="WFD2" s="47"/>
      <c r="WFE2" s="47"/>
      <c r="WFF2" s="47"/>
      <c r="WFG2" s="47"/>
      <c r="WFH2" s="47"/>
      <c r="WFI2" s="47"/>
      <c r="WFJ2" s="47"/>
      <c r="WFK2" s="47"/>
      <c r="WFL2" s="47"/>
      <c r="WFM2" s="47"/>
      <c r="WFN2" s="47"/>
      <c r="WFO2" s="47"/>
      <c r="WFP2" s="47"/>
      <c r="WFQ2" s="47"/>
      <c r="WFR2" s="47"/>
      <c r="WFS2" s="47"/>
      <c r="WFT2" s="47"/>
      <c r="WFU2" s="47"/>
      <c r="WFV2" s="47"/>
      <c r="WFW2" s="47"/>
      <c r="WFX2" s="47"/>
      <c r="WFY2" s="47"/>
      <c r="WFZ2" s="47"/>
      <c r="WGA2" s="47"/>
      <c r="WGB2" s="47"/>
      <c r="WGC2" s="47"/>
      <c r="WGD2" s="47"/>
      <c r="WGE2" s="47"/>
      <c r="WGF2" s="47"/>
      <c r="WGG2" s="47"/>
      <c r="WGH2" s="47"/>
      <c r="WGI2" s="47"/>
      <c r="WGJ2" s="47"/>
      <c r="WGK2" s="47"/>
      <c r="WGL2" s="47"/>
      <c r="WGM2" s="47"/>
      <c r="WGN2" s="47"/>
      <c r="WGO2" s="47"/>
      <c r="WGP2" s="47"/>
      <c r="WGQ2" s="47"/>
      <c r="WGR2" s="47"/>
      <c r="WGS2" s="47"/>
      <c r="WGT2" s="47"/>
      <c r="WGU2" s="47"/>
      <c r="WGV2" s="47"/>
      <c r="WGW2" s="47"/>
      <c r="WGX2" s="47"/>
      <c r="WGY2" s="47"/>
      <c r="WGZ2" s="47"/>
      <c r="WHA2" s="47"/>
      <c r="WHB2" s="47"/>
      <c r="WHC2" s="47"/>
      <c r="WHD2" s="47"/>
      <c r="WHE2" s="47"/>
      <c r="WHF2" s="47"/>
      <c r="WHG2" s="47"/>
      <c r="WHH2" s="47"/>
      <c r="WHI2" s="47"/>
      <c r="WHJ2" s="47"/>
      <c r="WHK2" s="47"/>
      <c r="WHL2" s="47"/>
      <c r="WHM2" s="47"/>
      <c r="WHN2" s="47"/>
      <c r="WHO2" s="47"/>
      <c r="WHP2" s="47"/>
      <c r="WHQ2" s="47"/>
      <c r="WHR2" s="47"/>
      <c r="WHS2" s="47"/>
      <c r="WHT2" s="47"/>
      <c r="WHU2" s="47"/>
      <c r="WHV2" s="47"/>
      <c r="WHW2" s="47"/>
      <c r="WHX2" s="47"/>
      <c r="WHY2" s="47"/>
      <c r="WHZ2" s="47"/>
      <c r="WIA2" s="47"/>
      <c r="WIB2" s="47"/>
      <c r="WIC2" s="47"/>
      <c r="WID2" s="47"/>
      <c r="WIE2" s="47"/>
      <c r="WIF2" s="47"/>
      <c r="WIG2" s="47"/>
      <c r="WIH2" s="47"/>
      <c r="WII2" s="47"/>
      <c r="WIJ2" s="47"/>
      <c r="WIK2" s="47"/>
      <c r="WIL2" s="47"/>
      <c r="WIM2" s="47"/>
      <c r="WIN2" s="47"/>
      <c r="WIO2" s="47"/>
      <c r="WIP2" s="47"/>
      <c r="WIQ2" s="47"/>
      <c r="WIR2" s="47"/>
      <c r="WIS2" s="47"/>
      <c r="WIT2" s="47"/>
      <c r="WIU2" s="47"/>
      <c r="WIV2" s="47"/>
      <c r="WIW2" s="47"/>
      <c r="WIX2" s="47"/>
      <c r="WIY2" s="47"/>
      <c r="WIZ2" s="47"/>
      <c r="WJA2" s="47"/>
      <c r="WJB2" s="47"/>
      <c r="WJC2" s="47"/>
      <c r="WJD2" s="47"/>
      <c r="WJE2" s="47"/>
      <c r="WJF2" s="47"/>
      <c r="WJG2" s="47"/>
      <c r="WJH2" s="47"/>
      <c r="WJI2" s="47"/>
      <c r="WJJ2" s="47"/>
      <c r="WJK2" s="47"/>
      <c r="WJL2" s="47"/>
      <c r="WJM2" s="47"/>
      <c r="WJN2" s="47"/>
      <c r="WJO2" s="47"/>
      <c r="WJP2" s="47"/>
      <c r="WJQ2" s="47"/>
      <c r="WJR2" s="47"/>
      <c r="WJS2" s="47"/>
      <c r="WJT2" s="47"/>
      <c r="WJU2" s="47"/>
      <c r="WJV2" s="47"/>
      <c r="WJW2" s="47"/>
      <c r="WJX2" s="47"/>
      <c r="WJY2" s="47"/>
      <c r="WJZ2" s="47"/>
      <c r="WKA2" s="47"/>
      <c r="WKB2" s="47"/>
      <c r="WKC2" s="47"/>
      <c r="WKD2" s="47"/>
      <c r="WKE2" s="47"/>
      <c r="WKF2" s="47"/>
      <c r="WKG2" s="47"/>
      <c r="WKH2" s="47"/>
      <c r="WKI2" s="47"/>
      <c r="WKJ2" s="47"/>
      <c r="WKK2" s="47"/>
      <c r="WKL2" s="47"/>
      <c r="WKM2" s="47"/>
      <c r="WKN2" s="47"/>
      <c r="WKO2" s="47"/>
      <c r="WKP2" s="47"/>
      <c r="WKQ2" s="47"/>
      <c r="WKR2" s="47"/>
      <c r="WKS2" s="47"/>
      <c r="WKT2" s="47"/>
      <c r="WKU2" s="47"/>
      <c r="WKV2" s="47"/>
      <c r="WKW2" s="47"/>
      <c r="WKX2" s="47"/>
      <c r="WKY2" s="47"/>
      <c r="WKZ2" s="47"/>
      <c r="WLA2" s="47"/>
      <c r="WLB2" s="47"/>
      <c r="WLC2" s="47"/>
      <c r="WLD2" s="47"/>
      <c r="WLE2" s="47"/>
      <c r="WLF2" s="47"/>
      <c r="WLG2" s="47"/>
      <c r="WLH2" s="47"/>
      <c r="WLI2" s="47"/>
      <c r="WLJ2" s="47"/>
      <c r="WLK2" s="47"/>
      <c r="WLL2" s="47"/>
      <c r="WLM2" s="47"/>
      <c r="WLN2" s="47"/>
      <c r="WLO2" s="47"/>
      <c r="WLP2" s="47"/>
      <c r="WLQ2" s="47"/>
      <c r="WLR2" s="47"/>
      <c r="WLS2" s="47"/>
      <c r="WLT2" s="47"/>
      <c r="WLU2" s="47"/>
      <c r="WLV2" s="47"/>
      <c r="WLW2" s="47"/>
      <c r="WLX2" s="47"/>
      <c r="WLY2" s="47"/>
      <c r="WLZ2" s="47"/>
      <c r="WMA2" s="47"/>
      <c r="WMB2" s="47"/>
      <c r="WMC2" s="47"/>
      <c r="WMD2" s="47"/>
      <c r="WME2" s="47"/>
      <c r="WMF2" s="47"/>
      <c r="WMG2" s="47"/>
      <c r="WMH2" s="47"/>
      <c r="WMI2" s="47"/>
      <c r="WMJ2" s="47"/>
      <c r="WMK2" s="47"/>
      <c r="WML2" s="47"/>
      <c r="WMM2" s="47"/>
      <c r="WMN2" s="47"/>
      <c r="WMO2" s="47"/>
      <c r="WMP2" s="47"/>
      <c r="WMQ2" s="47"/>
      <c r="WMR2" s="47"/>
      <c r="WMS2" s="47"/>
      <c r="WMT2" s="47"/>
      <c r="WMU2" s="47"/>
      <c r="WMV2" s="47"/>
      <c r="WMW2" s="47"/>
      <c r="WMX2" s="47"/>
      <c r="WMY2" s="47"/>
      <c r="WMZ2" s="47"/>
      <c r="WNA2" s="47"/>
      <c r="WNB2" s="47"/>
      <c r="WNC2" s="47"/>
      <c r="WND2" s="47"/>
      <c r="WNE2" s="47"/>
      <c r="WNF2" s="47"/>
      <c r="WNG2" s="47"/>
      <c r="WNH2" s="47"/>
      <c r="WNI2" s="47"/>
      <c r="WNJ2" s="47"/>
      <c r="WNK2" s="47"/>
      <c r="WNL2" s="47"/>
      <c r="WNM2" s="47"/>
      <c r="WNN2" s="47"/>
      <c r="WNO2" s="47"/>
      <c r="WNP2" s="47"/>
      <c r="WNQ2" s="47"/>
      <c r="WNR2" s="47"/>
      <c r="WNS2" s="47"/>
      <c r="WNT2" s="47"/>
      <c r="WNU2" s="47"/>
      <c r="WNV2" s="47"/>
      <c r="WNW2" s="47"/>
      <c r="WNX2" s="47"/>
      <c r="WNY2" s="47"/>
      <c r="WNZ2" s="47"/>
      <c r="WOA2" s="47"/>
      <c r="WOB2" s="47"/>
      <c r="WOC2" s="47"/>
      <c r="WOD2" s="47"/>
      <c r="WOE2" s="47"/>
      <c r="WOF2" s="47"/>
      <c r="WOG2" s="47"/>
      <c r="WOH2" s="47"/>
      <c r="WOI2" s="47"/>
      <c r="WOJ2" s="47"/>
      <c r="WOK2" s="47"/>
      <c r="WOL2" s="47"/>
      <c r="WOM2" s="47"/>
      <c r="WON2" s="47"/>
      <c r="WOO2" s="47"/>
      <c r="WOP2" s="47"/>
      <c r="WOQ2" s="47"/>
      <c r="WOR2" s="47"/>
      <c r="WOS2" s="47"/>
      <c r="WOT2" s="47"/>
      <c r="WOU2" s="47"/>
      <c r="WOV2" s="47"/>
      <c r="WOW2" s="47"/>
      <c r="WOX2" s="47"/>
      <c r="WOY2" s="47"/>
      <c r="WOZ2" s="47"/>
      <c r="WPA2" s="47"/>
      <c r="WPB2" s="47"/>
      <c r="WPC2" s="47"/>
      <c r="WPD2" s="47"/>
      <c r="WPE2" s="47"/>
      <c r="WPF2" s="47"/>
      <c r="WPG2" s="47"/>
      <c r="WPH2" s="47"/>
      <c r="WPI2" s="47"/>
      <c r="WPJ2" s="47"/>
      <c r="WPK2" s="47"/>
      <c r="WPL2" s="47"/>
      <c r="WPM2" s="47"/>
      <c r="WPN2" s="47"/>
      <c r="WPO2" s="47"/>
      <c r="WPP2" s="47"/>
      <c r="WPQ2" s="47"/>
      <c r="WPR2" s="47"/>
      <c r="WPS2" s="47"/>
      <c r="WPT2" s="47"/>
      <c r="WPU2" s="47"/>
      <c r="WPV2" s="47"/>
      <c r="WPW2" s="47"/>
      <c r="WPX2" s="47"/>
      <c r="WPY2" s="47"/>
      <c r="WPZ2" s="47"/>
      <c r="WQA2" s="47"/>
      <c r="WQB2" s="47"/>
      <c r="WQC2" s="47"/>
      <c r="WQD2" s="47"/>
      <c r="WQE2" s="47"/>
      <c r="WQF2" s="47"/>
      <c r="WQG2" s="47"/>
      <c r="WQH2" s="47"/>
      <c r="WQI2" s="47"/>
      <c r="WQJ2" s="47"/>
      <c r="WQK2" s="47"/>
      <c r="WQL2" s="47"/>
      <c r="WQM2" s="47"/>
      <c r="WQN2" s="47"/>
      <c r="WQO2" s="47"/>
      <c r="WQP2" s="47"/>
      <c r="WQQ2" s="47"/>
      <c r="WQR2" s="47"/>
      <c r="WQS2" s="47"/>
      <c r="WQT2" s="47"/>
      <c r="WQU2" s="47"/>
      <c r="WQV2" s="47"/>
      <c r="WQW2" s="47"/>
      <c r="WQX2" s="47"/>
      <c r="WQY2" s="47"/>
      <c r="WQZ2" s="47"/>
      <c r="WRA2" s="47"/>
      <c r="WRB2" s="47"/>
      <c r="WRC2" s="47"/>
      <c r="WRD2" s="47"/>
      <c r="WRE2" s="47"/>
      <c r="WRF2" s="47"/>
      <c r="WRG2" s="47"/>
      <c r="WRH2" s="47"/>
      <c r="WRI2" s="47"/>
      <c r="WRJ2" s="47"/>
      <c r="WRK2" s="47"/>
      <c r="WRL2" s="47"/>
      <c r="WRM2" s="47"/>
      <c r="WRN2" s="47"/>
      <c r="WRO2" s="47"/>
      <c r="WRP2" s="47"/>
      <c r="WRQ2" s="47"/>
      <c r="WRR2" s="47"/>
      <c r="WRS2" s="47"/>
      <c r="WRT2" s="47"/>
      <c r="WRU2" s="47"/>
      <c r="WRV2" s="47"/>
      <c r="WRW2" s="47"/>
      <c r="WRX2" s="47"/>
      <c r="WRY2" s="47"/>
      <c r="WRZ2" s="47"/>
      <c r="WSA2" s="47"/>
      <c r="WSB2" s="47"/>
      <c r="WSC2" s="47"/>
      <c r="WSD2" s="47"/>
      <c r="WSE2" s="47"/>
      <c r="WSF2" s="47"/>
      <c r="WSG2" s="47"/>
      <c r="WSH2" s="47"/>
      <c r="WSI2" s="47"/>
      <c r="WSJ2" s="47"/>
      <c r="WSK2" s="47"/>
      <c r="WSL2" s="47"/>
      <c r="WSM2" s="47"/>
      <c r="WSN2" s="47"/>
      <c r="WSO2" s="47"/>
      <c r="WSP2" s="47"/>
      <c r="WSQ2" s="47"/>
      <c r="WSR2" s="47"/>
      <c r="WSS2" s="47"/>
      <c r="WST2" s="47"/>
      <c r="WSU2" s="47"/>
      <c r="WSV2" s="47"/>
      <c r="WSW2" s="47"/>
      <c r="WSX2" s="47"/>
      <c r="WSY2" s="47"/>
      <c r="WSZ2" s="47"/>
      <c r="WTA2" s="47"/>
      <c r="WTB2" s="47"/>
      <c r="WTC2" s="47"/>
      <c r="WTD2" s="47"/>
      <c r="WTE2" s="47"/>
      <c r="WTF2" s="47"/>
      <c r="WTG2" s="47"/>
      <c r="WTH2" s="47"/>
      <c r="WTI2" s="47"/>
      <c r="WTJ2" s="47"/>
      <c r="WTK2" s="47"/>
      <c r="WTL2" s="47"/>
      <c r="WTM2" s="47"/>
      <c r="WTN2" s="47"/>
      <c r="WTO2" s="47"/>
      <c r="WTP2" s="47"/>
      <c r="WTQ2" s="47"/>
      <c r="WTR2" s="47"/>
      <c r="WTS2" s="47"/>
      <c r="WTT2" s="47"/>
      <c r="WTU2" s="47"/>
      <c r="WTV2" s="47"/>
      <c r="WTW2" s="47"/>
      <c r="WTX2" s="47"/>
      <c r="WTY2" s="47"/>
      <c r="WTZ2" s="47"/>
      <c r="WUA2" s="47"/>
      <c r="WUB2" s="47"/>
      <c r="WUC2" s="47"/>
      <c r="WUD2" s="47"/>
      <c r="WUE2" s="47"/>
      <c r="WUF2" s="47"/>
      <c r="WUG2" s="47"/>
      <c r="WUH2" s="47"/>
      <c r="WUI2" s="47"/>
      <c r="WUJ2" s="47"/>
      <c r="WUK2" s="47"/>
      <c r="WUL2" s="47"/>
      <c r="WUM2" s="47"/>
      <c r="WUN2" s="47"/>
      <c r="WUO2" s="47"/>
      <c r="WUP2" s="47"/>
      <c r="WUQ2" s="47"/>
      <c r="WUR2" s="47"/>
      <c r="WUS2" s="47"/>
      <c r="WUT2" s="47"/>
      <c r="WUU2" s="47"/>
      <c r="WUV2" s="47"/>
      <c r="WUW2" s="47"/>
      <c r="WUX2" s="47"/>
      <c r="WUY2" s="47"/>
      <c r="WUZ2" s="47"/>
      <c r="WVA2" s="47"/>
      <c r="WVB2" s="47"/>
      <c r="WVC2" s="47"/>
      <c r="WVD2" s="47"/>
      <c r="WVE2" s="47"/>
      <c r="WVF2" s="47"/>
      <c r="WVG2" s="47"/>
      <c r="WVH2" s="47"/>
      <c r="WVI2" s="47"/>
      <c r="WVJ2" s="47"/>
      <c r="WVK2" s="47"/>
      <c r="WVL2" s="47"/>
      <c r="WVM2" s="47"/>
      <c r="WVN2" s="47"/>
      <c r="WVO2" s="47"/>
      <c r="WVP2" s="47"/>
      <c r="WVQ2" s="47"/>
      <c r="WVR2" s="47"/>
      <c r="WVS2" s="47"/>
      <c r="WVT2" s="47"/>
      <c r="WVU2" s="47"/>
      <c r="WVV2" s="47"/>
      <c r="WVW2" s="47"/>
      <c r="WVX2" s="47"/>
      <c r="WVY2" s="47"/>
      <c r="WVZ2" s="47"/>
      <c r="WWA2" s="47"/>
      <c r="WWB2" s="47"/>
      <c r="WWC2" s="47"/>
      <c r="WWD2" s="47"/>
      <c r="WWE2" s="47"/>
      <c r="WWF2" s="47"/>
      <c r="WWG2" s="47"/>
      <c r="WWH2" s="47"/>
      <c r="WWI2" s="47"/>
      <c r="WWJ2" s="47"/>
      <c r="WWK2" s="47"/>
      <c r="WWL2" s="47"/>
      <c r="WWM2" s="47"/>
      <c r="WWN2" s="47"/>
      <c r="WWO2" s="47"/>
      <c r="WWP2" s="47"/>
      <c r="WWQ2" s="47"/>
      <c r="WWR2" s="47"/>
      <c r="WWS2" s="47"/>
      <c r="WWT2" s="47"/>
      <c r="WWU2" s="47"/>
      <c r="WWV2" s="47"/>
      <c r="WWW2" s="47"/>
      <c r="WWX2" s="47"/>
      <c r="WWY2" s="47"/>
      <c r="WWZ2" s="47"/>
      <c r="WXA2" s="47"/>
      <c r="WXB2" s="47"/>
      <c r="WXC2" s="47"/>
      <c r="WXD2" s="47"/>
      <c r="WXE2" s="47"/>
      <c r="WXF2" s="47"/>
      <c r="WXG2" s="47"/>
      <c r="WXH2" s="47"/>
      <c r="WXI2" s="47"/>
      <c r="WXJ2" s="47"/>
      <c r="WXK2" s="47"/>
      <c r="WXL2" s="47"/>
      <c r="WXM2" s="47"/>
      <c r="WXN2" s="47"/>
      <c r="WXO2" s="47"/>
      <c r="WXP2" s="47"/>
      <c r="WXQ2" s="47"/>
      <c r="WXR2" s="47"/>
      <c r="WXS2" s="47"/>
      <c r="WXT2" s="47"/>
      <c r="WXU2" s="47"/>
      <c r="WXV2" s="47"/>
      <c r="WXW2" s="47"/>
      <c r="WXX2" s="47"/>
      <c r="WXY2" s="47"/>
      <c r="WXZ2" s="47"/>
      <c r="WYA2" s="47"/>
      <c r="WYB2" s="47"/>
      <c r="WYC2" s="47"/>
      <c r="WYD2" s="47"/>
      <c r="WYE2" s="47"/>
      <c r="WYF2" s="47"/>
      <c r="WYG2" s="47"/>
      <c r="WYH2" s="47"/>
      <c r="WYI2" s="47"/>
      <c r="WYJ2" s="47"/>
      <c r="WYK2" s="47"/>
      <c r="WYL2" s="47"/>
      <c r="WYM2" s="47"/>
      <c r="WYN2" s="47"/>
      <c r="WYO2" s="47"/>
      <c r="WYP2" s="47"/>
      <c r="WYQ2" s="47"/>
      <c r="WYR2" s="47"/>
      <c r="WYS2" s="47"/>
      <c r="WYT2" s="47"/>
      <c r="WYU2" s="47"/>
      <c r="WYV2" s="47"/>
      <c r="WYW2" s="47"/>
      <c r="WYX2" s="47"/>
      <c r="WYY2" s="47"/>
      <c r="WYZ2" s="47"/>
      <c r="WZA2" s="47"/>
      <c r="WZB2" s="47"/>
      <c r="WZC2" s="47"/>
      <c r="WZD2" s="47"/>
      <c r="WZE2" s="47"/>
      <c r="WZF2" s="47"/>
      <c r="WZG2" s="47"/>
      <c r="WZH2" s="47"/>
      <c r="WZI2" s="47"/>
      <c r="WZJ2" s="47"/>
      <c r="WZK2" s="47"/>
      <c r="WZL2" s="47"/>
      <c r="WZM2" s="47"/>
      <c r="WZN2" s="47"/>
      <c r="WZO2" s="47"/>
      <c r="WZP2" s="47"/>
      <c r="WZQ2" s="47"/>
      <c r="WZR2" s="47"/>
      <c r="WZS2" s="47"/>
      <c r="WZT2" s="47"/>
      <c r="WZU2" s="47"/>
      <c r="WZV2" s="47"/>
      <c r="WZW2" s="47"/>
      <c r="WZX2" s="47"/>
      <c r="WZY2" s="47"/>
      <c r="WZZ2" s="47"/>
      <c r="XAA2" s="47"/>
      <c r="XAB2" s="47"/>
      <c r="XAC2" s="47"/>
      <c r="XAD2" s="47"/>
      <c r="XAE2" s="47"/>
      <c r="XAF2" s="47"/>
      <c r="XAG2" s="47"/>
      <c r="XAH2" s="47"/>
      <c r="XAI2" s="47"/>
      <c r="XAJ2" s="47"/>
      <c r="XAK2" s="47"/>
      <c r="XAL2" s="47"/>
      <c r="XAM2" s="47"/>
      <c r="XAN2" s="47"/>
      <c r="XAO2" s="47"/>
      <c r="XAP2" s="47"/>
      <c r="XAQ2" s="47"/>
      <c r="XAR2" s="47"/>
      <c r="XAS2" s="47"/>
      <c r="XAT2" s="47"/>
      <c r="XAU2" s="47"/>
      <c r="XAV2" s="47"/>
      <c r="XAW2" s="47"/>
      <c r="XAX2" s="47"/>
      <c r="XAY2" s="47"/>
      <c r="XAZ2" s="47"/>
      <c r="XBA2" s="47"/>
      <c r="XBB2" s="47"/>
      <c r="XBC2" s="47"/>
      <c r="XBD2" s="47"/>
      <c r="XBE2" s="47"/>
      <c r="XBF2" s="47"/>
      <c r="XBG2" s="47"/>
      <c r="XBH2" s="47"/>
      <c r="XBI2" s="47"/>
      <c r="XBJ2" s="47"/>
      <c r="XBK2" s="47"/>
      <c r="XBL2" s="47"/>
      <c r="XBM2" s="47"/>
      <c r="XBN2" s="47"/>
      <c r="XBO2" s="47"/>
      <c r="XBP2" s="47"/>
      <c r="XBQ2" s="47"/>
      <c r="XBR2" s="47"/>
      <c r="XBS2" s="47"/>
      <c r="XBT2" s="47"/>
      <c r="XBU2" s="47"/>
      <c r="XBV2" s="47"/>
      <c r="XBW2" s="47"/>
      <c r="XBX2" s="47"/>
      <c r="XBY2" s="47"/>
      <c r="XBZ2" s="47"/>
      <c r="XCA2" s="47"/>
      <c r="XCB2" s="47"/>
      <c r="XCC2" s="47"/>
      <c r="XCD2" s="47"/>
      <c r="XCE2" s="47"/>
      <c r="XCF2" s="47"/>
      <c r="XCG2" s="47"/>
      <c r="XCH2" s="47"/>
      <c r="XCI2" s="47"/>
      <c r="XCJ2" s="47"/>
      <c r="XCK2" s="47"/>
      <c r="XCL2" s="47"/>
      <c r="XCM2" s="47"/>
      <c r="XCN2" s="47"/>
      <c r="XCO2" s="47"/>
      <c r="XCP2" s="47"/>
      <c r="XCQ2" s="47"/>
      <c r="XCR2" s="47"/>
      <c r="XCS2" s="47"/>
      <c r="XCT2" s="47"/>
      <c r="XCU2" s="47"/>
      <c r="XCV2" s="47"/>
      <c r="XCW2" s="47"/>
      <c r="XCX2" s="47"/>
      <c r="XCY2" s="47"/>
      <c r="XCZ2" s="47"/>
      <c r="XDA2" s="47"/>
      <c r="XDB2" s="47"/>
      <c r="XDC2" s="47"/>
      <c r="XDD2" s="47"/>
      <c r="XDE2" s="47"/>
      <c r="XDF2" s="47"/>
      <c r="XDG2" s="47"/>
      <c r="XDH2" s="47"/>
      <c r="XDI2" s="47"/>
      <c r="XDJ2" s="47"/>
      <c r="XDK2" s="47"/>
      <c r="XDL2" s="47"/>
      <c r="XDM2" s="47"/>
      <c r="XDN2" s="47"/>
      <c r="XDO2" s="47"/>
      <c r="XDP2" s="47"/>
      <c r="XDQ2" s="47"/>
      <c r="XDR2" s="47"/>
      <c r="XDS2" s="47"/>
      <c r="XDT2" s="47"/>
      <c r="XDU2" s="47"/>
      <c r="XDV2" s="47"/>
      <c r="XDW2" s="47"/>
      <c r="XDX2" s="47"/>
      <c r="XDY2" s="47"/>
      <c r="XDZ2" s="47"/>
      <c r="XEA2" s="47"/>
      <c r="XEB2" s="47"/>
      <c r="XEC2" s="47"/>
      <c r="XED2" s="47"/>
      <c r="XEE2" s="47"/>
      <c r="XEF2" s="47"/>
      <c r="XEG2" s="47"/>
      <c r="XEH2" s="47"/>
      <c r="XEI2" s="47"/>
      <c r="XEJ2" s="47"/>
      <c r="XEK2" s="47"/>
      <c r="XEL2" s="47"/>
      <c r="XEM2" s="47"/>
      <c r="XEN2" s="47"/>
      <c r="XEO2" s="47"/>
      <c r="XEP2" s="47"/>
      <c r="XEQ2" s="47"/>
      <c r="XER2" s="47"/>
      <c r="XES2" s="47"/>
      <c r="XET2" s="47"/>
      <c r="XEU2" s="47"/>
      <c r="XEV2" s="47"/>
      <c r="XEW2" s="47"/>
      <c r="XEX2" s="47"/>
      <c r="XEY2" s="47"/>
      <c r="XEZ2" s="47"/>
      <c r="XFA2" s="47"/>
      <c r="XFB2" s="47"/>
      <c r="XFC2" s="47"/>
      <c r="XFD2" s="47"/>
    </row>
    <row r="3" spans="1:16384" ht="15.5" outlineLevel="2" x14ac:dyDescent="0.35">
      <c r="A3" s="86" t="s">
        <v>409</v>
      </c>
      <c r="B3" s="85" t="s">
        <v>410</v>
      </c>
      <c r="C3" s="93">
        <v>370</v>
      </c>
      <c r="D3" s="93" t="s">
        <v>4</v>
      </c>
      <c r="E3" s="121">
        <v>227908</v>
      </c>
      <c r="F3" s="392">
        <v>0</v>
      </c>
      <c r="G3" s="121">
        <v>227908</v>
      </c>
      <c r="H3" s="392">
        <v>0</v>
      </c>
      <c r="I3" s="392">
        <v>0</v>
      </c>
      <c r="J3" s="392">
        <v>0</v>
      </c>
      <c r="K3" s="121">
        <v>227908</v>
      </c>
    </row>
    <row r="4" spans="1:16384" ht="15.5" outlineLevel="2" x14ac:dyDescent="0.35">
      <c r="A4" s="86" t="s">
        <v>409</v>
      </c>
      <c r="B4" s="85" t="s">
        <v>410</v>
      </c>
      <c r="C4" s="93">
        <v>370</v>
      </c>
      <c r="D4" s="93" t="s">
        <v>2</v>
      </c>
      <c r="E4" s="121">
        <v>182254</v>
      </c>
      <c r="F4" s="392">
        <v>0</v>
      </c>
      <c r="G4" s="121">
        <v>182254</v>
      </c>
      <c r="H4" s="392">
        <v>0</v>
      </c>
      <c r="I4" s="392">
        <v>0</v>
      </c>
      <c r="J4" s="392">
        <v>0</v>
      </c>
      <c r="K4" s="121">
        <v>182254</v>
      </c>
    </row>
    <row r="5" spans="1:16384" ht="15.5" outlineLevel="1" x14ac:dyDescent="0.35">
      <c r="A5" s="96" t="s">
        <v>493</v>
      </c>
      <c r="B5" s="427" t="s">
        <v>529</v>
      </c>
      <c r="C5" s="428" t="s">
        <v>529</v>
      </c>
      <c r="D5" s="428" t="s">
        <v>529</v>
      </c>
      <c r="E5" s="138">
        <f>SUBTOTAL(109,school370[Program
Costs])</f>
        <v>410162</v>
      </c>
      <c r="F5" s="456" t="s">
        <v>615</v>
      </c>
      <c r="G5" s="138">
        <f>SUBTOTAL(109,school370[Accounts Payable
Balance])</f>
        <v>410162</v>
      </c>
      <c r="H5" s="456" t="s">
        <v>615</v>
      </c>
      <c r="I5" s="456" t="s">
        <v>615</v>
      </c>
      <c r="J5" s="456" t="s">
        <v>615</v>
      </c>
      <c r="K5" s="138">
        <f>SUBTOTAL(109,school370[Net
Balance])</f>
        <v>410162</v>
      </c>
    </row>
    <row r="6" spans="1:16384" ht="15.5" outlineLevel="1" x14ac:dyDescent="0.35">
      <c r="A6" s="386" t="s">
        <v>540</v>
      </c>
      <c r="B6" s="139"/>
      <c r="C6" s="139"/>
      <c r="D6" s="139"/>
      <c r="E6" s="140"/>
      <c r="F6" s="140"/>
      <c r="G6" s="140"/>
      <c r="H6" s="140"/>
      <c r="I6" s="140"/>
      <c r="J6" s="140"/>
      <c r="K6" s="504"/>
    </row>
    <row r="7" spans="1:16384" ht="50" customHeight="1" outlineLevel="1" x14ac:dyDescent="0.35">
      <c r="A7" s="158" t="s">
        <v>12</v>
      </c>
      <c r="B7" s="158" t="s">
        <v>0</v>
      </c>
      <c r="C7" s="158" t="s">
        <v>132</v>
      </c>
      <c r="D7" s="158" t="s">
        <v>11</v>
      </c>
      <c r="E7" s="422" t="s">
        <v>125</v>
      </c>
      <c r="F7" s="422" t="s">
        <v>355</v>
      </c>
      <c r="G7" s="422" t="s">
        <v>495</v>
      </c>
      <c r="H7" s="422" t="s">
        <v>496</v>
      </c>
      <c r="I7" s="422" t="s">
        <v>134</v>
      </c>
      <c r="J7" s="422" t="s">
        <v>497</v>
      </c>
      <c r="K7" s="422" t="s">
        <v>133</v>
      </c>
    </row>
    <row r="8" spans="1:16384" ht="15.5" outlineLevel="1" x14ac:dyDescent="0.35">
      <c r="A8" s="86" t="s">
        <v>409</v>
      </c>
      <c r="B8" s="421" t="s">
        <v>529</v>
      </c>
      <c r="C8" s="421" t="s">
        <v>529</v>
      </c>
      <c r="D8" s="421" t="s">
        <v>529</v>
      </c>
      <c r="E8" s="121">
        <f>school370[[#Totals],[Program
Costs]]</f>
        <v>410162</v>
      </c>
      <c r="F8" s="440" t="str">
        <f>school370[[#Totals],[Less: Net Payments and Offsets]]</f>
        <v>$0</v>
      </c>
      <c r="G8" s="121">
        <f>school370[[#Totals],[Accounts Payable
Balance]]</f>
        <v>410162</v>
      </c>
      <c r="H8" s="440" t="str">
        <f>school370[[#Totals],[Established
Accounts Receivable]]</f>
        <v>$0</v>
      </c>
      <c r="I8" s="440" t="str">
        <f>school370[[#Totals],[Less: Recovered Amount]]</f>
        <v>$0</v>
      </c>
      <c r="J8" s="440" t="str">
        <f>school370[[#Totals],[Accounts Receivable
Balance]]</f>
        <v>$0</v>
      </c>
      <c r="K8" s="121">
        <f>school370[[#Totals],[Net
Balance]]</f>
        <v>410162</v>
      </c>
    </row>
    <row r="9" spans="1:16384" ht="15.5" x14ac:dyDescent="0.35">
      <c r="A9" s="482" t="s">
        <v>122</v>
      </c>
      <c r="B9" s="409" t="s">
        <v>529</v>
      </c>
      <c r="C9" s="409" t="s">
        <v>529</v>
      </c>
      <c r="D9" s="409" t="s">
        <v>529</v>
      </c>
      <c r="E9" s="138">
        <f>SUBTOTAL(109,schoolunfundedgrandtotal[Program
Costs])</f>
        <v>410162</v>
      </c>
      <c r="F9" s="456" t="s">
        <v>615</v>
      </c>
      <c r="G9" s="138">
        <f>SUBTOTAL(109,schoolunfundedgrandtotal[Accounts Payable
Balance])</f>
        <v>410162</v>
      </c>
      <c r="H9" s="456" t="s">
        <v>615</v>
      </c>
      <c r="I9" s="456" t="s">
        <v>615</v>
      </c>
      <c r="J9" s="456" t="s">
        <v>615</v>
      </c>
      <c r="K9" s="138">
        <f>SUBTOTAL(109,schoolunfundedgrandtotal[Net
Balance])</f>
        <v>410162</v>
      </c>
    </row>
  </sheetData>
  <printOptions horizontalCentered="1" gridLines="1"/>
  <pageMargins left="0.3" right="0.3" top="1.1000000000000001" bottom="0.75" header="0.3" footer="0.1"/>
  <pageSetup scale="59" fitToHeight="0" orientation="landscape" r:id="rId1"/>
  <headerFooter>
    <oddHeader>&amp;C&amp;"Arial,Bold"&amp;12State Controller's Office
Schedule B2: Detail of Unfunded State-Mandated Programs
As of April 1, 2020</oddHeader>
    <oddFooter>&amp;L&amp;"Arial,Regular"&amp;12Schedule B2: Detail of Unfunded State-Mandated Programs 
School Districts&amp;R&amp;"Arial,Regular"&amp;12Page &amp;P of &amp;N</oddFooter>
  </headerFooter>
  <tableParts count="2">
    <tablePart r:id="rId2"/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4"/>
  <sheetViews>
    <sheetView zoomScaleNormal="100" workbookViewId="0">
      <selection activeCell="C1" sqref="C1:C1048576"/>
    </sheetView>
  </sheetViews>
  <sheetFormatPr defaultColWidth="9.1796875" defaultRowHeight="14.5" outlineLevelRow="2" x14ac:dyDescent="0.35"/>
  <cols>
    <col min="1" max="1" width="37.36328125" style="14" customWidth="1"/>
    <col min="2" max="2" width="12.6328125" style="15" customWidth="1"/>
    <col min="3" max="3" width="14.6328125" style="4" customWidth="1"/>
    <col min="4" max="4" width="12.6328125" style="4" customWidth="1"/>
    <col min="5" max="8" width="15.6328125" style="25" customWidth="1"/>
    <col min="9" max="9" width="16.54296875" style="25" bestFit="1" customWidth="1"/>
    <col min="10" max="11" width="15.6328125" style="25" customWidth="1"/>
    <col min="12" max="16384" width="9.1796875" style="2"/>
  </cols>
  <sheetData>
    <row r="1" spans="1:11" ht="54" x14ac:dyDescent="0.4">
      <c r="A1" s="66" t="s">
        <v>527</v>
      </c>
      <c r="B1" s="132"/>
      <c r="C1" s="132"/>
      <c r="D1" s="132"/>
      <c r="E1" s="133"/>
      <c r="F1" s="133"/>
      <c r="G1" s="133"/>
      <c r="H1" s="133"/>
      <c r="I1" s="133"/>
      <c r="J1" s="133"/>
      <c r="K1" s="133"/>
    </row>
    <row r="2" spans="1:11" s="47" customFormat="1" ht="50" customHeight="1" outlineLevel="1" x14ac:dyDescent="0.35">
      <c r="A2" s="158" t="s">
        <v>12</v>
      </c>
      <c r="B2" s="158" t="s">
        <v>0</v>
      </c>
      <c r="C2" s="158" t="s">
        <v>132</v>
      </c>
      <c r="D2" s="158" t="s">
        <v>11</v>
      </c>
      <c r="E2" s="422" t="s">
        <v>125</v>
      </c>
      <c r="F2" s="422" t="s">
        <v>355</v>
      </c>
      <c r="G2" s="422" t="s">
        <v>495</v>
      </c>
      <c r="H2" s="422" t="s">
        <v>496</v>
      </c>
      <c r="I2" s="422" t="s">
        <v>134</v>
      </c>
      <c r="J2" s="422" t="s">
        <v>497</v>
      </c>
      <c r="K2" s="422" t="s">
        <v>133</v>
      </c>
    </row>
    <row r="3" spans="1:11" ht="15.5" outlineLevel="2" x14ac:dyDescent="0.35">
      <c r="A3" s="146" t="s">
        <v>256</v>
      </c>
      <c r="B3" s="146" t="s">
        <v>257</v>
      </c>
      <c r="C3" s="147">
        <v>307</v>
      </c>
      <c r="D3" s="147" t="s">
        <v>44</v>
      </c>
      <c r="E3" s="148">
        <v>1170</v>
      </c>
      <c r="F3" s="392">
        <v>0</v>
      </c>
      <c r="G3" s="148">
        <v>1170</v>
      </c>
      <c r="H3" s="392">
        <v>0</v>
      </c>
      <c r="I3" s="392">
        <v>0</v>
      </c>
      <c r="J3" s="392">
        <v>0</v>
      </c>
      <c r="K3" s="148">
        <v>1170</v>
      </c>
    </row>
    <row r="4" spans="1:11" ht="15.5" outlineLevel="1" x14ac:dyDescent="0.35">
      <c r="A4" s="96" t="s">
        <v>398</v>
      </c>
      <c r="B4" s="427" t="s">
        <v>529</v>
      </c>
      <c r="C4" s="428" t="s">
        <v>529</v>
      </c>
      <c r="D4" s="428" t="s">
        <v>529</v>
      </c>
      <c r="E4" s="138">
        <f>SUBTOTAL(109,college307[Program
Costs])</f>
        <v>1170</v>
      </c>
      <c r="F4" s="456" t="s">
        <v>615</v>
      </c>
      <c r="G4" s="138">
        <f>SUBTOTAL(109,college307[Accounts Payable
Balance])</f>
        <v>1170</v>
      </c>
      <c r="H4" s="456" t="s">
        <v>615</v>
      </c>
      <c r="I4" s="456" t="s">
        <v>615</v>
      </c>
      <c r="J4" s="456" t="s">
        <v>615</v>
      </c>
      <c r="K4" s="138">
        <f>SUBTOTAL(109,college307[Net
Balance])</f>
        <v>1170</v>
      </c>
    </row>
    <row r="5" spans="1:11" ht="15.5" outlineLevel="1" x14ac:dyDescent="0.35">
      <c r="A5" s="386" t="s">
        <v>540</v>
      </c>
      <c r="B5" s="139"/>
      <c r="C5" s="139"/>
      <c r="D5" s="139"/>
      <c r="E5" s="140"/>
      <c r="F5" s="140"/>
      <c r="G5" s="140"/>
      <c r="H5" s="140"/>
      <c r="I5" s="140"/>
      <c r="J5" s="140"/>
      <c r="K5" s="140"/>
    </row>
    <row r="6" spans="1:11" ht="50" customHeight="1" outlineLevel="1" x14ac:dyDescent="0.35">
      <c r="A6" s="158" t="s">
        <v>12</v>
      </c>
      <c r="B6" s="158" t="s">
        <v>0</v>
      </c>
      <c r="C6" s="158" t="s">
        <v>132</v>
      </c>
      <c r="D6" s="158" t="s">
        <v>11</v>
      </c>
      <c r="E6" s="422" t="s">
        <v>125</v>
      </c>
      <c r="F6" s="422" t="s">
        <v>355</v>
      </c>
      <c r="G6" s="422" t="s">
        <v>495</v>
      </c>
      <c r="H6" s="422" t="s">
        <v>496</v>
      </c>
      <c r="I6" s="422" t="s">
        <v>134</v>
      </c>
      <c r="J6" s="422" t="s">
        <v>497</v>
      </c>
      <c r="K6" s="422" t="s">
        <v>133</v>
      </c>
    </row>
    <row r="7" spans="1:11" ht="15.5" x14ac:dyDescent="0.35">
      <c r="A7" s="146" t="s">
        <v>256</v>
      </c>
      <c r="B7" s="487" t="s">
        <v>529</v>
      </c>
      <c r="C7" s="487" t="s">
        <v>529</v>
      </c>
      <c r="D7" s="487" t="s">
        <v>529</v>
      </c>
      <c r="E7" s="121">
        <f>college307[[#Totals],[Program
Costs]]</f>
        <v>1170</v>
      </c>
      <c r="F7" s="440" t="str">
        <f>college307[[#Totals],[Less: Net Payments and Offsets]]</f>
        <v>$0</v>
      </c>
      <c r="G7" s="121">
        <f>college307[[#Totals],[Accounts Payable
Balance]]</f>
        <v>1170</v>
      </c>
      <c r="H7" s="440" t="str">
        <f>college307[[#Totals],[Established
Accounts Receivable]]</f>
        <v>$0</v>
      </c>
      <c r="I7" s="440" t="str">
        <f>college307[[#Totals],[Less: Recovered Amount]]</f>
        <v>$0</v>
      </c>
      <c r="J7" s="440" t="str">
        <f>college307[[#Totals],[Accounts Receivable
Balance]]</f>
        <v>$0</v>
      </c>
      <c r="K7" s="121">
        <f>college307[[#Totals],[Net
Balance]]</f>
        <v>1170</v>
      </c>
    </row>
    <row r="8" spans="1:11" ht="15.5" x14ac:dyDescent="0.35">
      <c r="A8" s="96" t="s">
        <v>131</v>
      </c>
      <c r="B8" s="488" t="s">
        <v>529</v>
      </c>
      <c r="C8" s="488" t="s">
        <v>529</v>
      </c>
      <c r="D8" s="488" t="s">
        <v>529</v>
      </c>
      <c r="E8" s="138">
        <f>SUBTOTAL(109,collegeunfundedgrandtotal[Program
Costs])</f>
        <v>1170</v>
      </c>
      <c r="F8" s="456" t="s">
        <v>615</v>
      </c>
      <c r="G8" s="138">
        <f>SUBTOTAL(109,collegeunfundedgrandtotal[Accounts Payable
Balance])</f>
        <v>1170</v>
      </c>
      <c r="H8" s="456" t="s">
        <v>615</v>
      </c>
      <c r="I8" s="456" t="s">
        <v>615</v>
      </c>
      <c r="J8" s="456" t="s">
        <v>615</v>
      </c>
      <c r="K8" s="138">
        <f>SUBTOTAL(109,collegeunfundedgrandtotal[Net
Balance])</f>
        <v>1170</v>
      </c>
    </row>
    <row r="9" spans="1:11" ht="15.5" x14ac:dyDescent="0.35">
      <c r="A9" s="386" t="s">
        <v>540</v>
      </c>
      <c r="B9" s="96"/>
      <c r="C9" s="96"/>
      <c r="D9" s="96"/>
      <c r="E9" s="138"/>
      <c r="F9" s="138"/>
      <c r="G9" s="138"/>
      <c r="H9" s="138"/>
      <c r="I9" s="138"/>
      <c r="J9" s="138"/>
      <c r="K9" s="138"/>
    </row>
    <row r="10" spans="1:11" ht="50" customHeight="1" x14ac:dyDescent="0.35">
      <c r="A10" s="299" t="s">
        <v>12</v>
      </c>
      <c r="B10" s="158" t="s">
        <v>0</v>
      </c>
      <c r="C10" s="158" t="s">
        <v>132</v>
      </c>
      <c r="D10" s="158" t="s">
        <v>11</v>
      </c>
      <c r="E10" s="422" t="s">
        <v>125</v>
      </c>
      <c r="F10" s="422" t="s">
        <v>355</v>
      </c>
      <c r="G10" s="422" t="s">
        <v>495</v>
      </c>
      <c r="H10" s="422" t="s">
        <v>496</v>
      </c>
      <c r="I10" s="422" t="s">
        <v>134</v>
      </c>
      <c r="J10" s="422" t="s">
        <v>497</v>
      </c>
      <c r="K10" s="422" t="s">
        <v>133</v>
      </c>
    </row>
    <row r="11" spans="1:11" ht="15.5" x14ac:dyDescent="0.35">
      <c r="A11" s="492" t="s">
        <v>1</v>
      </c>
      <c r="B11" s="486" t="s">
        <v>529</v>
      </c>
      <c r="C11" s="486" t="s">
        <v>529</v>
      </c>
      <c r="D11" s="486" t="s">
        <v>529</v>
      </c>
      <c r="E11" s="148">
        <f>localunfundedgrandtotal[[#Totals],[Program
Costs]]</f>
        <v>371866997</v>
      </c>
      <c r="F11" s="485" t="str">
        <f>localunfundedgrandtotal[[#Totals],[Less: Net Payments and Offsets]]</f>
        <v>$0</v>
      </c>
      <c r="G11" s="148">
        <f>localunfundedgrandtotal[[#Totals],[Accounts Payable
Balance]]</f>
        <v>371866997</v>
      </c>
      <c r="H11" s="485" t="str">
        <f>localunfundedgrandtotal[[#Totals],[Established
Accounts Receivable]]</f>
        <v>$0</v>
      </c>
      <c r="I11" s="485" t="str">
        <f>localunfundedgrandtotal[[#Totals],[Less: Recovered Amount]]</f>
        <v>$0</v>
      </c>
      <c r="J11" s="485" t="str">
        <f>localunfundedgrandtotal[[#Totals],[Accounts Receivable
Balance]]</f>
        <v>$0</v>
      </c>
      <c r="K11" s="148">
        <f>localunfundedgrandtotal[[#Totals],[Net
Balance]]</f>
        <v>371866997</v>
      </c>
    </row>
    <row r="12" spans="1:11" ht="15.5" x14ac:dyDescent="0.35">
      <c r="A12" s="304" t="s">
        <v>7</v>
      </c>
      <c r="B12" s="487" t="s">
        <v>529</v>
      </c>
      <c r="C12" s="487" t="s">
        <v>529</v>
      </c>
      <c r="D12" s="487" t="s">
        <v>529</v>
      </c>
      <c r="E12" s="121">
        <f>schoolunfundedgrandtotal[[#Totals],[Program
Costs]]</f>
        <v>410162</v>
      </c>
      <c r="F12" s="440" t="str">
        <f>schoolunfundedgrandtotal[[#Totals],[Less: Net Payments and Offsets]]</f>
        <v>$0</v>
      </c>
      <c r="G12" s="121">
        <f>schoolunfundedgrandtotal[[#Totals],[Accounts Payable
Balance]]</f>
        <v>410162</v>
      </c>
      <c r="H12" s="440" t="str">
        <f>schoolunfundedgrandtotal[[#Totals],[Established
Accounts Receivable]]</f>
        <v>$0</v>
      </c>
      <c r="I12" s="440" t="str">
        <f>schoolunfundedgrandtotal[[#Totals],[Less: Recovered Amount]]</f>
        <v>$0</v>
      </c>
      <c r="J12" s="440" t="str">
        <f>schoolunfundedgrandtotal[[#Totals],[Accounts Receivable
Balance]]</f>
        <v>$0</v>
      </c>
      <c r="K12" s="121">
        <f>schoolunfundedgrandtotal[[#Totals],[Net
Balance]]</f>
        <v>410162</v>
      </c>
    </row>
    <row r="13" spans="1:11" ht="15.5" x14ac:dyDescent="0.35">
      <c r="A13" s="305" t="s">
        <v>8</v>
      </c>
      <c r="B13" s="487" t="s">
        <v>529</v>
      </c>
      <c r="C13" s="487" t="s">
        <v>529</v>
      </c>
      <c r="D13" s="487" t="s">
        <v>529</v>
      </c>
      <c r="E13" s="121">
        <f>collegeunfundedgrandtotal[[#Totals],[Program
Costs]]</f>
        <v>1170</v>
      </c>
      <c r="F13" s="440" t="str">
        <f>collegeunfundedgrandtotal[[#Totals],[Less: Net Payments and Offsets]]</f>
        <v>$0</v>
      </c>
      <c r="G13" s="121">
        <f>collegeunfundedgrandtotal[[#Totals],[Accounts Payable
Balance]]</f>
        <v>1170</v>
      </c>
      <c r="H13" s="440" t="str">
        <f>collegeunfundedgrandtotal[[#Totals],[Established
Accounts Receivable]]</f>
        <v>$0</v>
      </c>
      <c r="I13" s="440" t="str">
        <f>collegeunfundedgrandtotal[[#Totals],[Less: Recovered Amount]]</f>
        <v>$0</v>
      </c>
      <c r="J13" s="440" t="str">
        <f>collegeunfundedgrandtotal[[#Totals],[Accounts Receivable
Balance]]</f>
        <v>$0</v>
      </c>
      <c r="K13" s="121">
        <f>collegeunfundedgrandtotal[[#Totals],[Net
Balance]]</f>
        <v>1170</v>
      </c>
    </row>
    <row r="14" spans="1:11" ht="15.5" x14ac:dyDescent="0.35">
      <c r="A14" s="96" t="s">
        <v>494</v>
      </c>
      <c r="B14" s="488" t="s">
        <v>529</v>
      </c>
      <c r="C14" s="488" t="s">
        <v>529</v>
      </c>
      <c r="D14" s="488" t="s">
        <v>529</v>
      </c>
      <c r="E14" s="138">
        <f>SUBTOTAL(109,totalunfunded[Program
Costs])</f>
        <v>372278329</v>
      </c>
      <c r="F14" s="456" t="s">
        <v>615</v>
      </c>
      <c r="G14" s="138">
        <f>SUBTOTAL(109,totalunfunded[Accounts Payable
Balance])</f>
        <v>372278329</v>
      </c>
      <c r="H14" s="456" t="s">
        <v>615</v>
      </c>
      <c r="I14" s="456" t="s">
        <v>615</v>
      </c>
      <c r="J14" s="456" t="s">
        <v>615</v>
      </c>
      <c r="K14" s="138">
        <f>SUBTOTAL(109,totalunfunded[Net
Balance])</f>
        <v>372278329</v>
      </c>
    </row>
  </sheetData>
  <printOptions horizontalCentered="1" gridLines="1"/>
  <pageMargins left="0.3" right="0.3" top="1.1000000000000001" bottom="0.75" header="0.3" footer="0.1"/>
  <pageSetup scale="70" fitToHeight="0" orientation="landscape" r:id="rId1"/>
  <headerFooter>
    <oddHeader>&amp;C&amp;"Arial,Bold"&amp;12State Controller's Office
Schedule B2: Detail of Unfunded State-Mandated Programs
As of April 1, 2020</oddHeader>
    <oddFooter>&amp;L&amp;"Arial,Regular"&amp;12Schedule B2: Detail of Unfunded State-Mandated Programs 
Community College Districts&amp;R&amp;"Arial,Regular"&amp;12Page &amp;P of &amp;N</oddFooter>
  </headerFooter>
  <tableParts count="3"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1"/>
  <sheetViews>
    <sheetView workbookViewId="0">
      <selection activeCell="B7" sqref="B7"/>
    </sheetView>
  </sheetViews>
  <sheetFormatPr defaultRowHeight="14.5" x14ac:dyDescent="0.35"/>
  <cols>
    <col min="1" max="1" width="20" bestFit="1" customWidth="1"/>
    <col min="2" max="2" width="117.36328125" bestFit="1" customWidth="1"/>
    <col min="3" max="3" width="10.54296875" bestFit="1" customWidth="1"/>
  </cols>
  <sheetData>
    <row r="1" spans="1:3" ht="20" x14ac:dyDescent="0.35">
      <c r="A1" s="74" t="s">
        <v>498</v>
      </c>
      <c r="B1" s="53"/>
      <c r="C1" s="53"/>
    </row>
    <row r="2" spans="1:3" ht="20" x14ac:dyDescent="0.35">
      <c r="A2" s="74" t="s">
        <v>499</v>
      </c>
      <c r="B2" s="53"/>
      <c r="C2" s="53"/>
    </row>
    <row r="3" spans="1:3" ht="20" x14ac:dyDescent="0.35">
      <c r="A3" s="74" t="s">
        <v>500</v>
      </c>
      <c r="B3" s="53"/>
      <c r="C3" s="53"/>
    </row>
    <row r="4" spans="1:3" ht="17.5" x14ac:dyDescent="0.35">
      <c r="A4" s="75" t="s">
        <v>510</v>
      </c>
      <c r="B4" s="53"/>
      <c r="C4" s="53"/>
    </row>
    <row r="5" spans="1:3" ht="18" x14ac:dyDescent="0.35">
      <c r="A5" s="72" t="s">
        <v>511</v>
      </c>
      <c r="B5" s="53"/>
      <c r="C5" s="53"/>
    </row>
    <row r="6" spans="1:3" ht="18" x14ac:dyDescent="0.35">
      <c r="A6" s="73" t="s">
        <v>501</v>
      </c>
      <c r="B6" s="76" t="s">
        <v>502</v>
      </c>
      <c r="C6" s="77" t="s">
        <v>629</v>
      </c>
    </row>
    <row r="7" spans="1:3" ht="18" x14ac:dyDescent="0.35">
      <c r="A7" s="73" t="s">
        <v>528</v>
      </c>
      <c r="B7" s="76" t="s">
        <v>503</v>
      </c>
      <c r="C7" s="77" t="s">
        <v>630</v>
      </c>
    </row>
    <row r="8" spans="1:3" ht="18" x14ac:dyDescent="0.35">
      <c r="A8" s="72" t="s">
        <v>512</v>
      </c>
      <c r="B8" s="53"/>
      <c r="C8" s="78"/>
    </row>
    <row r="9" spans="1:3" ht="18" x14ac:dyDescent="0.35">
      <c r="A9" s="73" t="s">
        <v>504</v>
      </c>
      <c r="B9" s="76" t="s">
        <v>505</v>
      </c>
      <c r="C9" s="77" t="s">
        <v>631</v>
      </c>
    </row>
    <row r="10" spans="1:3" ht="18" x14ac:dyDescent="0.35">
      <c r="A10" s="73" t="s">
        <v>506</v>
      </c>
      <c r="B10" s="76" t="s">
        <v>507</v>
      </c>
      <c r="C10" s="77" t="s">
        <v>632</v>
      </c>
    </row>
    <row r="11" spans="1:3" ht="18" x14ac:dyDescent="0.35">
      <c r="A11" s="73" t="s">
        <v>508</v>
      </c>
      <c r="B11" s="76" t="s">
        <v>509</v>
      </c>
      <c r="C11" s="77" t="s">
        <v>633</v>
      </c>
    </row>
  </sheetData>
  <pageMargins left="0.7" right="0.7" top="0.75" bottom="0.75" header="0.3" footer="0.3"/>
  <pageSetup scale="8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48"/>
  <sheetViews>
    <sheetView zoomScale="90" zoomScaleNormal="90" workbookViewId="0">
      <selection activeCell="N18" activeCellId="1" sqref="N12 N18"/>
    </sheetView>
  </sheetViews>
  <sheetFormatPr defaultColWidth="9.1796875" defaultRowHeight="14.5" x14ac:dyDescent="0.35"/>
  <cols>
    <col min="1" max="1" width="52.54296875" style="48" customWidth="1"/>
    <col min="2" max="2" width="25.6328125" style="48" customWidth="1"/>
    <col min="3" max="3" width="17.81640625" style="42" bestFit="1" customWidth="1"/>
    <col min="4" max="4" width="21.90625" style="42" customWidth="1"/>
    <col min="5" max="5" width="14" style="42" customWidth="1"/>
    <col min="6" max="6" width="17.26953125" style="43" customWidth="1"/>
    <col min="7" max="7" width="17.90625" style="43" customWidth="1"/>
    <col min="8" max="8" width="16.6328125" style="43" customWidth="1"/>
    <col min="9" max="9" width="2.6328125" style="43" customWidth="1"/>
    <col min="10" max="10" width="19.26953125" style="43" customWidth="1"/>
    <col min="11" max="11" width="27" style="43" customWidth="1"/>
    <col min="12" max="12" width="2.6328125" style="43" customWidth="1"/>
    <col min="13" max="13" width="20.54296875" style="43" customWidth="1"/>
    <col min="14" max="14" width="18" style="43" customWidth="1"/>
    <col min="15" max="15" width="13.26953125" style="48" customWidth="1"/>
    <col min="16" max="16384" width="9.1796875" style="48"/>
  </cols>
  <sheetData>
    <row r="1" spans="1:16" ht="74.5" customHeight="1" x14ac:dyDescent="0.4">
      <c r="A1" s="165" t="s">
        <v>522</v>
      </c>
      <c r="B1" s="165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</row>
    <row r="2" spans="1:16" s="39" customFormat="1" ht="75" customHeight="1" x14ac:dyDescent="0.35">
      <c r="A2" s="151" t="s">
        <v>544</v>
      </c>
      <c r="B2" s="151" t="s">
        <v>536</v>
      </c>
      <c r="C2" s="151" t="s">
        <v>436</v>
      </c>
      <c r="D2" s="151" t="s">
        <v>474</v>
      </c>
      <c r="E2" s="151" t="s">
        <v>627</v>
      </c>
      <c r="F2" s="68" t="s">
        <v>475</v>
      </c>
      <c r="G2" s="68" t="s">
        <v>476</v>
      </c>
      <c r="H2" s="68" t="s">
        <v>477</v>
      </c>
      <c r="I2" s="340" t="s">
        <v>531</v>
      </c>
      <c r="J2" s="68" t="s">
        <v>478</v>
      </c>
      <c r="K2" s="355" t="s">
        <v>586</v>
      </c>
      <c r="L2" s="340" t="s">
        <v>532</v>
      </c>
      <c r="M2" s="354" t="s">
        <v>585</v>
      </c>
      <c r="N2" s="68" t="s">
        <v>479</v>
      </c>
    </row>
    <row r="3" spans="1:16" s="1" customFormat="1" ht="15" customHeight="1" x14ac:dyDescent="0.35">
      <c r="A3" s="180" t="s">
        <v>545</v>
      </c>
      <c r="B3" s="335" t="s">
        <v>451</v>
      </c>
      <c r="C3" s="335" t="s">
        <v>480</v>
      </c>
      <c r="D3" s="336" t="s">
        <v>515</v>
      </c>
      <c r="E3" s="337">
        <v>44742</v>
      </c>
      <c r="F3" s="213">
        <v>52094000</v>
      </c>
      <c r="G3" s="213">
        <v>52094000</v>
      </c>
      <c r="H3" s="213">
        <v>1305731</v>
      </c>
      <c r="I3" s="338" t="s">
        <v>537</v>
      </c>
      <c r="J3" s="184">
        <v>154459</v>
      </c>
      <c r="K3" s="184">
        <v>52277242</v>
      </c>
      <c r="L3" s="339" t="s">
        <v>530</v>
      </c>
      <c r="M3" s="343">
        <v>0</v>
      </c>
      <c r="N3" s="187">
        <v>1276948</v>
      </c>
      <c r="O3" s="31"/>
      <c r="P3" s="31"/>
    </row>
    <row r="4" spans="1:16" ht="15" customHeight="1" x14ac:dyDescent="0.35">
      <c r="A4" s="180" t="s">
        <v>545</v>
      </c>
      <c r="B4" s="181" t="s">
        <v>465</v>
      </c>
      <c r="C4" s="181" t="s">
        <v>481</v>
      </c>
      <c r="D4" s="182" t="s">
        <v>482</v>
      </c>
      <c r="E4" s="183">
        <v>44377</v>
      </c>
      <c r="F4" s="184">
        <v>315241000</v>
      </c>
      <c r="G4" s="184">
        <v>14830984</v>
      </c>
      <c r="H4" s="184">
        <v>-1305731</v>
      </c>
      <c r="I4" s="511">
        <v>1</v>
      </c>
      <c r="J4" s="184">
        <v>2852463</v>
      </c>
      <c r="K4" s="185">
        <v>664</v>
      </c>
      <c r="L4" s="186" t="s">
        <v>529</v>
      </c>
      <c r="M4" s="343">
        <v>0</v>
      </c>
      <c r="N4" s="187">
        <v>16377052</v>
      </c>
      <c r="O4" s="40"/>
      <c r="P4" s="40"/>
    </row>
    <row r="5" spans="1:16" s="2" customFormat="1" ht="15.5" x14ac:dyDescent="0.35">
      <c r="A5" s="188" t="s">
        <v>545</v>
      </c>
      <c r="B5" s="189" t="s">
        <v>467</v>
      </c>
      <c r="C5" s="189" t="s">
        <v>483</v>
      </c>
      <c r="D5" s="190" t="s">
        <v>484</v>
      </c>
      <c r="E5" s="191">
        <v>44012</v>
      </c>
      <c r="F5" s="192">
        <v>34510000</v>
      </c>
      <c r="G5" s="192">
        <v>23737</v>
      </c>
      <c r="H5" s="341">
        <v>0</v>
      </c>
      <c r="I5" s="193" t="s">
        <v>529</v>
      </c>
      <c r="J5" s="341">
        <v>0</v>
      </c>
      <c r="K5" s="192">
        <v>702</v>
      </c>
      <c r="L5" s="194" t="s">
        <v>529</v>
      </c>
      <c r="M5" s="343">
        <v>0</v>
      </c>
      <c r="N5" s="195">
        <v>23035</v>
      </c>
      <c r="O5" s="41"/>
      <c r="P5" s="41"/>
    </row>
    <row r="6" spans="1:16" ht="15" customHeight="1" x14ac:dyDescent="0.35">
      <c r="A6" s="91" t="s">
        <v>546</v>
      </c>
      <c r="B6" s="196" t="s">
        <v>529</v>
      </c>
      <c r="C6" s="162" t="s">
        <v>529</v>
      </c>
      <c r="D6" s="162" t="s">
        <v>529</v>
      </c>
      <c r="E6" s="162" t="s">
        <v>529</v>
      </c>
      <c r="F6" s="197">
        <f>SUBTOTAL(109,localgeneralfund[Original                         Appropriation                  Amount])</f>
        <v>401845000</v>
      </c>
      <c r="G6" s="197">
        <f>SUBTOTAL(109,localgeneralfund[Appropriation Balances
as of 07/01/2019])</f>
        <v>66948721</v>
      </c>
      <c r="H6" s="342" t="s">
        <v>582</v>
      </c>
      <c r="I6" s="290" t="s">
        <v>529</v>
      </c>
      <c r="J6" s="197">
        <f>SUBTOTAL(109,localgeneralfund[Add: Receipts               and Recovered Amounts])</f>
        <v>3006922</v>
      </c>
      <c r="K6" s="197">
        <f>SUBTOTAL(109,localgeneralfund[Less: Mandated Program Payments, 
Offsets, and Interest   
 (see Schedule A1) 2])</f>
        <v>52278608</v>
      </c>
      <c r="L6" s="334" t="s">
        <v>529</v>
      </c>
      <c r="M6" s="342" t="s">
        <v>582</v>
      </c>
      <c r="N6" s="344">
        <f>SUBTOTAL(109,localgeneralfund[Appropriation Balances
as of 04/01/2020])</f>
        <v>17677035</v>
      </c>
    </row>
    <row r="7" spans="1:16" ht="15.5" x14ac:dyDescent="0.35">
      <c r="A7" s="198" t="s">
        <v>540</v>
      </c>
      <c r="B7" s="199"/>
      <c r="C7" s="200"/>
      <c r="D7" s="200"/>
      <c r="E7" s="200"/>
      <c r="F7" s="201"/>
      <c r="G7" s="201"/>
      <c r="H7" s="201"/>
      <c r="I7" s="201"/>
      <c r="J7" s="201"/>
      <c r="K7" s="201"/>
      <c r="L7" s="201"/>
      <c r="M7" s="202"/>
      <c r="N7" s="203"/>
    </row>
    <row r="8" spans="1:16" ht="75" customHeight="1" x14ac:dyDescent="0.35">
      <c r="A8" s="204" t="s">
        <v>547</v>
      </c>
      <c r="B8" s="151" t="s">
        <v>536</v>
      </c>
      <c r="C8" s="151" t="s">
        <v>436</v>
      </c>
      <c r="D8" s="151" t="s">
        <v>474</v>
      </c>
      <c r="E8" s="151" t="s">
        <v>627</v>
      </c>
      <c r="F8" s="68" t="s">
        <v>475</v>
      </c>
      <c r="G8" s="68" t="s">
        <v>476</v>
      </c>
      <c r="H8" s="68" t="s">
        <v>477</v>
      </c>
      <c r="I8" s="150" t="s">
        <v>531</v>
      </c>
      <c r="J8" s="68" t="s">
        <v>478</v>
      </c>
      <c r="K8" s="152" t="s">
        <v>534</v>
      </c>
      <c r="L8" s="150" t="s">
        <v>532</v>
      </c>
      <c r="M8" s="153" t="s">
        <v>535</v>
      </c>
      <c r="N8" s="205" t="s">
        <v>479</v>
      </c>
    </row>
    <row r="9" spans="1:16" ht="15" customHeight="1" x14ac:dyDescent="0.35">
      <c r="A9" s="206" t="s">
        <v>548</v>
      </c>
      <c r="B9" s="206" t="s">
        <v>468</v>
      </c>
      <c r="C9" s="206" t="s">
        <v>480</v>
      </c>
      <c r="D9" s="207" t="s">
        <v>399</v>
      </c>
      <c r="E9" s="208">
        <v>44742</v>
      </c>
      <c r="F9" s="179">
        <v>2275000</v>
      </c>
      <c r="G9" s="179">
        <v>2275000</v>
      </c>
      <c r="H9" s="343">
        <v>0</v>
      </c>
      <c r="I9" s="209" t="s">
        <v>529</v>
      </c>
      <c r="J9" s="179">
        <v>578497</v>
      </c>
      <c r="K9" s="179">
        <v>1899274</v>
      </c>
      <c r="L9" s="210" t="s">
        <v>529</v>
      </c>
      <c r="M9" s="343">
        <v>0</v>
      </c>
      <c r="N9" s="178">
        <v>954223</v>
      </c>
    </row>
    <row r="10" spans="1:16" s="2" customFormat="1" ht="15" customHeight="1" x14ac:dyDescent="0.35">
      <c r="A10" s="181" t="s">
        <v>548</v>
      </c>
      <c r="B10" s="181" t="s">
        <v>470</v>
      </c>
      <c r="C10" s="181" t="s">
        <v>481</v>
      </c>
      <c r="D10" s="182" t="s">
        <v>4</v>
      </c>
      <c r="E10" s="183">
        <v>44377</v>
      </c>
      <c r="F10" s="211">
        <v>2105000</v>
      </c>
      <c r="G10" s="211">
        <v>17441</v>
      </c>
      <c r="H10" s="343">
        <v>0</v>
      </c>
      <c r="I10" s="186" t="s">
        <v>529</v>
      </c>
      <c r="J10" s="184">
        <v>204356</v>
      </c>
      <c r="K10" s="185">
        <v>15445</v>
      </c>
      <c r="L10" s="212" t="s">
        <v>529</v>
      </c>
      <c r="M10" s="343">
        <v>0</v>
      </c>
      <c r="N10" s="213">
        <v>206352</v>
      </c>
    </row>
    <row r="11" spans="1:16" ht="15.5" x14ac:dyDescent="0.35">
      <c r="A11" s="189" t="s">
        <v>548</v>
      </c>
      <c r="B11" s="214" t="s">
        <v>485</v>
      </c>
      <c r="C11" s="189" t="s">
        <v>483</v>
      </c>
      <c r="D11" s="215" t="s">
        <v>529</v>
      </c>
      <c r="E11" s="191">
        <v>44012</v>
      </c>
      <c r="F11" s="216">
        <v>2367000</v>
      </c>
      <c r="G11" s="216">
        <v>191145</v>
      </c>
      <c r="H11" s="343">
        <v>0</v>
      </c>
      <c r="I11" s="193" t="s">
        <v>529</v>
      </c>
      <c r="J11" s="216">
        <v>215502</v>
      </c>
      <c r="K11" s="343">
        <v>0</v>
      </c>
      <c r="L11" s="194" t="s">
        <v>529</v>
      </c>
      <c r="M11" s="343">
        <v>0</v>
      </c>
      <c r="N11" s="218">
        <v>406647</v>
      </c>
    </row>
    <row r="12" spans="1:16" ht="15.5" x14ac:dyDescent="0.35">
      <c r="A12" s="219" t="s">
        <v>549</v>
      </c>
      <c r="B12" s="161" t="s">
        <v>529</v>
      </c>
      <c r="C12" s="210" t="s">
        <v>529</v>
      </c>
      <c r="D12" s="220" t="s">
        <v>529</v>
      </c>
      <c r="E12" s="210" t="s">
        <v>529</v>
      </c>
      <c r="F12" s="221">
        <f>SUBTOTAL(109,dmvnongeneralfund[Original                         Appropriation                  Amount])</f>
        <v>6747000</v>
      </c>
      <c r="G12" s="221">
        <f>SUBTOTAL(109,dmvnongeneralfund[Appropriation Balances
as of 07/01/2019])</f>
        <v>2483586</v>
      </c>
      <c r="H12" s="342" t="s">
        <v>582</v>
      </c>
      <c r="I12" s="161" t="s">
        <v>529</v>
      </c>
      <c r="J12" s="221">
        <f>SUBTOTAL(109,dmvnongeneralfund[Add: Receipts               and Recovered Amounts])</f>
        <v>998355</v>
      </c>
      <c r="K12" s="221">
        <f>SUBTOTAL(109,dmvnongeneralfund[Less: Mandated Program Payments, 
Offsets, and Interest   
 (see Schedule A1) 2])</f>
        <v>1914719</v>
      </c>
      <c r="L12" s="161" t="s">
        <v>529</v>
      </c>
      <c r="M12" s="342" t="s">
        <v>582</v>
      </c>
      <c r="N12" s="222">
        <f>SUBTOTAL(109,dmvnongeneralfund[Appropriation Balances
as of 04/01/2020])</f>
        <v>1567222</v>
      </c>
    </row>
    <row r="13" spans="1:16" ht="15.5" x14ac:dyDescent="0.35">
      <c r="A13" s="198" t="s">
        <v>540</v>
      </c>
      <c r="B13" s="223"/>
      <c r="C13" s="224"/>
      <c r="D13" s="224"/>
      <c r="E13" s="224"/>
      <c r="F13" s="225"/>
      <c r="G13" s="225"/>
      <c r="H13" s="225"/>
      <c r="I13" s="226"/>
      <c r="J13" s="225"/>
      <c r="K13" s="225"/>
      <c r="L13" s="226"/>
      <c r="M13" s="225"/>
      <c r="N13" s="225"/>
    </row>
    <row r="14" spans="1:16" s="1" customFormat="1" ht="75" customHeight="1" x14ac:dyDescent="0.35">
      <c r="A14" s="227" t="s">
        <v>547</v>
      </c>
      <c r="B14" s="228" t="s">
        <v>536</v>
      </c>
      <c r="C14" s="228" t="s">
        <v>436</v>
      </c>
      <c r="D14" s="228" t="s">
        <v>474</v>
      </c>
      <c r="E14" s="228" t="s">
        <v>628</v>
      </c>
      <c r="F14" s="229" t="s">
        <v>475</v>
      </c>
      <c r="G14" s="229" t="s">
        <v>476</v>
      </c>
      <c r="H14" s="229" t="s">
        <v>477</v>
      </c>
      <c r="I14" s="150" t="s">
        <v>531</v>
      </c>
      <c r="J14" s="229" t="s">
        <v>478</v>
      </c>
      <c r="K14" s="230" t="s">
        <v>534</v>
      </c>
      <c r="L14" s="150" t="s">
        <v>532</v>
      </c>
      <c r="M14" s="231" t="s">
        <v>535</v>
      </c>
      <c r="N14" s="232" t="s">
        <v>479</v>
      </c>
    </row>
    <row r="15" spans="1:16" s="2" customFormat="1" ht="15" customHeight="1" x14ac:dyDescent="0.35">
      <c r="A15" s="206" t="s">
        <v>550</v>
      </c>
      <c r="B15" s="206" t="s">
        <v>472</v>
      </c>
      <c r="C15" s="206" t="s">
        <v>480</v>
      </c>
      <c r="D15" s="207" t="s">
        <v>399</v>
      </c>
      <c r="E15" s="208">
        <v>44742</v>
      </c>
      <c r="F15" s="179">
        <v>65000</v>
      </c>
      <c r="G15" s="179">
        <v>65000</v>
      </c>
      <c r="H15" s="343">
        <v>0</v>
      </c>
      <c r="I15" s="209" t="s">
        <v>529</v>
      </c>
      <c r="J15" s="343">
        <v>0</v>
      </c>
      <c r="K15" s="179">
        <v>43051</v>
      </c>
      <c r="L15" s="210" t="s">
        <v>529</v>
      </c>
      <c r="M15" s="343">
        <v>0</v>
      </c>
      <c r="N15" s="178">
        <v>21949</v>
      </c>
    </row>
    <row r="16" spans="1:16" s="2" customFormat="1" ht="15.5" x14ac:dyDescent="0.35">
      <c r="A16" s="181" t="s">
        <v>550</v>
      </c>
      <c r="B16" s="181" t="s">
        <v>486</v>
      </c>
      <c r="C16" s="181" t="s">
        <v>481</v>
      </c>
      <c r="D16" s="212" t="s">
        <v>529</v>
      </c>
      <c r="E16" s="183">
        <v>44377</v>
      </c>
      <c r="F16" s="211">
        <v>65000</v>
      </c>
      <c r="G16" s="211">
        <v>4293</v>
      </c>
      <c r="H16" s="343">
        <v>0</v>
      </c>
      <c r="I16" s="186" t="s">
        <v>529</v>
      </c>
      <c r="J16" s="343">
        <v>0</v>
      </c>
      <c r="K16" s="343">
        <v>0</v>
      </c>
      <c r="L16" s="212" t="s">
        <v>529</v>
      </c>
      <c r="M16" s="343">
        <v>0</v>
      </c>
      <c r="N16" s="213">
        <v>4293</v>
      </c>
    </row>
    <row r="17" spans="1:14" s="2" customFormat="1" ht="15.5" x14ac:dyDescent="0.35">
      <c r="A17" s="189" t="s">
        <v>550</v>
      </c>
      <c r="B17" s="214" t="s">
        <v>487</v>
      </c>
      <c r="C17" s="189" t="s">
        <v>483</v>
      </c>
      <c r="D17" s="215" t="s">
        <v>529</v>
      </c>
      <c r="E17" s="191">
        <v>44012</v>
      </c>
      <c r="F17" s="216">
        <v>50000</v>
      </c>
      <c r="G17" s="343">
        <v>0</v>
      </c>
      <c r="H17" s="343">
        <v>0</v>
      </c>
      <c r="I17" s="193" t="s">
        <v>529</v>
      </c>
      <c r="J17" s="343">
        <v>0</v>
      </c>
      <c r="K17" s="343">
        <v>0</v>
      </c>
      <c r="L17" s="194" t="s">
        <v>529</v>
      </c>
      <c r="M17" s="343">
        <v>0</v>
      </c>
      <c r="N17" s="343">
        <v>0</v>
      </c>
    </row>
    <row r="18" spans="1:14" ht="15" customHeight="1" x14ac:dyDescent="0.35">
      <c r="A18" s="219" t="s">
        <v>551</v>
      </c>
      <c r="B18" s="161" t="s">
        <v>529</v>
      </c>
      <c r="C18" s="210" t="s">
        <v>529</v>
      </c>
      <c r="D18" s="220" t="s">
        <v>529</v>
      </c>
      <c r="E18" s="210" t="s">
        <v>529</v>
      </c>
      <c r="F18" s="221">
        <f>SUBTOTAL(109,pestnongeneralfund[Original                         Appropriation                  Amount])</f>
        <v>180000</v>
      </c>
      <c r="G18" s="221">
        <f>SUBTOTAL(109,pestnongeneralfund[Appropriation Balances
as of 07/01/2019])</f>
        <v>69293</v>
      </c>
      <c r="H18" s="342" t="s">
        <v>582</v>
      </c>
      <c r="I18" s="233" t="s">
        <v>552</v>
      </c>
      <c r="J18" s="342" t="s">
        <v>582</v>
      </c>
      <c r="K18" s="221">
        <f>SUBTOTAL(109,pestnongeneralfund[Less: Mandated Program Payments, 
Offsets, and Interest   
 (see Schedule A1) 2])</f>
        <v>43051</v>
      </c>
      <c r="L18" s="233" t="s">
        <v>552</v>
      </c>
      <c r="M18" s="342" t="s">
        <v>582</v>
      </c>
      <c r="N18" s="222">
        <f>SUBTOTAL(109,pestnongeneralfund[Appropriation Balances
as of 04/01/2020])</f>
        <v>26242</v>
      </c>
    </row>
    <row r="19" spans="1:14" ht="15.5" x14ac:dyDescent="0.35">
      <c r="A19" s="198" t="s">
        <v>540</v>
      </c>
      <c r="B19" s="200"/>
      <c r="C19" s="200"/>
      <c r="D19" s="200"/>
      <c r="E19" s="200"/>
      <c r="F19" s="201"/>
      <c r="G19" s="201"/>
      <c r="H19" s="201"/>
      <c r="I19" s="201"/>
      <c r="J19" s="201"/>
      <c r="K19" s="201"/>
      <c r="L19" s="201"/>
      <c r="M19" s="201"/>
      <c r="N19" s="203"/>
    </row>
    <row r="20" spans="1:14" s="2" customFormat="1" ht="75" customHeight="1" x14ac:dyDescent="0.35">
      <c r="A20" s="227" t="s">
        <v>547</v>
      </c>
      <c r="B20" s="228" t="s">
        <v>536</v>
      </c>
      <c r="C20" s="228" t="s">
        <v>436</v>
      </c>
      <c r="D20" s="228" t="s">
        <v>474</v>
      </c>
      <c r="E20" s="228" t="s">
        <v>628</v>
      </c>
      <c r="F20" s="229" t="s">
        <v>475</v>
      </c>
      <c r="G20" s="229" t="s">
        <v>476</v>
      </c>
      <c r="H20" s="229" t="s">
        <v>477</v>
      </c>
      <c r="I20" s="150" t="s">
        <v>531</v>
      </c>
      <c r="J20" s="229" t="s">
        <v>478</v>
      </c>
      <c r="K20" s="230" t="s">
        <v>534</v>
      </c>
      <c r="L20" s="150" t="s">
        <v>532</v>
      </c>
      <c r="M20" s="231" t="s">
        <v>535</v>
      </c>
      <c r="N20" s="232" t="s">
        <v>479</v>
      </c>
    </row>
    <row r="21" spans="1:14" ht="15.5" customHeight="1" x14ac:dyDescent="0.35">
      <c r="A21" s="234" t="s">
        <v>553</v>
      </c>
      <c r="B21" s="234" t="s">
        <v>439</v>
      </c>
      <c r="C21" s="206" t="s">
        <v>480</v>
      </c>
      <c r="D21" s="235" t="s">
        <v>399</v>
      </c>
      <c r="E21" s="236">
        <v>44742</v>
      </c>
      <c r="F21" s="237">
        <v>49000</v>
      </c>
      <c r="G21" s="237">
        <v>49000</v>
      </c>
      <c r="H21" s="343">
        <v>0</v>
      </c>
      <c r="I21" s="209" t="s">
        <v>529</v>
      </c>
      <c r="J21" s="343">
        <v>0</v>
      </c>
      <c r="K21" s="238">
        <v>33000</v>
      </c>
      <c r="L21" s="239" t="s">
        <v>529</v>
      </c>
      <c r="M21" s="343">
        <v>0</v>
      </c>
      <c r="N21" s="178">
        <v>16000</v>
      </c>
    </row>
    <row r="22" spans="1:14" ht="15.5" customHeight="1" x14ac:dyDescent="0.35">
      <c r="A22" s="240" t="s">
        <v>553</v>
      </c>
      <c r="B22" s="240" t="s">
        <v>488</v>
      </c>
      <c r="C22" s="240" t="s">
        <v>481</v>
      </c>
      <c r="D22" s="241" t="s">
        <v>529</v>
      </c>
      <c r="E22" s="242">
        <v>44377</v>
      </c>
      <c r="F22" s="211">
        <v>48000</v>
      </c>
      <c r="G22" s="243">
        <v>15000</v>
      </c>
      <c r="H22" s="343">
        <v>0</v>
      </c>
      <c r="I22" s="186" t="s">
        <v>529</v>
      </c>
      <c r="J22" s="343">
        <v>0</v>
      </c>
      <c r="K22" s="343">
        <v>0</v>
      </c>
      <c r="L22" s="241" t="s">
        <v>529</v>
      </c>
      <c r="M22" s="343">
        <v>0</v>
      </c>
      <c r="N22" s="213">
        <v>15000</v>
      </c>
    </row>
    <row r="23" spans="1:14" ht="15" customHeight="1" x14ac:dyDescent="0.35">
      <c r="A23" s="244" t="s">
        <v>553</v>
      </c>
      <c r="B23" s="189" t="s">
        <v>489</v>
      </c>
      <c r="C23" s="189" t="s">
        <v>483</v>
      </c>
      <c r="D23" s="215" t="s">
        <v>529</v>
      </c>
      <c r="E23" s="191">
        <v>44012</v>
      </c>
      <c r="F23" s="216">
        <v>49000</v>
      </c>
      <c r="G23" s="245">
        <v>13917</v>
      </c>
      <c r="H23" s="343">
        <v>0</v>
      </c>
      <c r="I23" s="193" t="s">
        <v>529</v>
      </c>
      <c r="J23" s="343">
        <v>0</v>
      </c>
      <c r="K23" s="343">
        <v>0</v>
      </c>
      <c r="L23" s="194" t="s">
        <v>529</v>
      </c>
      <c r="M23" s="343">
        <v>0</v>
      </c>
      <c r="N23" s="218">
        <v>13917</v>
      </c>
    </row>
    <row r="24" spans="1:14" ht="15" customHeight="1" x14ac:dyDescent="0.35">
      <c r="A24" s="246" t="s">
        <v>554</v>
      </c>
      <c r="B24" s="247" t="s">
        <v>529</v>
      </c>
      <c r="C24" s="247" t="s">
        <v>529</v>
      </c>
      <c r="D24" s="247" t="s">
        <v>529</v>
      </c>
      <c r="E24" s="247" t="s">
        <v>529</v>
      </c>
      <c r="F24" s="248">
        <f>SUBTOTAL(109,sdgeneralfund[Original                         Appropriation                  Amount])</f>
        <v>146000</v>
      </c>
      <c r="G24" s="248">
        <f>SUBTOTAL(109,sdgeneralfund[Appropriation Balances
as of 07/01/2019])</f>
        <v>77917</v>
      </c>
      <c r="H24" s="342" t="s">
        <v>582</v>
      </c>
      <c r="I24" s="249" t="s">
        <v>552</v>
      </c>
      <c r="J24" s="342" t="s">
        <v>582</v>
      </c>
      <c r="K24" s="248">
        <f>SUBTOTAL(109,sdgeneralfund[Less: Mandated Program Payments, 
Offsets, and Interest   
 (see Schedule A1) 2])</f>
        <v>33000</v>
      </c>
      <c r="L24" s="249" t="s">
        <v>552</v>
      </c>
      <c r="M24" s="342" t="s">
        <v>582</v>
      </c>
      <c r="N24" s="250">
        <f>SUBTOTAL(109,sdgeneralfund[Appropriation Balances
as of 04/01/2020])</f>
        <v>44917</v>
      </c>
    </row>
    <row r="25" spans="1:14" ht="15.5" x14ac:dyDescent="0.35">
      <c r="A25" s="198" t="s">
        <v>540</v>
      </c>
      <c r="B25" s="251"/>
      <c r="C25" s="252"/>
      <c r="D25" s="252"/>
      <c r="E25" s="252"/>
      <c r="F25" s="253"/>
      <c r="G25" s="253"/>
      <c r="H25" s="253"/>
      <c r="I25" s="253"/>
      <c r="J25" s="253"/>
      <c r="K25" s="253"/>
      <c r="L25" s="254"/>
      <c r="M25" s="254"/>
      <c r="N25" s="255"/>
    </row>
    <row r="26" spans="1:14" s="2" customFormat="1" ht="75" customHeight="1" x14ac:dyDescent="0.35">
      <c r="A26" s="227" t="s">
        <v>547</v>
      </c>
      <c r="B26" s="228" t="s">
        <v>536</v>
      </c>
      <c r="C26" s="228" t="s">
        <v>436</v>
      </c>
      <c r="D26" s="228" t="s">
        <v>474</v>
      </c>
      <c r="E26" s="228" t="s">
        <v>628</v>
      </c>
      <c r="F26" s="229" t="s">
        <v>475</v>
      </c>
      <c r="G26" s="229" t="s">
        <v>476</v>
      </c>
      <c r="H26" s="229" t="s">
        <v>477</v>
      </c>
      <c r="I26" s="150" t="s">
        <v>531</v>
      </c>
      <c r="J26" s="229" t="s">
        <v>478</v>
      </c>
      <c r="K26" s="230" t="s">
        <v>534</v>
      </c>
      <c r="L26" s="150" t="s">
        <v>532</v>
      </c>
      <c r="M26" s="231" t="s">
        <v>535</v>
      </c>
      <c r="N26" s="232" t="s">
        <v>479</v>
      </c>
    </row>
    <row r="27" spans="1:14" s="2" customFormat="1" ht="15" customHeight="1" x14ac:dyDescent="0.35">
      <c r="A27" s="234" t="s">
        <v>555</v>
      </c>
      <c r="B27" s="234" t="s">
        <v>490</v>
      </c>
      <c r="C27" s="206" t="s">
        <v>480</v>
      </c>
      <c r="D27" s="239" t="s">
        <v>529</v>
      </c>
      <c r="E27" s="236">
        <v>44742</v>
      </c>
      <c r="F27" s="256">
        <v>13000</v>
      </c>
      <c r="G27" s="256">
        <v>13000</v>
      </c>
      <c r="H27" s="343">
        <v>0</v>
      </c>
      <c r="I27" s="257" t="s">
        <v>529</v>
      </c>
      <c r="J27" s="343">
        <v>0</v>
      </c>
      <c r="K27" s="343">
        <v>0</v>
      </c>
      <c r="L27" s="239" t="s">
        <v>529</v>
      </c>
      <c r="M27" s="343">
        <v>0</v>
      </c>
      <c r="N27" s="178">
        <v>13000</v>
      </c>
    </row>
    <row r="28" spans="1:14" s="2" customFormat="1" ht="15" customHeight="1" x14ac:dyDescent="0.35">
      <c r="A28" s="240" t="s">
        <v>555</v>
      </c>
      <c r="B28" s="240" t="s">
        <v>491</v>
      </c>
      <c r="C28" s="258" t="s">
        <v>481</v>
      </c>
      <c r="D28" s="241" t="s">
        <v>529</v>
      </c>
      <c r="E28" s="242">
        <v>44377</v>
      </c>
      <c r="F28" s="211">
        <v>13000</v>
      </c>
      <c r="G28" s="211">
        <v>13000</v>
      </c>
      <c r="H28" s="343">
        <v>0</v>
      </c>
      <c r="I28" s="226" t="s">
        <v>529</v>
      </c>
      <c r="J28" s="343">
        <v>0</v>
      </c>
      <c r="K28" s="343">
        <v>0</v>
      </c>
      <c r="L28" s="241" t="s">
        <v>529</v>
      </c>
      <c r="M28" s="343">
        <v>0</v>
      </c>
      <c r="N28" s="213">
        <v>13000</v>
      </c>
    </row>
    <row r="29" spans="1:14" ht="15" customHeight="1" x14ac:dyDescent="0.35">
      <c r="A29" s="244" t="s">
        <v>555</v>
      </c>
      <c r="B29" s="189" t="s">
        <v>492</v>
      </c>
      <c r="C29" s="189" t="s">
        <v>483</v>
      </c>
      <c r="D29" s="215" t="s">
        <v>529</v>
      </c>
      <c r="E29" s="191">
        <v>44012</v>
      </c>
      <c r="F29" s="216">
        <v>13000</v>
      </c>
      <c r="G29" s="216">
        <v>13000</v>
      </c>
      <c r="H29" s="343">
        <v>0</v>
      </c>
      <c r="I29" s="259" t="s">
        <v>529</v>
      </c>
      <c r="J29" s="343">
        <v>0</v>
      </c>
      <c r="K29" s="343">
        <v>0</v>
      </c>
      <c r="L29" s="194" t="s">
        <v>533</v>
      </c>
      <c r="M29" s="217">
        <v>13000</v>
      </c>
      <c r="N29" s="343">
        <v>0</v>
      </c>
    </row>
    <row r="30" spans="1:14" s="40" customFormat="1" ht="15" customHeight="1" x14ac:dyDescent="0.35">
      <c r="A30" s="260" t="s">
        <v>556</v>
      </c>
      <c r="B30" s="247" t="s">
        <v>529</v>
      </c>
      <c r="C30" s="247" t="s">
        <v>529</v>
      </c>
      <c r="D30" s="247" t="s">
        <v>529</v>
      </c>
      <c r="E30" s="247" t="s">
        <v>529</v>
      </c>
      <c r="F30" s="154">
        <f>SUBTOTAL(109,ccdgeneralfund[Original                         Appropriation                  Amount])</f>
        <v>39000</v>
      </c>
      <c r="G30" s="154">
        <f>SUBTOTAL(109,ccdgeneralfund[Appropriation Balances
as of 07/01/2019])</f>
        <v>39000</v>
      </c>
      <c r="H30" s="342" t="s">
        <v>582</v>
      </c>
      <c r="I30" s="261" t="s">
        <v>552</v>
      </c>
      <c r="J30" s="342" t="s">
        <v>582</v>
      </c>
      <c r="K30" s="342" t="s">
        <v>582</v>
      </c>
      <c r="L30" s="261" t="s">
        <v>552</v>
      </c>
      <c r="M30" s="154">
        <f>SUBTOTAL(109,ccdgeneralfund[Less: Reappropriations 3])</f>
        <v>13000</v>
      </c>
      <c r="N30" s="154">
        <f>SUBTOTAL(109,ccdgeneralfund[Appropriation Balances
as of 04/01/2020])</f>
        <v>26000</v>
      </c>
    </row>
    <row r="31" spans="1:14" ht="15.5" x14ac:dyDescent="0.35">
      <c r="A31" s="198" t="s">
        <v>540</v>
      </c>
      <c r="B31" s="262"/>
      <c r="C31" s="262"/>
      <c r="D31" s="262"/>
      <c r="E31" s="262"/>
      <c r="F31" s="263"/>
      <c r="G31" s="263"/>
      <c r="H31" s="263"/>
      <c r="I31" s="263"/>
      <c r="J31" s="263"/>
      <c r="K31" s="263"/>
      <c r="L31" s="263"/>
      <c r="M31" s="263"/>
      <c r="N31" s="264"/>
    </row>
    <row r="32" spans="1:14" ht="75" customHeight="1" x14ac:dyDescent="0.35">
      <c r="A32" s="227" t="s">
        <v>547</v>
      </c>
      <c r="B32" s="228" t="s">
        <v>536</v>
      </c>
      <c r="C32" s="228" t="s">
        <v>436</v>
      </c>
      <c r="D32" s="228" t="s">
        <v>474</v>
      </c>
      <c r="E32" s="228" t="s">
        <v>628</v>
      </c>
      <c r="F32" s="229" t="s">
        <v>475</v>
      </c>
      <c r="G32" s="229" t="s">
        <v>476</v>
      </c>
      <c r="H32" s="229" t="s">
        <v>477</v>
      </c>
      <c r="I32" s="150" t="s">
        <v>531</v>
      </c>
      <c r="J32" s="229" t="s">
        <v>478</v>
      </c>
      <c r="K32" s="230" t="s">
        <v>534</v>
      </c>
      <c r="L32" s="150" t="s">
        <v>532</v>
      </c>
      <c r="M32" s="231" t="s">
        <v>535</v>
      </c>
      <c r="N32" s="232" t="s">
        <v>479</v>
      </c>
    </row>
    <row r="33" spans="1:14" ht="15.5" x14ac:dyDescent="0.35">
      <c r="A33" s="177" t="s">
        <v>545</v>
      </c>
      <c r="B33" s="265" t="s">
        <v>529</v>
      </c>
      <c r="C33" s="265" t="s">
        <v>529</v>
      </c>
      <c r="D33" s="265" t="s">
        <v>529</v>
      </c>
      <c r="E33" s="265" t="s">
        <v>529</v>
      </c>
      <c r="F33" s="202">
        <v>401845000</v>
      </c>
      <c r="G33" s="202">
        <v>66948721</v>
      </c>
      <c r="H33" s="343">
        <v>0</v>
      </c>
      <c r="I33" s="266" t="s">
        <v>529</v>
      </c>
      <c r="J33" s="202">
        <v>3006922</v>
      </c>
      <c r="K33" s="202">
        <v>52278608</v>
      </c>
      <c r="L33" s="266" t="s">
        <v>529</v>
      </c>
      <c r="M33" s="343">
        <v>0</v>
      </c>
      <c r="N33" s="202">
        <v>17677035</v>
      </c>
    </row>
    <row r="34" spans="1:14" ht="15.5" x14ac:dyDescent="0.35">
      <c r="A34" s="181" t="s">
        <v>548</v>
      </c>
      <c r="B34" s="267" t="s">
        <v>529</v>
      </c>
      <c r="C34" s="267" t="s">
        <v>529</v>
      </c>
      <c r="D34" s="267" t="s">
        <v>529</v>
      </c>
      <c r="E34" s="267" t="s">
        <v>529</v>
      </c>
      <c r="F34" s="263">
        <v>6747000</v>
      </c>
      <c r="G34" s="263">
        <v>2483586</v>
      </c>
      <c r="H34" s="343">
        <v>0</v>
      </c>
      <c r="I34" s="268" t="s">
        <v>529</v>
      </c>
      <c r="J34" s="263">
        <v>998355</v>
      </c>
      <c r="K34" s="263">
        <v>1914719</v>
      </c>
      <c r="L34" s="268" t="s">
        <v>529</v>
      </c>
      <c r="M34" s="343">
        <v>0</v>
      </c>
      <c r="N34" s="263">
        <v>1567222</v>
      </c>
    </row>
    <row r="35" spans="1:14" ht="15.5" x14ac:dyDescent="0.35">
      <c r="A35" s="181" t="s">
        <v>550</v>
      </c>
      <c r="B35" s="267" t="s">
        <v>529</v>
      </c>
      <c r="C35" s="267" t="s">
        <v>529</v>
      </c>
      <c r="D35" s="267" t="s">
        <v>529</v>
      </c>
      <c r="E35" s="267" t="s">
        <v>529</v>
      </c>
      <c r="F35" s="263">
        <v>180000</v>
      </c>
      <c r="G35" s="263">
        <v>69293</v>
      </c>
      <c r="H35" s="343">
        <v>0</v>
      </c>
      <c r="I35" s="268" t="s">
        <v>529</v>
      </c>
      <c r="J35" s="343">
        <v>0</v>
      </c>
      <c r="K35" s="263">
        <v>43051</v>
      </c>
      <c r="L35" s="268" t="s">
        <v>529</v>
      </c>
      <c r="M35" s="343">
        <v>0</v>
      </c>
      <c r="N35" s="263">
        <v>26242</v>
      </c>
    </row>
    <row r="36" spans="1:14" ht="15.5" x14ac:dyDescent="0.35">
      <c r="A36" s="240" t="s">
        <v>553</v>
      </c>
      <c r="B36" s="267" t="s">
        <v>529</v>
      </c>
      <c r="C36" s="267" t="s">
        <v>529</v>
      </c>
      <c r="D36" s="267" t="s">
        <v>529</v>
      </c>
      <c r="E36" s="267" t="s">
        <v>529</v>
      </c>
      <c r="F36" s="263">
        <v>146000</v>
      </c>
      <c r="G36" s="263">
        <v>77917</v>
      </c>
      <c r="H36" s="343">
        <v>0</v>
      </c>
      <c r="I36" s="268" t="s">
        <v>529</v>
      </c>
      <c r="J36" s="343">
        <v>0</v>
      </c>
      <c r="K36" s="263">
        <v>33000</v>
      </c>
      <c r="L36" s="268" t="s">
        <v>529</v>
      </c>
      <c r="M36" s="343">
        <v>0</v>
      </c>
      <c r="N36" s="263">
        <v>44917</v>
      </c>
    </row>
    <row r="37" spans="1:14" ht="15.5" x14ac:dyDescent="0.35">
      <c r="A37" s="240" t="s">
        <v>555</v>
      </c>
      <c r="B37" s="267" t="s">
        <v>529</v>
      </c>
      <c r="C37" s="267" t="s">
        <v>529</v>
      </c>
      <c r="D37" s="267" t="s">
        <v>529</v>
      </c>
      <c r="E37" s="267" t="s">
        <v>529</v>
      </c>
      <c r="F37" s="263">
        <v>39000</v>
      </c>
      <c r="G37" s="263">
        <v>39000</v>
      </c>
      <c r="H37" s="343">
        <v>0</v>
      </c>
      <c r="I37" s="268" t="s">
        <v>529</v>
      </c>
      <c r="J37" s="343">
        <v>0</v>
      </c>
      <c r="K37" s="343">
        <v>0</v>
      </c>
      <c r="L37" s="268" t="s">
        <v>529</v>
      </c>
      <c r="M37" s="263">
        <v>13000</v>
      </c>
      <c r="N37" s="263">
        <v>26000</v>
      </c>
    </row>
    <row r="38" spans="1:14" ht="15.5" x14ac:dyDescent="0.35">
      <c r="A38" s="269" t="s">
        <v>557</v>
      </c>
      <c r="B38" s="270" t="s">
        <v>529</v>
      </c>
      <c r="C38" s="270" t="s">
        <v>529</v>
      </c>
      <c r="D38" s="270" t="s">
        <v>529</v>
      </c>
      <c r="E38" s="270" t="s">
        <v>529</v>
      </c>
      <c r="F38" s="271">
        <f>SUBTOTAL(109,grandtotala[Original                         Appropriation                  Amount])</f>
        <v>408957000</v>
      </c>
      <c r="G38" s="271">
        <f>SUBTOTAL(109,grandtotala[Appropriation Balances
as of 07/01/2019])</f>
        <v>69618517</v>
      </c>
      <c r="H38" s="342" t="s">
        <v>582</v>
      </c>
      <c r="I38" s="272" t="s">
        <v>552</v>
      </c>
      <c r="J38" s="271">
        <f>SUBTOTAL(109,grandtotala[Add: Receipts               and Recovered Amounts])</f>
        <v>4005277</v>
      </c>
      <c r="K38" s="271">
        <f>SUBTOTAL(109,grandtotala[Less: Mandated Program Payments, 
Offsets, and Interest   
 (see Schedule A1) 2])</f>
        <v>54269378</v>
      </c>
      <c r="L38" s="272" t="s">
        <v>552</v>
      </c>
      <c r="M38" s="271">
        <f>SUBTOTAL(109,grandtotala[Less: Reappropriations 3])</f>
        <v>13000</v>
      </c>
      <c r="N38" s="273">
        <f>SUBTOTAL(109,grandtotala[Appropriation Balances
as of 04/01/2020])</f>
        <v>19341416</v>
      </c>
    </row>
    <row r="39" spans="1:14" ht="15.5" x14ac:dyDescent="0.35">
      <c r="A39" s="167" t="s">
        <v>583</v>
      </c>
      <c r="B39" s="167"/>
      <c r="C39" s="155"/>
      <c r="D39" s="155"/>
      <c r="E39" s="155"/>
      <c r="F39" s="155"/>
      <c r="G39" s="155"/>
      <c r="H39" s="155"/>
      <c r="I39" s="155"/>
      <c r="J39" s="155"/>
      <c r="K39" s="155"/>
      <c r="L39" s="155"/>
      <c r="M39" s="155"/>
      <c r="N39" s="155"/>
    </row>
    <row r="40" spans="1:14" ht="18.5" x14ac:dyDescent="0.35">
      <c r="A40" s="167" t="s">
        <v>558</v>
      </c>
      <c r="B40" s="167"/>
      <c r="C40" s="155"/>
      <c r="D40" s="155"/>
      <c r="E40" s="155"/>
      <c r="F40" s="155"/>
      <c r="G40" s="155"/>
      <c r="H40" s="155"/>
      <c r="I40" s="155"/>
      <c r="J40" s="155"/>
      <c r="K40" s="155"/>
      <c r="L40" s="155"/>
      <c r="M40" s="155"/>
      <c r="N40" s="155"/>
    </row>
    <row r="41" spans="1:14" ht="18.5" x14ac:dyDescent="0.35">
      <c r="A41" s="274" t="s">
        <v>559</v>
      </c>
      <c r="B41" s="156"/>
      <c r="C41" s="157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</row>
    <row r="42" spans="1:14" ht="18.5" x14ac:dyDescent="0.35">
      <c r="A42" s="168" t="s">
        <v>560</v>
      </c>
      <c r="B42" s="275"/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/>
      <c r="N42" s="155"/>
    </row>
    <row r="44" spans="1:14" ht="16.5" x14ac:dyDescent="0.35">
      <c r="A44" s="51"/>
      <c r="B44" s="51"/>
    </row>
    <row r="45" spans="1:14" ht="16.5" x14ac:dyDescent="0.35">
      <c r="A45" s="51"/>
      <c r="B45" s="51"/>
      <c r="D45" s="50"/>
    </row>
    <row r="46" spans="1:14" ht="16.5" x14ac:dyDescent="0.35">
      <c r="A46" s="51"/>
      <c r="B46" s="51"/>
    </row>
    <row r="47" spans="1:14" ht="16.5" x14ac:dyDescent="0.35">
      <c r="A47" s="51"/>
      <c r="B47" s="51"/>
    </row>
    <row r="48" spans="1:14" ht="16.5" x14ac:dyDescent="0.35">
      <c r="A48" s="51"/>
      <c r="B48" s="51"/>
    </row>
  </sheetData>
  <sheetProtection selectLockedCells="1"/>
  <hyperlinks>
    <hyperlink ref="K2" location="'Schedule A-Summary'!A39" tooltip="This hyperlink will take you to the referenced footnote-footnote 2" display="'Schedule A-Summary'!A39"/>
    <hyperlink ref="M2" location="'Schedule A-Summary'!A39" tooltip="This hyperlink will take you to the referenced footnote-footnote 3" display="Less: Reappropriations 3"/>
    <hyperlink ref="I4" location="'Schedule A-Summary'!A39" tooltip="This hyperlink will take you to the referenced footnote-footnote 1" display="'Schedule A-Summary'!A39"/>
  </hyperlinks>
  <printOptions horizontalCentered="1" gridLines="1"/>
  <pageMargins left="0.35" right="0.35" top="1" bottom="1" header="0.4" footer="0.1"/>
  <pageSetup scale="47" fitToHeight="0" orientation="landscape" r:id="rId1"/>
  <headerFooter>
    <oddHeader>&amp;C&amp;"Arial,Bold"&amp;12State Controller's Office
Schedule A: Summary of State-Mandated Program Appropriations, Receipts, and Payments 
As of April 1, 2020</oddHeader>
    <oddFooter>&amp;L&amp;"Arial,Regular"Schedule A: Summary of State-Mandated Program Appropriations, Receipts, and Payments&amp;"-,Regular"
&amp;R&amp;"Arial,Regular"Page &amp;P of &amp;N</oddFooter>
  </headerFooter>
  <rowBreaks count="1" manualBreakCount="1">
    <brk id="38" max="13" man="1"/>
  </rowBreaks>
  <legacy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O188"/>
  <sheetViews>
    <sheetView zoomScale="90" zoomScaleNormal="90" workbookViewId="0">
      <selection activeCell="B54" sqref="B54"/>
    </sheetView>
  </sheetViews>
  <sheetFormatPr defaultRowHeight="14.5" x14ac:dyDescent="0.35"/>
  <cols>
    <col min="1" max="1" width="53.1796875" bestFit="1" customWidth="1"/>
    <col min="2" max="2" width="15.6328125" customWidth="1"/>
    <col min="3" max="3" width="25.6328125" customWidth="1"/>
    <col min="4" max="4" width="76.26953125" customWidth="1"/>
    <col min="5" max="5" width="12.6328125" style="5" customWidth="1"/>
    <col min="6" max="6" width="14.6328125" customWidth="1"/>
    <col min="7" max="7" width="16.6328125" customWidth="1"/>
    <col min="8" max="9" width="14.6328125" customWidth="1"/>
  </cols>
  <sheetData>
    <row r="1" spans="1:9" ht="54" x14ac:dyDescent="0.4">
      <c r="A1" s="66" t="s">
        <v>523</v>
      </c>
      <c r="B1" s="66"/>
      <c r="C1" s="66"/>
      <c r="D1" s="160"/>
      <c r="E1" s="160"/>
      <c r="F1" s="160"/>
      <c r="G1" s="160"/>
      <c r="H1" s="160"/>
      <c r="I1" s="160"/>
    </row>
    <row r="2" spans="1:9" s="36" customFormat="1" ht="48" customHeight="1" x14ac:dyDescent="0.35">
      <c r="A2" s="67" t="s">
        <v>569</v>
      </c>
      <c r="B2" s="67" t="s">
        <v>434</v>
      </c>
      <c r="C2" s="67" t="s">
        <v>538</v>
      </c>
      <c r="D2" s="67" t="s">
        <v>435</v>
      </c>
      <c r="E2" s="67" t="s">
        <v>436</v>
      </c>
      <c r="F2" s="67" t="s">
        <v>437</v>
      </c>
      <c r="G2" s="67" t="s">
        <v>448</v>
      </c>
      <c r="H2" s="67" t="s">
        <v>449</v>
      </c>
      <c r="I2" s="67" t="s">
        <v>450</v>
      </c>
    </row>
    <row r="3" spans="1:9" ht="15.5" x14ac:dyDescent="0.35">
      <c r="A3" s="83" t="s">
        <v>542</v>
      </c>
      <c r="B3" s="69" t="s">
        <v>399</v>
      </c>
      <c r="C3" s="170" t="s">
        <v>451</v>
      </c>
      <c r="D3" s="82" t="s">
        <v>13</v>
      </c>
      <c r="E3" s="83" t="s">
        <v>14</v>
      </c>
      <c r="F3" s="69">
        <v>152</v>
      </c>
      <c r="G3" s="84">
        <v>570063</v>
      </c>
      <c r="H3" s="345">
        <v>0</v>
      </c>
      <c r="I3" s="84">
        <v>570063</v>
      </c>
    </row>
    <row r="4" spans="1:9" ht="15.5" x14ac:dyDescent="0.35">
      <c r="A4" s="83" t="s">
        <v>542</v>
      </c>
      <c r="B4" s="69" t="s">
        <v>399</v>
      </c>
      <c r="C4" s="170" t="s">
        <v>451</v>
      </c>
      <c r="D4" s="85" t="s">
        <v>15</v>
      </c>
      <c r="E4" s="83" t="s">
        <v>16</v>
      </c>
      <c r="F4" s="69">
        <v>90</v>
      </c>
      <c r="G4" s="84">
        <v>402111</v>
      </c>
      <c r="H4" s="345">
        <v>0</v>
      </c>
      <c r="I4" s="84">
        <v>402111</v>
      </c>
    </row>
    <row r="5" spans="1:9" ht="15.5" x14ac:dyDescent="0.35">
      <c r="A5" s="83" t="s">
        <v>542</v>
      </c>
      <c r="B5" s="69" t="s">
        <v>399</v>
      </c>
      <c r="C5" s="170" t="s">
        <v>451</v>
      </c>
      <c r="D5" s="82" t="s">
        <v>452</v>
      </c>
      <c r="E5" s="83" t="s">
        <v>17</v>
      </c>
      <c r="F5" s="69">
        <v>262</v>
      </c>
      <c r="G5" s="84">
        <v>161120</v>
      </c>
      <c r="H5" s="345">
        <v>0</v>
      </c>
      <c r="I5" s="84">
        <v>161120</v>
      </c>
    </row>
    <row r="6" spans="1:9" ht="15.5" x14ac:dyDescent="0.35">
      <c r="A6" s="83" t="s">
        <v>542</v>
      </c>
      <c r="B6" s="69" t="s">
        <v>399</v>
      </c>
      <c r="C6" s="170" t="s">
        <v>451</v>
      </c>
      <c r="D6" s="82" t="s">
        <v>453</v>
      </c>
      <c r="E6" s="83" t="s">
        <v>18</v>
      </c>
      <c r="F6" s="69">
        <v>13</v>
      </c>
      <c r="G6" s="84">
        <v>12542825</v>
      </c>
      <c r="H6" s="345">
        <v>0</v>
      </c>
      <c r="I6" s="84">
        <v>12542825</v>
      </c>
    </row>
    <row r="7" spans="1:9" ht="15.5" x14ac:dyDescent="0.35">
      <c r="A7" s="83" t="s">
        <v>542</v>
      </c>
      <c r="B7" s="69" t="s">
        <v>399</v>
      </c>
      <c r="C7" s="170" t="s">
        <v>451</v>
      </c>
      <c r="D7" s="82" t="s">
        <v>19</v>
      </c>
      <c r="E7" s="83" t="s">
        <v>20</v>
      </c>
      <c r="F7" s="69">
        <v>167</v>
      </c>
      <c r="G7" s="84">
        <v>9226093</v>
      </c>
      <c r="H7" s="345">
        <v>0</v>
      </c>
      <c r="I7" s="84">
        <v>9226093</v>
      </c>
    </row>
    <row r="8" spans="1:9" ht="15.5" x14ac:dyDescent="0.35">
      <c r="A8" s="83" t="s">
        <v>542</v>
      </c>
      <c r="B8" s="69" t="s">
        <v>399</v>
      </c>
      <c r="C8" s="170" t="s">
        <v>451</v>
      </c>
      <c r="D8" s="82" t="s">
        <v>21</v>
      </c>
      <c r="E8" s="83" t="s">
        <v>22</v>
      </c>
      <c r="F8" s="69">
        <v>274</v>
      </c>
      <c r="G8" s="84">
        <v>2162740</v>
      </c>
      <c r="H8" s="345">
        <v>0</v>
      </c>
      <c r="I8" s="84">
        <v>2162740</v>
      </c>
    </row>
    <row r="9" spans="1:9" ht="15.5" x14ac:dyDescent="0.35">
      <c r="A9" s="83" t="s">
        <v>542</v>
      </c>
      <c r="B9" s="69" t="s">
        <v>399</v>
      </c>
      <c r="C9" s="170" t="s">
        <v>451</v>
      </c>
      <c r="D9" s="82" t="s">
        <v>454</v>
      </c>
      <c r="E9" s="83" t="s">
        <v>23</v>
      </c>
      <c r="F9" s="69">
        <v>177</v>
      </c>
      <c r="G9" s="84">
        <v>2325659</v>
      </c>
      <c r="H9" s="345">
        <v>0</v>
      </c>
      <c r="I9" s="84">
        <v>2325659</v>
      </c>
    </row>
    <row r="10" spans="1:9" ht="15.5" x14ac:dyDescent="0.35">
      <c r="A10" s="83" t="s">
        <v>542</v>
      </c>
      <c r="B10" s="69" t="s">
        <v>399</v>
      </c>
      <c r="C10" s="170" t="s">
        <v>451</v>
      </c>
      <c r="D10" s="82" t="s">
        <v>24</v>
      </c>
      <c r="E10" s="83" t="s">
        <v>25</v>
      </c>
      <c r="F10" s="69">
        <v>197</v>
      </c>
      <c r="G10" s="84">
        <v>2604505</v>
      </c>
      <c r="H10" s="345">
        <v>0</v>
      </c>
      <c r="I10" s="84">
        <v>2604505</v>
      </c>
    </row>
    <row r="11" spans="1:9" ht="15.5" x14ac:dyDescent="0.35">
      <c r="A11" s="83" t="s">
        <v>542</v>
      </c>
      <c r="B11" s="69" t="s">
        <v>399</v>
      </c>
      <c r="C11" s="170" t="s">
        <v>451</v>
      </c>
      <c r="D11" s="82" t="s">
        <v>455</v>
      </c>
      <c r="E11" s="83" t="s">
        <v>27</v>
      </c>
      <c r="F11" s="69">
        <v>334</v>
      </c>
      <c r="G11" s="84">
        <v>22562</v>
      </c>
      <c r="H11" s="345">
        <v>0</v>
      </c>
      <c r="I11" s="84">
        <v>22562</v>
      </c>
    </row>
    <row r="12" spans="1:9" ht="15.5" x14ac:dyDescent="0.35">
      <c r="A12" s="83" t="s">
        <v>542</v>
      </c>
      <c r="B12" s="69" t="s">
        <v>399</v>
      </c>
      <c r="C12" s="170" t="s">
        <v>451</v>
      </c>
      <c r="D12" s="82" t="s">
        <v>28</v>
      </c>
      <c r="E12" s="83" t="s">
        <v>29</v>
      </c>
      <c r="F12" s="69">
        <v>43</v>
      </c>
      <c r="G12" s="84">
        <v>14847</v>
      </c>
      <c r="H12" s="345">
        <v>0</v>
      </c>
      <c r="I12" s="84">
        <v>14847</v>
      </c>
    </row>
    <row r="13" spans="1:9" ht="15.5" x14ac:dyDescent="0.35">
      <c r="A13" s="83" t="s">
        <v>542</v>
      </c>
      <c r="B13" s="69" t="s">
        <v>399</v>
      </c>
      <c r="C13" s="170" t="s">
        <v>451</v>
      </c>
      <c r="D13" s="82" t="s">
        <v>30</v>
      </c>
      <c r="E13" s="83" t="s">
        <v>31</v>
      </c>
      <c r="F13" s="69">
        <v>361</v>
      </c>
      <c r="G13" s="84">
        <v>4050</v>
      </c>
      <c r="H13" s="345">
        <v>0</v>
      </c>
      <c r="I13" s="84">
        <v>4050</v>
      </c>
    </row>
    <row r="14" spans="1:9" ht="15.5" x14ac:dyDescent="0.35">
      <c r="A14" s="83" t="s">
        <v>542</v>
      </c>
      <c r="B14" s="69" t="s">
        <v>399</v>
      </c>
      <c r="C14" s="170" t="s">
        <v>451</v>
      </c>
      <c r="D14" s="86" t="s">
        <v>32</v>
      </c>
      <c r="E14" s="83" t="s">
        <v>33</v>
      </c>
      <c r="F14" s="69">
        <v>264</v>
      </c>
      <c r="G14" s="84">
        <v>797562</v>
      </c>
      <c r="H14" s="345">
        <v>0</v>
      </c>
      <c r="I14" s="84">
        <v>797562</v>
      </c>
    </row>
    <row r="15" spans="1:9" ht="15.5" x14ac:dyDescent="0.35">
      <c r="A15" s="83" t="s">
        <v>542</v>
      </c>
      <c r="B15" s="69" t="s">
        <v>399</v>
      </c>
      <c r="C15" s="170" t="s">
        <v>451</v>
      </c>
      <c r="D15" s="82" t="s">
        <v>400</v>
      </c>
      <c r="E15" s="83" t="s">
        <v>34</v>
      </c>
      <c r="F15" s="69">
        <v>127</v>
      </c>
      <c r="G15" s="84">
        <v>588192</v>
      </c>
      <c r="H15" s="345">
        <v>0</v>
      </c>
      <c r="I15" s="84">
        <v>588192</v>
      </c>
    </row>
    <row r="16" spans="1:9" ht="15.5" x14ac:dyDescent="0.35">
      <c r="A16" s="83" t="s">
        <v>542</v>
      </c>
      <c r="B16" s="69" t="s">
        <v>399</v>
      </c>
      <c r="C16" s="170" t="s">
        <v>451</v>
      </c>
      <c r="D16" s="82" t="s">
        <v>35</v>
      </c>
      <c r="E16" s="83" t="s">
        <v>36</v>
      </c>
      <c r="F16" s="69">
        <v>175</v>
      </c>
      <c r="G16" s="84">
        <v>3592336</v>
      </c>
      <c r="H16" s="345">
        <v>0</v>
      </c>
      <c r="I16" s="84">
        <v>3592336</v>
      </c>
    </row>
    <row r="17" spans="1:9" ht="15.5" x14ac:dyDescent="0.35">
      <c r="A17" s="83" t="s">
        <v>542</v>
      </c>
      <c r="B17" s="69" t="s">
        <v>399</v>
      </c>
      <c r="C17" s="170" t="s">
        <v>451</v>
      </c>
      <c r="D17" s="82" t="s">
        <v>456</v>
      </c>
      <c r="E17" s="83" t="s">
        <v>38</v>
      </c>
      <c r="F17" s="69">
        <v>360</v>
      </c>
      <c r="G17" s="84">
        <v>639943</v>
      </c>
      <c r="H17" s="345">
        <v>0</v>
      </c>
      <c r="I17" s="84">
        <v>639943</v>
      </c>
    </row>
    <row r="18" spans="1:9" ht="15.5" x14ac:dyDescent="0.35">
      <c r="A18" s="83" t="s">
        <v>542</v>
      </c>
      <c r="B18" s="69" t="s">
        <v>399</v>
      </c>
      <c r="C18" s="170" t="s">
        <v>451</v>
      </c>
      <c r="D18" s="87" t="s">
        <v>39</v>
      </c>
      <c r="E18" s="88" t="s">
        <v>40</v>
      </c>
      <c r="F18" s="89">
        <v>345</v>
      </c>
      <c r="G18" s="90">
        <v>215391</v>
      </c>
      <c r="H18" s="346">
        <v>0</v>
      </c>
      <c r="I18" s="90">
        <v>215391</v>
      </c>
    </row>
    <row r="19" spans="1:9" s="82" customFormat="1" ht="15.5" x14ac:dyDescent="0.35">
      <c r="A19" s="176" t="s">
        <v>539</v>
      </c>
      <c r="B19" s="162" t="s">
        <v>529</v>
      </c>
      <c r="C19" s="162" t="s">
        <v>529</v>
      </c>
      <c r="D19" s="162" t="s">
        <v>529</v>
      </c>
      <c r="E19" s="162" t="s">
        <v>529</v>
      </c>
      <c r="F19" s="162" t="s">
        <v>529</v>
      </c>
      <c r="G19" s="248">
        <f>SUBTOTAL(109,localannualclaim19[Program 
Payments and Offsets])</f>
        <v>35869999</v>
      </c>
      <c r="H19" s="342" t="s">
        <v>582</v>
      </c>
      <c r="I19" s="248">
        <f>SUBTOTAL(109,localannualclaim19[Total 
Payments])</f>
        <v>35869999</v>
      </c>
    </row>
    <row r="20" spans="1:9" ht="15.5" x14ac:dyDescent="0.35">
      <c r="A20" s="175" t="s">
        <v>540</v>
      </c>
      <c r="B20" s="169"/>
      <c r="C20" s="169"/>
      <c r="D20" s="287"/>
      <c r="E20" s="171"/>
      <c r="F20" s="171"/>
      <c r="G20" s="172"/>
      <c r="H20" s="172"/>
      <c r="I20" s="172"/>
    </row>
    <row r="21" spans="1:9" ht="46.5" x14ac:dyDescent="0.35">
      <c r="A21" s="67" t="s">
        <v>569</v>
      </c>
      <c r="B21" s="67" t="s">
        <v>434</v>
      </c>
      <c r="C21" s="67" t="s">
        <v>538</v>
      </c>
      <c r="D21" s="67" t="s">
        <v>435</v>
      </c>
      <c r="E21" s="67" t="s">
        <v>436</v>
      </c>
      <c r="F21" s="67" t="s">
        <v>437</v>
      </c>
      <c r="G21" s="67" t="s">
        <v>448</v>
      </c>
      <c r="H21" s="67" t="s">
        <v>449</v>
      </c>
      <c r="I21" s="67" t="s">
        <v>450</v>
      </c>
    </row>
    <row r="22" spans="1:9" ht="15.5" x14ac:dyDescent="0.35">
      <c r="A22" s="305" t="s">
        <v>541</v>
      </c>
      <c r="B22" s="93" t="s">
        <v>51</v>
      </c>
      <c r="C22" s="170" t="s">
        <v>451</v>
      </c>
      <c r="D22" s="82" t="s">
        <v>457</v>
      </c>
      <c r="E22" s="82" t="s">
        <v>458</v>
      </c>
      <c r="F22" s="69">
        <v>284</v>
      </c>
      <c r="G22" s="94">
        <v>122267</v>
      </c>
      <c r="H22" s="95">
        <v>8247</v>
      </c>
      <c r="I22" s="94">
        <v>130514</v>
      </c>
    </row>
    <row r="23" spans="1:9" ht="15.5" x14ac:dyDescent="0.35">
      <c r="A23" s="305" t="s">
        <v>541</v>
      </c>
      <c r="B23" s="93" t="s">
        <v>52</v>
      </c>
      <c r="C23" s="170" t="s">
        <v>451</v>
      </c>
      <c r="D23" s="82" t="s">
        <v>457</v>
      </c>
      <c r="E23" s="82" t="s">
        <v>458</v>
      </c>
      <c r="F23" s="69">
        <v>284</v>
      </c>
      <c r="G23" s="94">
        <v>169704</v>
      </c>
      <c r="H23" s="95">
        <v>11447</v>
      </c>
      <c r="I23" s="94">
        <v>181151</v>
      </c>
    </row>
    <row r="24" spans="1:9" ht="15.5" x14ac:dyDescent="0.35">
      <c r="A24" s="305" t="s">
        <v>541</v>
      </c>
      <c r="B24" s="93" t="s">
        <v>53</v>
      </c>
      <c r="C24" s="170" t="s">
        <v>451</v>
      </c>
      <c r="D24" s="82" t="s">
        <v>457</v>
      </c>
      <c r="E24" s="82" t="s">
        <v>458</v>
      </c>
      <c r="F24" s="69">
        <v>284</v>
      </c>
      <c r="G24" s="94">
        <v>36299</v>
      </c>
      <c r="H24" s="95">
        <v>2448</v>
      </c>
      <c r="I24" s="94">
        <v>38747</v>
      </c>
    </row>
    <row r="25" spans="1:9" ht="15.5" x14ac:dyDescent="0.35">
      <c r="A25" s="305" t="s">
        <v>541</v>
      </c>
      <c r="B25" s="93" t="s">
        <v>45</v>
      </c>
      <c r="C25" s="170" t="s">
        <v>451</v>
      </c>
      <c r="D25" s="82" t="s">
        <v>459</v>
      </c>
      <c r="E25" s="82" t="s">
        <v>460</v>
      </c>
      <c r="F25" s="69">
        <v>283</v>
      </c>
      <c r="G25" s="94">
        <v>100886</v>
      </c>
      <c r="H25" s="95">
        <v>6416</v>
      </c>
      <c r="I25" s="94">
        <v>107302</v>
      </c>
    </row>
    <row r="26" spans="1:9" ht="15.5" x14ac:dyDescent="0.35">
      <c r="A26" s="305" t="s">
        <v>541</v>
      </c>
      <c r="B26" s="93" t="s">
        <v>46</v>
      </c>
      <c r="C26" s="170" t="s">
        <v>451</v>
      </c>
      <c r="D26" s="82" t="s">
        <v>459</v>
      </c>
      <c r="E26" s="82" t="s">
        <v>460</v>
      </c>
      <c r="F26" s="69">
        <v>283</v>
      </c>
      <c r="G26" s="94">
        <v>146000</v>
      </c>
      <c r="H26" s="95">
        <v>9761</v>
      </c>
      <c r="I26" s="94">
        <v>155761</v>
      </c>
    </row>
    <row r="27" spans="1:9" ht="15" customHeight="1" x14ac:dyDescent="0.35">
      <c r="A27" s="305" t="s">
        <v>541</v>
      </c>
      <c r="B27" s="93" t="s">
        <v>47</v>
      </c>
      <c r="C27" s="170" t="s">
        <v>451</v>
      </c>
      <c r="D27" s="82" t="s">
        <v>459</v>
      </c>
      <c r="E27" s="82" t="s">
        <v>460</v>
      </c>
      <c r="F27" s="69">
        <v>283</v>
      </c>
      <c r="G27" s="94">
        <v>99516</v>
      </c>
      <c r="H27" s="95">
        <v>6660</v>
      </c>
      <c r="I27" s="84">
        <v>106176</v>
      </c>
    </row>
    <row r="28" spans="1:9" ht="15.5" x14ac:dyDescent="0.35">
      <c r="A28" s="305" t="s">
        <v>541</v>
      </c>
      <c r="B28" s="93" t="s">
        <v>48</v>
      </c>
      <c r="C28" s="170" t="s">
        <v>451</v>
      </c>
      <c r="D28" s="82" t="s">
        <v>459</v>
      </c>
      <c r="E28" s="82" t="s">
        <v>460</v>
      </c>
      <c r="F28" s="69">
        <v>283</v>
      </c>
      <c r="G28" s="94">
        <v>74994</v>
      </c>
      <c r="H28" s="95">
        <v>5019</v>
      </c>
      <c r="I28" s="84">
        <v>80013</v>
      </c>
    </row>
    <row r="29" spans="1:9" ht="15.5" x14ac:dyDescent="0.35">
      <c r="A29" s="305" t="s">
        <v>541</v>
      </c>
      <c r="B29" s="93" t="s">
        <v>49</v>
      </c>
      <c r="C29" s="170" t="s">
        <v>451</v>
      </c>
      <c r="D29" s="82" t="s">
        <v>459</v>
      </c>
      <c r="E29" s="82" t="s">
        <v>460</v>
      </c>
      <c r="F29" s="69">
        <v>283</v>
      </c>
      <c r="G29" s="94">
        <v>83670</v>
      </c>
      <c r="H29" s="95">
        <v>5598</v>
      </c>
      <c r="I29" s="84">
        <v>89268</v>
      </c>
    </row>
    <row r="30" spans="1:9" ht="15.5" x14ac:dyDescent="0.35">
      <c r="A30" s="305" t="s">
        <v>541</v>
      </c>
      <c r="B30" s="93" t="s">
        <v>50</v>
      </c>
      <c r="C30" s="170" t="s">
        <v>451</v>
      </c>
      <c r="D30" s="82" t="s">
        <v>459</v>
      </c>
      <c r="E30" s="82" t="s">
        <v>460</v>
      </c>
      <c r="F30" s="69">
        <v>283</v>
      </c>
      <c r="G30" s="94">
        <v>69168</v>
      </c>
      <c r="H30" s="95">
        <v>4628</v>
      </c>
      <c r="I30" s="84">
        <v>73796</v>
      </c>
    </row>
    <row r="31" spans="1:9" ht="15.5" x14ac:dyDescent="0.35">
      <c r="A31" s="305" t="s">
        <v>541</v>
      </c>
      <c r="B31" s="93" t="s">
        <v>51</v>
      </c>
      <c r="C31" s="170" t="s">
        <v>451</v>
      </c>
      <c r="D31" s="82" t="s">
        <v>459</v>
      </c>
      <c r="E31" s="82" t="s">
        <v>460</v>
      </c>
      <c r="F31" s="69">
        <v>283</v>
      </c>
      <c r="G31" s="94">
        <v>59501</v>
      </c>
      <c r="H31" s="95">
        <v>3980</v>
      </c>
      <c r="I31" s="84">
        <v>63481</v>
      </c>
    </row>
    <row r="32" spans="1:9" ht="15.5" x14ac:dyDescent="0.35">
      <c r="A32" s="305" t="s">
        <v>541</v>
      </c>
      <c r="B32" s="93" t="s">
        <v>52</v>
      </c>
      <c r="C32" s="170" t="s">
        <v>451</v>
      </c>
      <c r="D32" s="82" t="s">
        <v>459</v>
      </c>
      <c r="E32" s="82" t="s">
        <v>460</v>
      </c>
      <c r="F32" s="69">
        <v>283</v>
      </c>
      <c r="G32" s="94">
        <v>75056</v>
      </c>
      <c r="H32" s="95">
        <v>5022</v>
      </c>
      <c r="I32" s="84">
        <v>80078</v>
      </c>
    </row>
    <row r="33" spans="1:9" ht="15.5" x14ac:dyDescent="0.35">
      <c r="A33" s="305" t="s">
        <v>541</v>
      </c>
      <c r="B33" s="93" t="s">
        <v>53</v>
      </c>
      <c r="C33" s="170" t="s">
        <v>451</v>
      </c>
      <c r="D33" s="82" t="s">
        <v>459</v>
      </c>
      <c r="E33" s="82" t="s">
        <v>460</v>
      </c>
      <c r="F33" s="69">
        <v>283</v>
      </c>
      <c r="G33" s="94">
        <v>56002</v>
      </c>
      <c r="H33" s="95">
        <v>3748</v>
      </c>
      <c r="I33" s="84">
        <v>59750</v>
      </c>
    </row>
    <row r="34" spans="1:9" ht="15.5" x14ac:dyDescent="0.35">
      <c r="A34" s="305" t="s">
        <v>541</v>
      </c>
      <c r="B34" s="93" t="s">
        <v>41</v>
      </c>
      <c r="C34" s="170" t="s">
        <v>451</v>
      </c>
      <c r="D34" s="82" t="s">
        <v>461</v>
      </c>
      <c r="E34" s="82" t="s">
        <v>462</v>
      </c>
      <c r="F34" s="69">
        <v>285</v>
      </c>
      <c r="G34" s="94">
        <v>77349</v>
      </c>
      <c r="H34" s="95">
        <v>4259</v>
      </c>
      <c r="I34" s="84">
        <v>81608</v>
      </c>
    </row>
    <row r="35" spans="1:9" ht="15.5" x14ac:dyDescent="0.35">
      <c r="A35" s="305" t="s">
        <v>541</v>
      </c>
      <c r="B35" s="93" t="s">
        <v>44</v>
      </c>
      <c r="C35" s="170" t="s">
        <v>451</v>
      </c>
      <c r="D35" s="82" t="s">
        <v>461</v>
      </c>
      <c r="E35" s="82" t="s">
        <v>462</v>
      </c>
      <c r="F35" s="69">
        <v>285</v>
      </c>
      <c r="G35" s="94">
        <v>518685</v>
      </c>
      <c r="H35" s="95">
        <v>30479</v>
      </c>
      <c r="I35" s="84">
        <v>549164</v>
      </c>
    </row>
    <row r="36" spans="1:9" ht="15.5" x14ac:dyDescent="0.35">
      <c r="A36" s="305" t="s">
        <v>541</v>
      </c>
      <c r="B36" s="93" t="s">
        <v>45</v>
      </c>
      <c r="C36" s="170" t="s">
        <v>451</v>
      </c>
      <c r="D36" s="82" t="s">
        <v>461</v>
      </c>
      <c r="E36" s="82" t="s">
        <v>462</v>
      </c>
      <c r="F36" s="69">
        <v>285</v>
      </c>
      <c r="G36" s="94">
        <v>669845</v>
      </c>
      <c r="H36" s="95">
        <v>42576</v>
      </c>
      <c r="I36" s="84">
        <v>712421</v>
      </c>
    </row>
    <row r="37" spans="1:9" ht="15.5" x14ac:dyDescent="0.35">
      <c r="A37" s="305" t="s">
        <v>541</v>
      </c>
      <c r="B37" s="93" t="s">
        <v>46</v>
      </c>
      <c r="C37" s="170" t="s">
        <v>451</v>
      </c>
      <c r="D37" s="82" t="s">
        <v>461</v>
      </c>
      <c r="E37" s="82" t="s">
        <v>462</v>
      </c>
      <c r="F37" s="69">
        <v>285</v>
      </c>
      <c r="G37" s="94">
        <v>661256</v>
      </c>
      <c r="H37" s="95">
        <v>44461</v>
      </c>
      <c r="I37" s="84">
        <v>705717</v>
      </c>
    </row>
    <row r="38" spans="1:9" ht="15.5" x14ac:dyDescent="0.35">
      <c r="A38" s="305" t="s">
        <v>541</v>
      </c>
      <c r="B38" s="93" t="s">
        <v>47</v>
      </c>
      <c r="C38" s="170" t="s">
        <v>451</v>
      </c>
      <c r="D38" s="82" t="s">
        <v>461</v>
      </c>
      <c r="E38" s="82" t="s">
        <v>462</v>
      </c>
      <c r="F38" s="69">
        <v>285</v>
      </c>
      <c r="G38" s="94">
        <v>608739</v>
      </c>
      <c r="H38" s="95">
        <v>41054</v>
      </c>
      <c r="I38" s="84">
        <v>649793</v>
      </c>
    </row>
    <row r="39" spans="1:9" ht="15.5" x14ac:dyDescent="0.35">
      <c r="A39" s="305" t="s">
        <v>541</v>
      </c>
      <c r="B39" s="93" t="s">
        <v>48</v>
      </c>
      <c r="C39" s="170" t="s">
        <v>451</v>
      </c>
      <c r="D39" s="82" t="s">
        <v>461</v>
      </c>
      <c r="E39" s="82" t="s">
        <v>462</v>
      </c>
      <c r="F39" s="69">
        <v>285</v>
      </c>
      <c r="G39" s="94">
        <v>520454</v>
      </c>
      <c r="H39" s="95">
        <v>35107</v>
      </c>
      <c r="I39" s="84">
        <v>555561</v>
      </c>
    </row>
    <row r="40" spans="1:9" ht="15.5" x14ac:dyDescent="0.35">
      <c r="A40" s="305" t="s">
        <v>541</v>
      </c>
      <c r="B40" s="93" t="s">
        <v>49</v>
      </c>
      <c r="C40" s="170" t="s">
        <v>451</v>
      </c>
      <c r="D40" s="82" t="s">
        <v>461</v>
      </c>
      <c r="E40" s="82" t="s">
        <v>462</v>
      </c>
      <c r="F40" s="69">
        <v>285</v>
      </c>
      <c r="G40" s="94">
        <v>423486</v>
      </c>
      <c r="H40" s="95">
        <v>28564</v>
      </c>
      <c r="I40" s="84">
        <v>452050</v>
      </c>
    </row>
    <row r="41" spans="1:9" ht="15.5" x14ac:dyDescent="0.35">
      <c r="A41" s="305" t="s">
        <v>541</v>
      </c>
      <c r="B41" s="93" t="s">
        <v>50</v>
      </c>
      <c r="C41" s="170" t="s">
        <v>451</v>
      </c>
      <c r="D41" s="82" t="s">
        <v>461</v>
      </c>
      <c r="E41" s="82" t="s">
        <v>462</v>
      </c>
      <c r="F41" s="69">
        <v>285</v>
      </c>
      <c r="G41" s="94">
        <v>389996</v>
      </c>
      <c r="H41" s="95">
        <v>26307</v>
      </c>
      <c r="I41" s="84">
        <v>416303</v>
      </c>
    </row>
    <row r="42" spans="1:9" ht="15.5" x14ac:dyDescent="0.35">
      <c r="A42" s="305" t="s">
        <v>541</v>
      </c>
      <c r="B42" s="93" t="s">
        <v>51</v>
      </c>
      <c r="C42" s="170" t="s">
        <v>451</v>
      </c>
      <c r="D42" s="82" t="s">
        <v>461</v>
      </c>
      <c r="E42" s="82" t="s">
        <v>462</v>
      </c>
      <c r="F42" s="69">
        <v>285</v>
      </c>
      <c r="G42" s="94">
        <v>397782</v>
      </c>
      <c r="H42" s="95">
        <v>26829</v>
      </c>
      <c r="I42" s="84">
        <v>424611</v>
      </c>
    </row>
    <row r="43" spans="1:9" ht="16.5" customHeight="1" x14ac:dyDescent="0.35">
      <c r="A43" s="305" t="s">
        <v>541</v>
      </c>
      <c r="B43" s="93" t="s">
        <v>52</v>
      </c>
      <c r="C43" s="170" t="s">
        <v>451</v>
      </c>
      <c r="D43" s="82" t="s">
        <v>461</v>
      </c>
      <c r="E43" s="82" t="s">
        <v>462</v>
      </c>
      <c r="F43" s="69">
        <v>285</v>
      </c>
      <c r="G43" s="94">
        <v>171461</v>
      </c>
      <c r="H43" s="95">
        <v>11563</v>
      </c>
      <c r="I43" s="84">
        <v>183024</v>
      </c>
    </row>
    <row r="44" spans="1:9" ht="15.5" x14ac:dyDescent="0.35">
      <c r="A44" s="305" t="s">
        <v>541</v>
      </c>
      <c r="B44" s="93" t="s">
        <v>49</v>
      </c>
      <c r="C44" s="170" t="s">
        <v>451</v>
      </c>
      <c r="D44" s="82" t="s">
        <v>463</v>
      </c>
      <c r="E44" s="82" t="s">
        <v>464</v>
      </c>
      <c r="F44" s="69">
        <v>282</v>
      </c>
      <c r="G44" s="94">
        <v>126355</v>
      </c>
      <c r="H44" s="95">
        <v>8329</v>
      </c>
      <c r="I44" s="84">
        <v>134684</v>
      </c>
    </row>
    <row r="45" spans="1:9" ht="15.5" x14ac:dyDescent="0.35">
      <c r="A45" s="305" t="s">
        <v>541</v>
      </c>
      <c r="B45" s="93" t="s">
        <v>50</v>
      </c>
      <c r="C45" s="170" t="s">
        <v>451</v>
      </c>
      <c r="D45" s="82" t="s">
        <v>463</v>
      </c>
      <c r="E45" s="82" t="s">
        <v>464</v>
      </c>
      <c r="F45" s="69">
        <v>282</v>
      </c>
      <c r="G45" s="94">
        <v>6650521</v>
      </c>
      <c r="H45" s="95">
        <v>439560</v>
      </c>
      <c r="I45" s="84">
        <v>7090081</v>
      </c>
    </row>
    <row r="46" spans="1:9" ht="15.5" x14ac:dyDescent="0.35">
      <c r="A46" s="305" t="s">
        <v>541</v>
      </c>
      <c r="B46" s="93" t="s">
        <v>51</v>
      </c>
      <c r="C46" s="170" t="s">
        <v>451</v>
      </c>
      <c r="D46" s="82" t="s">
        <v>463</v>
      </c>
      <c r="E46" s="82" t="s">
        <v>464</v>
      </c>
      <c r="F46" s="69">
        <v>282</v>
      </c>
      <c r="G46" s="94">
        <v>3008618</v>
      </c>
      <c r="H46" s="95">
        <v>198326</v>
      </c>
      <c r="I46" s="84">
        <v>3206944</v>
      </c>
    </row>
    <row r="47" spans="1:9" ht="15.5" x14ac:dyDescent="0.35">
      <c r="A47" s="305" t="s">
        <v>541</v>
      </c>
      <c r="B47" s="93" t="s">
        <v>52</v>
      </c>
      <c r="C47" s="170" t="s">
        <v>451</v>
      </c>
      <c r="D47" s="82" t="s">
        <v>463</v>
      </c>
      <c r="E47" s="82" t="s">
        <v>464</v>
      </c>
      <c r="F47" s="69">
        <v>282</v>
      </c>
      <c r="G47" s="94">
        <v>70053</v>
      </c>
      <c r="H47" s="95">
        <v>4617</v>
      </c>
      <c r="I47" s="84">
        <v>74670</v>
      </c>
    </row>
    <row r="48" spans="1:9" ht="15.5" x14ac:dyDescent="0.35">
      <c r="A48" s="305" t="s">
        <v>541</v>
      </c>
      <c r="B48" s="93" t="s">
        <v>53</v>
      </c>
      <c r="C48" s="170" t="s">
        <v>451</v>
      </c>
      <c r="D48" s="82" t="s">
        <v>463</v>
      </c>
      <c r="E48" s="82" t="s">
        <v>464</v>
      </c>
      <c r="F48" s="69">
        <v>282</v>
      </c>
      <c r="G48" s="94">
        <v>4292</v>
      </c>
      <c r="H48" s="95">
        <v>283</v>
      </c>
      <c r="I48" s="84">
        <v>4575</v>
      </c>
    </row>
    <row r="49" spans="1:9 16369:16369" ht="15.5" x14ac:dyDescent="0.35">
      <c r="A49" s="286" t="s">
        <v>543</v>
      </c>
      <c r="B49" s="162" t="s">
        <v>529</v>
      </c>
      <c r="C49" s="162" t="s">
        <v>529</v>
      </c>
      <c r="D49" s="162" t="s">
        <v>529</v>
      </c>
      <c r="E49" s="162" t="s">
        <v>529</v>
      </c>
      <c r="F49" s="162" t="s">
        <v>529</v>
      </c>
      <c r="G49" s="248">
        <f>SUBTOTAL(109,localexpiredandrepealed[Program 
Payments and Offsets])</f>
        <v>15391955</v>
      </c>
      <c r="H49" s="248">
        <f>SUBTOTAL(109,localexpiredandrepealed[Interest
Payments and Offsets])</f>
        <v>1015288</v>
      </c>
      <c r="I49" s="248">
        <f>SUBTOTAL(109,localexpiredandrepealed[Total 
Payments])</f>
        <v>16407243</v>
      </c>
    </row>
    <row r="50" spans="1:9 16369:16369" ht="15.5" x14ac:dyDescent="0.35">
      <c r="A50" s="289" t="s">
        <v>540</v>
      </c>
      <c r="B50" s="173"/>
      <c r="C50" s="173"/>
      <c r="D50" s="173"/>
      <c r="E50" s="173"/>
      <c r="F50" s="173"/>
      <c r="G50" s="174"/>
      <c r="H50" s="174"/>
      <c r="I50" s="174"/>
    </row>
    <row r="51" spans="1:9 16369:16369" ht="46.5" x14ac:dyDescent="0.35">
      <c r="A51" s="67" t="s">
        <v>569</v>
      </c>
      <c r="B51" s="158" t="s">
        <v>434</v>
      </c>
      <c r="C51" s="158" t="s">
        <v>538</v>
      </c>
      <c r="D51" s="158" t="s">
        <v>435</v>
      </c>
      <c r="E51" s="158" t="s">
        <v>436</v>
      </c>
      <c r="F51" s="158" t="s">
        <v>437</v>
      </c>
      <c r="G51" s="158" t="s">
        <v>448</v>
      </c>
      <c r="H51" s="158" t="s">
        <v>449</v>
      </c>
      <c r="I51" s="158" t="s">
        <v>450</v>
      </c>
    </row>
    <row r="52" spans="1:9 16369:16369" ht="15.5" x14ac:dyDescent="0.35">
      <c r="A52" s="83" t="s">
        <v>542</v>
      </c>
      <c r="B52" s="93" t="s">
        <v>4</v>
      </c>
      <c r="C52" s="93" t="s">
        <v>465</v>
      </c>
      <c r="D52" s="82" t="s">
        <v>19</v>
      </c>
      <c r="E52" s="82" t="s">
        <v>20</v>
      </c>
      <c r="F52" s="69">
        <v>167</v>
      </c>
      <c r="G52" s="84">
        <v>292</v>
      </c>
      <c r="H52" s="345">
        <v>0</v>
      </c>
      <c r="I52" s="94">
        <v>292</v>
      </c>
      <c r="XEO52" s="44">
        <f>SUM(G52:XEN52)</f>
        <v>584</v>
      </c>
    </row>
    <row r="53" spans="1:9 16369:16369" ht="15" customHeight="1" x14ac:dyDescent="0.35">
      <c r="A53" s="83" t="s">
        <v>542</v>
      </c>
      <c r="B53" s="93" t="s">
        <v>2</v>
      </c>
      <c r="C53" s="93" t="s">
        <v>465</v>
      </c>
      <c r="D53" s="82" t="s">
        <v>19</v>
      </c>
      <c r="E53" s="82" t="s">
        <v>20</v>
      </c>
      <c r="F53" s="69">
        <v>167</v>
      </c>
      <c r="G53" s="94">
        <v>372</v>
      </c>
      <c r="H53" s="345">
        <v>0</v>
      </c>
      <c r="I53" s="94">
        <f>G53+H53</f>
        <v>372</v>
      </c>
    </row>
    <row r="54" spans="1:9 16369:16369" ht="15.5" x14ac:dyDescent="0.35">
      <c r="A54" s="286" t="s">
        <v>466</v>
      </c>
      <c r="B54" s="162" t="s">
        <v>529</v>
      </c>
      <c r="C54" s="162" t="s">
        <v>529</v>
      </c>
      <c r="D54" s="162" t="s">
        <v>529</v>
      </c>
      <c r="E54" s="162" t="s">
        <v>529</v>
      </c>
      <c r="F54" s="162" t="s">
        <v>529</v>
      </c>
      <c r="G54" s="248">
        <f>SUBTOTAL(109,localannualclaim18[Program 
Payments and Offsets])</f>
        <v>664</v>
      </c>
      <c r="H54" s="342" t="s">
        <v>582</v>
      </c>
      <c r="I54" s="248">
        <f>SUBTOTAL(109,localannualclaim18[Total 
Payments])</f>
        <v>664</v>
      </c>
    </row>
    <row r="55" spans="1:9 16369:16369" ht="15.5" x14ac:dyDescent="0.35">
      <c r="A55" s="289" t="s">
        <v>540</v>
      </c>
      <c r="B55" s="173"/>
      <c r="C55" s="173"/>
      <c r="D55" s="173"/>
      <c r="E55" s="173"/>
      <c r="F55" s="173"/>
      <c r="G55" s="174"/>
      <c r="H55" s="174"/>
      <c r="I55" s="174"/>
    </row>
    <row r="56" spans="1:9 16369:16369" ht="46.5" x14ac:dyDescent="0.35">
      <c r="A56" s="67" t="s">
        <v>569</v>
      </c>
      <c r="B56" s="158" t="s">
        <v>434</v>
      </c>
      <c r="C56" s="158" t="s">
        <v>538</v>
      </c>
      <c r="D56" s="158" t="s">
        <v>435</v>
      </c>
      <c r="E56" s="158" t="s">
        <v>436</v>
      </c>
      <c r="F56" s="158" t="s">
        <v>437</v>
      </c>
      <c r="G56" s="158" t="s">
        <v>448</v>
      </c>
      <c r="H56" s="158" t="s">
        <v>449</v>
      </c>
      <c r="I56" s="158" t="s">
        <v>450</v>
      </c>
    </row>
    <row r="57" spans="1:9 16369:16369" ht="15.5" x14ac:dyDescent="0.35">
      <c r="A57" s="83" t="s">
        <v>542</v>
      </c>
      <c r="B57" s="93" t="s">
        <v>2</v>
      </c>
      <c r="C57" s="93" t="s">
        <v>467</v>
      </c>
      <c r="D57" s="82" t="s">
        <v>19</v>
      </c>
      <c r="E57" s="82" t="s">
        <v>20</v>
      </c>
      <c r="F57" s="69">
        <v>167</v>
      </c>
      <c r="G57" s="84">
        <v>702</v>
      </c>
      <c r="H57" s="345">
        <v>0</v>
      </c>
      <c r="I57" s="94">
        <f>G57+H57</f>
        <v>702</v>
      </c>
    </row>
    <row r="58" spans="1:9 16369:16369" ht="15.5" x14ac:dyDescent="0.35">
      <c r="A58" s="286" t="s">
        <v>561</v>
      </c>
      <c r="B58" s="162" t="s">
        <v>529</v>
      </c>
      <c r="C58" s="162" t="s">
        <v>529</v>
      </c>
      <c r="D58" s="283" t="s">
        <v>529</v>
      </c>
      <c r="E58" s="283" t="s">
        <v>529</v>
      </c>
      <c r="F58" s="162" t="s">
        <v>529</v>
      </c>
      <c r="G58" s="248">
        <f>SUBTOTAL(109,localannualclaim17[Program 
Payments and Offsets])</f>
        <v>702</v>
      </c>
      <c r="H58" s="342" t="s">
        <v>582</v>
      </c>
      <c r="I58" s="248">
        <f>SUBTOTAL(109,localannualclaim17[Total 
Payments])</f>
        <v>702</v>
      </c>
    </row>
    <row r="59" spans="1:9 16369:16369" ht="15.5" x14ac:dyDescent="0.35">
      <c r="A59" s="289" t="s">
        <v>540</v>
      </c>
      <c r="B59" s="173"/>
      <c r="C59" s="173"/>
      <c r="D59" s="276"/>
      <c r="E59" s="276"/>
      <c r="F59" s="173"/>
      <c r="G59" s="174"/>
      <c r="H59" s="174"/>
      <c r="I59" s="174"/>
    </row>
    <row r="60" spans="1:9 16369:16369" ht="46.5" x14ac:dyDescent="0.35">
      <c r="A60" s="67" t="s">
        <v>569</v>
      </c>
      <c r="B60" s="158" t="s">
        <v>434</v>
      </c>
      <c r="C60" s="158" t="s">
        <v>538</v>
      </c>
      <c r="D60" s="158" t="s">
        <v>435</v>
      </c>
      <c r="E60" s="158" t="s">
        <v>436</v>
      </c>
      <c r="F60" s="158" t="s">
        <v>437</v>
      </c>
      <c r="G60" s="158" t="s">
        <v>448</v>
      </c>
      <c r="H60" s="158" t="s">
        <v>449</v>
      </c>
      <c r="I60" s="158" t="s">
        <v>450</v>
      </c>
    </row>
    <row r="61" spans="1:9 16369:16369" ht="15.5" x14ac:dyDescent="0.35">
      <c r="A61" s="98" t="s">
        <v>563</v>
      </c>
      <c r="B61" s="97" t="s">
        <v>399</v>
      </c>
      <c r="C61" s="97" t="s">
        <v>468</v>
      </c>
      <c r="D61" s="82" t="s">
        <v>57</v>
      </c>
      <c r="E61" s="98" t="s">
        <v>58</v>
      </c>
      <c r="F61" s="97">
        <v>246</v>
      </c>
      <c r="G61" s="84">
        <v>1899274</v>
      </c>
      <c r="H61" s="345">
        <v>0</v>
      </c>
      <c r="I61" s="84">
        <v>1899274</v>
      </c>
    </row>
    <row r="62" spans="1:9 16369:16369" ht="15" customHeight="1" x14ac:dyDescent="0.35">
      <c r="A62" s="281" t="s">
        <v>469</v>
      </c>
      <c r="B62" s="282" t="s">
        <v>529</v>
      </c>
      <c r="C62" s="282" t="s">
        <v>529</v>
      </c>
      <c r="D62" s="283" t="s">
        <v>529</v>
      </c>
      <c r="E62" s="284" t="s">
        <v>529</v>
      </c>
      <c r="F62" s="282" t="s">
        <v>529</v>
      </c>
      <c r="G62" s="248">
        <f>SUBTOTAL(109,localmotor19[Program 
Payments and Offsets])</f>
        <v>1899274</v>
      </c>
      <c r="H62" s="342" t="s">
        <v>582</v>
      </c>
      <c r="I62" s="248">
        <f>SUBTOTAL(109,localmotor19[Total 
Payments])</f>
        <v>1899274</v>
      </c>
    </row>
    <row r="63" spans="1:9 16369:16369" ht="15" customHeight="1" x14ac:dyDescent="0.35">
      <c r="A63" s="290" t="s">
        <v>540</v>
      </c>
      <c r="B63" s="91"/>
      <c r="C63" s="91"/>
      <c r="D63" s="163"/>
      <c r="E63" s="162"/>
      <c r="F63" s="162"/>
      <c r="G63" s="92"/>
      <c r="H63" s="92"/>
      <c r="I63" s="92"/>
    </row>
    <row r="64" spans="1:9 16369:16369" ht="46.5" x14ac:dyDescent="0.35">
      <c r="A64" s="67" t="s">
        <v>569</v>
      </c>
      <c r="B64" s="158" t="s">
        <v>434</v>
      </c>
      <c r="C64" s="158" t="s">
        <v>538</v>
      </c>
      <c r="D64" s="158" t="s">
        <v>435</v>
      </c>
      <c r="E64" s="158" t="s">
        <v>436</v>
      </c>
      <c r="F64" s="158" t="s">
        <v>437</v>
      </c>
      <c r="G64" s="158" t="s">
        <v>448</v>
      </c>
      <c r="H64" s="158" t="s">
        <v>449</v>
      </c>
      <c r="I64" s="158" t="s">
        <v>450</v>
      </c>
    </row>
    <row r="65" spans="1:9" ht="15.5" x14ac:dyDescent="0.35">
      <c r="A65" s="100" t="s">
        <v>563</v>
      </c>
      <c r="B65" s="99" t="s">
        <v>4</v>
      </c>
      <c r="C65" s="99" t="s">
        <v>470</v>
      </c>
      <c r="D65" s="82" t="s">
        <v>57</v>
      </c>
      <c r="E65" s="98" t="s">
        <v>58</v>
      </c>
      <c r="F65" s="97">
        <v>246</v>
      </c>
      <c r="G65" s="279">
        <v>15445</v>
      </c>
      <c r="H65" s="345">
        <v>0</v>
      </c>
      <c r="I65" s="101">
        <v>15445</v>
      </c>
    </row>
    <row r="66" spans="1:9" ht="15.5" x14ac:dyDescent="0.35">
      <c r="A66" s="281" t="s">
        <v>471</v>
      </c>
      <c r="B66" s="282" t="s">
        <v>529</v>
      </c>
      <c r="C66" s="282" t="s">
        <v>529</v>
      </c>
      <c r="D66" s="283" t="s">
        <v>529</v>
      </c>
      <c r="E66" s="284" t="s">
        <v>529</v>
      </c>
      <c r="F66" s="282" t="s">
        <v>529</v>
      </c>
      <c r="G66" s="248">
        <f>SUBTOTAL(109,localmotor18[Program 
Payments and Offsets])</f>
        <v>15445</v>
      </c>
      <c r="H66" s="342" t="s">
        <v>582</v>
      </c>
      <c r="I66" s="248">
        <f>SUBTOTAL(109,localmotor18[Total 
Payments])</f>
        <v>15445</v>
      </c>
    </row>
    <row r="67" spans="1:9" ht="15.5" x14ac:dyDescent="0.35">
      <c r="A67" s="291" t="s">
        <v>540</v>
      </c>
      <c r="B67" s="277"/>
      <c r="C67" s="277"/>
      <c r="D67" s="276"/>
      <c r="E67" s="278"/>
      <c r="F67" s="277"/>
      <c r="G67" s="280"/>
      <c r="H67" s="280"/>
      <c r="I67" s="280"/>
    </row>
    <row r="68" spans="1:9" ht="46.5" x14ac:dyDescent="0.35">
      <c r="A68" s="67" t="s">
        <v>569</v>
      </c>
      <c r="B68" s="158" t="s">
        <v>434</v>
      </c>
      <c r="C68" s="158" t="s">
        <v>538</v>
      </c>
      <c r="D68" s="158" t="s">
        <v>435</v>
      </c>
      <c r="E68" s="158" t="s">
        <v>436</v>
      </c>
      <c r="F68" s="158" t="s">
        <v>437</v>
      </c>
      <c r="G68" s="158" t="s">
        <v>448</v>
      </c>
      <c r="H68" s="158" t="s">
        <v>449</v>
      </c>
      <c r="I68" s="158" t="s">
        <v>450</v>
      </c>
    </row>
    <row r="69" spans="1:9" ht="15.5" x14ac:dyDescent="0.35">
      <c r="A69" s="100" t="s">
        <v>562</v>
      </c>
      <c r="B69" s="99" t="s">
        <v>399</v>
      </c>
      <c r="C69" s="99" t="s">
        <v>472</v>
      </c>
      <c r="D69" s="85" t="s">
        <v>59</v>
      </c>
      <c r="E69" s="100" t="s">
        <v>60</v>
      </c>
      <c r="F69" s="99">
        <v>121</v>
      </c>
      <c r="G69" s="101">
        <v>43051</v>
      </c>
      <c r="H69" s="345">
        <v>0</v>
      </c>
      <c r="I69" s="101">
        <v>43051</v>
      </c>
    </row>
    <row r="70" spans="1:9" ht="15.5" x14ac:dyDescent="0.35">
      <c r="A70" s="281" t="s">
        <v>473</v>
      </c>
      <c r="B70" s="282" t="s">
        <v>529</v>
      </c>
      <c r="C70" s="282" t="s">
        <v>529</v>
      </c>
      <c r="D70" s="283" t="s">
        <v>529</v>
      </c>
      <c r="E70" s="284" t="s">
        <v>529</v>
      </c>
      <c r="F70" s="282" t="s">
        <v>529</v>
      </c>
      <c r="G70" s="285">
        <f>SUBTOTAL(109,localpest19[Program 
Payments and Offsets])</f>
        <v>43051</v>
      </c>
      <c r="H70" s="342" t="s">
        <v>582</v>
      </c>
      <c r="I70" s="285">
        <f>SUBTOTAL(109,localpest19[Total 
Payments])</f>
        <v>43051</v>
      </c>
    </row>
    <row r="71" spans="1:9" ht="15.5" x14ac:dyDescent="0.35">
      <c r="A71" s="294" t="s">
        <v>540</v>
      </c>
      <c r="B71" s="292"/>
      <c r="C71" s="292"/>
      <c r="D71" s="293"/>
      <c r="E71" s="294"/>
      <c r="F71" s="292"/>
      <c r="G71" s="295"/>
      <c r="H71" s="295"/>
      <c r="I71" s="295"/>
    </row>
    <row r="72" spans="1:9" ht="46.5" x14ac:dyDescent="0.35">
      <c r="A72" s="67" t="s">
        <v>569</v>
      </c>
      <c r="B72" s="158" t="s">
        <v>434</v>
      </c>
      <c r="C72" s="158" t="s">
        <v>538</v>
      </c>
      <c r="D72" s="158" t="s">
        <v>435</v>
      </c>
      <c r="E72" s="158" t="s">
        <v>436</v>
      </c>
      <c r="F72" s="158" t="s">
        <v>437</v>
      </c>
      <c r="G72" s="158" t="s">
        <v>448</v>
      </c>
      <c r="H72" s="158" t="s">
        <v>449</v>
      </c>
      <c r="I72" s="158" t="s">
        <v>450</v>
      </c>
    </row>
    <row r="73" spans="1:9" ht="15.5" x14ac:dyDescent="0.35">
      <c r="A73" s="304" t="s">
        <v>542</v>
      </c>
      <c r="B73" s="317" t="s">
        <v>529</v>
      </c>
      <c r="C73" s="297" t="s">
        <v>451</v>
      </c>
      <c r="D73" s="318" t="s">
        <v>529</v>
      </c>
      <c r="E73" s="318" t="s">
        <v>529</v>
      </c>
      <c r="F73" s="173" t="s">
        <v>529</v>
      </c>
      <c r="G73" s="298">
        <f>localannualclaim19[[#Totals],[Program 
Payments and Offsets]]</f>
        <v>35869999</v>
      </c>
      <c r="H73" s="347" t="str">
        <f>localannualclaim19[[#Totals],[Interest
Payments and Offsets]]</f>
        <v xml:space="preserve">$0 </v>
      </c>
      <c r="I73" s="298">
        <f>H73+G73</f>
        <v>35869999</v>
      </c>
    </row>
    <row r="74" spans="1:9" ht="15.5" x14ac:dyDescent="0.35">
      <c r="A74" s="304" t="s">
        <v>541</v>
      </c>
      <c r="B74" s="317" t="s">
        <v>529</v>
      </c>
      <c r="C74" s="297" t="s">
        <v>451</v>
      </c>
      <c r="D74" s="318" t="s">
        <v>529</v>
      </c>
      <c r="E74" s="318" t="s">
        <v>529</v>
      </c>
      <c r="F74" s="173" t="s">
        <v>529</v>
      </c>
      <c r="G74" s="298">
        <f>localexpiredandrepealed[[#Totals],[Program 
Payments and Offsets]]</f>
        <v>15391955</v>
      </c>
      <c r="H74" s="347">
        <f>localexpiredandrepealed[[#Totals],[Interest
Payments and Offsets]]</f>
        <v>1015288</v>
      </c>
      <c r="I74" s="298">
        <f t="shared" ref="I74:I79" si="0">H74+G74</f>
        <v>16407243</v>
      </c>
    </row>
    <row r="75" spans="1:9" ht="15.5" x14ac:dyDescent="0.35">
      <c r="A75" s="305" t="s">
        <v>542</v>
      </c>
      <c r="B75" s="317" t="s">
        <v>529</v>
      </c>
      <c r="C75" s="93" t="s">
        <v>465</v>
      </c>
      <c r="D75" s="318" t="s">
        <v>529</v>
      </c>
      <c r="E75" s="318" t="s">
        <v>529</v>
      </c>
      <c r="F75" s="173" t="s">
        <v>529</v>
      </c>
      <c r="G75" s="298">
        <f>localannualclaim18[[#Totals],[Program 
Payments and Offsets]]</f>
        <v>664</v>
      </c>
      <c r="H75" s="347" t="str">
        <f>localannualclaim18[[#Totals],[Interest
Payments and Offsets]]</f>
        <v xml:space="preserve">$0 </v>
      </c>
      <c r="I75" s="298">
        <f t="shared" si="0"/>
        <v>664</v>
      </c>
    </row>
    <row r="76" spans="1:9" ht="15.5" x14ac:dyDescent="0.35">
      <c r="A76" s="305" t="s">
        <v>542</v>
      </c>
      <c r="B76" s="317" t="s">
        <v>529</v>
      </c>
      <c r="C76" s="93" t="s">
        <v>467</v>
      </c>
      <c r="D76" s="318" t="s">
        <v>529</v>
      </c>
      <c r="E76" s="318" t="s">
        <v>529</v>
      </c>
      <c r="F76" s="173" t="s">
        <v>529</v>
      </c>
      <c r="G76" s="298">
        <f>localannualclaim17[[#Totals],[Program 
Payments and Offsets]]</f>
        <v>702</v>
      </c>
      <c r="H76" s="347" t="str">
        <f>localannualclaim17[[#Totals],[Interest
Payments and Offsets]]</f>
        <v xml:space="preserve">$0 </v>
      </c>
      <c r="I76" s="298">
        <f t="shared" si="0"/>
        <v>702</v>
      </c>
    </row>
    <row r="77" spans="1:9" ht="15.5" x14ac:dyDescent="0.35">
      <c r="A77" s="304" t="s">
        <v>563</v>
      </c>
      <c r="B77" s="317" t="s">
        <v>529</v>
      </c>
      <c r="C77" s="97" t="s">
        <v>468</v>
      </c>
      <c r="D77" s="318" t="s">
        <v>529</v>
      </c>
      <c r="E77" s="318" t="s">
        <v>529</v>
      </c>
      <c r="F77" s="173" t="s">
        <v>529</v>
      </c>
      <c r="G77" s="298">
        <f>localmotor19[[#Totals],[Program 
Payments and Offsets]]</f>
        <v>1899274</v>
      </c>
      <c r="H77" s="347" t="str">
        <f>localmotor19[[#Totals],[Interest
Payments and Offsets]]</f>
        <v xml:space="preserve">$0 </v>
      </c>
      <c r="I77" s="298">
        <f t="shared" si="0"/>
        <v>1899274</v>
      </c>
    </row>
    <row r="78" spans="1:9" ht="15.5" x14ac:dyDescent="0.35">
      <c r="A78" s="304" t="s">
        <v>563</v>
      </c>
      <c r="B78" s="317" t="s">
        <v>529</v>
      </c>
      <c r="C78" s="99" t="s">
        <v>470</v>
      </c>
      <c r="D78" s="318" t="s">
        <v>529</v>
      </c>
      <c r="E78" s="318" t="s">
        <v>529</v>
      </c>
      <c r="F78" s="173" t="s">
        <v>529</v>
      </c>
      <c r="G78" s="298">
        <f>localmotor18[[#Totals],[Program 
Payments and Offsets]]</f>
        <v>15445</v>
      </c>
      <c r="H78" s="347" t="str">
        <f>localmotor18[[#Totals],[Interest
Payments and Offsets]]</f>
        <v xml:space="preserve">$0 </v>
      </c>
      <c r="I78" s="298">
        <f t="shared" si="0"/>
        <v>15445</v>
      </c>
    </row>
    <row r="79" spans="1:9" ht="15.5" x14ac:dyDescent="0.35">
      <c r="A79" s="304" t="s">
        <v>562</v>
      </c>
      <c r="B79" s="317" t="s">
        <v>529</v>
      </c>
      <c r="C79" s="99" t="s">
        <v>472</v>
      </c>
      <c r="D79" s="318" t="s">
        <v>529</v>
      </c>
      <c r="E79" s="318" t="s">
        <v>529</v>
      </c>
      <c r="F79" s="173" t="s">
        <v>529</v>
      </c>
      <c r="G79" s="298">
        <f>localpest19[[#Totals],[Program 
Payments and Offsets]]</f>
        <v>43051</v>
      </c>
      <c r="H79" s="347" t="str">
        <f>localpest19[[#Totals],[Interest
Payments and Offsets]]</f>
        <v xml:space="preserve">$0 </v>
      </c>
      <c r="I79" s="298">
        <f t="shared" si="0"/>
        <v>43051</v>
      </c>
    </row>
    <row r="80" spans="1:9" ht="15.5" x14ac:dyDescent="0.35">
      <c r="A80" s="505" t="s">
        <v>557</v>
      </c>
      <c r="B80" s="506" t="s">
        <v>529</v>
      </c>
      <c r="C80" s="507" t="s">
        <v>552</v>
      </c>
      <c r="D80" s="507" t="s">
        <v>552</v>
      </c>
      <c r="E80" s="507" t="s">
        <v>552</v>
      </c>
      <c r="F80" s="508" t="s">
        <v>529</v>
      </c>
      <c r="G80" s="509">
        <f>SUBTOTAL(109,localgrandtotala1[Program 
Payments and Offsets])</f>
        <v>53221090</v>
      </c>
      <c r="H80" s="509">
        <f>SUBTOTAL(109,localgrandtotala1[Interest
Payments and Offsets])</f>
        <v>1015288</v>
      </c>
      <c r="I80" s="509">
        <f>SUBTOTAL(109,localgrandtotala1[Total 
Payments])</f>
        <v>54236378</v>
      </c>
    </row>
    <row r="81" spans="9:9" x14ac:dyDescent="0.35">
      <c r="I81" s="38"/>
    </row>
    <row r="82" spans="9:9" x14ac:dyDescent="0.35">
      <c r="I82" s="38"/>
    </row>
    <row r="83" spans="9:9" x14ac:dyDescent="0.35">
      <c r="I83" s="38"/>
    </row>
    <row r="84" spans="9:9" x14ac:dyDescent="0.35">
      <c r="I84" s="38"/>
    </row>
    <row r="85" spans="9:9" x14ac:dyDescent="0.35">
      <c r="I85" s="38"/>
    </row>
    <row r="86" spans="9:9" x14ac:dyDescent="0.35">
      <c r="I86" s="38"/>
    </row>
    <row r="87" spans="9:9" x14ac:dyDescent="0.35">
      <c r="I87" s="38"/>
    </row>
    <row r="88" spans="9:9" x14ac:dyDescent="0.35">
      <c r="I88" s="38"/>
    </row>
    <row r="89" spans="9:9" x14ac:dyDescent="0.35">
      <c r="I89" s="38"/>
    </row>
    <row r="90" spans="9:9" x14ac:dyDescent="0.35">
      <c r="I90" s="38"/>
    </row>
    <row r="91" spans="9:9" x14ac:dyDescent="0.35">
      <c r="I91" s="38"/>
    </row>
    <row r="92" spans="9:9" x14ac:dyDescent="0.35">
      <c r="I92" s="38"/>
    </row>
    <row r="93" spans="9:9" x14ac:dyDescent="0.35">
      <c r="I93" s="38"/>
    </row>
    <row r="94" spans="9:9" x14ac:dyDescent="0.35">
      <c r="I94" s="38"/>
    </row>
    <row r="95" spans="9:9" x14ac:dyDescent="0.35">
      <c r="I95" s="38"/>
    </row>
    <row r="96" spans="9:9" x14ac:dyDescent="0.35">
      <c r="I96" s="38"/>
    </row>
    <row r="97" spans="9:9" x14ac:dyDescent="0.35">
      <c r="I97" s="38"/>
    </row>
    <row r="98" spans="9:9" x14ac:dyDescent="0.35">
      <c r="I98" s="38"/>
    </row>
    <row r="99" spans="9:9" x14ac:dyDescent="0.35">
      <c r="I99" s="38"/>
    </row>
    <row r="100" spans="9:9" x14ac:dyDescent="0.35">
      <c r="I100" s="38"/>
    </row>
    <row r="101" spans="9:9" x14ac:dyDescent="0.35">
      <c r="I101" s="38"/>
    </row>
    <row r="102" spans="9:9" x14ac:dyDescent="0.35">
      <c r="I102" s="38"/>
    </row>
    <row r="103" spans="9:9" x14ac:dyDescent="0.35">
      <c r="I103" s="38"/>
    </row>
    <row r="104" spans="9:9" x14ac:dyDescent="0.35">
      <c r="I104" s="38"/>
    </row>
    <row r="105" spans="9:9" x14ac:dyDescent="0.35">
      <c r="I105" s="38"/>
    </row>
    <row r="106" spans="9:9" x14ac:dyDescent="0.35">
      <c r="I106" s="38"/>
    </row>
    <row r="107" spans="9:9" x14ac:dyDescent="0.35">
      <c r="I107" s="38"/>
    </row>
    <row r="108" spans="9:9" x14ac:dyDescent="0.35">
      <c r="I108" s="38"/>
    </row>
    <row r="109" spans="9:9" x14ac:dyDescent="0.35">
      <c r="I109" s="38"/>
    </row>
    <row r="110" spans="9:9" x14ac:dyDescent="0.35">
      <c r="I110" s="38"/>
    </row>
    <row r="111" spans="9:9" x14ac:dyDescent="0.35">
      <c r="I111" s="38"/>
    </row>
    <row r="112" spans="9:9" x14ac:dyDescent="0.35">
      <c r="I112" s="38"/>
    </row>
    <row r="113" spans="9:9" x14ac:dyDescent="0.35">
      <c r="I113" s="38"/>
    </row>
    <row r="114" spans="9:9" x14ac:dyDescent="0.35">
      <c r="I114" s="38"/>
    </row>
    <row r="115" spans="9:9" x14ac:dyDescent="0.35">
      <c r="I115" s="38"/>
    </row>
    <row r="116" spans="9:9" x14ac:dyDescent="0.35">
      <c r="I116" s="38"/>
    </row>
    <row r="117" spans="9:9" x14ac:dyDescent="0.35">
      <c r="I117" s="38"/>
    </row>
    <row r="118" spans="9:9" x14ac:dyDescent="0.35">
      <c r="I118" s="38"/>
    </row>
    <row r="119" spans="9:9" x14ac:dyDescent="0.35">
      <c r="I119" s="38"/>
    </row>
    <row r="120" spans="9:9" x14ac:dyDescent="0.35">
      <c r="I120" s="38"/>
    </row>
    <row r="121" spans="9:9" x14ac:dyDescent="0.35">
      <c r="I121" s="38"/>
    </row>
    <row r="122" spans="9:9" x14ac:dyDescent="0.35">
      <c r="I122" s="38"/>
    </row>
    <row r="123" spans="9:9" x14ac:dyDescent="0.35">
      <c r="I123" s="38"/>
    </row>
    <row r="124" spans="9:9" x14ac:dyDescent="0.35">
      <c r="I124" s="38"/>
    </row>
    <row r="125" spans="9:9" x14ac:dyDescent="0.35">
      <c r="I125" s="38"/>
    </row>
    <row r="126" spans="9:9" x14ac:dyDescent="0.35">
      <c r="I126" s="38"/>
    </row>
    <row r="127" spans="9:9" x14ac:dyDescent="0.35">
      <c r="I127" s="38"/>
    </row>
    <row r="128" spans="9:9" x14ac:dyDescent="0.35">
      <c r="I128" s="38"/>
    </row>
    <row r="129" spans="9:9" x14ac:dyDescent="0.35">
      <c r="I129" s="38"/>
    </row>
    <row r="130" spans="9:9" x14ac:dyDescent="0.35">
      <c r="I130" s="38"/>
    </row>
    <row r="131" spans="9:9" x14ac:dyDescent="0.35">
      <c r="I131" s="38"/>
    </row>
    <row r="132" spans="9:9" x14ac:dyDescent="0.35">
      <c r="I132" s="38"/>
    </row>
    <row r="133" spans="9:9" x14ac:dyDescent="0.35">
      <c r="I133" s="38"/>
    </row>
    <row r="134" spans="9:9" x14ac:dyDescent="0.35">
      <c r="I134" s="38"/>
    </row>
    <row r="135" spans="9:9" x14ac:dyDescent="0.35">
      <c r="I135" s="38"/>
    </row>
    <row r="136" spans="9:9" x14ac:dyDescent="0.35">
      <c r="I136" s="38"/>
    </row>
    <row r="137" spans="9:9" x14ac:dyDescent="0.35">
      <c r="I137" s="38"/>
    </row>
    <row r="138" spans="9:9" x14ac:dyDescent="0.35">
      <c r="I138" s="38"/>
    </row>
    <row r="139" spans="9:9" x14ac:dyDescent="0.35">
      <c r="I139" s="38"/>
    </row>
    <row r="140" spans="9:9" x14ac:dyDescent="0.35">
      <c r="I140" s="38"/>
    </row>
    <row r="141" spans="9:9" x14ac:dyDescent="0.35">
      <c r="I141" s="38"/>
    </row>
    <row r="142" spans="9:9" x14ac:dyDescent="0.35">
      <c r="I142" s="38"/>
    </row>
    <row r="143" spans="9:9" x14ac:dyDescent="0.35">
      <c r="I143" s="38"/>
    </row>
    <row r="144" spans="9:9" x14ac:dyDescent="0.35">
      <c r="I144" s="38"/>
    </row>
    <row r="145" spans="9:9" x14ac:dyDescent="0.35">
      <c r="I145" s="38"/>
    </row>
    <row r="146" spans="9:9" x14ac:dyDescent="0.35">
      <c r="I146" s="38"/>
    </row>
    <row r="147" spans="9:9" x14ac:dyDescent="0.35">
      <c r="I147" s="38"/>
    </row>
    <row r="148" spans="9:9" x14ac:dyDescent="0.35">
      <c r="I148" s="38"/>
    </row>
    <row r="149" spans="9:9" x14ac:dyDescent="0.35">
      <c r="I149" s="38"/>
    </row>
    <row r="150" spans="9:9" x14ac:dyDescent="0.35">
      <c r="I150" s="38"/>
    </row>
    <row r="151" spans="9:9" x14ac:dyDescent="0.35">
      <c r="I151" s="38"/>
    </row>
    <row r="152" spans="9:9" x14ac:dyDescent="0.35">
      <c r="I152" s="38"/>
    </row>
    <row r="153" spans="9:9" x14ac:dyDescent="0.35">
      <c r="I153" s="38"/>
    </row>
    <row r="154" spans="9:9" x14ac:dyDescent="0.35">
      <c r="I154" s="38"/>
    </row>
    <row r="155" spans="9:9" x14ac:dyDescent="0.35">
      <c r="I155" s="38"/>
    </row>
    <row r="156" spans="9:9" x14ac:dyDescent="0.35">
      <c r="I156" s="38"/>
    </row>
    <row r="157" spans="9:9" x14ac:dyDescent="0.35">
      <c r="I157" s="38"/>
    </row>
    <row r="158" spans="9:9" x14ac:dyDescent="0.35">
      <c r="I158" s="38"/>
    </row>
    <row r="159" spans="9:9" x14ac:dyDescent="0.35">
      <c r="I159" s="38"/>
    </row>
    <row r="160" spans="9:9" x14ac:dyDescent="0.35">
      <c r="I160" s="38"/>
    </row>
    <row r="161" spans="9:9" x14ac:dyDescent="0.35">
      <c r="I161" s="38"/>
    </row>
    <row r="162" spans="9:9" x14ac:dyDescent="0.35">
      <c r="I162" s="38"/>
    </row>
    <row r="163" spans="9:9" x14ac:dyDescent="0.35">
      <c r="I163" s="38"/>
    </row>
    <row r="164" spans="9:9" x14ac:dyDescent="0.35">
      <c r="I164" s="38"/>
    </row>
    <row r="165" spans="9:9" x14ac:dyDescent="0.35">
      <c r="I165" s="38"/>
    </row>
    <row r="166" spans="9:9" x14ac:dyDescent="0.35">
      <c r="I166" s="38"/>
    </row>
    <row r="167" spans="9:9" x14ac:dyDescent="0.35">
      <c r="I167" s="38"/>
    </row>
    <row r="168" spans="9:9" x14ac:dyDescent="0.35">
      <c r="I168" s="38"/>
    </row>
    <row r="169" spans="9:9" x14ac:dyDescent="0.35">
      <c r="I169" s="38"/>
    </row>
    <row r="170" spans="9:9" x14ac:dyDescent="0.35">
      <c r="I170" s="38"/>
    </row>
    <row r="171" spans="9:9" x14ac:dyDescent="0.35">
      <c r="I171" s="38"/>
    </row>
    <row r="172" spans="9:9" x14ac:dyDescent="0.35">
      <c r="I172" s="38"/>
    </row>
    <row r="173" spans="9:9" x14ac:dyDescent="0.35">
      <c r="I173" s="38"/>
    </row>
    <row r="174" spans="9:9" x14ac:dyDescent="0.35">
      <c r="I174" s="38"/>
    </row>
    <row r="175" spans="9:9" x14ac:dyDescent="0.35">
      <c r="I175" s="38"/>
    </row>
    <row r="176" spans="9:9" x14ac:dyDescent="0.35">
      <c r="I176" s="38"/>
    </row>
    <row r="177" spans="9:9" x14ac:dyDescent="0.35">
      <c r="I177" s="38"/>
    </row>
    <row r="178" spans="9:9" x14ac:dyDescent="0.35">
      <c r="I178" s="38"/>
    </row>
    <row r="179" spans="9:9" x14ac:dyDescent="0.35">
      <c r="I179" s="38"/>
    </row>
    <row r="180" spans="9:9" x14ac:dyDescent="0.35">
      <c r="I180" s="38"/>
    </row>
    <row r="181" spans="9:9" x14ac:dyDescent="0.35">
      <c r="I181" s="38"/>
    </row>
    <row r="182" spans="9:9" x14ac:dyDescent="0.35">
      <c r="I182" s="38"/>
    </row>
    <row r="183" spans="9:9" x14ac:dyDescent="0.35">
      <c r="I183" s="38"/>
    </row>
    <row r="184" spans="9:9" x14ac:dyDescent="0.35">
      <c r="I184" s="38"/>
    </row>
    <row r="185" spans="9:9" x14ac:dyDescent="0.35">
      <c r="I185" s="38"/>
    </row>
    <row r="186" spans="9:9" x14ac:dyDescent="0.35">
      <c r="I186" s="38"/>
    </row>
    <row r="187" spans="9:9" x14ac:dyDescent="0.35">
      <c r="I187" s="38"/>
    </row>
    <row r="188" spans="9:9" x14ac:dyDescent="0.35">
      <c r="I188" s="38"/>
    </row>
  </sheetData>
  <printOptions horizontalCentered="1" gridLines="1"/>
  <pageMargins left="0.35" right="0.35" top="1" bottom="1" header="0.4" footer="0.1"/>
  <pageSetup scale="53" fitToHeight="0" orientation="landscape" r:id="rId1"/>
  <headerFooter>
    <oddHeader>&amp;C&amp;"Arial,Bold"&amp;12State Controller's Office
Schedule A1: Detail of State-Mandated Program Payments by Fiscal Year 
As of April 1, 2020</oddHeader>
    <oddFooter>&amp;L&amp;"Arial,Regular"&amp;12Schedule A1: Detail of State-Mandated Program Payments by Fiscal Year
Local Agencies
&amp;R&amp;"Arial,Regular"&amp;12Page &amp;P of &amp;N</oddFooter>
  </headerFooter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146"/>
  <sheetViews>
    <sheetView zoomScaleNormal="100" workbookViewId="0">
      <selection activeCell="A42" sqref="A42"/>
    </sheetView>
  </sheetViews>
  <sheetFormatPr defaultColWidth="9.1796875" defaultRowHeight="13" x14ac:dyDescent="0.3"/>
  <cols>
    <col min="1" max="1" width="55.26953125" style="28" customWidth="1"/>
    <col min="2" max="2" width="15.6328125" style="28" customWidth="1"/>
    <col min="3" max="3" width="25.6328125" style="28" customWidth="1"/>
    <col min="4" max="4" width="94" style="28" customWidth="1"/>
    <col min="5" max="5" width="12.6328125" style="32" customWidth="1"/>
    <col min="6" max="6" width="14.6328125" style="33" customWidth="1"/>
    <col min="7" max="7" width="16.6328125" style="28" customWidth="1"/>
    <col min="8" max="8" width="14.6328125" style="34" customWidth="1"/>
    <col min="9" max="9" width="14.6328125" style="28" customWidth="1"/>
    <col min="10" max="10" width="40.7265625" style="28" customWidth="1"/>
    <col min="11" max="11" width="6" style="28" customWidth="1"/>
    <col min="12" max="13" width="15.453125" style="28" customWidth="1"/>
    <col min="14" max="14" width="14.81640625" style="28" customWidth="1"/>
    <col min="15" max="15" width="15.54296875" style="28" customWidth="1"/>
    <col min="16" max="16" width="16" style="28" customWidth="1"/>
    <col min="17" max="17" width="16.1796875" style="28" customWidth="1"/>
    <col min="18" max="18" width="11.54296875" style="28" bestFit="1" customWidth="1"/>
    <col min="19" max="16384" width="9.1796875" style="28"/>
  </cols>
  <sheetData>
    <row r="1" spans="1:16" ht="54" x14ac:dyDescent="0.4">
      <c r="A1" s="66" t="s">
        <v>524</v>
      </c>
      <c r="B1" s="66"/>
      <c r="C1" s="66"/>
      <c r="D1" s="61"/>
      <c r="E1" s="61"/>
      <c r="F1" s="62"/>
      <c r="G1" s="61"/>
      <c r="H1" s="63"/>
      <c r="I1" s="61"/>
    </row>
    <row r="2" spans="1:16" s="27" customFormat="1" ht="48" customHeight="1" x14ac:dyDescent="0.35">
      <c r="A2" s="67" t="s">
        <v>569</v>
      </c>
      <c r="B2" s="299" t="s">
        <v>434</v>
      </c>
      <c r="C2" s="158" t="s">
        <v>538</v>
      </c>
      <c r="D2" s="158" t="s">
        <v>435</v>
      </c>
      <c r="E2" s="158" t="s">
        <v>436</v>
      </c>
      <c r="F2" s="300" t="s">
        <v>437</v>
      </c>
      <c r="G2" s="158" t="s">
        <v>448</v>
      </c>
      <c r="H2" s="158" t="s">
        <v>449</v>
      </c>
      <c r="I2" s="143" t="s">
        <v>438</v>
      </c>
    </row>
    <row r="3" spans="1:16" ht="15.75" customHeight="1" x14ac:dyDescent="0.35">
      <c r="A3" s="93" t="s">
        <v>564</v>
      </c>
      <c r="B3" s="93" t="s">
        <v>399</v>
      </c>
      <c r="C3" s="93" t="s">
        <v>439</v>
      </c>
      <c r="D3" s="103" t="s">
        <v>61</v>
      </c>
      <c r="E3" s="104" t="s">
        <v>62</v>
      </c>
      <c r="F3" s="105">
        <v>305</v>
      </c>
      <c r="G3" s="94">
        <v>1000</v>
      </c>
      <c r="H3" s="345">
        <v>0</v>
      </c>
      <c r="I3" s="94">
        <v>1000</v>
      </c>
      <c r="L3" s="29"/>
      <c r="N3" s="30"/>
      <c r="O3" s="30"/>
      <c r="P3" s="30"/>
    </row>
    <row r="4" spans="1:16" ht="15.75" customHeight="1" x14ac:dyDescent="0.35">
      <c r="A4" s="93" t="s">
        <v>564</v>
      </c>
      <c r="B4" s="93" t="s">
        <v>399</v>
      </c>
      <c r="C4" s="93" t="s">
        <v>439</v>
      </c>
      <c r="D4" s="106" t="s">
        <v>63</v>
      </c>
      <c r="E4" s="107" t="s">
        <v>440</v>
      </c>
      <c r="F4" s="105">
        <v>250</v>
      </c>
      <c r="G4" s="94">
        <v>1000</v>
      </c>
      <c r="H4" s="345">
        <v>0</v>
      </c>
      <c r="I4" s="94">
        <v>1000</v>
      </c>
      <c r="L4" s="29"/>
      <c r="N4" s="30"/>
      <c r="O4" s="30"/>
      <c r="P4" s="30"/>
    </row>
    <row r="5" spans="1:16" ht="15.75" customHeight="1" x14ac:dyDescent="0.35">
      <c r="A5" s="93" t="s">
        <v>564</v>
      </c>
      <c r="B5" s="93" t="s">
        <v>399</v>
      </c>
      <c r="C5" s="93" t="s">
        <v>439</v>
      </c>
      <c r="D5" s="86" t="s">
        <v>409</v>
      </c>
      <c r="E5" s="107" t="s">
        <v>410</v>
      </c>
      <c r="F5" s="105">
        <v>370</v>
      </c>
      <c r="G5" s="94">
        <v>1000</v>
      </c>
      <c r="H5" s="345">
        <v>0</v>
      </c>
      <c r="I5" s="94">
        <v>1000</v>
      </c>
      <c r="L5" s="29"/>
      <c r="N5" s="30"/>
      <c r="O5" s="30"/>
      <c r="P5" s="30"/>
    </row>
    <row r="6" spans="1:16" ht="15.75" customHeight="1" x14ac:dyDescent="0.35">
      <c r="A6" s="93" t="s">
        <v>564</v>
      </c>
      <c r="B6" s="93" t="s">
        <v>399</v>
      </c>
      <c r="C6" s="93" t="s">
        <v>439</v>
      </c>
      <c r="D6" s="106" t="s">
        <v>65</v>
      </c>
      <c r="E6" s="104" t="s">
        <v>66</v>
      </c>
      <c r="F6" s="105">
        <v>369</v>
      </c>
      <c r="G6" s="94">
        <v>1000</v>
      </c>
      <c r="H6" s="345">
        <v>0</v>
      </c>
      <c r="I6" s="94">
        <v>1000</v>
      </c>
      <c r="L6" s="29"/>
      <c r="N6" s="30"/>
      <c r="O6" s="30"/>
      <c r="P6" s="30"/>
    </row>
    <row r="7" spans="1:16" ht="15.75" customHeight="1" x14ac:dyDescent="0.35">
      <c r="A7" s="93" t="s">
        <v>564</v>
      </c>
      <c r="B7" s="93" t="s">
        <v>399</v>
      </c>
      <c r="C7" s="93" t="s">
        <v>439</v>
      </c>
      <c r="D7" s="108" t="s">
        <v>69</v>
      </c>
      <c r="E7" s="104" t="s">
        <v>70</v>
      </c>
      <c r="F7" s="105">
        <v>172</v>
      </c>
      <c r="G7" s="94">
        <v>1000</v>
      </c>
      <c r="H7" s="345">
        <v>0</v>
      </c>
      <c r="I7" s="94">
        <v>1000</v>
      </c>
      <c r="L7" s="29"/>
      <c r="N7" s="30"/>
      <c r="O7" s="30"/>
      <c r="P7" s="30"/>
    </row>
    <row r="8" spans="1:16" ht="15.75" customHeight="1" x14ac:dyDescent="0.35">
      <c r="A8" s="93" t="s">
        <v>564</v>
      </c>
      <c r="B8" s="93" t="s">
        <v>399</v>
      </c>
      <c r="C8" s="93" t="s">
        <v>439</v>
      </c>
      <c r="D8" s="86" t="s">
        <v>441</v>
      </c>
      <c r="E8" s="70" t="s">
        <v>71</v>
      </c>
      <c r="F8" s="105">
        <v>278</v>
      </c>
      <c r="G8" s="94">
        <v>1000</v>
      </c>
      <c r="H8" s="345">
        <v>0</v>
      </c>
      <c r="I8" s="94">
        <v>1000</v>
      </c>
      <c r="L8" s="29"/>
      <c r="N8" s="30"/>
      <c r="O8" s="30"/>
      <c r="P8" s="30"/>
    </row>
    <row r="9" spans="1:16" ht="15.75" customHeight="1" x14ac:dyDescent="0.35">
      <c r="A9" s="93" t="s">
        <v>564</v>
      </c>
      <c r="B9" s="93" t="s">
        <v>399</v>
      </c>
      <c r="C9" s="93" t="s">
        <v>439</v>
      </c>
      <c r="D9" s="70" t="s">
        <v>72</v>
      </c>
      <c r="E9" s="109" t="s">
        <v>73</v>
      </c>
      <c r="F9" s="105">
        <v>11</v>
      </c>
      <c r="G9" s="94">
        <v>1000</v>
      </c>
      <c r="H9" s="345">
        <v>0</v>
      </c>
      <c r="I9" s="94">
        <v>1000</v>
      </c>
      <c r="L9" s="29"/>
      <c r="N9" s="30"/>
      <c r="O9" s="30"/>
      <c r="P9" s="30"/>
    </row>
    <row r="10" spans="1:16" ht="15.75" customHeight="1" x14ac:dyDescent="0.35">
      <c r="A10" s="93" t="s">
        <v>564</v>
      </c>
      <c r="B10" s="93" t="s">
        <v>399</v>
      </c>
      <c r="C10" s="93" t="s">
        <v>439</v>
      </c>
      <c r="D10" s="103" t="s">
        <v>74</v>
      </c>
      <c r="E10" s="104" t="s">
        <v>75</v>
      </c>
      <c r="F10" s="105">
        <v>313</v>
      </c>
      <c r="G10" s="94">
        <v>1000</v>
      </c>
      <c r="H10" s="345">
        <v>0</v>
      </c>
      <c r="I10" s="94">
        <v>1000</v>
      </c>
      <c r="L10" s="29"/>
      <c r="N10" s="30"/>
      <c r="O10" s="30"/>
      <c r="P10" s="30"/>
    </row>
    <row r="11" spans="1:16" ht="15.75" customHeight="1" x14ac:dyDescent="0.35">
      <c r="A11" s="93" t="s">
        <v>564</v>
      </c>
      <c r="B11" s="93" t="s">
        <v>399</v>
      </c>
      <c r="C11" s="93" t="s">
        <v>439</v>
      </c>
      <c r="D11" s="110" t="s">
        <v>78</v>
      </c>
      <c r="E11" s="104" t="s">
        <v>79</v>
      </c>
      <c r="F11" s="105">
        <v>272</v>
      </c>
      <c r="G11" s="94">
        <v>1000</v>
      </c>
      <c r="H11" s="345">
        <v>0</v>
      </c>
      <c r="I11" s="94">
        <v>1000</v>
      </c>
      <c r="L11" s="29"/>
      <c r="N11" s="30"/>
      <c r="O11" s="30"/>
      <c r="P11" s="30"/>
    </row>
    <row r="12" spans="1:16" ht="15.75" customHeight="1" x14ac:dyDescent="0.35">
      <c r="A12" s="93" t="s">
        <v>564</v>
      </c>
      <c r="B12" s="93" t="s">
        <v>399</v>
      </c>
      <c r="C12" s="93" t="s">
        <v>439</v>
      </c>
      <c r="D12" s="111" t="s">
        <v>80</v>
      </c>
      <c r="E12" s="112" t="s">
        <v>81</v>
      </c>
      <c r="F12" s="113">
        <v>276</v>
      </c>
      <c r="G12" s="101">
        <v>1000</v>
      </c>
      <c r="H12" s="345">
        <v>0</v>
      </c>
      <c r="I12" s="101">
        <v>1000</v>
      </c>
      <c r="L12" s="29"/>
      <c r="N12" s="30"/>
      <c r="O12" s="30"/>
      <c r="P12" s="30"/>
    </row>
    <row r="13" spans="1:16" ht="31.5" customHeight="1" x14ac:dyDescent="0.35">
      <c r="A13" s="93" t="s">
        <v>564</v>
      </c>
      <c r="B13" s="93" t="s">
        <v>399</v>
      </c>
      <c r="C13" s="93" t="s">
        <v>439</v>
      </c>
      <c r="D13" s="110" t="s">
        <v>442</v>
      </c>
      <c r="E13" s="104" t="s">
        <v>83</v>
      </c>
      <c r="F13" s="113">
        <v>292</v>
      </c>
      <c r="G13" s="101">
        <v>1000</v>
      </c>
      <c r="H13" s="345">
        <v>0</v>
      </c>
      <c r="I13" s="101">
        <v>1000</v>
      </c>
      <c r="L13" s="29"/>
      <c r="N13" s="30"/>
      <c r="O13" s="30"/>
      <c r="P13" s="30"/>
    </row>
    <row r="14" spans="1:16" ht="15.75" customHeight="1" x14ac:dyDescent="0.35">
      <c r="A14" s="93" t="s">
        <v>564</v>
      </c>
      <c r="B14" s="93" t="s">
        <v>399</v>
      </c>
      <c r="C14" s="93" t="s">
        <v>439</v>
      </c>
      <c r="D14" s="103" t="s">
        <v>84</v>
      </c>
      <c r="E14" s="104" t="s">
        <v>85</v>
      </c>
      <c r="F14" s="105">
        <v>209</v>
      </c>
      <c r="G14" s="94">
        <v>1000</v>
      </c>
      <c r="H14" s="345">
        <v>0</v>
      </c>
      <c r="I14" s="94">
        <v>1000</v>
      </c>
      <c r="L14" s="29"/>
      <c r="N14" s="30"/>
      <c r="O14" s="30"/>
      <c r="P14" s="30"/>
    </row>
    <row r="15" spans="1:16" ht="15.75" customHeight="1" x14ac:dyDescent="0.35">
      <c r="A15" s="93" t="s">
        <v>564</v>
      </c>
      <c r="B15" s="93" t="s">
        <v>399</v>
      </c>
      <c r="C15" s="93" t="s">
        <v>439</v>
      </c>
      <c r="D15" s="103" t="s">
        <v>86</v>
      </c>
      <c r="E15" s="104" t="s">
        <v>87</v>
      </c>
      <c r="F15" s="105">
        <v>183</v>
      </c>
      <c r="G15" s="94">
        <v>1000</v>
      </c>
      <c r="H15" s="345">
        <v>0</v>
      </c>
      <c r="I15" s="94">
        <v>1000</v>
      </c>
      <c r="L15" s="29"/>
      <c r="N15" s="30"/>
      <c r="O15" s="30"/>
      <c r="P15" s="30"/>
    </row>
    <row r="16" spans="1:16" ht="15.75" customHeight="1" x14ac:dyDescent="0.35">
      <c r="A16" s="93" t="s">
        <v>564</v>
      </c>
      <c r="B16" s="93" t="s">
        <v>399</v>
      </c>
      <c r="C16" s="93" t="s">
        <v>439</v>
      </c>
      <c r="D16" s="103" t="s">
        <v>88</v>
      </c>
      <c r="E16" s="104" t="s">
        <v>89</v>
      </c>
      <c r="F16" s="105">
        <v>251</v>
      </c>
      <c r="G16" s="94">
        <v>1000</v>
      </c>
      <c r="H16" s="345">
        <v>0</v>
      </c>
      <c r="I16" s="94">
        <v>1000</v>
      </c>
      <c r="L16" s="29"/>
      <c r="N16" s="30"/>
      <c r="O16" s="30"/>
      <c r="P16" s="30"/>
    </row>
    <row r="17" spans="1:16" ht="15.75" customHeight="1" x14ac:dyDescent="0.35">
      <c r="A17" s="93" t="s">
        <v>564</v>
      </c>
      <c r="B17" s="93" t="s">
        <v>399</v>
      </c>
      <c r="C17" s="93" t="s">
        <v>439</v>
      </c>
      <c r="D17" s="103" t="s">
        <v>90</v>
      </c>
      <c r="E17" s="104" t="s">
        <v>91</v>
      </c>
      <c r="F17" s="105">
        <v>192</v>
      </c>
      <c r="G17" s="94">
        <v>1000</v>
      </c>
      <c r="H17" s="345">
        <v>0</v>
      </c>
      <c r="I17" s="94">
        <v>1000</v>
      </c>
      <c r="L17" s="29"/>
      <c r="N17" s="30"/>
      <c r="O17" s="30"/>
      <c r="P17" s="30"/>
    </row>
    <row r="18" spans="1:16" ht="15.75" customHeight="1" x14ac:dyDescent="0.35">
      <c r="A18" s="93" t="s">
        <v>564</v>
      </c>
      <c r="B18" s="93" t="s">
        <v>399</v>
      </c>
      <c r="C18" s="93" t="s">
        <v>439</v>
      </c>
      <c r="D18" s="103" t="s">
        <v>443</v>
      </c>
      <c r="E18" s="104" t="s">
        <v>93</v>
      </c>
      <c r="F18" s="105">
        <v>297</v>
      </c>
      <c r="G18" s="94">
        <v>1000</v>
      </c>
      <c r="H18" s="345">
        <v>0</v>
      </c>
      <c r="I18" s="94">
        <v>1000</v>
      </c>
      <c r="L18" s="29"/>
      <c r="N18" s="30"/>
      <c r="O18" s="30"/>
      <c r="P18" s="30"/>
    </row>
    <row r="19" spans="1:16" ht="15.75" customHeight="1" x14ac:dyDescent="0.35">
      <c r="A19" s="93" t="s">
        <v>564</v>
      </c>
      <c r="B19" s="93" t="s">
        <v>399</v>
      </c>
      <c r="C19" s="93" t="s">
        <v>439</v>
      </c>
      <c r="D19" s="108" t="s">
        <v>94</v>
      </c>
      <c r="E19" s="104" t="s">
        <v>95</v>
      </c>
      <c r="F19" s="105">
        <v>166</v>
      </c>
      <c r="G19" s="94">
        <v>1000</v>
      </c>
      <c r="H19" s="345">
        <v>0</v>
      </c>
      <c r="I19" s="94">
        <v>1000</v>
      </c>
      <c r="L19" s="29"/>
      <c r="N19" s="30"/>
      <c r="O19" s="30"/>
      <c r="P19" s="30"/>
    </row>
    <row r="20" spans="1:16" ht="15.75" customHeight="1" x14ac:dyDescent="0.35">
      <c r="A20" s="93" t="s">
        <v>564</v>
      </c>
      <c r="B20" s="93" t="s">
        <v>399</v>
      </c>
      <c r="C20" s="93" t="s">
        <v>439</v>
      </c>
      <c r="D20" s="108" t="s">
        <v>96</v>
      </c>
      <c r="E20" s="104" t="s">
        <v>97</v>
      </c>
      <c r="F20" s="105">
        <v>32</v>
      </c>
      <c r="G20" s="94">
        <v>1000</v>
      </c>
      <c r="H20" s="345">
        <v>0</v>
      </c>
      <c r="I20" s="94">
        <v>1000</v>
      </c>
      <c r="L20" s="29"/>
      <c r="N20" s="30"/>
      <c r="O20" s="30"/>
      <c r="P20" s="30"/>
    </row>
    <row r="21" spans="1:16" ht="15.75" customHeight="1" x14ac:dyDescent="0.35">
      <c r="A21" s="93" t="s">
        <v>564</v>
      </c>
      <c r="B21" s="93" t="s">
        <v>399</v>
      </c>
      <c r="C21" s="93" t="s">
        <v>439</v>
      </c>
      <c r="D21" s="114" t="s">
        <v>444</v>
      </c>
      <c r="E21" s="104" t="s">
        <v>99</v>
      </c>
      <c r="F21" s="105">
        <v>368</v>
      </c>
      <c r="G21" s="94">
        <v>1000</v>
      </c>
      <c r="H21" s="345">
        <v>0</v>
      </c>
      <c r="I21" s="94">
        <v>1000</v>
      </c>
      <c r="L21" s="29"/>
      <c r="N21" s="30"/>
      <c r="O21" s="30"/>
      <c r="P21" s="30"/>
    </row>
    <row r="22" spans="1:16" ht="15.75" customHeight="1" x14ac:dyDescent="0.35">
      <c r="A22" s="93" t="s">
        <v>564</v>
      </c>
      <c r="B22" s="93" t="s">
        <v>399</v>
      </c>
      <c r="C22" s="93" t="s">
        <v>439</v>
      </c>
      <c r="D22" s="108" t="s">
        <v>445</v>
      </c>
      <c r="E22" s="104" t="s">
        <v>100</v>
      </c>
      <c r="F22" s="105">
        <v>357</v>
      </c>
      <c r="G22" s="94">
        <v>1000</v>
      </c>
      <c r="H22" s="345">
        <v>0</v>
      </c>
      <c r="I22" s="94">
        <v>1000</v>
      </c>
      <c r="L22" s="29"/>
      <c r="N22" s="30"/>
      <c r="O22" s="30"/>
      <c r="P22" s="30"/>
    </row>
    <row r="23" spans="1:16" ht="15.75" customHeight="1" x14ac:dyDescent="0.35">
      <c r="A23" s="93" t="s">
        <v>564</v>
      </c>
      <c r="B23" s="93" t="s">
        <v>399</v>
      </c>
      <c r="C23" s="93" t="s">
        <v>439</v>
      </c>
      <c r="D23" s="108" t="s">
        <v>101</v>
      </c>
      <c r="E23" s="104" t="s">
        <v>102</v>
      </c>
      <c r="F23" s="105">
        <v>153</v>
      </c>
      <c r="G23" s="94">
        <v>1000</v>
      </c>
      <c r="H23" s="345">
        <v>0</v>
      </c>
      <c r="I23" s="94">
        <v>1000</v>
      </c>
      <c r="L23" s="29"/>
      <c r="N23" s="30"/>
      <c r="O23" s="30"/>
      <c r="P23" s="30"/>
    </row>
    <row r="24" spans="1:16" ht="15.75" customHeight="1" x14ac:dyDescent="0.35">
      <c r="A24" s="93" t="s">
        <v>564</v>
      </c>
      <c r="B24" s="93" t="s">
        <v>399</v>
      </c>
      <c r="C24" s="93" t="s">
        <v>439</v>
      </c>
      <c r="D24" s="86" t="s">
        <v>246</v>
      </c>
      <c r="E24" s="70" t="s">
        <v>247</v>
      </c>
      <c r="F24" s="105">
        <v>155</v>
      </c>
      <c r="G24" s="94">
        <v>1000</v>
      </c>
      <c r="H24" s="345">
        <v>0</v>
      </c>
      <c r="I24" s="94">
        <v>1000</v>
      </c>
      <c r="L24" s="29"/>
      <c r="N24" s="30"/>
      <c r="O24" s="30"/>
      <c r="P24" s="30"/>
    </row>
    <row r="25" spans="1:16" ht="15.75" customHeight="1" x14ac:dyDescent="0.35">
      <c r="A25" s="93" t="s">
        <v>564</v>
      </c>
      <c r="B25" s="93" t="s">
        <v>399</v>
      </c>
      <c r="C25" s="93" t="s">
        <v>439</v>
      </c>
      <c r="D25" s="108" t="s">
        <v>103</v>
      </c>
      <c r="E25" s="104" t="s">
        <v>93</v>
      </c>
      <c r="F25" s="113">
        <v>48</v>
      </c>
      <c r="G25" s="101">
        <v>1000</v>
      </c>
      <c r="H25" s="345">
        <v>0</v>
      </c>
      <c r="I25" s="101">
        <v>1000</v>
      </c>
      <c r="L25" s="29"/>
      <c r="N25" s="30"/>
      <c r="O25" s="30"/>
      <c r="P25" s="30"/>
    </row>
    <row r="26" spans="1:16" ht="15.75" customHeight="1" x14ac:dyDescent="0.35">
      <c r="A26" s="93" t="s">
        <v>564</v>
      </c>
      <c r="B26" s="93" t="s">
        <v>399</v>
      </c>
      <c r="C26" s="93" t="s">
        <v>439</v>
      </c>
      <c r="D26" s="108" t="s">
        <v>104</v>
      </c>
      <c r="E26" s="104" t="s">
        <v>105</v>
      </c>
      <c r="F26" s="105">
        <v>350</v>
      </c>
      <c r="G26" s="94">
        <v>1000</v>
      </c>
      <c r="H26" s="345">
        <v>0</v>
      </c>
      <c r="I26" s="94">
        <v>1000</v>
      </c>
      <c r="L26" s="29"/>
      <c r="N26" s="30"/>
      <c r="O26" s="30"/>
      <c r="P26" s="30"/>
    </row>
    <row r="27" spans="1:16" ht="15.75" customHeight="1" x14ac:dyDescent="0.35">
      <c r="A27" s="93" t="s">
        <v>564</v>
      </c>
      <c r="B27" s="93" t="s">
        <v>399</v>
      </c>
      <c r="C27" s="93" t="s">
        <v>439</v>
      </c>
      <c r="D27" s="108" t="s">
        <v>106</v>
      </c>
      <c r="E27" s="104" t="s">
        <v>107</v>
      </c>
      <c r="F27" s="105">
        <v>173</v>
      </c>
      <c r="G27" s="94">
        <v>1000</v>
      </c>
      <c r="H27" s="345">
        <v>0</v>
      </c>
      <c r="I27" s="94">
        <v>1000</v>
      </c>
      <c r="L27" s="29"/>
      <c r="N27" s="30"/>
      <c r="O27" s="30"/>
      <c r="P27" s="30"/>
    </row>
    <row r="28" spans="1:16" ht="31" x14ac:dyDescent="0.35">
      <c r="A28" s="93" t="s">
        <v>564</v>
      </c>
      <c r="B28" s="93" t="s">
        <v>399</v>
      </c>
      <c r="C28" s="93" t="s">
        <v>439</v>
      </c>
      <c r="D28" s="86" t="s">
        <v>273</v>
      </c>
      <c r="E28" s="107" t="s">
        <v>274</v>
      </c>
      <c r="F28" s="113">
        <v>329</v>
      </c>
      <c r="G28" s="101">
        <v>1000</v>
      </c>
      <c r="H28" s="345">
        <v>0</v>
      </c>
      <c r="I28" s="101">
        <v>1000</v>
      </c>
      <c r="L28" s="29"/>
      <c r="N28" s="30"/>
      <c r="O28" s="30"/>
      <c r="P28" s="30"/>
    </row>
    <row r="29" spans="1:16" ht="15.75" customHeight="1" x14ac:dyDescent="0.35">
      <c r="A29" s="93" t="s">
        <v>564</v>
      </c>
      <c r="B29" s="93" t="s">
        <v>399</v>
      </c>
      <c r="C29" s="93" t="s">
        <v>439</v>
      </c>
      <c r="D29" s="106" t="s">
        <v>446</v>
      </c>
      <c r="E29" s="104" t="s">
        <v>109</v>
      </c>
      <c r="F29" s="105">
        <v>261</v>
      </c>
      <c r="G29" s="94">
        <v>1000</v>
      </c>
      <c r="H29" s="345">
        <v>0</v>
      </c>
      <c r="I29" s="94">
        <v>1000</v>
      </c>
      <c r="L29" s="29"/>
      <c r="N29" s="30"/>
      <c r="O29" s="30"/>
      <c r="P29" s="30"/>
    </row>
    <row r="30" spans="1:16" ht="15.75" customHeight="1" x14ac:dyDescent="0.35">
      <c r="A30" s="93" t="s">
        <v>564</v>
      </c>
      <c r="B30" s="93" t="s">
        <v>399</v>
      </c>
      <c r="C30" s="93" t="s">
        <v>439</v>
      </c>
      <c r="D30" s="108" t="s">
        <v>110</v>
      </c>
      <c r="E30" s="104" t="s">
        <v>111</v>
      </c>
      <c r="F30" s="105">
        <v>244</v>
      </c>
      <c r="G30" s="94">
        <v>1000</v>
      </c>
      <c r="H30" s="345">
        <v>0</v>
      </c>
      <c r="I30" s="94">
        <v>1000</v>
      </c>
      <c r="L30" s="29"/>
      <c r="N30" s="30"/>
      <c r="O30" s="30"/>
      <c r="P30" s="30"/>
    </row>
    <row r="31" spans="1:16" ht="15.75" customHeight="1" x14ac:dyDescent="0.35">
      <c r="A31" s="93" t="s">
        <v>564</v>
      </c>
      <c r="B31" s="93" t="s">
        <v>399</v>
      </c>
      <c r="C31" s="93" t="s">
        <v>439</v>
      </c>
      <c r="D31" s="108" t="s">
        <v>112</v>
      </c>
      <c r="E31" s="104" t="s">
        <v>113</v>
      </c>
      <c r="F31" s="105">
        <v>171</v>
      </c>
      <c r="G31" s="94">
        <v>1000</v>
      </c>
      <c r="H31" s="345">
        <v>0</v>
      </c>
      <c r="I31" s="94">
        <v>1000</v>
      </c>
      <c r="L31" s="29"/>
      <c r="N31" s="30"/>
      <c r="O31" s="30"/>
      <c r="P31" s="30"/>
    </row>
    <row r="32" spans="1:16" ht="15.75" customHeight="1" x14ac:dyDescent="0.35">
      <c r="A32" s="93" t="s">
        <v>564</v>
      </c>
      <c r="B32" s="93" t="s">
        <v>399</v>
      </c>
      <c r="C32" s="93" t="s">
        <v>439</v>
      </c>
      <c r="D32" s="108" t="s">
        <v>114</v>
      </c>
      <c r="E32" s="104" t="s">
        <v>111</v>
      </c>
      <c r="F32" s="105">
        <v>258</v>
      </c>
      <c r="G32" s="94">
        <v>1000</v>
      </c>
      <c r="H32" s="345">
        <v>0</v>
      </c>
      <c r="I32" s="94">
        <v>1000</v>
      </c>
      <c r="L32" s="29"/>
      <c r="N32" s="30"/>
      <c r="O32" s="30"/>
      <c r="P32" s="30"/>
    </row>
    <row r="33" spans="1:16" ht="15.75" customHeight="1" x14ac:dyDescent="0.35">
      <c r="A33" s="93" t="s">
        <v>564</v>
      </c>
      <c r="B33" s="93" t="s">
        <v>399</v>
      </c>
      <c r="C33" s="93" t="s">
        <v>439</v>
      </c>
      <c r="D33" s="108" t="s">
        <v>115</v>
      </c>
      <c r="E33" s="104" t="s">
        <v>93</v>
      </c>
      <c r="F33" s="105">
        <v>260</v>
      </c>
      <c r="G33" s="94">
        <v>1000</v>
      </c>
      <c r="H33" s="345">
        <v>0</v>
      </c>
      <c r="I33" s="94">
        <v>1000</v>
      </c>
      <c r="L33" s="29"/>
      <c r="N33" s="30"/>
      <c r="O33" s="30"/>
      <c r="P33" s="30"/>
    </row>
    <row r="34" spans="1:16" ht="15.75" customHeight="1" x14ac:dyDescent="0.35">
      <c r="A34" s="93" t="s">
        <v>564</v>
      </c>
      <c r="B34" s="93" t="s">
        <v>399</v>
      </c>
      <c r="C34" s="93" t="s">
        <v>439</v>
      </c>
      <c r="D34" s="114" t="s">
        <v>447</v>
      </c>
      <c r="E34" s="104" t="s">
        <v>117</v>
      </c>
      <c r="F34" s="105">
        <v>367</v>
      </c>
      <c r="G34" s="94">
        <v>1000</v>
      </c>
      <c r="H34" s="345">
        <v>0</v>
      </c>
      <c r="I34" s="94">
        <v>1000</v>
      </c>
      <c r="L34" s="29"/>
      <c r="N34" s="30"/>
      <c r="O34" s="30"/>
      <c r="P34" s="30"/>
    </row>
    <row r="35" spans="1:16" ht="15.75" customHeight="1" x14ac:dyDescent="0.35">
      <c r="A35" s="93" t="s">
        <v>564</v>
      </c>
      <c r="B35" s="93" t="s">
        <v>399</v>
      </c>
      <c r="C35" s="93" t="s">
        <v>439</v>
      </c>
      <c r="D35" s="108" t="s">
        <v>120</v>
      </c>
      <c r="E35" s="104" t="s">
        <v>121</v>
      </c>
      <c r="F35" s="105">
        <v>351</v>
      </c>
      <c r="G35" s="94">
        <v>1000</v>
      </c>
      <c r="H35" s="345">
        <v>0</v>
      </c>
      <c r="I35" s="94">
        <v>1000</v>
      </c>
      <c r="L35" s="29"/>
      <c r="N35" s="30"/>
      <c r="O35" s="30"/>
      <c r="P35" s="30"/>
    </row>
    <row r="36" spans="1:16" ht="15.5" x14ac:dyDescent="0.35">
      <c r="A36" s="286" t="s">
        <v>122</v>
      </c>
      <c r="B36" s="162" t="s">
        <v>529</v>
      </c>
      <c r="C36" s="162" t="s">
        <v>529</v>
      </c>
      <c r="D36" s="308" t="s">
        <v>529</v>
      </c>
      <c r="E36" s="309" t="s">
        <v>529</v>
      </c>
      <c r="F36" s="310" t="s">
        <v>529</v>
      </c>
      <c r="G36" s="248">
        <f>SUBTOTAL(109,schoolannualclaim[Program 
Payments and Offsets])</f>
        <v>33000</v>
      </c>
      <c r="H36" s="342" t="s">
        <v>582</v>
      </c>
      <c r="I36" s="248">
        <f>SUBTOTAL(109,schoolannualclaim[Total
Payments])</f>
        <v>33000</v>
      </c>
      <c r="L36" s="29"/>
      <c r="N36" s="30"/>
      <c r="O36" s="30"/>
      <c r="P36" s="30"/>
    </row>
    <row r="37" spans="1:16" ht="15.5" x14ac:dyDescent="0.35">
      <c r="A37" s="294" t="s">
        <v>540</v>
      </c>
      <c r="B37" s="173"/>
      <c r="C37" s="173"/>
      <c r="D37" s="302"/>
      <c r="E37" s="303"/>
      <c r="F37" s="301"/>
      <c r="G37" s="174"/>
      <c r="H37" s="174"/>
      <c r="I37" s="174"/>
      <c r="L37" s="29"/>
      <c r="N37" s="30"/>
      <c r="O37" s="30"/>
      <c r="P37" s="30"/>
    </row>
    <row r="38" spans="1:16" ht="46.5" x14ac:dyDescent="0.35">
      <c r="A38" s="67" t="s">
        <v>569</v>
      </c>
      <c r="B38" s="299" t="s">
        <v>434</v>
      </c>
      <c r="C38" s="158" t="s">
        <v>538</v>
      </c>
      <c r="D38" s="158" t="s">
        <v>435</v>
      </c>
      <c r="E38" s="158" t="s">
        <v>436</v>
      </c>
      <c r="F38" s="300" t="s">
        <v>437</v>
      </c>
      <c r="G38" s="158" t="s">
        <v>448</v>
      </c>
      <c r="H38" s="158" t="s">
        <v>449</v>
      </c>
      <c r="I38" s="158" t="s">
        <v>438</v>
      </c>
      <c r="L38" s="29"/>
      <c r="N38" s="30"/>
      <c r="O38" s="30"/>
      <c r="P38" s="30"/>
    </row>
    <row r="39" spans="1:16" s="320" customFormat="1" ht="15.5" x14ac:dyDescent="0.35">
      <c r="A39" s="147" t="s">
        <v>1</v>
      </c>
      <c r="B39" s="161" t="s">
        <v>529</v>
      </c>
      <c r="C39" s="161" t="s">
        <v>529</v>
      </c>
      <c r="D39" s="161" t="s">
        <v>529</v>
      </c>
      <c r="E39" s="161" t="s">
        <v>529</v>
      </c>
      <c r="F39" s="164" t="s">
        <v>570</v>
      </c>
      <c r="G39" s="315">
        <v>53221090</v>
      </c>
      <c r="H39" s="315">
        <v>1015288</v>
      </c>
      <c r="I39" s="315">
        <v>54236378</v>
      </c>
      <c r="L39" s="321"/>
      <c r="N39" s="322"/>
      <c r="O39" s="322"/>
      <c r="P39" s="322"/>
    </row>
    <row r="40" spans="1:16" ht="15.5" x14ac:dyDescent="0.35">
      <c r="A40" s="296" t="s">
        <v>565</v>
      </c>
      <c r="B40" s="306" t="s">
        <v>529</v>
      </c>
      <c r="C40" s="306" t="s">
        <v>529</v>
      </c>
      <c r="D40" s="306" t="s">
        <v>529</v>
      </c>
      <c r="E40" s="306" t="s">
        <v>529</v>
      </c>
      <c r="F40" s="307" t="s">
        <v>529</v>
      </c>
      <c r="G40" s="316">
        <f>schoolannualclaim[[#Totals],[Program 
Payments and Offsets]]</f>
        <v>33000</v>
      </c>
      <c r="H40" s="348" t="str">
        <f>schoolannualclaim[[#Totals],[Interest
Payments and Offsets]]</f>
        <v xml:space="preserve">$0 </v>
      </c>
      <c r="I40" s="316">
        <f>schoolannualclaim[[#Totals],[Total
Payments]]</f>
        <v>33000</v>
      </c>
      <c r="L40" s="29"/>
      <c r="N40" s="30"/>
      <c r="O40" s="30"/>
      <c r="P40" s="30"/>
    </row>
    <row r="41" spans="1:16" ht="17.5" x14ac:dyDescent="0.35">
      <c r="A41" s="349" t="s">
        <v>566</v>
      </c>
      <c r="B41" s="290" t="s">
        <v>567</v>
      </c>
      <c r="C41" s="312" t="s">
        <v>529</v>
      </c>
      <c r="D41" s="312" t="s">
        <v>529</v>
      </c>
      <c r="E41" s="365" t="s">
        <v>529</v>
      </c>
      <c r="F41" s="313" t="s">
        <v>529</v>
      </c>
      <c r="G41" s="314">
        <f>SUBTOTAL(109,schoolgrandtotala1[Program 
Payments and Offsets])</f>
        <v>53254090</v>
      </c>
      <c r="H41" s="319">
        <f>SUBTOTAL(109,schoolgrandtotala1[Interest
Payments and Offsets])</f>
        <v>1015288</v>
      </c>
      <c r="I41" s="314">
        <f>SUBTOTAL(109,schoolgrandtotala1[Total
Payments])</f>
        <v>54269378</v>
      </c>
    </row>
    <row r="42" spans="1:16" ht="15.5" x14ac:dyDescent="0.35">
      <c r="A42" s="311" t="s">
        <v>584</v>
      </c>
      <c r="B42" s="85"/>
      <c r="C42" s="85"/>
      <c r="D42" s="367"/>
      <c r="E42" s="366"/>
      <c r="F42" s="356"/>
      <c r="G42" s="146"/>
      <c r="H42" s="357"/>
      <c r="I42" s="358"/>
    </row>
    <row r="43" spans="1:16" ht="18.5" x14ac:dyDescent="0.35">
      <c r="A43" s="116" t="s">
        <v>568</v>
      </c>
      <c r="B43" s="70"/>
      <c r="C43" s="70"/>
      <c r="D43" s="115"/>
      <c r="E43" s="114"/>
      <c r="F43" s="114"/>
      <c r="G43" s="85"/>
      <c r="H43" s="359"/>
      <c r="I43" s="94"/>
    </row>
    <row r="44" spans="1:16" x14ac:dyDescent="0.3">
      <c r="E44" s="360"/>
      <c r="F44" s="361"/>
      <c r="G44" s="362"/>
      <c r="H44" s="363"/>
      <c r="I44" s="364"/>
    </row>
    <row r="45" spans="1:16" x14ac:dyDescent="0.3">
      <c r="I45" s="35"/>
    </row>
    <row r="46" spans="1:16" x14ac:dyDescent="0.3">
      <c r="I46" s="35"/>
    </row>
    <row r="47" spans="1:16" x14ac:dyDescent="0.3">
      <c r="I47" s="35"/>
    </row>
    <row r="48" spans="1:16" x14ac:dyDescent="0.3">
      <c r="I48" s="35"/>
    </row>
    <row r="49" spans="9:9" x14ac:dyDescent="0.3">
      <c r="I49" s="35"/>
    </row>
    <row r="50" spans="9:9" x14ac:dyDescent="0.3">
      <c r="I50" s="35"/>
    </row>
    <row r="51" spans="9:9" x14ac:dyDescent="0.3">
      <c r="I51" s="35"/>
    </row>
    <row r="52" spans="9:9" x14ac:dyDescent="0.3">
      <c r="I52" s="35"/>
    </row>
    <row r="53" spans="9:9" x14ac:dyDescent="0.3">
      <c r="I53" s="35"/>
    </row>
    <row r="54" spans="9:9" x14ac:dyDescent="0.3">
      <c r="I54" s="35"/>
    </row>
    <row r="55" spans="9:9" x14ac:dyDescent="0.3">
      <c r="I55" s="35"/>
    </row>
    <row r="56" spans="9:9" x14ac:dyDescent="0.3">
      <c r="I56" s="35"/>
    </row>
    <row r="57" spans="9:9" x14ac:dyDescent="0.3">
      <c r="I57" s="35"/>
    </row>
    <row r="58" spans="9:9" x14ac:dyDescent="0.3">
      <c r="I58" s="35"/>
    </row>
    <row r="59" spans="9:9" x14ac:dyDescent="0.3">
      <c r="I59" s="35"/>
    </row>
    <row r="60" spans="9:9" x14ac:dyDescent="0.3">
      <c r="I60" s="35"/>
    </row>
    <row r="61" spans="9:9" x14ac:dyDescent="0.3">
      <c r="I61" s="35"/>
    </row>
    <row r="62" spans="9:9" x14ac:dyDescent="0.3">
      <c r="I62" s="35"/>
    </row>
    <row r="63" spans="9:9" x14ac:dyDescent="0.3">
      <c r="I63" s="35"/>
    </row>
    <row r="64" spans="9:9" x14ac:dyDescent="0.3">
      <c r="I64" s="35"/>
    </row>
    <row r="65" spans="9:9" x14ac:dyDescent="0.3">
      <c r="I65" s="35"/>
    </row>
    <row r="66" spans="9:9" x14ac:dyDescent="0.3">
      <c r="I66" s="35"/>
    </row>
    <row r="67" spans="9:9" x14ac:dyDescent="0.3">
      <c r="I67" s="35"/>
    </row>
    <row r="68" spans="9:9" x14ac:dyDescent="0.3">
      <c r="I68" s="35"/>
    </row>
    <row r="69" spans="9:9" x14ac:dyDescent="0.3">
      <c r="I69" s="35"/>
    </row>
    <row r="70" spans="9:9" x14ac:dyDescent="0.3">
      <c r="I70" s="35"/>
    </row>
    <row r="71" spans="9:9" x14ac:dyDescent="0.3">
      <c r="I71" s="35"/>
    </row>
    <row r="72" spans="9:9" x14ac:dyDescent="0.3">
      <c r="I72" s="35"/>
    </row>
    <row r="73" spans="9:9" x14ac:dyDescent="0.3">
      <c r="I73" s="35"/>
    </row>
    <row r="74" spans="9:9" x14ac:dyDescent="0.3">
      <c r="I74" s="35"/>
    </row>
    <row r="75" spans="9:9" x14ac:dyDescent="0.3">
      <c r="I75" s="35"/>
    </row>
    <row r="76" spans="9:9" x14ac:dyDescent="0.3">
      <c r="I76" s="35"/>
    </row>
    <row r="77" spans="9:9" x14ac:dyDescent="0.3">
      <c r="I77" s="35"/>
    </row>
    <row r="78" spans="9:9" x14ac:dyDescent="0.3">
      <c r="I78" s="35"/>
    </row>
    <row r="79" spans="9:9" x14ac:dyDescent="0.3">
      <c r="I79" s="35"/>
    </row>
    <row r="80" spans="9:9" x14ac:dyDescent="0.3">
      <c r="I80" s="35"/>
    </row>
    <row r="81" spans="9:9" x14ac:dyDescent="0.3">
      <c r="I81" s="35"/>
    </row>
    <row r="82" spans="9:9" x14ac:dyDescent="0.3">
      <c r="I82" s="35"/>
    </row>
    <row r="83" spans="9:9" x14ac:dyDescent="0.3">
      <c r="I83" s="35"/>
    </row>
    <row r="84" spans="9:9" x14ac:dyDescent="0.3">
      <c r="I84" s="35"/>
    </row>
    <row r="85" spans="9:9" x14ac:dyDescent="0.3">
      <c r="I85" s="35"/>
    </row>
    <row r="86" spans="9:9" x14ac:dyDescent="0.3">
      <c r="I86" s="35"/>
    </row>
    <row r="87" spans="9:9" x14ac:dyDescent="0.3">
      <c r="I87" s="35"/>
    </row>
    <row r="88" spans="9:9" x14ac:dyDescent="0.3">
      <c r="I88" s="35"/>
    </row>
    <row r="89" spans="9:9" x14ac:dyDescent="0.3">
      <c r="I89" s="35"/>
    </row>
    <row r="90" spans="9:9" x14ac:dyDescent="0.3">
      <c r="I90" s="35"/>
    </row>
    <row r="91" spans="9:9" x14ac:dyDescent="0.3">
      <c r="I91" s="35"/>
    </row>
    <row r="92" spans="9:9" x14ac:dyDescent="0.3">
      <c r="I92" s="35"/>
    </row>
    <row r="93" spans="9:9" x14ac:dyDescent="0.3">
      <c r="I93" s="35"/>
    </row>
    <row r="94" spans="9:9" x14ac:dyDescent="0.3">
      <c r="I94" s="35"/>
    </row>
    <row r="95" spans="9:9" x14ac:dyDescent="0.3">
      <c r="I95" s="35"/>
    </row>
    <row r="96" spans="9:9" x14ac:dyDescent="0.3">
      <c r="I96" s="35"/>
    </row>
    <row r="97" spans="9:9" x14ac:dyDescent="0.3">
      <c r="I97" s="35"/>
    </row>
    <row r="98" spans="9:9" x14ac:dyDescent="0.3">
      <c r="I98" s="35"/>
    </row>
    <row r="99" spans="9:9" x14ac:dyDescent="0.3">
      <c r="I99" s="35"/>
    </row>
    <row r="100" spans="9:9" x14ac:dyDescent="0.3">
      <c r="I100" s="35"/>
    </row>
    <row r="101" spans="9:9" x14ac:dyDescent="0.3">
      <c r="I101" s="35"/>
    </row>
    <row r="102" spans="9:9" x14ac:dyDescent="0.3">
      <c r="I102" s="35"/>
    </row>
    <row r="103" spans="9:9" x14ac:dyDescent="0.3">
      <c r="I103" s="35"/>
    </row>
    <row r="104" spans="9:9" x14ac:dyDescent="0.3">
      <c r="I104" s="35"/>
    </row>
    <row r="105" spans="9:9" x14ac:dyDescent="0.3">
      <c r="I105" s="35"/>
    </row>
    <row r="106" spans="9:9" x14ac:dyDescent="0.3">
      <c r="I106" s="35"/>
    </row>
    <row r="107" spans="9:9" x14ac:dyDescent="0.3">
      <c r="I107" s="35"/>
    </row>
    <row r="108" spans="9:9" x14ac:dyDescent="0.3">
      <c r="I108" s="35"/>
    </row>
    <row r="109" spans="9:9" x14ac:dyDescent="0.3">
      <c r="I109" s="35"/>
    </row>
    <row r="110" spans="9:9" x14ac:dyDescent="0.3">
      <c r="I110" s="35"/>
    </row>
    <row r="111" spans="9:9" x14ac:dyDescent="0.3">
      <c r="I111" s="35"/>
    </row>
    <row r="112" spans="9:9" x14ac:dyDescent="0.3">
      <c r="I112" s="35"/>
    </row>
    <row r="113" spans="9:9" x14ac:dyDescent="0.3">
      <c r="I113" s="35"/>
    </row>
    <row r="114" spans="9:9" x14ac:dyDescent="0.3">
      <c r="I114" s="35"/>
    </row>
    <row r="115" spans="9:9" x14ac:dyDescent="0.3">
      <c r="I115" s="35"/>
    </row>
    <row r="116" spans="9:9" x14ac:dyDescent="0.3">
      <c r="I116" s="35"/>
    </row>
    <row r="117" spans="9:9" x14ac:dyDescent="0.3">
      <c r="I117" s="35"/>
    </row>
    <row r="118" spans="9:9" x14ac:dyDescent="0.3">
      <c r="I118" s="35"/>
    </row>
    <row r="119" spans="9:9" x14ac:dyDescent="0.3">
      <c r="I119" s="35"/>
    </row>
    <row r="120" spans="9:9" x14ac:dyDescent="0.3">
      <c r="I120" s="35"/>
    </row>
    <row r="121" spans="9:9" x14ac:dyDescent="0.3">
      <c r="I121" s="35"/>
    </row>
    <row r="122" spans="9:9" x14ac:dyDescent="0.3">
      <c r="I122" s="35"/>
    </row>
    <row r="123" spans="9:9" x14ac:dyDescent="0.3">
      <c r="I123" s="35"/>
    </row>
    <row r="124" spans="9:9" x14ac:dyDescent="0.3">
      <c r="I124" s="35"/>
    </row>
    <row r="125" spans="9:9" x14ac:dyDescent="0.3">
      <c r="I125" s="35"/>
    </row>
    <row r="126" spans="9:9" x14ac:dyDescent="0.3">
      <c r="I126" s="35"/>
    </row>
    <row r="127" spans="9:9" x14ac:dyDescent="0.3">
      <c r="I127" s="35"/>
    </row>
    <row r="128" spans="9:9" x14ac:dyDescent="0.3">
      <c r="I128" s="35"/>
    </row>
    <row r="129" spans="9:9" x14ac:dyDescent="0.3">
      <c r="I129" s="35"/>
    </row>
    <row r="130" spans="9:9" x14ac:dyDescent="0.3">
      <c r="I130" s="35"/>
    </row>
    <row r="131" spans="9:9" x14ac:dyDescent="0.3">
      <c r="I131" s="35"/>
    </row>
    <row r="132" spans="9:9" x14ac:dyDescent="0.3">
      <c r="I132" s="35"/>
    </row>
    <row r="133" spans="9:9" x14ac:dyDescent="0.3">
      <c r="I133" s="35"/>
    </row>
    <row r="134" spans="9:9" x14ac:dyDescent="0.3">
      <c r="I134" s="35"/>
    </row>
    <row r="135" spans="9:9" x14ac:dyDescent="0.3">
      <c r="I135" s="35"/>
    </row>
    <row r="136" spans="9:9" x14ac:dyDescent="0.3">
      <c r="I136" s="35"/>
    </row>
    <row r="137" spans="9:9" x14ac:dyDescent="0.3">
      <c r="I137" s="35"/>
    </row>
    <row r="138" spans="9:9" x14ac:dyDescent="0.3">
      <c r="I138" s="35"/>
    </row>
    <row r="139" spans="9:9" x14ac:dyDescent="0.3">
      <c r="I139" s="35"/>
    </row>
    <row r="140" spans="9:9" x14ac:dyDescent="0.3">
      <c r="I140" s="35"/>
    </row>
    <row r="141" spans="9:9" x14ac:dyDescent="0.3">
      <c r="I141" s="35"/>
    </row>
    <row r="142" spans="9:9" x14ac:dyDescent="0.3">
      <c r="I142" s="35"/>
    </row>
    <row r="143" spans="9:9" x14ac:dyDescent="0.3">
      <c r="I143" s="35"/>
    </row>
    <row r="144" spans="9:9" x14ac:dyDescent="0.3">
      <c r="I144" s="35"/>
    </row>
    <row r="145" spans="9:9" x14ac:dyDescent="0.3">
      <c r="I145" s="35"/>
    </row>
    <row r="146" spans="9:9" x14ac:dyDescent="0.3">
      <c r="I146" s="35"/>
    </row>
  </sheetData>
  <hyperlinks>
    <hyperlink ref="A41" location="'Schedule A1-Schools'!A42" tooltip="This hyperlink will take you to the referenced footnote-footnote 4" display="Grant Total Local Agencies and School Districts 4"/>
  </hyperlinks>
  <printOptions horizontalCentered="1" gridLines="1"/>
  <pageMargins left="0.35" right="0.35" top="1" bottom="1" header="0.4" footer="0.1"/>
  <pageSetup scale="49" fitToHeight="0" orientation="landscape" r:id="rId1"/>
  <headerFooter>
    <oddHeader>&amp;C&amp;"Arial,Bold"&amp;12State Controller's Office
Schedule A1: Detail of State-Mandated Program Payments by Fiscal Year 
As of April 1, 2020</oddHeader>
    <oddFooter>&amp;L&amp;"Arial,Regular"&amp;12Schedule A1: Detail of State-Mandated Program Payments by Fiscal Year
School Districts&amp;"-,Regular"&amp;11
&amp;R&amp;"Arial,Regular"&amp;12Page &amp;P of &amp;N</oddFooter>
  </headerFooter>
  <legacyDrawing r:id="rId2"/>
  <tableParts count="2">
    <tablePart r:id="rId3"/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130"/>
  <sheetViews>
    <sheetView zoomScale="90" zoomScaleNormal="90" zoomScaleSheetLayoutView="108" workbookViewId="0">
      <selection activeCell="A42" sqref="A42"/>
    </sheetView>
  </sheetViews>
  <sheetFormatPr defaultColWidth="9.1796875" defaultRowHeight="14.5" x14ac:dyDescent="0.35"/>
  <cols>
    <col min="1" max="1" width="82.90625" style="1" customWidth="1"/>
    <col min="2" max="2" width="2.6328125" style="1" customWidth="1"/>
    <col min="3" max="3" width="23.90625" style="1" customWidth="1"/>
    <col min="4" max="4" width="15.6328125" style="1" customWidth="1"/>
    <col min="5" max="5" width="17.6328125" style="46" customWidth="1"/>
    <col min="6" max="6" width="17.6328125" style="1" customWidth="1"/>
    <col min="7" max="7" width="2.6328125" style="1" customWidth="1"/>
    <col min="8" max="8" width="17.6328125" style="1" customWidth="1"/>
    <col min="9" max="9" width="2.6328125" style="1" customWidth="1"/>
    <col min="10" max="10" width="15.6328125" style="1" customWidth="1"/>
    <col min="11" max="11" width="2.6328125" style="1" customWidth="1"/>
    <col min="12" max="13" width="15.6328125" style="1" customWidth="1"/>
    <col min="14" max="14" width="2.6328125" style="1" customWidth="1"/>
    <col min="15" max="15" width="17.6328125" style="1" customWidth="1"/>
    <col min="16" max="16" width="2.6328125" style="1" customWidth="1"/>
    <col min="17" max="19" width="10.26953125" style="6" customWidth="1"/>
    <col min="20" max="22" width="10.26953125" style="1" customWidth="1"/>
    <col min="23" max="16384" width="9.1796875" style="1"/>
  </cols>
  <sheetData>
    <row r="1" spans="1:21" ht="54" x14ac:dyDescent="0.4">
      <c r="A1" s="117" t="s">
        <v>525</v>
      </c>
      <c r="B1" s="117"/>
      <c r="C1" s="64"/>
      <c r="D1" s="64"/>
      <c r="E1" s="65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</row>
    <row r="2" spans="1:21" ht="60" customHeight="1" x14ac:dyDescent="0.35">
      <c r="A2" s="350" t="s">
        <v>123</v>
      </c>
      <c r="B2" s="351" t="s">
        <v>531</v>
      </c>
      <c r="C2" s="350" t="s">
        <v>11</v>
      </c>
      <c r="D2" s="350" t="s">
        <v>124</v>
      </c>
      <c r="E2" s="352" t="s">
        <v>125</v>
      </c>
      <c r="F2" s="384" t="s">
        <v>588</v>
      </c>
      <c r="G2" s="383" t="s">
        <v>587</v>
      </c>
      <c r="H2" s="384" t="s">
        <v>591</v>
      </c>
      <c r="I2" s="390" t="s">
        <v>590</v>
      </c>
      <c r="J2" s="384" t="s">
        <v>594</v>
      </c>
      <c r="K2" s="391" t="s">
        <v>592</v>
      </c>
      <c r="L2" s="350" t="s">
        <v>126</v>
      </c>
      <c r="M2" s="384" t="s">
        <v>595</v>
      </c>
      <c r="N2" s="390" t="s">
        <v>593</v>
      </c>
      <c r="O2" s="384" t="s">
        <v>596</v>
      </c>
      <c r="P2" s="353" t="s">
        <v>597</v>
      </c>
      <c r="Q2" s="7"/>
      <c r="R2" s="7"/>
      <c r="T2" s="8"/>
      <c r="U2" s="8"/>
    </row>
    <row r="3" spans="1:21" ht="15.5" x14ac:dyDescent="0.35">
      <c r="A3" s="118" t="s">
        <v>127</v>
      </c>
      <c r="B3" s="368" t="s">
        <v>529</v>
      </c>
      <c r="C3" s="368" t="s">
        <v>529</v>
      </c>
      <c r="D3" s="368" t="s">
        <v>529</v>
      </c>
      <c r="E3" s="369" t="s">
        <v>529</v>
      </c>
      <c r="F3" s="368" t="s">
        <v>529</v>
      </c>
      <c r="G3" s="368" t="s">
        <v>529</v>
      </c>
      <c r="H3" s="368" t="s">
        <v>529</v>
      </c>
      <c r="I3" s="368" t="s">
        <v>529</v>
      </c>
      <c r="J3" s="368" t="s">
        <v>529</v>
      </c>
      <c r="K3" s="368" t="s">
        <v>529</v>
      </c>
      <c r="L3" s="368" t="s">
        <v>529</v>
      </c>
      <c r="M3" s="368" t="s">
        <v>529</v>
      </c>
      <c r="N3" s="368" t="s">
        <v>529</v>
      </c>
      <c r="O3" s="368" t="s">
        <v>529</v>
      </c>
      <c r="P3" s="371" t="s">
        <v>529</v>
      </c>
      <c r="Q3" s="9"/>
      <c r="R3" s="9"/>
    </row>
    <row r="4" spans="1:21" ht="15.5" x14ac:dyDescent="0.35">
      <c r="A4" s="120" t="s">
        <v>1</v>
      </c>
      <c r="B4" s="368" t="s">
        <v>529</v>
      </c>
      <c r="C4" s="105" t="s">
        <v>433</v>
      </c>
      <c r="D4" s="105" t="s">
        <v>571</v>
      </c>
      <c r="E4" s="124">
        <v>787696436</v>
      </c>
      <c r="F4" s="124">
        <v>406015161</v>
      </c>
      <c r="G4" s="369" t="s">
        <v>529</v>
      </c>
      <c r="H4" s="122">
        <v>381681275</v>
      </c>
      <c r="I4" s="369" t="s">
        <v>529</v>
      </c>
      <c r="J4" s="122">
        <v>52530318</v>
      </c>
      <c r="K4" s="369" t="s">
        <v>529</v>
      </c>
      <c r="L4" s="122">
        <v>50096143</v>
      </c>
      <c r="M4" s="122">
        <v>2434175</v>
      </c>
      <c r="N4" s="369" t="s">
        <v>529</v>
      </c>
      <c r="O4" s="122">
        <v>379247100</v>
      </c>
      <c r="P4" s="372" t="s">
        <v>529</v>
      </c>
      <c r="Q4" s="9"/>
      <c r="R4" s="9"/>
    </row>
    <row r="5" spans="1:21" ht="15.5" x14ac:dyDescent="0.35">
      <c r="A5" s="176" t="s">
        <v>6</v>
      </c>
      <c r="B5" s="162" t="s">
        <v>529</v>
      </c>
      <c r="C5" s="162" t="s">
        <v>529</v>
      </c>
      <c r="D5" s="162" t="s">
        <v>529</v>
      </c>
      <c r="E5" s="325">
        <f>SUBTOTAL(109,scheduleblocalfunded[Program
Costs])</f>
        <v>787696436</v>
      </c>
      <c r="F5" s="325">
        <f>SUBTOTAL(109,scheduleblocalfunded[Less: Net Payments and Offsets 1])</f>
        <v>406015161</v>
      </c>
      <c r="G5" s="370" t="s">
        <v>552</v>
      </c>
      <c r="H5" s="325">
        <f>SUBTOTAL(109,scheduleblocalfunded[Accounts Payable
Balance 2])</f>
        <v>381681275</v>
      </c>
      <c r="I5" s="370" t="s">
        <v>552</v>
      </c>
      <c r="J5" s="325">
        <f>SUBTOTAL(109,scheduleblocalfunded[Established
Accounts 
Receivable 3])</f>
        <v>52530318</v>
      </c>
      <c r="K5" s="370" t="s">
        <v>552</v>
      </c>
      <c r="L5" s="325">
        <f>SUBTOTAL(109,scheduleblocalfunded[Less: Recovered
Amount])</f>
        <v>50096143</v>
      </c>
      <c r="M5" s="325">
        <f>SUBTOTAL(109,scheduleblocalfunded[Accounts Receivable
Balance 4])</f>
        <v>2434175</v>
      </c>
      <c r="N5" s="370" t="s">
        <v>552</v>
      </c>
      <c r="O5" s="325">
        <f>SUBTOTAL(109,scheduleblocalfunded[Net
Balance 5 ])</f>
        <v>379247100</v>
      </c>
      <c r="P5" s="373" t="s">
        <v>529</v>
      </c>
      <c r="Q5" s="9"/>
      <c r="R5" s="9"/>
    </row>
    <row r="6" spans="1:21" ht="15.5" x14ac:dyDescent="0.35">
      <c r="A6" s="386" t="s">
        <v>540</v>
      </c>
      <c r="B6" s="119"/>
      <c r="C6" s="105"/>
      <c r="D6" s="105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3"/>
      <c r="Q6" s="9"/>
      <c r="R6" s="9"/>
    </row>
    <row r="7" spans="1:21" ht="60" customHeight="1" x14ac:dyDescent="0.35">
      <c r="A7" s="350" t="s">
        <v>123</v>
      </c>
      <c r="B7" s="351" t="s">
        <v>531</v>
      </c>
      <c r="C7" s="350" t="s">
        <v>11</v>
      </c>
      <c r="D7" s="350" t="s">
        <v>124</v>
      </c>
      <c r="E7" s="352" t="s">
        <v>125</v>
      </c>
      <c r="F7" s="350" t="s">
        <v>573</v>
      </c>
      <c r="G7" s="351" t="s">
        <v>581</v>
      </c>
      <c r="H7" s="350" t="s">
        <v>574</v>
      </c>
      <c r="I7" s="351" t="s">
        <v>532</v>
      </c>
      <c r="J7" s="350" t="s">
        <v>575</v>
      </c>
      <c r="K7" s="351" t="s">
        <v>578</v>
      </c>
      <c r="L7" s="350" t="s">
        <v>126</v>
      </c>
      <c r="M7" s="350" t="s">
        <v>576</v>
      </c>
      <c r="N7" s="351" t="s">
        <v>579</v>
      </c>
      <c r="O7" s="350" t="s">
        <v>577</v>
      </c>
      <c r="P7" s="353" t="s">
        <v>580</v>
      </c>
      <c r="Q7" s="9"/>
      <c r="R7" s="9"/>
    </row>
    <row r="8" spans="1:21" ht="15.5" x14ac:dyDescent="0.35">
      <c r="A8" s="118" t="s">
        <v>128</v>
      </c>
      <c r="B8" s="368" t="s">
        <v>529</v>
      </c>
      <c r="C8" s="368" t="s">
        <v>529</v>
      </c>
      <c r="D8" s="368" t="s">
        <v>529</v>
      </c>
      <c r="E8" s="368" t="s">
        <v>529</v>
      </c>
      <c r="F8" s="368" t="s">
        <v>529</v>
      </c>
      <c r="G8" s="368" t="s">
        <v>529</v>
      </c>
      <c r="H8" s="368" t="s">
        <v>529</v>
      </c>
      <c r="I8" s="368" t="s">
        <v>529</v>
      </c>
      <c r="J8" s="368" t="s">
        <v>529</v>
      </c>
      <c r="K8" s="368" t="s">
        <v>529</v>
      </c>
      <c r="L8" s="368" t="s">
        <v>529</v>
      </c>
      <c r="M8" s="368" t="s">
        <v>529</v>
      </c>
      <c r="N8" s="368" t="s">
        <v>529</v>
      </c>
      <c r="O8" s="368" t="s">
        <v>529</v>
      </c>
      <c r="P8" s="371" t="s">
        <v>529</v>
      </c>
      <c r="Q8" s="9"/>
      <c r="R8" s="9"/>
    </row>
    <row r="9" spans="1:21" ht="17.5" x14ac:dyDescent="0.35">
      <c r="A9" s="120" t="s">
        <v>7</v>
      </c>
      <c r="B9" s="368" t="s">
        <v>529</v>
      </c>
      <c r="C9" s="105" t="s">
        <v>433</v>
      </c>
      <c r="D9" s="105" t="s">
        <v>571</v>
      </c>
      <c r="E9" s="124">
        <v>6332349717</v>
      </c>
      <c r="F9" s="124">
        <v>5392564992</v>
      </c>
      <c r="G9" s="368" t="s">
        <v>529</v>
      </c>
      <c r="H9" s="122">
        <v>939784725</v>
      </c>
      <c r="I9" s="368" t="s">
        <v>529</v>
      </c>
      <c r="J9" s="122">
        <v>194846243</v>
      </c>
      <c r="K9" s="368" t="s">
        <v>529</v>
      </c>
      <c r="L9" s="122">
        <v>143140043</v>
      </c>
      <c r="M9" s="122">
        <v>51706200</v>
      </c>
      <c r="N9" s="368" t="s">
        <v>529</v>
      </c>
      <c r="O9" s="122">
        <v>888078525</v>
      </c>
      <c r="P9" s="512">
        <v>1</v>
      </c>
      <c r="Q9" s="9"/>
      <c r="R9" s="9"/>
      <c r="S9" s="6" t="s">
        <v>130</v>
      </c>
    </row>
    <row r="10" spans="1:21" ht="15.5" x14ac:dyDescent="0.35">
      <c r="A10" s="120" t="s">
        <v>8</v>
      </c>
      <c r="B10" s="368" t="s">
        <v>529</v>
      </c>
      <c r="C10" s="105" t="s">
        <v>129</v>
      </c>
      <c r="D10" s="105" t="s">
        <v>571</v>
      </c>
      <c r="E10" s="124">
        <v>196538163</v>
      </c>
      <c r="F10" s="124">
        <v>163190145</v>
      </c>
      <c r="G10" s="368" t="s">
        <v>529</v>
      </c>
      <c r="H10" s="122">
        <v>33348018</v>
      </c>
      <c r="I10" s="368" t="s">
        <v>529</v>
      </c>
      <c r="J10" s="122">
        <v>24101833</v>
      </c>
      <c r="K10" s="368" t="s">
        <v>529</v>
      </c>
      <c r="L10" s="122">
        <v>11310415</v>
      </c>
      <c r="M10" s="122">
        <v>12791418</v>
      </c>
      <c r="N10" s="368" t="s">
        <v>529</v>
      </c>
      <c r="O10" s="122">
        <v>20556600</v>
      </c>
      <c r="P10" s="371" t="s">
        <v>529</v>
      </c>
      <c r="Q10" s="9"/>
      <c r="R10" s="9"/>
    </row>
    <row r="11" spans="1:21" ht="15.5" x14ac:dyDescent="0.35">
      <c r="A11" s="327" t="s">
        <v>9</v>
      </c>
      <c r="B11" s="162" t="s">
        <v>529</v>
      </c>
      <c r="C11" s="310" t="s">
        <v>529</v>
      </c>
      <c r="D11" s="310" t="s">
        <v>529</v>
      </c>
      <c r="E11" s="328">
        <f>SUBTOTAL(109,schedulebsdandccdfunded[Program
Costs])</f>
        <v>6528887880</v>
      </c>
      <c r="F11" s="328">
        <f>SUBTOTAL(109,schedulebsdandccdfunded[Less: Net Payments and Offsets 1])</f>
        <v>5555755137</v>
      </c>
      <c r="G11" s="374" t="s">
        <v>552</v>
      </c>
      <c r="H11" s="328">
        <f>SUBTOTAL(109,schedulebsdandccdfunded[Accounts Payable
Balance 2])</f>
        <v>973132743</v>
      </c>
      <c r="I11" s="374" t="s">
        <v>552</v>
      </c>
      <c r="J11" s="328">
        <f>SUBTOTAL(109,schedulebsdandccdfunded[Established
Accounts 
Receivable 3])</f>
        <v>218948076</v>
      </c>
      <c r="K11" s="374" t="s">
        <v>552</v>
      </c>
      <c r="L11" s="328">
        <f>SUBTOTAL(109,schedulebsdandccdfunded[Less: Recovered
Amount])</f>
        <v>154450458</v>
      </c>
      <c r="M11" s="328">
        <f>SUBTOTAL(109,schedulebsdandccdfunded[Accounts Receivable
Balance 4])</f>
        <v>64497618</v>
      </c>
      <c r="N11" s="374" t="s">
        <v>552</v>
      </c>
      <c r="O11" s="328">
        <f>SUBTOTAL(109,schedulebsdandccdfunded[Net
Balance 5 ])</f>
        <v>908635125</v>
      </c>
      <c r="P11" s="373" t="s">
        <v>529</v>
      </c>
      <c r="Q11" s="9"/>
      <c r="R11" s="9"/>
      <c r="T11" s="6"/>
      <c r="U11" s="6"/>
    </row>
    <row r="12" spans="1:21" ht="15.5" x14ac:dyDescent="0.35">
      <c r="A12" s="386" t="s">
        <v>540</v>
      </c>
      <c r="B12" s="93"/>
      <c r="C12" s="105"/>
      <c r="D12" s="105"/>
      <c r="E12" s="326"/>
      <c r="F12" s="326"/>
      <c r="G12" s="326"/>
      <c r="H12" s="326"/>
      <c r="I12" s="326"/>
      <c r="J12" s="326"/>
      <c r="K12" s="326"/>
      <c r="L12" s="326"/>
      <c r="M12" s="326"/>
      <c r="N12" s="326"/>
      <c r="O12" s="326"/>
      <c r="P12" s="288"/>
      <c r="Q12" s="9"/>
      <c r="R12" s="9"/>
      <c r="T12" s="6"/>
      <c r="U12" s="6"/>
    </row>
    <row r="13" spans="1:21" ht="60" customHeight="1" x14ac:dyDescent="0.35">
      <c r="A13" s="350" t="s">
        <v>123</v>
      </c>
      <c r="B13" s="351" t="s">
        <v>531</v>
      </c>
      <c r="C13" s="350" t="s">
        <v>11</v>
      </c>
      <c r="D13" s="350" t="s">
        <v>124</v>
      </c>
      <c r="E13" s="352" t="s">
        <v>125</v>
      </c>
      <c r="F13" s="350" t="s">
        <v>573</v>
      </c>
      <c r="G13" s="351" t="s">
        <v>581</v>
      </c>
      <c r="H13" s="350" t="s">
        <v>574</v>
      </c>
      <c r="I13" s="351" t="s">
        <v>532</v>
      </c>
      <c r="J13" s="350" t="s">
        <v>575</v>
      </c>
      <c r="K13" s="351" t="s">
        <v>578</v>
      </c>
      <c r="L13" s="350" t="s">
        <v>126</v>
      </c>
      <c r="M13" s="350" t="s">
        <v>576</v>
      </c>
      <c r="N13" s="351" t="s">
        <v>579</v>
      </c>
      <c r="O13" s="350" t="s">
        <v>577</v>
      </c>
      <c r="P13" s="353" t="s">
        <v>580</v>
      </c>
      <c r="Q13" s="9"/>
      <c r="R13" s="9"/>
      <c r="T13" s="6"/>
      <c r="U13" s="6"/>
    </row>
    <row r="14" spans="1:21" ht="15.5" x14ac:dyDescent="0.35">
      <c r="A14" s="120" t="s">
        <v>1</v>
      </c>
      <c r="B14" s="368" t="s">
        <v>529</v>
      </c>
      <c r="C14" s="105" t="s">
        <v>433</v>
      </c>
      <c r="D14" s="105" t="s">
        <v>571</v>
      </c>
      <c r="E14" s="124">
        <f>scheduleblocalfunded[[#Totals],[Program
Costs]]</f>
        <v>787696436</v>
      </c>
      <c r="F14" s="124">
        <f>scheduleblocalfunded[[#Totals],[Less: Net Payments and Offsets 1]]</f>
        <v>406015161</v>
      </c>
      <c r="G14" s="368" t="s">
        <v>529</v>
      </c>
      <c r="H14" s="124">
        <f>scheduleblocalfunded[[#Totals],[Accounts Payable
Balance 2]]</f>
        <v>381681275</v>
      </c>
      <c r="I14" s="368" t="s">
        <v>529</v>
      </c>
      <c r="J14" s="124">
        <f>scheduleblocalfunded[[#Totals],[Established
Accounts 
Receivable 3]]</f>
        <v>52530318</v>
      </c>
      <c r="K14" s="368" t="s">
        <v>529</v>
      </c>
      <c r="L14" s="124">
        <f>scheduleblocalfunded[[#Totals],[Less: Recovered
Amount]]</f>
        <v>50096143</v>
      </c>
      <c r="M14" s="124">
        <f>scheduleblocalfunded[[#Totals],[Accounts Receivable
Balance 4]]</f>
        <v>2434175</v>
      </c>
      <c r="N14" s="368" t="s">
        <v>529</v>
      </c>
      <c r="O14" s="124">
        <f>scheduleblocalfunded[[#Totals],[Net
Balance 5 ]]</f>
        <v>379247100</v>
      </c>
      <c r="P14" s="371" t="s">
        <v>529</v>
      </c>
      <c r="Q14" s="9"/>
      <c r="R14" s="9"/>
      <c r="T14" s="6"/>
      <c r="U14" s="6"/>
    </row>
    <row r="15" spans="1:21" ht="15.5" x14ac:dyDescent="0.35">
      <c r="A15" s="120" t="s">
        <v>7</v>
      </c>
      <c r="B15" s="368" t="s">
        <v>529</v>
      </c>
      <c r="C15" s="105" t="s">
        <v>433</v>
      </c>
      <c r="D15" s="105" t="s">
        <v>571</v>
      </c>
      <c r="E15" s="124">
        <f>E9</f>
        <v>6332349717</v>
      </c>
      <c r="F15" s="124">
        <f>F9</f>
        <v>5392564992</v>
      </c>
      <c r="G15" s="368" t="s">
        <v>529</v>
      </c>
      <c r="H15" s="124">
        <f>H9</f>
        <v>939784725</v>
      </c>
      <c r="I15" s="368" t="s">
        <v>529</v>
      </c>
      <c r="J15" s="124">
        <f>J9</f>
        <v>194846243</v>
      </c>
      <c r="K15" s="368" t="s">
        <v>529</v>
      </c>
      <c r="L15" s="124">
        <f>L9</f>
        <v>143140043</v>
      </c>
      <c r="M15" s="124">
        <f>M9</f>
        <v>51706200</v>
      </c>
      <c r="N15" s="368" t="s">
        <v>529</v>
      </c>
      <c r="O15" s="124">
        <f>O9</f>
        <v>888078525</v>
      </c>
      <c r="P15" s="371" t="s">
        <v>529</v>
      </c>
      <c r="Q15" s="9"/>
      <c r="R15" s="9"/>
      <c r="T15" s="6"/>
      <c r="U15" s="6"/>
    </row>
    <row r="16" spans="1:21" ht="15.5" x14ac:dyDescent="0.35">
      <c r="A16" s="120" t="s">
        <v>8</v>
      </c>
      <c r="B16" s="368" t="s">
        <v>529</v>
      </c>
      <c r="C16" s="105" t="s">
        <v>129</v>
      </c>
      <c r="D16" s="105" t="s">
        <v>571</v>
      </c>
      <c r="E16" s="124">
        <f>E10</f>
        <v>196538163</v>
      </c>
      <c r="F16" s="124">
        <f>F10</f>
        <v>163190145</v>
      </c>
      <c r="G16" s="368" t="s">
        <v>529</v>
      </c>
      <c r="H16" s="124">
        <f>H10</f>
        <v>33348018</v>
      </c>
      <c r="I16" s="368" t="s">
        <v>529</v>
      </c>
      <c r="J16" s="124">
        <f>J10</f>
        <v>24101833</v>
      </c>
      <c r="K16" s="368" t="s">
        <v>529</v>
      </c>
      <c r="L16" s="124">
        <f>L10</f>
        <v>11310415</v>
      </c>
      <c r="M16" s="124">
        <f>M10</f>
        <v>12791418</v>
      </c>
      <c r="N16" s="368" t="s">
        <v>529</v>
      </c>
      <c r="O16" s="124">
        <f>O10</f>
        <v>20556600</v>
      </c>
      <c r="P16" s="371" t="s">
        <v>529</v>
      </c>
      <c r="Q16" s="9"/>
      <c r="R16" s="9"/>
      <c r="T16" s="6"/>
      <c r="U16" s="6"/>
    </row>
    <row r="17" spans="1:22" ht="17.5" x14ac:dyDescent="0.35">
      <c r="A17" s="399" t="s">
        <v>604</v>
      </c>
      <c r="B17" s="389" t="s">
        <v>603</v>
      </c>
      <c r="C17" s="164" t="s">
        <v>529</v>
      </c>
      <c r="D17" s="164" t="s">
        <v>529</v>
      </c>
      <c r="E17" s="375">
        <f>SUBTOTAL(109,schedulebfunded[Program
Costs])</f>
        <v>7316584316</v>
      </c>
      <c r="F17" s="375">
        <f>SUBTOTAL(109,schedulebfunded[Less: Net Payments and Offsets 1])</f>
        <v>5961770298</v>
      </c>
      <c r="G17" s="376" t="s">
        <v>552</v>
      </c>
      <c r="H17" s="375">
        <f>SUBTOTAL(109,schedulebfunded[Accounts Payable
Balance 2])</f>
        <v>1354814018</v>
      </c>
      <c r="I17" s="376" t="s">
        <v>552</v>
      </c>
      <c r="J17" s="375">
        <f>SUBTOTAL(109,schedulebfunded[Established
Accounts 
Receivable 3])</f>
        <v>271478394</v>
      </c>
      <c r="K17" s="376" t="s">
        <v>552</v>
      </c>
      <c r="L17" s="375">
        <f>SUBTOTAL(109,schedulebfunded[Less: Recovered
Amount])</f>
        <v>204546601</v>
      </c>
      <c r="M17" s="375">
        <f>SUBTOTAL(109,schedulebfunded[Accounts Receivable
Balance 4])</f>
        <v>66931793</v>
      </c>
      <c r="N17" s="376" t="s">
        <v>552</v>
      </c>
      <c r="O17" s="375">
        <f>SUBTOTAL(109,schedulebfunded[Net
Balance 5 ])</f>
        <v>1287882225</v>
      </c>
      <c r="P17" s="377" t="s">
        <v>552</v>
      </c>
      <c r="Q17" s="9"/>
      <c r="R17" s="9"/>
      <c r="T17" s="6"/>
      <c r="U17" s="6"/>
    </row>
    <row r="18" spans="1:22" ht="15.5" x14ac:dyDescent="0.35">
      <c r="A18" s="386" t="s">
        <v>540</v>
      </c>
      <c r="B18" s="119"/>
      <c r="C18" s="119"/>
      <c r="D18" s="105"/>
      <c r="E18" s="326"/>
      <c r="F18" s="127"/>
      <c r="G18" s="126"/>
      <c r="H18" s="127"/>
      <c r="I18" s="126"/>
      <c r="J18" s="127"/>
      <c r="K18" s="126"/>
      <c r="L18" s="326"/>
      <c r="M18" s="326"/>
      <c r="N18" s="126"/>
      <c r="O18" s="326"/>
      <c r="P18" s="329"/>
      <c r="Q18" s="9"/>
      <c r="R18" s="9"/>
      <c r="T18" s="6"/>
      <c r="U18" s="6"/>
    </row>
    <row r="19" spans="1:22" ht="60" customHeight="1" x14ac:dyDescent="0.35">
      <c r="A19" s="350" t="s">
        <v>123</v>
      </c>
      <c r="B19" s="351" t="s">
        <v>531</v>
      </c>
      <c r="C19" s="350" t="s">
        <v>11</v>
      </c>
      <c r="D19" s="350" t="s">
        <v>124</v>
      </c>
      <c r="E19" s="352" t="s">
        <v>125</v>
      </c>
      <c r="F19" s="350" t="s">
        <v>573</v>
      </c>
      <c r="G19" s="351" t="s">
        <v>581</v>
      </c>
      <c r="H19" s="350" t="s">
        <v>574</v>
      </c>
      <c r="I19" s="351" t="s">
        <v>532</v>
      </c>
      <c r="J19" s="350" t="s">
        <v>575</v>
      </c>
      <c r="K19" s="351" t="s">
        <v>578</v>
      </c>
      <c r="L19" s="350" t="s">
        <v>126</v>
      </c>
      <c r="M19" s="350" t="s">
        <v>576</v>
      </c>
      <c r="N19" s="351" t="s">
        <v>579</v>
      </c>
      <c r="O19" s="350" t="s">
        <v>577</v>
      </c>
      <c r="P19" s="353" t="s">
        <v>580</v>
      </c>
      <c r="Q19" s="9"/>
      <c r="R19" s="9"/>
      <c r="T19" s="6"/>
      <c r="U19" s="6"/>
    </row>
    <row r="20" spans="1:22" ht="15.5" x14ac:dyDescent="0.35">
      <c r="A20" s="118" t="s">
        <v>127</v>
      </c>
      <c r="B20" s="171" t="s">
        <v>529</v>
      </c>
      <c r="C20" s="171" t="s">
        <v>529</v>
      </c>
      <c r="D20" s="171" t="s">
        <v>529</v>
      </c>
      <c r="E20" s="171" t="s">
        <v>529</v>
      </c>
      <c r="F20" s="171" t="s">
        <v>529</v>
      </c>
      <c r="G20" s="171" t="s">
        <v>529</v>
      </c>
      <c r="H20" s="171" t="s">
        <v>529</v>
      </c>
      <c r="I20" s="171" t="s">
        <v>529</v>
      </c>
      <c r="J20" s="171" t="s">
        <v>529</v>
      </c>
      <c r="K20" s="171" t="s">
        <v>529</v>
      </c>
      <c r="L20" s="171" t="s">
        <v>529</v>
      </c>
      <c r="M20" s="171" t="s">
        <v>529</v>
      </c>
      <c r="N20" s="171" t="s">
        <v>529</v>
      </c>
      <c r="O20" s="171" t="s">
        <v>529</v>
      </c>
      <c r="P20" s="378" t="s">
        <v>529</v>
      </c>
      <c r="Q20" s="9"/>
      <c r="R20" s="9"/>
      <c r="T20" s="6"/>
      <c r="U20" s="6"/>
    </row>
    <row r="21" spans="1:22" ht="15.5" x14ac:dyDescent="0.35">
      <c r="A21" s="120" t="s">
        <v>1</v>
      </c>
      <c r="B21" s="368" t="s">
        <v>529</v>
      </c>
      <c r="C21" s="105" t="s">
        <v>433</v>
      </c>
      <c r="D21" s="105" t="s">
        <v>572</v>
      </c>
      <c r="E21" s="122">
        <v>371866997</v>
      </c>
      <c r="F21" s="392">
        <v>0</v>
      </c>
      <c r="G21" s="369" t="s">
        <v>529</v>
      </c>
      <c r="H21" s="122">
        <v>371866997</v>
      </c>
      <c r="I21" s="369" t="s">
        <v>529</v>
      </c>
      <c r="J21" s="392">
        <v>0</v>
      </c>
      <c r="K21" s="369" t="s">
        <v>529</v>
      </c>
      <c r="L21" s="392">
        <v>0</v>
      </c>
      <c r="M21" s="392">
        <v>0</v>
      </c>
      <c r="N21" s="369" t="s">
        <v>529</v>
      </c>
      <c r="O21" s="122">
        <v>371866997</v>
      </c>
      <c r="P21" s="372" t="s">
        <v>529</v>
      </c>
      <c r="Q21" s="9"/>
      <c r="R21" s="9"/>
      <c r="T21" s="6"/>
      <c r="U21" s="6"/>
    </row>
    <row r="22" spans="1:22" ht="15.5" x14ac:dyDescent="0.35">
      <c r="A22" s="327" t="s">
        <v>6</v>
      </c>
      <c r="B22" s="162" t="s">
        <v>529</v>
      </c>
      <c r="C22" s="162" t="s">
        <v>529</v>
      </c>
      <c r="D22" s="162" t="s">
        <v>529</v>
      </c>
      <c r="E22" s="325">
        <f>SUBTOTAL(109,scheduleblocalunfunded[Program
Costs])</f>
        <v>371866997</v>
      </c>
      <c r="F22" s="342" t="s">
        <v>582</v>
      </c>
      <c r="G22" s="370" t="s">
        <v>552</v>
      </c>
      <c r="H22" s="325">
        <f>SUBTOTAL(109,scheduleblocalunfunded[Accounts Payable
Balance 2])</f>
        <v>371866997</v>
      </c>
      <c r="I22" s="370" t="s">
        <v>552</v>
      </c>
      <c r="J22" s="342" t="s">
        <v>582</v>
      </c>
      <c r="K22" s="370" t="s">
        <v>552</v>
      </c>
      <c r="L22" s="342" t="s">
        <v>582</v>
      </c>
      <c r="M22" s="342" t="s">
        <v>582</v>
      </c>
      <c r="N22" s="370" t="s">
        <v>552</v>
      </c>
      <c r="O22" s="325">
        <f>SUBTOTAL(109,scheduleblocalunfunded[Net
Balance 5 ])</f>
        <v>371866997</v>
      </c>
      <c r="P22" s="379" t="s">
        <v>552</v>
      </c>
      <c r="Q22" s="9"/>
      <c r="R22" s="9"/>
      <c r="T22" s="6"/>
      <c r="U22" s="6"/>
    </row>
    <row r="23" spans="1:22" ht="15.5" x14ac:dyDescent="0.35">
      <c r="A23" s="386" t="s">
        <v>540</v>
      </c>
      <c r="B23" s="119"/>
      <c r="C23" s="105"/>
      <c r="D23" s="105"/>
      <c r="E23" s="126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5"/>
      <c r="Q23" s="9"/>
      <c r="R23" s="9"/>
      <c r="T23" s="6"/>
      <c r="U23" s="6"/>
      <c r="V23" s="6"/>
    </row>
    <row r="24" spans="1:22" ht="60" customHeight="1" x14ac:dyDescent="0.35">
      <c r="A24" s="350" t="s">
        <v>123</v>
      </c>
      <c r="B24" s="351" t="s">
        <v>531</v>
      </c>
      <c r="C24" s="350" t="s">
        <v>11</v>
      </c>
      <c r="D24" s="350" t="s">
        <v>124</v>
      </c>
      <c r="E24" s="352" t="s">
        <v>125</v>
      </c>
      <c r="F24" s="350" t="s">
        <v>573</v>
      </c>
      <c r="G24" s="351" t="s">
        <v>581</v>
      </c>
      <c r="H24" s="350" t="s">
        <v>574</v>
      </c>
      <c r="I24" s="351" t="s">
        <v>532</v>
      </c>
      <c r="J24" s="350" t="s">
        <v>575</v>
      </c>
      <c r="K24" s="351" t="s">
        <v>578</v>
      </c>
      <c r="L24" s="350" t="s">
        <v>126</v>
      </c>
      <c r="M24" s="350" t="s">
        <v>576</v>
      </c>
      <c r="N24" s="351" t="s">
        <v>579</v>
      </c>
      <c r="O24" s="350" t="s">
        <v>577</v>
      </c>
      <c r="P24" s="353" t="s">
        <v>580</v>
      </c>
      <c r="Q24" s="9"/>
      <c r="R24" s="9"/>
      <c r="T24" s="6"/>
      <c r="U24" s="6"/>
      <c r="V24" s="6"/>
    </row>
    <row r="25" spans="1:22" ht="15.5" x14ac:dyDescent="0.35">
      <c r="A25" s="118" t="s">
        <v>128</v>
      </c>
      <c r="B25" s="368" t="s">
        <v>529</v>
      </c>
      <c r="C25" s="368" t="s">
        <v>529</v>
      </c>
      <c r="D25" s="368" t="s">
        <v>529</v>
      </c>
      <c r="E25" s="368" t="s">
        <v>529</v>
      </c>
      <c r="F25" s="368" t="s">
        <v>529</v>
      </c>
      <c r="G25" s="368" t="s">
        <v>529</v>
      </c>
      <c r="H25" s="368" t="s">
        <v>529</v>
      </c>
      <c r="I25" s="368" t="s">
        <v>529</v>
      </c>
      <c r="J25" s="368" t="s">
        <v>529</v>
      </c>
      <c r="K25" s="368" t="s">
        <v>529</v>
      </c>
      <c r="L25" s="368" t="s">
        <v>529</v>
      </c>
      <c r="M25" s="368" t="s">
        <v>529</v>
      </c>
      <c r="N25" s="368" t="s">
        <v>529</v>
      </c>
      <c r="O25" s="368" t="s">
        <v>529</v>
      </c>
      <c r="P25" s="371" t="s">
        <v>529</v>
      </c>
      <c r="Q25" s="9"/>
      <c r="R25" s="9"/>
      <c r="T25" s="6"/>
      <c r="U25" s="6"/>
      <c r="V25" s="6"/>
    </row>
    <row r="26" spans="1:22" ht="15.5" x14ac:dyDescent="0.35">
      <c r="A26" s="128" t="s">
        <v>7</v>
      </c>
      <c r="B26" s="368" t="s">
        <v>529</v>
      </c>
      <c r="C26" s="105" t="s">
        <v>482</v>
      </c>
      <c r="D26" s="105" t="s">
        <v>572</v>
      </c>
      <c r="E26" s="130">
        <v>410162</v>
      </c>
      <c r="F26" s="392">
        <v>0</v>
      </c>
      <c r="G26" s="368" t="s">
        <v>529</v>
      </c>
      <c r="H26" s="130">
        <v>410162</v>
      </c>
      <c r="I26" s="368" t="s">
        <v>529</v>
      </c>
      <c r="J26" s="392">
        <v>0</v>
      </c>
      <c r="K26" s="368" t="s">
        <v>529</v>
      </c>
      <c r="L26" s="392">
        <v>0</v>
      </c>
      <c r="M26" s="392">
        <v>0</v>
      </c>
      <c r="N26" s="368" t="s">
        <v>529</v>
      </c>
      <c r="O26" s="122">
        <v>410162</v>
      </c>
      <c r="P26" s="371" t="s">
        <v>529</v>
      </c>
      <c r="Q26" s="9"/>
      <c r="R26" s="9"/>
      <c r="T26" s="6"/>
      <c r="U26" s="6"/>
      <c r="V26" s="6"/>
    </row>
    <row r="27" spans="1:22" ht="15.5" x14ac:dyDescent="0.35">
      <c r="A27" s="120" t="s">
        <v>8</v>
      </c>
      <c r="B27" s="368" t="s">
        <v>529</v>
      </c>
      <c r="C27" s="105" t="s">
        <v>44</v>
      </c>
      <c r="D27" s="105" t="s">
        <v>572</v>
      </c>
      <c r="E27" s="124">
        <v>1170</v>
      </c>
      <c r="F27" s="392">
        <v>0</v>
      </c>
      <c r="G27" s="368" t="s">
        <v>529</v>
      </c>
      <c r="H27" s="122">
        <v>1170</v>
      </c>
      <c r="I27" s="368" t="s">
        <v>529</v>
      </c>
      <c r="J27" s="392">
        <v>0</v>
      </c>
      <c r="K27" s="368" t="s">
        <v>529</v>
      </c>
      <c r="L27" s="392">
        <v>0</v>
      </c>
      <c r="M27" s="392">
        <v>0</v>
      </c>
      <c r="N27" s="368" t="s">
        <v>529</v>
      </c>
      <c r="O27" s="122">
        <v>1170</v>
      </c>
      <c r="P27" s="371" t="s">
        <v>529</v>
      </c>
    </row>
    <row r="28" spans="1:22" ht="15.5" x14ac:dyDescent="0.35">
      <c r="A28" s="327" t="s">
        <v>9</v>
      </c>
      <c r="B28" s="162" t="s">
        <v>529</v>
      </c>
      <c r="C28" s="162" t="s">
        <v>529</v>
      </c>
      <c r="D28" s="310" t="s">
        <v>529</v>
      </c>
      <c r="E28" s="325">
        <f>SUBTOTAL(109,schedulebsdandccdunfunded[Program
Costs])</f>
        <v>411332</v>
      </c>
      <c r="F28" s="342" t="s">
        <v>582</v>
      </c>
      <c r="G28" s="370" t="s">
        <v>552</v>
      </c>
      <c r="H28" s="325">
        <f>SUBTOTAL(109,schedulebsdandccdunfunded[Accounts Payable
Balance 2])</f>
        <v>411332</v>
      </c>
      <c r="I28" s="370" t="s">
        <v>552</v>
      </c>
      <c r="J28" s="342" t="s">
        <v>582</v>
      </c>
      <c r="K28" s="370" t="s">
        <v>552</v>
      </c>
      <c r="L28" s="342" t="s">
        <v>582</v>
      </c>
      <c r="M28" s="342" t="s">
        <v>582</v>
      </c>
      <c r="N28" s="370" t="s">
        <v>552</v>
      </c>
      <c r="O28" s="325">
        <f>SUBTOTAL(109,schedulebsdandccdunfunded[Net
Balance 5 ])</f>
        <v>411332</v>
      </c>
      <c r="P28" s="379" t="s">
        <v>552</v>
      </c>
    </row>
    <row r="29" spans="1:22" ht="20.149999999999999" customHeight="1" x14ac:dyDescent="0.35">
      <c r="A29" s="387" t="s">
        <v>540</v>
      </c>
      <c r="B29" s="159"/>
      <c r="C29" s="330"/>
      <c r="D29" s="330"/>
      <c r="E29" s="331"/>
      <c r="F29" s="331"/>
      <c r="G29" s="331"/>
      <c r="H29" s="332"/>
      <c r="I29" s="332"/>
      <c r="J29" s="332"/>
      <c r="K29" s="332"/>
      <c r="L29" s="332"/>
      <c r="M29" s="332"/>
      <c r="N29" s="332"/>
      <c r="O29" s="332"/>
      <c r="P29" s="333"/>
    </row>
    <row r="30" spans="1:22" ht="60" customHeight="1" x14ac:dyDescent="0.35">
      <c r="A30" s="350" t="s">
        <v>123</v>
      </c>
      <c r="B30" s="351" t="s">
        <v>531</v>
      </c>
      <c r="C30" s="350" t="s">
        <v>11</v>
      </c>
      <c r="D30" s="350" t="s">
        <v>124</v>
      </c>
      <c r="E30" s="352" t="s">
        <v>125</v>
      </c>
      <c r="F30" s="350" t="s">
        <v>573</v>
      </c>
      <c r="G30" s="351" t="s">
        <v>581</v>
      </c>
      <c r="H30" s="350" t="s">
        <v>574</v>
      </c>
      <c r="I30" s="351" t="s">
        <v>532</v>
      </c>
      <c r="J30" s="350" t="s">
        <v>575</v>
      </c>
      <c r="K30" s="351" t="s">
        <v>578</v>
      </c>
      <c r="L30" s="350" t="s">
        <v>126</v>
      </c>
      <c r="M30" s="350" t="s">
        <v>576</v>
      </c>
      <c r="N30" s="351" t="s">
        <v>579</v>
      </c>
      <c r="O30" s="350" t="s">
        <v>577</v>
      </c>
      <c r="P30" s="353" t="s">
        <v>580</v>
      </c>
    </row>
    <row r="31" spans="1:22" ht="15.5" customHeight="1" x14ac:dyDescent="0.35">
      <c r="A31" s="120" t="s">
        <v>1</v>
      </c>
      <c r="B31" s="368" t="s">
        <v>529</v>
      </c>
      <c r="C31" s="105" t="s">
        <v>433</v>
      </c>
      <c r="D31" s="105" t="s">
        <v>572</v>
      </c>
      <c r="E31" s="124">
        <f>scheduleblocalunfunded[[#Totals],[Program
Costs]]</f>
        <v>371866997</v>
      </c>
      <c r="F31" s="392">
        <v>0</v>
      </c>
      <c r="G31" s="369" t="s">
        <v>529</v>
      </c>
      <c r="H31" s="122">
        <f>H21</f>
        <v>371866997</v>
      </c>
      <c r="I31" s="369" t="s">
        <v>529</v>
      </c>
      <c r="J31" s="392">
        <v>0</v>
      </c>
      <c r="K31" s="369" t="s">
        <v>529</v>
      </c>
      <c r="L31" s="392">
        <v>0</v>
      </c>
      <c r="M31" s="392">
        <v>0</v>
      </c>
      <c r="N31" s="369" t="s">
        <v>529</v>
      </c>
      <c r="O31" s="122">
        <f>O21</f>
        <v>371866997</v>
      </c>
      <c r="P31" s="371" t="s">
        <v>529</v>
      </c>
    </row>
    <row r="32" spans="1:22" ht="15.5" customHeight="1" x14ac:dyDescent="0.35">
      <c r="A32" s="120" t="s">
        <v>7</v>
      </c>
      <c r="B32" s="368" t="s">
        <v>529</v>
      </c>
      <c r="C32" s="105" t="s">
        <v>482</v>
      </c>
      <c r="D32" s="105" t="s">
        <v>572</v>
      </c>
      <c r="E32" s="124">
        <f>E26</f>
        <v>410162</v>
      </c>
      <c r="F32" s="392">
        <v>0</v>
      </c>
      <c r="G32" s="369" t="s">
        <v>529</v>
      </c>
      <c r="H32" s="122">
        <f>H26</f>
        <v>410162</v>
      </c>
      <c r="I32" s="369" t="s">
        <v>529</v>
      </c>
      <c r="J32" s="392">
        <v>0</v>
      </c>
      <c r="K32" s="369" t="s">
        <v>529</v>
      </c>
      <c r="L32" s="392">
        <v>0</v>
      </c>
      <c r="M32" s="392">
        <v>0</v>
      </c>
      <c r="N32" s="369" t="s">
        <v>529</v>
      </c>
      <c r="O32" s="122">
        <f>O26</f>
        <v>410162</v>
      </c>
      <c r="P32" s="371" t="s">
        <v>529</v>
      </c>
    </row>
    <row r="33" spans="1:16" ht="15.5" customHeight="1" x14ac:dyDescent="0.35">
      <c r="A33" s="120" t="s">
        <v>8</v>
      </c>
      <c r="B33" s="368" t="s">
        <v>529</v>
      </c>
      <c r="C33" s="105" t="s">
        <v>44</v>
      </c>
      <c r="D33" s="105" t="s">
        <v>572</v>
      </c>
      <c r="E33" s="124">
        <f>E27</f>
        <v>1170</v>
      </c>
      <c r="F33" s="392">
        <v>0</v>
      </c>
      <c r="G33" s="369" t="s">
        <v>529</v>
      </c>
      <c r="H33" s="122">
        <f>H27</f>
        <v>1170</v>
      </c>
      <c r="I33" s="369" t="s">
        <v>529</v>
      </c>
      <c r="J33" s="392">
        <v>0</v>
      </c>
      <c r="K33" s="369" t="s">
        <v>529</v>
      </c>
      <c r="L33" s="392">
        <v>0</v>
      </c>
      <c r="M33" s="392">
        <v>0</v>
      </c>
      <c r="N33" s="369" t="s">
        <v>529</v>
      </c>
      <c r="O33" s="122">
        <f>O27</f>
        <v>1170</v>
      </c>
      <c r="P33" s="371" t="s">
        <v>529</v>
      </c>
    </row>
    <row r="34" spans="1:16" ht="17" customHeight="1" x14ac:dyDescent="0.35">
      <c r="A34" s="399" t="s">
        <v>605</v>
      </c>
      <c r="B34" s="388" t="s">
        <v>603</v>
      </c>
      <c r="C34" s="162" t="s">
        <v>529</v>
      </c>
      <c r="D34" s="310" t="s">
        <v>529</v>
      </c>
      <c r="E34" s="328">
        <f>SUBTOTAL(109,schedulebunfunded[Program
Costs])</f>
        <v>372278329</v>
      </c>
      <c r="F34" s="342" t="s">
        <v>582</v>
      </c>
      <c r="G34" s="374" t="s">
        <v>552</v>
      </c>
      <c r="H34" s="328">
        <f>SUBTOTAL(109,schedulebunfunded[Accounts Payable
Balance 2])</f>
        <v>372278329</v>
      </c>
      <c r="I34" s="374" t="s">
        <v>552</v>
      </c>
      <c r="J34" s="342" t="s">
        <v>582</v>
      </c>
      <c r="K34" s="374" t="s">
        <v>552</v>
      </c>
      <c r="L34" s="342" t="s">
        <v>582</v>
      </c>
      <c r="M34" s="342" t="s">
        <v>582</v>
      </c>
      <c r="N34" s="374" t="s">
        <v>552</v>
      </c>
      <c r="O34" s="328">
        <f>SUBTOTAL(109,schedulebunfunded[Net
Balance 5 ])</f>
        <v>372278329</v>
      </c>
      <c r="P34" s="380" t="s">
        <v>552</v>
      </c>
    </row>
    <row r="35" spans="1:16" ht="20.149999999999999" customHeight="1" x14ac:dyDescent="0.35">
      <c r="A35" s="386" t="s">
        <v>540</v>
      </c>
      <c r="B35" s="119"/>
      <c r="C35" s="93"/>
      <c r="D35" s="105"/>
      <c r="E35" s="326"/>
      <c r="F35" s="326"/>
      <c r="G35" s="326"/>
      <c r="H35" s="326"/>
      <c r="I35" s="326"/>
      <c r="J35" s="326"/>
      <c r="K35" s="326"/>
      <c r="L35" s="326"/>
      <c r="M35" s="326"/>
      <c r="N35" s="326"/>
      <c r="O35" s="326"/>
      <c r="P35" s="125"/>
    </row>
    <row r="36" spans="1:16" ht="60" customHeight="1" x14ac:dyDescent="0.35">
      <c r="A36" s="350" t="s">
        <v>123</v>
      </c>
      <c r="B36" s="351" t="s">
        <v>531</v>
      </c>
      <c r="C36" s="350" t="s">
        <v>11</v>
      </c>
      <c r="D36" s="350" t="s">
        <v>124</v>
      </c>
      <c r="E36" s="352" t="s">
        <v>125</v>
      </c>
      <c r="F36" s="350" t="s">
        <v>573</v>
      </c>
      <c r="G36" s="351" t="s">
        <v>581</v>
      </c>
      <c r="H36" s="350" t="s">
        <v>574</v>
      </c>
      <c r="I36" s="351" t="s">
        <v>532</v>
      </c>
      <c r="J36" s="350" t="s">
        <v>575</v>
      </c>
      <c r="K36" s="351" t="s">
        <v>578</v>
      </c>
      <c r="L36" s="350" t="s">
        <v>126</v>
      </c>
      <c r="M36" s="350" t="s">
        <v>576</v>
      </c>
      <c r="N36" s="351" t="s">
        <v>579</v>
      </c>
      <c r="O36" s="350" t="s">
        <v>577</v>
      </c>
      <c r="P36" s="353" t="s">
        <v>580</v>
      </c>
    </row>
    <row r="37" spans="1:16" ht="20.149999999999999" customHeight="1" x14ac:dyDescent="0.35">
      <c r="A37" s="120" t="s">
        <v>1</v>
      </c>
      <c r="B37" s="393" t="s">
        <v>529</v>
      </c>
      <c r="C37" s="171" t="s">
        <v>529</v>
      </c>
      <c r="D37" s="368" t="s">
        <v>529</v>
      </c>
      <c r="E37" s="124">
        <f>scheduleblocalfunded[[#Totals],[Program
Costs]]+scheduleblocalunfunded[[#Totals],[Program
Costs]]</f>
        <v>1159563433</v>
      </c>
      <c r="F37" s="124">
        <f>scheduleblocalfunded[[#Totals],[Less: Net Payments and Offsets 1]]+scheduleblocalunfunded[[#Totals],[Less: Net Payments and Offsets 1]]</f>
        <v>406015161</v>
      </c>
      <c r="G37" s="394" t="s">
        <v>529</v>
      </c>
      <c r="H37" s="124">
        <f>scheduleblocalfunded[[#Totals],[Accounts Payable
Balance 2]]+scheduleblocalunfunded[[#Totals],[Accounts Payable
Balance 2]]</f>
        <v>753548272</v>
      </c>
      <c r="I37" s="395" t="s">
        <v>529</v>
      </c>
      <c r="J37" s="124">
        <f>J4+scheduleblocalunfunded[[#Totals],[Established
Accounts 
Receivable 3]]</f>
        <v>52530318</v>
      </c>
      <c r="K37" s="396" t="s">
        <v>529</v>
      </c>
      <c r="L37" s="124">
        <f>scheduleblocalfunded[[#Totals],[Less: Recovered
Amount]]+scheduleblocalunfunded[[#Totals],[Less: Recovered
Amount]]</f>
        <v>50096143</v>
      </c>
      <c r="M37" s="124">
        <f>scheduleblocalfunded[[#Totals],[Accounts Receivable
Balance 4]]+scheduleblocalunfunded[[#Totals],[Accounts Receivable
Balance 4]]</f>
        <v>2434175</v>
      </c>
      <c r="N37" s="396" t="s">
        <v>529</v>
      </c>
      <c r="O37" s="124">
        <f>scheduleblocalfunded[[#Totals],[Net
Balance 5 ]]+scheduleblocalunfunded[[#Totals],[Net
Balance 5 ]]</f>
        <v>751114097</v>
      </c>
      <c r="P37" s="382" t="s">
        <v>529</v>
      </c>
    </row>
    <row r="38" spans="1:16" ht="20.149999999999999" customHeight="1" x14ac:dyDescent="0.35">
      <c r="A38" s="120" t="s">
        <v>7</v>
      </c>
      <c r="B38" s="393" t="s">
        <v>529</v>
      </c>
      <c r="C38" s="171" t="s">
        <v>529</v>
      </c>
      <c r="D38" s="368" t="s">
        <v>529</v>
      </c>
      <c r="E38" s="124">
        <f>E15+E26</f>
        <v>6332759879</v>
      </c>
      <c r="F38" s="124">
        <f>F9+F26</f>
        <v>5392564992</v>
      </c>
      <c r="G38" s="395" t="s">
        <v>529</v>
      </c>
      <c r="H38" s="124">
        <f>H9+H26</f>
        <v>940194887</v>
      </c>
      <c r="I38" s="395" t="s">
        <v>529</v>
      </c>
      <c r="J38" s="124">
        <f>J9+J26</f>
        <v>194846243</v>
      </c>
      <c r="K38" s="396" t="s">
        <v>529</v>
      </c>
      <c r="L38" s="124">
        <f>L9+L26</f>
        <v>143140043</v>
      </c>
      <c r="M38" s="124">
        <f>M9+M26</f>
        <v>51706200</v>
      </c>
      <c r="N38" s="396" t="s">
        <v>529</v>
      </c>
      <c r="O38" s="124">
        <f>O9+O26</f>
        <v>888488687</v>
      </c>
      <c r="P38" s="382" t="s">
        <v>529</v>
      </c>
    </row>
    <row r="39" spans="1:16" ht="20.149999999999999" customHeight="1" x14ac:dyDescent="0.35">
      <c r="A39" s="120" t="s">
        <v>8</v>
      </c>
      <c r="B39" s="393" t="s">
        <v>529</v>
      </c>
      <c r="C39" s="171" t="s">
        <v>529</v>
      </c>
      <c r="D39" s="368" t="s">
        <v>529</v>
      </c>
      <c r="E39" s="124">
        <f>E16+E27</f>
        <v>196539333</v>
      </c>
      <c r="F39" s="124">
        <f>F10+F27</f>
        <v>163190145</v>
      </c>
      <c r="G39" s="395" t="s">
        <v>529</v>
      </c>
      <c r="H39" s="124">
        <f>H16+H27</f>
        <v>33349188</v>
      </c>
      <c r="I39" s="395" t="s">
        <v>529</v>
      </c>
      <c r="J39" s="124">
        <f>J10+J27</f>
        <v>24101833</v>
      </c>
      <c r="K39" s="396" t="s">
        <v>529</v>
      </c>
      <c r="L39" s="124">
        <f>L10+L27</f>
        <v>11310415</v>
      </c>
      <c r="M39" s="124">
        <f>M10+M27</f>
        <v>12791418</v>
      </c>
      <c r="N39" s="396" t="s">
        <v>529</v>
      </c>
      <c r="O39" s="124">
        <f>O16+O27</f>
        <v>20557770</v>
      </c>
      <c r="P39" s="382" t="s">
        <v>529</v>
      </c>
    </row>
    <row r="40" spans="1:16" ht="20.149999999999999" customHeight="1" x14ac:dyDescent="0.35">
      <c r="A40" s="327" t="s">
        <v>10</v>
      </c>
      <c r="B40" s="310" t="s">
        <v>529</v>
      </c>
      <c r="C40" s="162" t="s">
        <v>529</v>
      </c>
      <c r="D40" s="310" t="s">
        <v>529</v>
      </c>
      <c r="E40" s="328">
        <f>SUBTOTAL(109,schedulebgrandtotal[Program
Costs])</f>
        <v>7688862645</v>
      </c>
      <c r="F40" s="328">
        <f>SUBTOTAL(109,schedulebgrandtotal[Less: Net Payments and Offsets 1])</f>
        <v>5961770298</v>
      </c>
      <c r="G40" s="381" t="s">
        <v>552</v>
      </c>
      <c r="H40" s="328">
        <f>SUBTOTAL(109,schedulebgrandtotal[Accounts Payable
Balance 2])</f>
        <v>1727092347</v>
      </c>
      <c r="I40" s="381" t="s">
        <v>552</v>
      </c>
      <c r="J40" s="328">
        <f>SUBTOTAL(109,schedulebgrandtotal[Established
Accounts 
Receivable 3])</f>
        <v>271478394</v>
      </c>
      <c r="K40" s="374" t="s">
        <v>552</v>
      </c>
      <c r="L40" s="328">
        <f>SUBTOTAL(109,schedulebgrandtotal[Less: Recovered
Amount])</f>
        <v>204546601</v>
      </c>
      <c r="M40" s="328">
        <f>SUBTOTAL(109,schedulebgrandtotal[Accounts Receivable
Balance 4])</f>
        <v>66931793</v>
      </c>
      <c r="N40" s="374" t="s">
        <v>552</v>
      </c>
      <c r="O40" s="328">
        <f>SUBTOTAL(109,schedulebgrandtotal[Net
Balance 5 ])</f>
        <v>1660160554</v>
      </c>
      <c r="P40" s="380" t="s">
        <v>552</v>
      </c>
    </row>
    <row r="41" spans="1:16" ht="20.149999999999999" customHeight="1" x14ac:dyDescent="0.35">
      <c r="A41" s="397" t="s">
        <v>606</v>
      </c>
      <c r="B41" s="398"/>
      <c r="C41" s="398"/>
      <c r="D41" s="398"/>
      <c r="E41" s="398"/>
      <c r="F41" s="398"/>
      <c r="G41" s="398"/>
      <c r="H41" s="398"/>
      <c r="I41" s="398"/>
      <c r="J41" s="398"/>
      <c r="K41" s="398"/>
      <c r="L41" s="398"/>
      <c r="M41" s="398"/>
      <c r="N41" s="398"/>
      <c r="O41" s="398"/>
      <c r="P41" s="356"/>
    </row>
    <row r="42" spans="1:16" ht="18.5" x14ac:dyDescent="0.35">
      <c r="A42" s="120" t="s">
        <v>589</v>
      </c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</row>
    <row r="43" spans="1:16" ht="15.5" x14ac:dyDescent="0.35">
      <c r="A43" s="120" t="s">
        <v>514</v>
      </c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</row>
    <row r="44" spans="1:16" ht="18.5" x14ac:dyDescent="0.35">
      <c r="A44" s="120" t="s">
        <v>598</v>
      </c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</row>
    <row r="45" spans="1:16" ht="34" x14ac:dyDescent="0.35">
      <c r="A45" s="385" t="s">
        <v>599</v>
      </c>
      <c r="B45" s="324"/>
      <c r="C45" s="324"/>
      <c r="D45" s="324"/>
      <c r="E45" s="324"/>
      <c r="F45" s="324"/>
      <c r="G45" s="324"/>
      <c r="H45" s="324"/>
      <c r="I45" s="324"/>
      <c r="J45" s="324"/>
      <c r="K45" s="324"/>
      <c r="L45" s="324"/>
      <c r="M45" s="324"/>
      <c r="N45" s="324"/>
      <c r="O45" s="324"/>
      <c r="P45" s="324"/>
    </row>
    <row r="46" spans="1:16" ht="18.5" x14ac:dyDescent="0.35">
      <c r="A46" s="120" t="s">
        <v>600</v>
      </c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</row>
    <row r="47" spans="1:16" ht="18.5" x14ac:dyDescent="0.35">
      <c r="A47" s="323" t="s">
        <v>601</v>
      </c>
      <c r="B47" s="324"/>
      <c r="C47" s="324"/>
      <c r="D47" s="324"/>
      <c r="E47" s="324"/>
      <c r="F47" s="324"/>
      <c r="G47" s="324"/>
      <c r="H47" s="324"/>
      <c r="I47" s="324"/>
      <c r="J47" s="324"/>
      <c r="K47" s="324"/>
      <c r="L47" s="324"/>
      <c r="M47" s="324"/>
      <c r="N47" s="324"/>
      <c r="O47" s="324"/>
      <c r="P47" s="324"/>
    </row>
    <row r="48" spans="1:16" ht="18.5" x14ac:dyDescent="0.35">
      <c r="A48" s="120" t="s">
        <v>602</v>
      </c>
      <c r="B48" s="324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</row>
    <row r="49" spans="1:16" x14ac:dyDescent="0.35">
      <c r="A49" s="13"/>
      <c r="B49" s="13"/>
      <c r="C49" s="13"/>
      <c r="D49" s="13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  <row r="50" spans="1:16" x14ac:dyDescent="0.35">
      <c r="A50" s="13"/>
      <c r="B50" s="13"/>
      <c r="C50" s="13"/>
      <c r="D50" s="13"/>
      <c r="E50" s="11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</row>
    <row r="51" spans="1:16" x14ac:dyDescent="0.35">
      <c r="A51" s="13"/>
      <c r="B51" s="13"/>
      <c r="C51" s="10"/>
      <c r="D51" s="10"/>
      <c r="E51" s="12"/>
      <c r="F51" s="12"/>
      <c r="G51" s="12"/>
      <c r="H51" s="12"/>
      <c r="I51" s="12"/>
      <c r="J51" s="12"/>
      <c r="K51" s="12"/>
      <c r="L51" s="12"/>
      <c r="M51" s="12"/>
      <c r="N51" s="12"/>
    </row>
    <row r="52" spans="1:16" x14ac:dyDescent="0.35">
      <c r="A52" s="13"/>
      <c r="B52" s="13"/>
      <c r="C52" s="10"/>
      <c r="D52" s="10"/>
      <c r="E52" s="12"/>
      <c r="F52" s="12"/>
      <c r="G52" s="12"/>
      <c r="H52" s="12"/>
      <c r="I52" s="12"/>
      <c r="J52" s="12"/>
      <c r="K52" s="12"/>
      <c r="L52" s="12"/>
      <c r="M52" s="12"/>
      <c r="N52" s="12"/>
    </row>
    <row r="53" spans="1:16" x14ac:dyDescent="0.35">
      <c r="A53" s="13"/>
      <c r="B53" s="13"/>
      <c r="C53" s="10"/>
      <c r="D53" s="10"/>
      <c r="E53" s="12"/>
      <c r="F53" s="12"/>
      <c r="G53" s="12"/>
      <c r="H53" s="12"/>
      <c r="I53" s="12"/>
      <c r="J53" s="12"/>
      <c r="K53" s="12"/>
      <c r="L53" s="12"/>
      <c r="M53" s="12"/>
      <c r="N53" s="12"/>
    </row>
    <row r="54" spans="1:16" ht="13" customHeight="1" x14ac:dyDescent="0.35">
      <c r="A54" s="13"/>
      <c r="B54" s="13"/>
      <c r="C54" s="10"/>
      <c r="D54" s="10"/>
      <c r="E54" s="12"/>
      <c r="F54" s="12"/>
      <c r="G54" s="12"/>
      <c r="H54" s="12"/>
      <c r="I54" s="12"/>
      <c r="J54" s="12"/>
      <c r="K54" s="12"/>
      <c r="L54" s="12"/>
      <c r="M54" s="12"/>
      <c r="N54" s="12"/>
    </row>
    <row r="55" spans="1:16" x14ac:dyDescent="0.35">
      <c r="A55" s="13"/>
      <c r="B55" s="13"/>
      <c r="C55" s="10"/>
      <c r="D55" s="10"/>
      <c r="E55" s="12"/>
      <c r="F55" s="12"/>
      <c r="G55" s="12"/>
      <c r="H55" s="12"/>
      <c r="I55" s="12"/>
      <c r="J55" s="12"/>
      <c r="K55" s="12"/>
      <c r="L55" s="12"/>
      <c r="M55" s="12"/>
      <c r="N55" s="12"/>
    </row>
    <row r="56" spans="1:16" x14ac:dyDescent="0.35">
      <c r="A56" s="13"/>
      <c r="B56" s="13"/>
      <c r="C56" s="10"/>
      <c r="D56" s="10"/>
      <c r="E56" s="12"/>
      <c r="F56" s="12"/>
      <c r="G56" s="12"/>
      <c r="H56" s="12"/>
      <c r="I56" s="12"/>
      <c r="J56" s="12"/>
      <c r="K56" s="12"/>
      <c r="L56" s="12"/>
      <c r="M56" s="12"/>
      <c r="N56" s="12"/>
    </row>
    <row r="57" spans="1:16" x14ac:dyDescent="0.35">
      <c r="A57" s="13"/>
      <c r="B57" s="13"/>
      <c r="C57" s="10"/>
      <c r="D57" s="10"/>
      <c r="E57" s="12"/>
      <c r="F57" s="12"/>
      <c r="G57" s="12"/>
      <c r="H57" s="12"/>
      <c r="I57" s="12"/>
      <c r="J57" s="12"/>
      <c r="K57" s="12"/>
      <c r="L57" s="12"/>
      <c r="M57" s="12"/>
      <c r="N57" s="12"/>
    </row>
    <row r="58" spans="1:16" x14ac:dyDescent="0.35">
      <c r="A58" s="13"/>
      <c r="B58" s="13"/>
      <c r="C58" s="10"/>
      <c r="D58" s="10"/>
      <c r="E58" s="12"/>
      <c r="F58" s="12"/>
      <c r="G58" s="12"/>
      <c r="H58" s="12"/>
      <c r="I58" s="12"/>
      <c r="J58" s="12"/>
      <c r="K58" s="12"/>
      <c r="L58" s="12"/>
      <c r="M58" s="12"/>
      <c r="N58" s="12"/>
    </row>
    <row r="59" spans="1:16" x14ac:dyDescent="0.35">
      <c r="A59" s="13"/>
      <c r="B59" s="13"/>
      <c r="C59" s="10"/>
      <c r="D59" s="10"/>
      <c r="E59" s="12"/>
      <c r="F59" s="12"/>
      <c r="G59" s="12"/>
      <c r="H59" s="12"/>
      <c r="I59" s="12"/>
      <c r="J59" s="12"/>
      <c r="K59" s="12"/>
      <c r="L59" s="12"/>
      <c r="M59" s="12"/>
      <c r="N59" s="12"/>
    </row>
    <row r="60" spans="1:16" x14ac:dyDescent="0.35">
      <c r="A60" s="13"/>
      <c r="B60" s="13"/>
      <c r="C60" s="10"/>
      <c r="D60" s="10"/>
      <c r="E60" s="12"/>
      <c r="F60" s="12"/>
      <c r="G60" s="12"/>
      <c r="H60" s="12"/>
      <c r="I60" s="12"/>
      <c r="J60" s="12"/>
      <c r="K60" s="12"/>
      <c r="L60" s="12"/>
      <c r="M60" s="12"/>
      <c r="N60" s="12"/>
    </row>
    <row r="61" spans="1:16" x14ac:dyDescent="0.35">
      <c r="A61" s="13"/>
      <c r="B61" s="13"/>
      <c r="C61" s="10"/>
      <c r="D61" s="10"/>
      <c r="E61" s="12"/>
      <c r="F61" s="12"/>
      <c r="G61" s="12"/>
      <c r="H61" s="12"/>
      <c r="I61" s="12"/>
      <c r="J61" s="12"/>
      <c r="K61" s="12"/>
      <c r="L61" s="12"/>
      <c r="M61" s="12"/>
      <c r="N61" s="12"/>
    </row>
    <row r="62" spans="1:16" x14ac:dyDescent="0.35">
      <c r="A62" s="13"/>
      <c r="B62" s="13"/>
      <c r="C62" s="10"/>
      <c r="D62" s="10"/>
      <c r="E62" s="12"/>
      <c r="F62" s="12"/>
      <c r="G62" s="12"/>
      <c r="H62" s="12"/>
      <c r="I62" s="12"/>
      <c r="J62" s="12"/>
      <c r="K62" s="12"/>
      <c r="L62" s="12"/>
      <c r="M62" s="12"/>
      <c r="N62" s="12"/>
    </row>
    <row r="63" spans="1:16" x14ac:dyDescent="0.35">
      <c r="A63" s="13"/>
      <c r="B63" s="13"/>
      <c r="C63" s="10"/>
      <c r="D63" s="10"/>
      <c r="E63" s="12"/>
      <c r="F63" s="12"/>
      <c r="G63" s="12"/>
      <c r="H63" s="12"/>
      <c r="I63" s="12"/>
      <c r="J63" s="12"/>
      <c r="K63" s="12"/>
      <c r="L63" s="12"/>
      <c r="M63" s="12"/>
      <c r="N63" s="12"/>
    </row>
    <row r="64" spans="1:16" x14ac:dyDescent="0.35">
      <c r="A64" s="13"/>
      <c r="B64" s="13"/>
      <c r="C64" s="10"/>
      <c r="D64" s="10"/>
      <c r="E64" s="12"/>
      <c r="F64" s="12"/>
      <c r="G64" s="12"/>
      <c r="H64" s="12"/>
      <c r="I64" s="12"/>
      <c r="J64" s="12"/>
      <c r="K64" s="12"/>
      <c r="L64" s="12"/>
      <c r="M64" s="12"/>
      <c r="N64" s="12"/>
    </row>
    <row r="65" spans="1:14" x14ac:dyDescent="0.35">
      <c r="A65" s="13"/>
      <c r="B65" s="13"/>
      <c r="C65" s="10"/>
      <c r="D65" s="10"/>
      <c r="E65" s="12"/>
      <c r="F65" s="12"/>
      <c r="G65" s="12"/>
      <c r="H65" s="12"/>
      <c r="I65" s="12"/>
      <c r="J65" s="12"/>
      <c r="K65" s="12"/>
      <c r="L65" s="12"/>
      <c r="M65" s="12"/>
      <c r="N65" s="12"/>
    </row>
    <row r="66" spans="1:14" x14ac:dyDescent="0.35">
      <c r="A66" s="13"/>
      <c r="B66" s="13"/>
      <c r="C66" s="10"/>
      <c r="D66" s="10"/>
      <c r="E66" s="12"/>
      <c r="F66" s="12"/>
      <c r="G66" s="12"/>
      <c r="H66" s="12"/>
      <c r="I66" s="12"/>
      <c r="J66" s="12"/>
      <c r="K66" s="12"/>
      <c r="L66" s="12"/>
      <c r="M66" s="12"/>
      <c r="N66" s="12"/>
    </row>
    <row r="67" spans="1:14" x14ac:dyDescent="0.35">
      <c r="A67" s="13"/>
      <c r="B67" s="13"/>
      <c r="C67" s="10"/>
      <c r="D67" s="10"/>
      <c r="E67" s="12"/>
      <c r="F67" s="12"/>
      <c r="G67" s="12"/>
      <c r="H67" s="12"/>
      <c r="I67" s="12"/>
      <c r="J67" s="12"/>
      <c r="K67" s="12"/>
      <c r="L67" s="12"/>
      <c r="M67" s="12"/>
      <c r="N67" s="12"/>
    </row>
    <row r="68" spans="1:14" x14ac:dyDescent="0.35">
      <c r="A68" s="13"/>
      <c r="B68" s="13"/>
      <c r="C68" s="10"/>
      <c r="D68" s="10"/>
      <c r="E68" s="12"/>
      <c r="F68" s="12"/>
      <c r="G68" s="12"/>
      <c r="H68" s="12"/>
      <c r="I68" s="12"/>
      <c r="J68" s="12"/>
      <c r="K68" s="12"/>
      <c r="L68" s="12"/>
      <c r="M68" s="12"/>
      <c r="N68" s="12"/>
    </row>
    <row r="69" spans="1:14" x14ac:dyDescent="0.35">
      <c r="A69" s="13"/>
      <c r="B69" s="13"/>
      <c r="C69" s="10"/>
      <c r="D69" s="10"/>
      <c r="E69" s="12"/>
      <c r="F69" s="12"/>
      <c r="G69" s="12"/>
      <c r="H69" s="12"/>
      <c r="I69" s="12"/>
      <c r="J69" s="12"/>
      <c r="K69" s="12"/>
      <c r="L69" s="12"/>
      <c r="M69" s="12"/>
      <c r="N69" s="12"/>
    </row>
    <row r="70" spans="1:14" x14ac:dyDescent="0.35">
      <c r="A70" s="13"/>
      <c r="B70" s="13"/>
      <c r="C70" s="10"/>
      <c r="D70" s="10"/>
      <c r="E70" s="12"/>
      <c r="F70" s="12"/>
      <c r="G70" s="12"/>
      <c r="H70" s="12"/>
      <c r="I70" s="12"/>
      <c r="J70" s="12"/>
      <c r="K70" s="12"/>
      <c r="L70" s="12"/>
      <c r="M70" s="12"/>
      <c r="N70" s="12"/>
    </row>
    <row r="71" spans="1:14" x14ac:dyDescent="0.35">
      <c r="A71" s="13"/>
      <c r="B71" s="13"/>
      <c r="C71" s="10"/>
      <c r="D71" s="10"/>
      <c r="E71" s="12"/>
      <c r="F71" s="12"/>
      <c r="G71" s="12"/>
      <c r="H71" s="12"/>
      <c r="I71" s="12"/>
      <c r="J71" s="12"/>
      <c r="K71" s="12"/>
      <c r="L71" s="12"/>
      <c r="M71" s="12"/>
      <c r="N71" s="12"/>
    </row>
    <row r="72" spans="1:14" x14ac:dyDescent="0.35">
      <c r="A72" s="13"/>
      <c r="B72" s="13"/>
      <c r="C72" s="10"/>
      <c r="D72" s="10"/>
      <c r="E72" s="12"/>
      <c r="F72" s="12"/>
      <c r="G72" s="12"/>
      <c r="H72" s="12"/>
      <c r="I72" s="12"/>
      <c r="J72" s="12"/>
      <c r="K72" s="12"/>
      <c r="L72" s="12"/>
      <c r="M72" s="12"/>
      <c r="N72" s="12"/>
    </row>
    <row r="73" spans="1:14" x14ac:dyDescent="0.35">
      <c r="A73" s="13"/>
      <c r="B73" s="13"/>
      <c r="C73" s="10"/>
      <c r="D73" s="10"/>
      <c r="E73" s="12"/>
      <c r="F73" s="12"/>
      <c r="G73" s="12"/>
      <c r="H73" s="12"/>
      <c r="I73" s="12"/>
      <c r="J73" s="12"/>
      <c r="K73" s="12"/>
      <c r="L73" s="12"/>
      <c r="M73" s="12"/>
      <c r="N73" s="12"/>
    </row>
    <row r="74" spans="1:14" x14ac:dyDescent="0.35">
      <c r="A74" s="13"/>
      <c r="B74" s="13"/>
      <c r="C74" s="10"/>
      <c r="D74" s="10"/>
      <c r="E74" s="12"/>
      <c r="F74" s="12"/>
      <c r="G74" s="12"/>
      <c r="H74" s="12"/>
      <c r="I74" s="12"/>
      <c r="J74" s="12"/>
      <c r="K74" s="12"/>
      <c r="L74" s="12"/>
      <c r="M74" s="12"/>
      <c r="N74" s="12"/>
    </row>
    <row r="75" spans="1:14" x14ac:dyDescent="0.35">
      <c r="A75" s="13"/>
      <c r="B75" s="13"/>
      <c r="C75" s="10"/>
      <c r="D75" s="10"/>
      <c r="E75" s="12"/>
      <c r="F75" s="12"/>
      <c r="G75" s="12"/>
      <c r="H75" s="12"/>
      <c r="I75" s="12"/>
      <c r="J75" s="12"/>
      <c r="K75" s="12"/>
      <c r="L75" s="12"/>
      <c r="M75" s="12"/>
      <c r="N75" s="12"/>
    </row>
    <row r="76" spans="1:14" x14ac:dyDescent="0.35">
      <c r="A76" s="13"/>
      <c r="B76" s="13"/>
      <c r="C76" s="10"/>
      <c r="D76" s="10"/>
      <c r="E76" s="12"/>
      <c r="F76" s="12"/>
      <c r="G76" s="12"/>
      <c r="H76" s="12"/>
      <c r="I76" s="12"/>
      <c r="J76" s="12"/>
      <c r="K76" s="12"/>
      <c r="L76" s="12"/>
      <c r="M76" s="12"/>
      <c r="N76" s="12"/>
    </row>
    <row r="77" spans="1:14" x14ac:dyDescent="0.35">
      <c r="A77" s="13"/>
      <c r="B77" s="13"/>
      <c r="C77" s="10"/>
      <c r="D77" s="10"/>
      <c r="E77" s="12"/>
      <c r="F77" s="12"/>
      <c r="G77" s="12"/>
      <c r="H77" s="12"/>
      <c r="I77" s="12"/>
      <c r="J77" s="12"/>
      <c r="K77" s="12"/>
      <c r="L77" s="12"/>
      <c r="M77" s="12"/>
      <c r="N77" s="12"/>
    </row>
    <row r="78" spans="1:14" x14ac:dyDescent="0.35">
      <c r="A78" s="13"/>
      <c r="B78" s="13"/>
      <c r="C78" s="10"/>
      <c r="D78" s="10"/>
      <c r="E78" s="12"/>
      <c r="F78" s="12"/>
      <c r="G78" s="12"/>
      <c r="H78" s="12"/>
      <c r="I78" s="12"/>
      <c r="J78" s="12"/>
      <c r="K78" s="12"/>
      <c r="L78" s="12"/>
      <c r="M78" s="12"/>
      <c r="N78" s="12"/>
    </row>
    <row r="79" spans="1:14" x14ac:dyDescent="0.35">
      <c r="A79" s="13"/>
      <c r="B79" s="13"/>
      <c r="C79" s="10"/>
      <c r="D79" s="10"/>
      <c r="E79" s="12"/>
      <c r="F79" s="12"/>
      <c r="G79" s="12"/>
      <c r="H79" s="12"/>
      <c r="I79" s="12"/>
      <c r="J79" s="12"/>
      <c r="K79" s="12"/>
      <c r="L79" s="12"/>
      <c r="M79" s="12"/>
      <c r="N79" s="12"/>
    </row>
    <row r="80" spans="1:14" x14ac:dyDescent="0.35">
      <c r="A80" s="13"/>
      <c r="B80" s="13"/>
      <c r="C80" s="10"/>
      <c r="D80" s="10"/>
      <c r="E80" s="12"/>
      <c r="F80" s="12"/>
      <c r="G80" s="12"/>
      <c r="H80" s="12"/>
      <c r="I80" s="12"/>
      <c r="J80" s="12"/>
      <c r="K80" s="12"/>
      <c r="L80" s="12"/>
      <c r="M80" s="12"/>
      <c r="N80" s="12"/>
    </row>
    <row r="81" spans="1:14" x14ac:dyDescent="0.35">
      <c r="A81" s="13"/>
      <c r="B81" s="13"/>
      <c r="C81" s="10"/>
      <c r="D81" s="10"/>
      <c r="E81" s="12"/>
      <c r="F81" s="12"/>
      <c r="G81" s="12"/>
      <c r="H81" s="12"/>
      <c r="I81" s="12"/>
      <c r="J81" s="12"/>
      <c r="K81" s="12"/>
      <c r="L81" s="12"/>
      <c r="M81" s="12"/>
      <c r="N81" s="12"/>
    </row>
    <row r="82" spans="1:14" x14ac:dyDescent="0.35">
      <c r="A82" s="13"/>
      <c r="B82" s="13"/>
      <c r="C82" s="10"/>
      <c r="D82" s="10"/>
      <c r="E82" s="12"/>
      <c r="F82" s="12"/>
      <c r="G82" s="12"/>
      <c r="H82" s="12"/>
      <c r="I82" s="12"/>
      <c r="J82" s="12"/>
      <c r="K82" s="12"/>
      <c r="L82" s="12"/>
      <c r="M82" s="12"/>
      <c r="N82" s="12"/>
    </row>
    <row r="83" spans="1:14" x14ac:dyDescent="0.35">
      <c r="A83" s="13"/>
      <c r="B83" s="13"/>
      <c r="C83" s="10"/>
      <c r="D83" s="10"/>
      <c r="E83" s="12"/>
      <c r="F83" s="12"/>
      <c r="G83" s="12"/>
      <c r="H83" s="12"/>
      <c r="I83" s="12"/>
      <c r="J83" s="12"/>
      <c r="K83" s="12"/>
      <c r="L83" s="12"/>
      <c r="M83" s="12"/>
      <c r="N83" s="12"/>
    </row>
    <row r="84" spans="1:14" x14ac:dyDescent="0.35">
      <c r="A84" s="13"/>
      <c r="B84" s="13"/>
      <c r="C84" s="10"/>
      <c r="D84" s="10"/>
      <c r="E84" s="12"/>
      <c r="F84" s="12"/>
      <c r="G84" s="12"/>
      <c r="H84" s="12"/>
      <c r="I84" s="12"/>
      <c r="J84" s="12"/>
      <c r="K84" s="12"/>
      <c r="L84" s="12"/>
      <c r="M84" s="12"/>
      <c r="N84" s="12"/>
    </row>
    <row r="85" spans="1:14" x14ac:dyDescent="0.35">
      <c r="A85" s="13"/>
      <c r="B85" s="13"/>
      <c r="C85" s="10"/>
      <c r="D85" s="10"/>
      <c r="E85" s="12"/>
      <c r="F85" s="12"/>
      <c r="G85" s="12"/>
      <c r="H85" s="12"/>
      <c r="I85" s="12"/>
      <c r="J85" s="12"/>
      <c r="K85" s="12"/>
      <c r="L85" s="12"/>
      <c r="M85" s="12"/>
      <c r="N85" s="12"/>
    </row>
    <row r="86" spans="1:14" x14ac:dyDescent="0.35">
      <c r="A86" s="13"/>
      <c r="B86" s="13"/>
      <c r="C86" s="10"/>
      <c r="D86" s="10"/>
      <c r="E86" s="12"/>
      <c r="F86" s="12"/>
      <c r="G86" s="12"/>
      <c r="H86" s="12"/>
      <c r="I86" s="12"/>
      <c r="J86" s="12"/>
      <c r="K86" s="12"/>
      <c r="L86" s="12"/>
      <c r="M86" s="12"/>
      <c r="N86" s="12"/>
    </row>
    <row r="87" spans="1:14" x14ac:dyDescent="0.35">
      <c r="A87" s="13"/>
      <c r="B87" s="13"/>
      <c r="C87" s="10"/>
      <c r="D87" s="10"/>
      <c r="E87" s="12"/>
      <c r="F87" s="12"/>
      <c r="G87" s="12"/>
      <c r="H87" s="12"/>
      <c r="I87" s="12"/>
      <c r="J87" s="12"/>
      <c r="K87" s="12"/>
      <c r="L87" s="12"/>
      <c r="M87" s="12"/>
      <c r="N87" s="12"/>
    </row>
    <row r="88" spans="1:14" x14ac:dyDescent="0.35">
      <c r="A88" s="13"/>
      <c r="B88" s="13"/>
      <c r="C88" s="10"/>
      <c r="D88" s="10"/>
      <c r="E88" s="12"/>
      <c r="F88" s="12"/>
      <c r="G88" s="12"/>
      <c r="H88" s="12"/>
      <c r="I88" s="12"/>
      <c r="J88" s="12"/>
      <c r="K88" s="12"/>
      <c r="L88" s="12"/>
      <c r="M88" s="12"/>
      <c r="N88" s="12"/>
    </row>
    <row r="89" spans="1:14" x14ac:dyDescent="0.35">
      <c r="A89" s="13"/>
      <c r="B89" s="13"/>
      <c r="C89" s="10"/>
      <c r="D89" s="10"/>
      <c r="E89" s="12"/>
      <c r="F89" s="12"/>
      <c r="G89" s="12"/>
      <c r="H89" s="12"/>
      <c r="I89" s="12"/>
      <c r="J89" s="12"/>
      <c r="K89" s="12"/>
      <c r="L89" s="12"/>
      <c r="M89" s="12"/>
      <c r="N89" s="12"/>
    </row>
    <row r="90" spans="1:14" x14ac:dyDescent="0.35">
      <c r="A90" s="13"/>
      <c r="B90" s="13"/>
      <c r="C90" s="10"/>
      <c r="D90" s="10"/>
      <c r="E90" s="12"/>
      <c r="F90" s="12"/>
      <c r="G90" s="12"/>
      <c r="H90" s="12"/>
      <c r="I90" s="12"/>
      <c r="J90" s="12"/>
      <c r="K90" s="12"/>
      <c r="L90" s="12"/>
      <c r="M90" s="12"/>
      <c r="N90" s="12"/>
    </row>
    <row r="91" spans="1:14" x14ac:dyDescent="0.35">
      <c r="A91" s="13"/>
      <c r="B91" s="13"/>
      <c r="C91" s="10"/>
      <c r="D91" s="10"/>
      <c r="E91" s="12"/>
      <c r="F91" s="12"/>
      <c r="G91" s="12"/>
      <c r="H91" s="12"/>
      <c r="I91" s="12"/>
      <c r="J91" s="12"/>
      <c r="K91" s="12"/>
      <c r="L91" s="12"/>
      <c r="M91" s="12"/>
      <c r="N91" s="12"/>
    </row>
    <row r="92" spans="1:14" x14ac:dyDescent="0.35">
      <c r="A92" s="13"/>
      <c r="B92" s="13"/>
      <c r="C92" s="10"/>
      <c r="D92" s="10"/>
      <c r="E92" s="12"/>
      <c r="F92" s="12"/>
      <c r="G92" s="12"/>
      <c r="H92" s="12"/>
      <c r="I92" s="12"/>
      <c r="J92" s="12"/>
      <c r="K92" s="12"/>
      <c r="L92" s="12"/>
      <c r="M92" s="12"/>
      <c r="N92" s="12"/>
    </row>
    <row r="93" spans="1:14" x14ac:dyDescent="0.35">
      <c r="A93" s="13"/>
      <c r="B93" s="13"/>
      <c r="C93" s="10"/>
      <c r="D93" s="10"/>
      <c r="E93" s="12"/>
      <c r="F93" s="12"/>
      <c r="G93" s="12"/>
      <c r="H93" s="12"/>
      <c r="I93" s="12"/>
      <c r="J93" s="12"/>
      <c r="K93" s="12"/>
      <c r="L93" s="12"/>
      <c r="M93" s="12"/>
      <c r="N93" s="12"/>
    </row>
    <row r="94" spans="1:14" x14ac:dyDescent="0.35">
      <c r="A94" s="13"/>
      <c r="B94" s="13"/>
      <c r="C94" s="10"/>
      <c r="D94" s="10"/>
      <c r="E94" s="12"/>
      <c r="F94" s="12"/>
      <c r="G94" s="12"/>
      <c r="H94" s="12"/>
      <c r="I94" s="12"/>
      <c r="J94" s="12"/>
      <c r="K94" s="12"/>
      <c r="L94" s="12"/>
      <c r="M94" s="12"/>
      <c r="N94" s="12"/>
    </row>
    <row r="95" spans="1:14" x14ac:dyDescent="0.35">
      <c r="A95" s="13"/>
      <c r="B95" s="13"/>
      <c r="C95" s="10"/>
      <c r="D95" s="10"/>
      <c r="E95" s="12"/>
      <c r="F95" s="12"/>
      <c r="G95" s="12"/>
      <c r="H95" s="12"/>
      <c r="I95" s="12"/>
      <c r="J95" s="12"/>
      <c r="K95" s="12"/>
      <c r="L95" s="12"/>
      <c r="M95" s="12"/>
      <c r="N95" s="12"/>
    </row>
    <row r="96" spans="1:14" x14ac:dyDescent="0.35">
      <c r="A96" s="13"/>
      <c r="B96" s="13"/>
      <c r="C96" s="10"/>
      <c r="D96" s="10"/>
      <c r="E96" s="12"/>
      <c r="F96" s="12"/>
      <c r="G96" s="12"/>
      <c r="H96" s="12"/>
      <c r="I96" s="12"/>
      <c r="J96" s="12"/>
      <c r="K96" s="12"/>
      <c r="L96" s="12"/>
      <c r="M96" s="12"/>
      <c r="N96" s="12"/>
    </row>
    <row r="97" spans="1:14" x14ac:dyDescent="0.35">
      <c r="A97" s="13"/>
      <c r="B97" s="13"/>
      <c r="C97" s="10"/>
      <c r="D97" s="10"/>
      <c r="E97" s="12"/>
      <c r="F97" s="12"/>
      <c r="G97" s="12"/>
      <c r="H97" s="12"/>
      <c r="I97" s="12"/>
      <c r="J97" s="12"/>
      <c r="K97" s="12"/>
      <c r="L97" s="12"/>
      <c r="M97" s="12"/>
      <c r="N97" s="12"/>
    </row>
    <row r="98" spans="1:14" x14ac:dyDescent="0.35">
      <c r="A98" s="13"/>
      <c r="B98" s="13"/>
      <c r="C98" s="10"/>
      <c r="D98" s="10"/>
      <c r="E98" s="12"/>
      <c r="F98" s="12"/>
      <c r="G98" s="12"/>
      <c r="H98" s="12"/>
      <c r="I98" s="12"/>
      <c r="J98" s="12"/>
      <c r="K98" s="12"/>
      <c r="L98" s="12"/>
      <c r="M98" s="12"/>
      <c r="N98" s="12"/>
    </row>
    <row r="99" spans="1:14" x14ac:dyDescent="0.35">
      <c r="A99" s="13"/>
      <c r="B99" s="13"/>
      <c r="C99" s="10"/>
      <c r="D99" s="10"/>
      <c r="E99" s="12"/>
      <c r="F99" s="12"/>
      <c r="G99" s="12"/>
      <c r="H99" s="12"/>
      <c r="I99" s="12"/>
      <c r="J99" s="12"/>
      <c r="K99" s="12"/>
      <c r="L99" s="12"/>
      <c r="M99" s="12"/>
      <c r="N99" s="12"/>
    </row>
    <row r="100" spans="1:14" x14ac:dyDescent="0.35">
      <c r="A100" s="13"/>
      <c r="B100" s="13"/>
      <c r="C100" s="10"/>
      <c r="D100" s="10"/>
      <c r="E100" s="12"/>
      <c r="F100" s="12"/>
      <c r="G100" s="12"/>
      <c r="H100" s="12"/>
      <c r="I100" s="12"/>
      <c r="J100" s="12"/>
      <c r="K100" s="12"/>
      <c r="L100" s="12"/>
      <c r="M100" s="12"/>
      <c r="N100" s="12"/>
    </row>
    <row r="101" spans="1:14" x14ac:dyDescent="0.35">
      <c r="A101" s="13"/>
      <c r="B101" s="13"/>
      <c r="C101" s="10"/>
      <c r="D101" s="10"/>
      <c r="E101" s="12"/>
      <c r="F101" s="12"/>
      <c r="G101" s="12"/>
      <c r="H101" s="12"/>
      <c r="I101" s="12"/>
      <c r="J101" s="12"/>
      <c r="K101" s="12"/>
      <c r="L101" s="12"/>
      <c r="M101" s="12"/>
      <c r="N101" s="12"/>
    </row>
    <row r="102" spans="1:14" x14ac:dyDescent="0.35">
      <c r="A102" s="13"/>
      <c r="B102" s="13"/>
      <c r="C102" s="10"/>
      <c r="D102" s="10"/>
      <c r="E102" s="12"/>
      <c r="F102" s="12"/>
      <c r="G102" s="12"/>
      <c r="H102" s="12"/>
      <c r="I102" s="12"/>
      <c r="J102" s="12"/>
      <c r="K102" s="12"/>
      <c r="L102" s="12"/>
      <c r="M102" s="12"/>
      <c r="N102" s="12"/>
    </row>
    <row r="103" spans="1:14" x14ac:dyDescent="0.35">
      <c r="A103" s="13"/>
      <c r="B103" s="13"/>
      <c r="C103" s="10"/>
      <c r="D103" s="10"/>
      <c r="E103" s="12"/>
      <c r="F103" s="12"/>
      <c r="G103" s="12"/>
      <c r="H103" s="12"/>
      <c r="I103" s="12"/>
      <c r="J103" s="12"/>
      <c r="K103" s="12"/>
      <c r="L103" s="12"/>
      <c r="M103" s="12"/>
      <c r="N103" s="12"/>
    </row>
    <row r="104" spans="1:14" x14ac:dyDescent="0.35">
      <c r="A104" s="13"/>
      <c r="B104" s="13"/>
      <c r="C104" s="10"/>
      <c r="D104" s="10"/>
      <c r="E104" s="12"/>
      <c r="F104" s="12"/>
      <c r="G104" s="12"/>
      <c r="H104" s="12"/>
      <c r="I104" s="12"/>
      <c r="J104" s="12"/>
      <c r="K104" s="12"/>
      <c r="L104" s="12"/>
      <c r="M104" s="12"/>
      <c r="N104" s="12"/>
    </row>
    <row r="105" spans="1:14" x14ac:dyDescent="0.35">
      <c r="A105" s="13"/>
      <c r="B105" s="13"/>
      <c r="C105" s="10"/>
      <c r="D105" s="10"/>
      <c r="E105" s="12"/>
      <c r="F105" s="12"/>
      <c r="G105" s="12"/>
      <c r="H105" s="12"/>
      <c r="I105" s="12"/>
      <c r="J105" s="12"/>
      <c r="K105" s="12"/>
      <c r="L105" s="12"/>
      <c r="M105" s="12"/>
      <c r="N105" s="12"/>
    </row>
    <row r="106" spans="1:14" x14ac:dyDescent="0.35">
      <c r="A106" s="13"/>
      <c r="B106" s="13"/>
      <c r="C106" s="10"/>
      <c r="D106" s="10"/>
      <c r="E106" s="12"/>
      <c r="F106" s="12"/>
      <c r="G106" s="12"/>
      <c r="H106" s="12"/>
      <c r="I106" s="12"/>
      <c r="J106" s="12"/>
      <c r="K106" s="12"/>
      <c r="L106" s="12"/>
      <c r="M106" s="12"/>
      <c r="N106" s="12"/>
    </row>
    <row r="107" spans="1:14" x14ac:dyDescent="0.35">
      <c r="A107" s="13"/>
      <c r="B107" s="13"/>
      <c r="C107" s="10"/>
      <c r="D107" s="10"/>
      <c r="E107" s="12"/>
      <c r="F107" s="12"/>
      <c r="G107" s="12"/>
      <c r="H107" s="12"/>
      <c r="I107" s="12"/>
      <c r="J107" s="12"/>
      <c r="K107" s="12"/>
      <c r="L107" s="12"/>
      <c r="M107" s="12"/>
      <c r="N107" s="12"/>
    </row>
    <row r="108" spans="1:14" x14ac:dyDescent="0.35">
      <c r="A108" s="13"/>
      <c r="B108" s="13"/>
      <c r="C108" s="10"/>
      <c r="D108" s="10"/>
      <c r="E108" s="12"/>
      <c r="F108" s="12"/>
      <c r="G108" s="12"/>
      <c r="H108" s="12"/>
      <c r="I108" s="12"/>
      <c r="J108" s="12"/>
      <c r="K108" s="12"/>
      <c r="L108" s="12"/>
      <c r="M108" s="12"/>
      <c r="N108" s="12"/>
    </row>
    <row r="109" spans="1:14" x14ac:dyDescent="0.35">
      <c r="A109" s="13"/>
      <c r="B109" s="13"/>
      <c r="C109" s="10"/>
      <c r="D109" s="10"/>
      <c r="E109" s="12"/>
      <c r="F109" s="12"/>
      <c r="G109" s="12"/>
      <c r="H109" s="12"/>
      <c r="I109" s="12"/>
      <c r="J109" s="12"/>
      <c r="K109" s="12"/>
      <c r="L109" s="12"/>
      <c r="M109" s="12"/>
      <c r="N109" s="12"/>
    </row>
    <row r="110" spans="1:14" x14ac:dyDescent="0.35">
      <c r="A110" s="13"/>
      <c r="B110" s="13"/>
      <c r="C110" s="10"/>
      <c r="D110" s="10"/>
      <c r="E110" s="12"/>
      <c r="F110" s="12"/>
      <c r="G110" s="12"/>
      <c r="H110" s="12"/>
      <c r="I110" s="12"/>
      <c r="J110" s="12"/>
      <c r="K110" s="12"/>
      <c r="L110" s="12"/>
      <c r="M110" s="12"/>
      <c r="N110" s="12"/>
    </row>
    <row r="111" spans="1:14" x14ac:dyDescent="0.35">
      <c r="A111" s="13"/>
      <c r="B111" s="13"/>
      <c r="C111" s="10"/>
      <c r="D111" s="10"/>
      <c r="E111" s="12"/>
      <c r="F111" s="12"/>
      <c r="G111" s="12"/>
      <c r="H111" s="12"/>
      <c r="I111" s="12"/>
      <c r="J111" s="12"/>
      <c r="K111" s="12"/>
      <c r="L111" s="12"/>
      <c r="M111" s="12"/>
      <c r="N111" s="12"/>
    </row>
    <row r="112" spans="1:14" x14ac:dyDescent="0.35">
      <c r="A112" s="13"/>
      <c r="B112" s="13"/>
      <c r="C112" s="10"/>
      <c r="D112" s="10"/>
      <c r="E112" s="12"/>
      <c r="F112" s="12"/>
      <c r="G112" s="12"/>
      <c r="H112" s="12"/>
      <c r="I112" s="12"/>
      <c r="J112" s="12"/>
      <c r="K112" s="12"/>
      <c r="L112" s="12"/>
      <c r="M112" s="12"/>
      <c r="N112" s="12"/>
    </row>
    <row r="113" spans="1:14" x14ac:dyDescent="0.35">
      <c r="A113" s="13"/>
      <c r="B113" s="13"/>
      <c r="C113" s="10"/>
      <c r="D113" s="10"/>
      <c r="E113" s="12"/>
      <c r="F113" s="12"/>
      <c r="G113" s="12"/>
      <c r="H113" s="12"/>
      <c r="I113" s="12"/>
      <c r="J113" s="12"/>
      <c r="K113" s="12"/>
      <c r="L113" s="12"/>
      <c r="M113" s="12"/>
      <c r="N113" s="12"/>
    </row>
    <row r="114" spans="1:14" x14ac:dyDescent="0.35">
      <c r="A114" s="13"/>
      <c r="B114" s="13"/>
      <c r="C114" s="10"/>
      <c r="D114" s="10"/>
      <c r="E114" s="12"/>
      <c r="F114" s="12"/>
      <c r="G114" s="12"/>
      <c r="H114" s="12"/>
      <c r="I114" s="12"/>
      <c r="J114" s="12"/>
      <c r="K114" s="12"/>
      <c r="L114" s="12"/>
      <c r="M114" s="12"/>
      <c r="N114" s="12"/>
    </row>
    <row r="115" spans="1:14" x14ac:dyDescent="0.35">
      <c r="A115" s="13"/>
      <c r="B115" s="13"/>
      <c r="C115" s="10"/>
      <c r="D115" s="10"/>
      <c r="E115" s="12"/>
      <c r="F115" s="12"/>
      <c r="G115" s="12"/>
      <c r="H115" s="12"/>
      <c r="I115" s="12"/>
      <c r="J115" s="12"/>
      <c r="K115" s="12"/>
      <c r="L115" s="12"/>
      <c r="M115" s="12"/>
      <c r="N115" s="12"/>
    </row>
    <row r="116" spans="1:14" x14ac:dyDescent="0.35">
      <c r="A116" s="13"/>
      <c r="B116" s="13"/>
      <c r="C116" s="10"/>
      <c r="D116" s="10"/>
      <c r="E116" s="12"/>
      <c r="F116" s="12"/>
      <c r="G116" s="12"/>
      <c r="H116" s="12"/>
      <c r="I116" s="12"/>
      <c r="J116" s="12"/>
      <c r="K116" s="12"/>
      <c r="L116" s="12"/>
      <c r="M116" s="12"/>
      <c r="N116" s="12"/>
    </row>
    <row r="117" spans="1:14" x14ac:dyDescent="0.35">
      <c r="A117" s="13"/>
      <c r="B117" s="13"/>
      <c r="C117" s="10"/>
      <c r="D117" s="10"/>
      <c r="E117" s="12"/>
      <c r="F117" s="12"/>
      <c r="G117" s="12"/>
      <c r="H117" s="12"/>
      <c r="I117" s="12"/>
      <c r="J117" s="12"/>
      <c r="K117" s="12"/>
      <c r="L117" s="12"/>
      <c r="M117" s="12"/>
      <c r="N117" s="12"/>
    </row>
    <row r="118" spans="1:14" x14ac:dyDescent="0.35">
      <c r="A118" s="13"/>
      <c r="B118" s="13"/>
      <c r="C118" s="10"/>
      <c r="D118" s="10"/>
      <c r="E118" s="12"/>
      <c r="F118" s="12"/>
      <c r="G118" s="12"/>
      <c r="H118" s="12"/>
      <c r="I118" s="12"/>
      <c r="J118" s="12"/>
      <c r="K118" s="12"/>
      <c r="L118" s="12"/>
      <c r="M118" s="12"/>
      <c r="N118" s="12"/>
    </row>
    <row r="119" spans="1:14" x14ac:dyDescent="0.35">
      <c r="A119" s="13"/>
      <c r="B119" s="13"/>
      <c r="C119" s="10"/>
      <c r="D119" s="10"/>
      <c r="E119" s="12"/>
      <c r="F119" s="12"/>
      <c r="G119" s="12"/>
      <c r="H119" s="12"/>
      <c r="I119" s="12"/>
      <c r="J119" s="12"/>
      <c r="K119" s="12"/>
      <c r="L119" s="12"/>
      <c r="M119" s="12"/>
      <c r="N119" s="12"/>
    </row>
    <row r="120" spans="1:14" x14ac:dyDescent="0.35">
      <c r="A120" s="13"/>
      <c r="B120" s="13"/>
      <c r="C120" s="10"/>
      <c r="D120" s="10"/>
      <c r="E120" s="12"/>
      <c r="F120" s="12"/>
      <c r="G120" s="12"/>
      <c r="H120" s="12"/>
      <c r="I120" s="12"/>
      <c r="J120" s="12"/>
      <c r="K120" s="12"/>
      <c r="L120" s="12"/>
      <c r="M120" s="12"/>
      <c r="N120" s="12"/>
    </row>
    <row r="121" spans="1:14" x14ac:dyDescent="0.35">
      <c r="A121" s="13"/>
      <c r="B121" s="13"/>
      <c r="C121" s="10"/>
      <c r="D121" s="10"/>
      <c r="E121" s="12"/>
      <c r="F121" s="12"/>
      <c r="G121" s="12"/>
      <c r="H121" s="12"/>
      <c r="I121" s="12"/>
      <c r="J121" s="12"/>
      <c r="K121" s="12"/>
      <c r="L121" s="12"/>
      <c r="M121" s="12"/>
      <c r="N121" s="12"/>
    </row>
    <row r="122" spans="1:14" x14ac:dyDescent="0.35">
      <c r="A122" s="13"/>
      <c r="B122" s="13"/>
      <c r="C122" s="10"/>
      <c r="D122" s="10"/>
      <c r="E122" s="12"/>
      <c r="F122" s="12"/>
      <c r="G122" s="12"/>
      <c r="H122" s="12"/>
      <c r="I122" s="12"/>
      <c r="J122" s="12"/>
      <c r="K122" s="12"/>
      <c r="L122" s="12"/>
      <c r="M122" s="12"/>
      <c r="N122" s="12"/>
    </row>
    <row r="123" spans="1:14" x14ac:dyDescent="0.35">
      <c r="A123" s="13"/>
      <c r="B123" s="13"/>
      <c r="C123" s="10"/>
      <c r="D123" s="10"/>
      <c r="E123" s="12"/>
      <c r="F123" s="12"/>
      <c r="G123" s="12"/>
      <c r="H123" s="12"/>
      <c r="I123" s="12"/>
      <c r="J123" s="12"/>
      <c r="K123" s="12"/>
      <c r="L123" s="12"/>
      <c r="M123" s="12"/>
      <c r="N123" s="12"/>
    </row>
    <row r="124" spans="1:14" x14ac:dyDescent="0.35">
      <c r="A124" s="13"/>
      <c r="B124" s="13"/>
      <c r="C124" s="10"/>
      <c r="D124" s="10"/>
      <c r="E124" s="12"/>
      <c r="F124" s="12"/>
      <c r="G124" s="12"/>
      <c r="H124" s="12"/>
      <c r="I124" s="12"/>
      <c r="J124" s="12"/>
      <c r="K124" s="12"/>
      <c r="L124" s="12"/>
      <c r="M124" s="12"/>
      <c r="N124" s="12"/>
    </row>
    <row r="125" spans="1:14" x14ac:dyDescent="0.35">
      <c r="A125" s="13"/>
      <c r="B125" s="13"/>
      <c r="C125" s="10"/>
      <c r="D125" s="10"/>
      <c r="E125" s="12"/>
      <c r="F125" s="12"/>
      <c r="G125" s="12"/>
      <c r="H125" s="12"/>
      <c r="I125" s="12"/>
      <c r="J125" s="12"/>
      <c r="K125" s="12"/>
      <c r="L125" s="12"/>
      <c r="M125" s="12"/>
      <c r="N125" s="12"/>
    </row>
    <row r="126" spans="1:14" x14ac:dyDescent="0.35">
      <c r="A126" s="13"/>
      <c r="B126" s="13"/>
      <c r="C126" s="10"/>
      <c r="D126" s="10"/>
      <c r="E126" s="12"/>
      <c r="F126" s="12"/>
      <c r="G126" s="12"/>
      <c r="H126" s="12"/>
      <c r="I126" s="12"/>
      <c r="J126" s="12"/>
      <c r="K126" s="12"/>
      <c r="L126" s="12"/>
      <c r="M126" s="12"/>
      <c r="N126" s="12"/>
    </row>
    <row r="127" spans="1:14" x14ac:dyDescent="0.35">
      <c r="A127" s="13"/>
      <c r="B127" s="13"/>
      <c r="C127" s="10"/>
      <c r="D127" s="10"/>
      <c r="E127" s="12"/>
      <c r="F127" s="12"/>
      <c r="G127" s="12"/>
      <c r="H127" s="12"/>
      <c r="I127" s="12"/>
      <c r="J127" s="12"/>
      <c r="K127" s="12"/>
      <c r="L127" s="12"/>
      <c r="M127" s="12"/>
      <c r="N127" s="12"/>
    </row>
    <row r="128" spans="1:14" x14ac:dyDescent="0.35">
      <c r="A128" s="13"/>
      <c r="B128" s="13"/>
      <c r="C128" s="10"/>
      <c r="D128" s="10"/>
      <c r="E128" s="12"/>
      <c r="F128" s="12"/>
      <c r="G128" s="12"/>
      <c r="H128" s="12"/>
      <c r="I128" s="12"/>
      <c r="J128" s="12"/>
      <c r="K128" s="12"/>
      <c r="L128" s="12"/>
      <c r="M128" s="12"/>
      <c r="N128" s="12"/>
    </row>
    <row r="129" spans="1:14" x14ac:dyDescent="0.35">
      <c r="A129" s="13"/>
      <c r="B129" s="13"/>
      <c r="C129" s="10"/>
      <c r="D129" s="10"/>
      <c r="E129" s="12"/>
      <c r="F129" s="12"/>
      <c r="G129" s="12"/>
      <c r="H129" s="12"/>
      <c r="I129" s="12"/>
      <c r="J129" s="12"/>
      <c r="K129" s="12"/>
      <c r="L129" s="12"/>
      <c r="M129" s="12"/>
      <c r="N129" s="12"/>
    </row>
    <row r="130" spans="1:14" x14ac:dyDescent="0.35">
      <c r="A130" s="13"/>
      <c r="B130" s="13"/>
    </row>
  </sheetData>
  <hyperlinks>
    <hyperlink ref="H2" location="'Schedule B-Summary'!A41" tooltip="This hyperlink will take you to the referenced footnote-footnote 2" display="'Schedule B-Summary'!A41"/>
    <hyperlink ref="J2" location="'Schedule B-Summary'!A41" tooltip="This hyperlink will take you to the referenced footnote-footnote 3" display="'Schedule B-Summary'!A41"/>
    <hyperlink ref="M2" location="'Schedule B-Summary'!A41" tooltip="This hyperlink will take you to the referenced footnote-footnote 4" display="'Schedule B-Summary'!A41"/>
    <hyperlink ref="O2" location="'Schedule B-Summary'!A41" tooltip="This hyperlink will take you to the referenced footnote-footnote 5" display="'Schedule B-Summary'!A41"/>
    <hyperlink ref="A17" location="'Schedule B-Summary'!A41" tooltip="This hyperlink will take you to the referenced footnote-footnote 6" display="Total Schedule B1: Funded Mandates 6"/>
    <hyperlink ref="A34" location="'Schedule B-Summary'!A41" tooltip="This hyperlink will take you to the referenced footnote-footnote 6" display="Total Schedule B2: Unfunded Mandates 6"/>
    <hyperlink ref="F2" location="'Schedule B-Summary'!A41" tooltip="This hyperlink will take you to the referenced footnote-footnote 1" display="Less: Net Payments and Offsets 1"/>
    <hyperlink ref="P9" location="'Schedule B-Summary'!A42" tooltip="This hyperlink will take you to the referenced footnote-footnote 1" display="'Schedule B-Summary'!A42"/>
  </hyperlinks>
  <printOptions horizontalCentered="1" gridLines="1"/>
  <pageMargins left="0.3" right="0.3" top="1.1000000000000001" bottom="0.75" header="0.3" footer="0.1"/>
  <pageSetup scale="51" fitToHeight="0" orientation="landscape" r:id="rId1"/>
  <headerFooter>
    <oddHeader>&amp;C&amp;"Arial,Bold"&amp;12State Controller's Office
Schedule B: Summary of Funded and Unfunded State-Mandated Programs
As of April 1, 2020</oddHeader>
    <oddFooter>&amp;L&amp;"Arial,Regular"&amp;12Schedule B: Summary of Funded and Unfunded State-Mandated Programs&amp;R&amp;"Arial,Regular"&amp;12Page &amp;P of &amp;N</oddFooter>
  </headerFooter>
  <legacyDrawing r:id="rId2"/>
  <tableParts count="7">
    <tablePart r:id="rId3"/>
    <tablePart r:id="rId4"/>
    <tablePart r:id="rId5"/>
    <tablePart r:id="rId6"/>
    <tablePart r:id="rId7"/>
    <tablePart r:id="rId8"/>
    <tablePart r:id="rId9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293"/>
  <sheetViews>
    <sheetView zoomScale="90" zoomScaleNormal="90" zoomScaleSheetLayoutView="80" workbookViewId="0">
      <selection activeCell="A2" sqref="A2:XFD2"/>
    </sheetView>
  </sheetViews>
  <sheetFormatPr defaultColWidth="9.1796875" defaultRowHeight="14.5" outlineLevelRow="2" x14ac:dyDescent="0.35"/>
  <cols>
    <col min="1" max="1" width="23.26953125" style="4" customWidth="1"/>
    <col min="2" max="2" width="40.54296875" style="14" customWidth="1"/>
    <col min="3" max="3" width="12.6328125" style="15" customWidth="1"/>
    <col min="4" max="4" width="14.6328125" style="4" customWidth="1"/>
    <col min="5" max="5" width="15.6328125" style="16" customWidth="1"/>
    <col min="6" max="6" width="15.6328125" style="17" customWidth="1"/>
    <col min="7" max="7" width="2.6328125" style="17" customWidth="1"/>
    <col min="8" max="8" width="15.6328125" style="16" customWidth="1"/>
    <col min="9" max="10" width="15.6328125" style="17" customWidth="1"/>
    <col min="11" max="12" width="15.6328125" style="16" customWidth="1"/>
    <col min="13" max="13" width="2.6328125" style="2" customWidth="1"/>
    <col min="14" max="16384" width="9.1796875" style="2"/>
  </cols>
  <sheetData>
    <row r="1" spans="1:14" s="134" customFormat="1" ht="54" x14ac:dyDescent="0.4">
      <c r="A1" s="66" t="s">
        <v>526</v>
      </c>
      <c r="B1" s="131"/>
      <c r="C1" s="132"/>
      <c r="D1" s="132"/>
      <c r="E1" s="133"/>
      <c r="F1" s="133"/>
      <c r="G1" s="133"/>
      <c r="H1" s="133"/>
      <c r="I1" s="133"/>
      <c r="J1" s="133"/>
      <c r="K1" s="133"/>
      <c r="L1" s="133"/>
      <c r="M1" s="132"/>
    </row>
    <row r="2" spans="1:14" s="134" customFormat="1" ht="50" customHeight="1" outlineLevel="1" x14ac:dyDescent="0.35">
      <c r="A2" s="67" t="s">
        <v>11</v>
      </c>
      <c r="B2" s="67" t="s">
        <v>12</v>
      </c>
      <c r="C2" s="67" t="s">
        <v>0</v>
      </c>
      <c r="D2" s="67" t="s">
        <v>132</v>
      </c>
      <c r="E2" s="403" t="s">
        <v>125</v>
      </c>
      <c r="F2" s="480" t="s">
        <v>613</v>
      </c>
      <c r="G2" s="410" t="s">
        <v>610</v>
      </c>
      <c r="H2" s="403" t="s">
        <v>495</v>
      </c>
      <c r="I2" s="403" t="s">
        <v>496</v>
      </c>
      <c r="J2" s="403" t="s">
        <v>134</v>
      </c>
      <c r="K2" s="403" t="s">
        <v>497</v>
      </c>
      <c r="L2" s="403" t="s">
        <v>133</v>
      </c>
      <c r="M2" s="411" t="s">
        <v>532</v>
      </c>
      <c r="N2" s="135"/>
    </row>
    <row r="3" spans="1:14" s="134" customFormat="1" ht="15.5" outlineLevel="2" x14ac:dyDescent="0.35">
      <c r="A3" s="102" t="s">
        <v>414</v>
      </c>
      <c r="B3" s="86" t="s">
        <v>57</v>
      </c>
      <c r="C3" s="85" t="s">
        <v>58</v>
      </c>
      <c r="D3" s="93">
        <v>246</v>
      </c>
      <c r="E3" s="121">
        <v>1984227</v>
      </c>
      <c r="F3" s="392">
        <v>0</v>
      </c>
      <c r="G3" s="413" t="s">
        <v>529</v>
      </c>
      <c r="H3" s="121">
        <v>1984227</v>
      </c>
      <c r="I3" s="392">
        <v>0</v>
      </c>
      <c r="J3" s="392">
        <v>0</v>
      </c>
      <c r="K3" s="392">
        <v>0</v>
      </c>
      <c r="L3" s="121">
        <v>1984227</v>
      </c>
      <c r="M3" s="415" t="s">
        <v>529</v>
      </c>
      <c r="N3" s="135"/>
    </row>
    <row r="4" spans="1:14" s="134" customFormat="1" ht="15.5" outlineLevel="2" x14ac:dyDescent="0.35">
      <c r="A4" s="102" t="s">
        <v>414</v>
      </c>
      <c r="B4" s="86" t="s">
        <v>13</v>
      </c>
      <c r="C4" s="85" t="s">
        <v>14</v>
      </c>
      <c r="D4" s="93">
        <v>152</v>
      </c>
      <c r="E4" s="121">
        <v>709149</v>
      </c>
      <c r="F4" s="392">
        <v>0</v>
      </c>
      <c r="G4" s="413" t="s">
        <v>529</v>
      </c>
      <c r="H4" s="121">
        <v>709149</v>
      </c>
      <c r="I4" s="392">
        <v>0</v>
      </c>
      <c r="J4" s="392">
        <v>0</v>
      </c>
      <c r="K4" s="392">
        <v>0</v>
      </c>
      <c r="L4" s="121">
        <v>709149</v>
      </c>
      <c r="M4" s="415" t="s">
        <v>529</v>
      </c>
      <c r="N4" s="135"/>
    </row>
    <row r="5" spans="1:14" s="134" customFormat="1" ht="15.5" outlineLevel="2" x14ac:dyDescent="0.35">
      <c r="A5" s="102" t="s">
        <v>414</v>
      </c>
      <c r="B5" s="86" t="s">
        <v>15</v>
      </c>
      <c r="C5" s="85" t="s">
        <v>16</v>
      </c>
      <c r="D5" s="93">
        <v>90</v>
      </c>
      <c r="E5" s="121">
        <v>388169</v>
      </c>
      <c r="F5" s="392">
        <v>0</v>
      </c>
      <c r="G5" s="413" t="s">
        <v>529</v>
      </c>
      <c r="H5" s="121">
        <v>388169</v>
      </c>
      <c r="I5" s="392">
        <v>0</v>
      </c>
      <c r="J5" s="392">
        <v>0</v>
      </c>
      <c r="K5" s="392">
        <v>0</v>
      </c>
      <c r="L5" s="121">
        <v>388169</v>
      </c>
      <c r="M5" s="415" t="s">
        <v>529</v>
      </c>
      <c r="N5" s="135"/>
    </row>
    <row r="6" spans="1:14" s="134" customFormat="1" ht="30" customHeight="1" outlineLevel="2" x14ac:dyDescent="0.35">
      <c r="A6" s="102" t="s">
        <v>414</v>
      </c>
      <c r="B6" s="86" t="s">
        <v>425</v>
      </c>
      <c r="C6" s="85" t="s">
        <v>17</v>
      </c>
      <c r="D6" s="93">
        <v>262</v>
      </c>
      <c r="E6" s="121">
        <v>172453</v>
      </c>
      <c r="F6" s="392">
        <v>0</v>
      </c>
      <c r="G6" s="413" t="s">
        <v>529</v>
      </c>
      <c r="H6" s="121">
        <v>172453</v>
      </c>
      <c r="I6" s="392">
        <v>0</v>
      </c>
      <c r="J6" s="392">
        <v>0</v>
      </c>
      <c r="K6" s="392">
        <v>0</v>
      </c>
      <c r="L6" s="121">
        <v>172453</v>
      </c>
      <c r="M6" s="415" t="s">
        <v>529</v>
      </c>
      <c r="N6" s="135"/>
    </row>
    <row r="7" spans="1:14" s="134" customFormat="1" ht="31" outlineLevel="2" x14ac:dyDescent="0.35">
      <c r="A7" s="102" t="s">
        <v>414</v>
      </c>
      <c r="B7" s="86" t="s">
        <v>426</v>
      </c>
      <c r="C7" s="85" t="s">
        <v>18</v>
      </c>
      <c r="D7" s="93">
        <v>13</v>
      </c>
      <c r="E7" s="121">
        <v>12872611</v>
      </c>
      <c r="F7" s="392">
        <v>0</v>
      </c>
      <c r="G7" s="413" t="s">
        <v>529</v>
      </c>
      <c r="H7" s="121">
        <v>12872611</v>
      </c>
      <c r="I7" s="392">
        <v>0</v>
      </c>
      <c r="J7" s="392">
        <v>0</v>
      </c>
      <c r="K7" s="392">
        <v>0</v>
      </c>
      <c r="L7" s="121">
        <v>12872611</v>
      </c>
      <c r="M7" s="415" t="s">
        <v>529</v>
      </c>
      <c r="N7" s="135"/>
    </row>
    <row r="8" spans="1:14" s="134" customFormat="1" ht="31" outlineLevel="2" x14ac:dyDescent="0.35">
      <c r="A8" s="102" t="s">
        <v>414</v>
      </c>
      <c r="B8" s="86" t="s">
        <v>19</v>
      </c>
      <c r="C8" s="85" t="s">
        <v>20</v>
      </c>
      <c r="D8" s="93">
        <v>167</v>
      </c>
      <c r="E8" s="121">
        <v>9533672</v>
      </c>
      <c r="F8" s="392">
        <v>0</v>
      </c>
      <c r="G8" s="413" t="s">
        <v>529</v>
      </c>
      <c r="H8" s="121">
        <v>9533672</v>
      </c>
      <c r="I8" s="392">
        <v>0</v>
      </c>
      <c r="J8" s="392">
        <v>0</v>
      </c>
      <c r="K8" s="392">
        <v>0</v>
      </c>
      <c r="L8" s="121">
        <v>9533672</v>
      </c>
      <c r="M8" s="415" t="s">
        <v>529</v>
      </c>
      <c r="N8" s="135"/>
    </row>
    <row r="9" spans="1:14" s="134" customFormat="1" ht="31" outlineLevel="2" x14ac:dyDescent="0.35">
      <c r="A9" s="102" t="s">
        <v>414</v>
      </c>
      <c r="B9" s="86" t="s">
        <v>21</v>
      </c>
      <c r="C9" s="85" t="s">
        <v>22</v>
      </c>
      <c r="D9" s="93">
        <v>274</v>
      </c>
      <c r="E9" s="121">
        <v>2376939</v>
      </c>
      <c r="F9" s="392">
        <v>0</v>
      </c>
      <c r="G9" s="413" t="s">
        <v>529</v>
      </c>
      <c r="H9" s="121">
        <v>2376939</v>
      </c>
      <c r="I9" s="392">
        <v>0</v>
      </c>
      <c r="J9" s="392">
        <v>0</v>
      </c>
      <c r="K9" s="392">
        <v>0</v>
      </c>
      <c r="L9" s="121">
        <v>2376939</v>
      </c>
      <c r="M9" s="415" t="s">
        <v>529</v>
      </c>
      <c r="N9" s="135"/>
    </row>
    <row r="10" spans="1:14" s="134" customFormat="1" ht="30" customHeight="1" outlineLevel="2" x14ac:dyDescent="0.35">
      <c r="A10" s="102" t="s">
        <v>414</v>
      </c>
      <c r="B10" s="86" t="s">
        <v>427</v>
      </c>
      <c r="C10" s="85" t="s">
        <v>23</v>
      </c>
      <c r="D10" s="93">
        <v>177</v>
      </c>
      <c r="E10" s="121">
        <v>2297992</v>
      </c>
      <c r="F10" s="392">
        <v>0</v>
      </c>
      <c r="G10" s="413" t="s">
        <v>529</v>
      </c>
      <c r="H10" s="121">
        <v>2297992</v>
      </c>
      <c r="I10" s="392">
        <v>0</v>
      </c>
      <c r="J10" s="392">
        <v>0</v>
      </c>
      <c r="K10" s="392">
        <v>0</v>
      </c>
      <c r="L10" s="121">
        <v>2297992</v>
      </c>
      <c r="M10" s="415" t="s">
        <v>529</v>
      </c>
      <c r="N10" s="135"/>
    </row>
    <row r="11" spans="1:14" s="134" customFormat="1" ht="31" outlineLevel="2" x14ac:dyDescent="0.35">
      <c r="A11" s="102" t="s">
        <v>414</v>
      </c>
      <c r="B11" s="86" t="s">
        <v>24</v>
      </c>
      <c r="C11" s="85" t="s">
        <v>25</v>
      </c>
      <c r="D11" s="93">
        <v>197</v>
      </c>
      <c r="E11" s="121">
        <v>2661102</v>
      </c>
      <c r="F11" s="392">
        <v>0</v>
      </c>
      <c r="G11" s="413" t="s">
        <v>529</v>
      </c>
      <c r="H11" s="121">
        <v>2661102</v>
      </c>
      <c r="I11" s="392">
        <v>0</v>
      </c>
      <c r="J11" s="392">
        <v>0</v>
      </c>
      <c r="K11" s="392">
        <v>0</v>
      </c>
      <c r="L11" s="121">
        <v>2661102</v>
      </c>
      <c r="M11" s="415" t="s">
        <v>529</v>
      </c>
      <c r="N11" s="135"/>
    </row>
    <row r="12" spans="1:14" s="134" customFormat="1" ht="15.5" outlineLevel="2" x14ac:dyDescent="0.35">
      <c r="A12" s="102" t="s">
        <v>414</v>
      </c>
      <c r="B12" s="86" t="s">
        <v>26</v>
      </c>
      <c r="C12" s="85" t="s">
        <v>27</v>
      </c>
      <c r="D12" s="93">
        <v>334</v>
      </c>
      <c r="E12" s="121">
        <v>16200</v>
      </c>
      <c r="F12" s="392">
        <v>0</v>
      </c>
      <c r="G12" s="413" t="s">
        <v>529</v>
      </c>
      <c r="H12" s="121">
        <v>16200</v>
      </c>
      <c r="I12" s="392">
        <v>0</v>
      </c>
      <c r="J12" s="392">
        <v>0</v>
      </c>
      <c r="K12" s="392">
        <v>0</v>
      </c>
      <c r="L12" s="121">
        <v>16200</v>
      </c>
      <c r="M12" s="415" t="s">
        <v>529</v>
      </c>
      <c r="N12" s="135"/>
    </row>
    <row r="13" spans="1:14" s="134" customFormat="1" ht="15.5" outlineLevel="2" x14ac:dyDescent="0.35">
      <c r="A13" s="102" t="s">
        <v>414</v>
      </c>
      <c r="B13" s="86" t="s">
        <v>28</v>
      </c>
      <c r="C13" s="85" t="s">
        <v>29</v>
      </c>
      <c r="D13" s="93">
        <v>43</v>
      </c>
      <c r="E13" s="121">
        <v>8146</v>
      </c>
      <c r="F13" s="392">
        <v>0</v>
      </c>
      <c r="G13" s="413" t="s">
        <v>529</v>
      </c>
      <c r="H13" s="121">
        <v>8146</v>
      </c>
      <c r="I13" s="392">
        <v>0</v>
      </c>
      <c r="J13" s="392">
        <v>0</v>
      </c>
      <c r="K13" s="392">
        <v>0</v>
      </c>
      <c r="L13" s="121">
        <v>8146</v>
      </c>
      <c r="M13" s="415" t="s">
        <v>529</v>
      </c>
      <c r="N13" s="135"/>
    </row>
    <row r="14" spans="1:14" s="134" customFormat="1" ht="15" customHeight="1" outlineLevel="2" x14ac:dyDescent="0.35">
      <c r="A14" s="102" t="s">
        <v>414</v>
      </c>
      <c r="B14" s="86" t="s">
        <v>30</v>
      </c>
      <c r="C14" s="85" t="s">
        <v>31</v>
      </c>
      <c r="D14" s="93">
        <v>361</v>
      </c>
      <c r="E14" s="121">
        <v>1628</v>
      </c>
      <c r="F14" s="392">
        <v>0</v>
      </c>
      <c r="G14" s="413" t="s">
        <v>529</v>
      </c>
      <c r="H14" s="121">
        <v>1628</v>
      </c>
      <c r="I14" s="392">
        <v>0</v>
      </c>
      <c r="J14" s="392">
        <v>0</v>
      </c>
      <c r="K14" s="392">
        <v>0</v>
      </c>
      <c r="L14" s="121">
        <v>1628</v>
      </c>
      <c r="M14" s="415" t="s">
        <v>529</v>
      </c>
      <c r="N14" s="135"/>
    </row>
    <row r="15" spans="1:14" s="134" customFormat="1" ht="31" outlineLevel="2" x14ac:dyDescent="0.35">
      <c r="A15" s="102" t="s">
        <v>414</v>
      </c>
      <c r="B15" s="86" t="s">
        <v>32</v>
      </c>
      <c r="C15" s="85" t="s">
        <v>33</v>
      </c>
      <c r="D15" s="93">
        <v>264</v>
      </c>
      <c r="E15" s="121">
        <v>785067</v>
      </c>
      <c r="F15" s="392">
        <v>0</v>
      </c>
      <c r="G15" s="413" t="s">
        <v>529</v>
      </c>
      <c r="H15" s="121">
        <v>785067</v>
      </c>
      <c r="I15" s="392">
        <v>0</v>
      </c>
      <c r="J15" s="392">
        <v>0</v>
      </c>
      <c r="K15" s="392">
        <v>0</v>
      </c>
      <c r="L15" s="121">
        <v>785067</v>
      </c>
      <c r="M15" s="415" t="s">
        <v>529</v>
      </c>
      <c r="N15" s="135"/>
    </row>
    <row r="16" spans="1:14" s="134" customFormat="1" ht="15" customHeight="1" outlineLevel="2" x14ac:dyDescent="0.35">
      <c r="A16" s="102" t="s">
        <v>414</v>
      </c>
      <c r="B16" s="86" t="s">
        <v>135</v>
      </c>
      <c r="C16" s="85" t="s">
        <v>136</v>
      </c>
      <c r="D16" s="93">
        <v>187</v>
      </c>
      <c r="E16" s="121">
        <v>6606478</v>
      </c>
      <c r="F16" s="392">
        <v>0</v>
      </c>
      <c r="G16" s="413" t="s">
        <v>529</v>
      </c>
      <c r="H16" s="121">
        <v>6606478</v>
      </c>
      <c r="I16" s="392">
        <v>0</v>
      </c>
      <c r="J16" s="392">
        <v>0</v>
      </c>
      <c r="K16" s="392">
        <v>0</v>
      </c>
      <c r="L16" s="121">
        <v>6606478</v>
      </c>
      <c r="M16" s="415" t="s">
        <v>529</v>
      </c>
      <c r="N16" s="135"/>
    </row>
    <row r="17" spans="1:14" s="134" customFormat="1" ht="15.5" outlineLevel="2" x14ac:dyDescent="0.35">
      <c r="A17" s="102" t="s">
        <v>414</v>
      </c>
      <c r="B17" s="86" t="s">
        <v>59</v>
      </c>
      <c r="C17" s="85" t="s">
        <v>60</v>
      </c>
      <c r="D17" s="93">
        <v>121</v>
      </c>
      <c r="E17" s="121">
        <v>64723</v>
      </c>
      <c r="F17" s="392">
        <v>0</v>
      </c>
      <c r="G17" s="413" t="s">
        <v>529</v>
      </c>
      <c r="H17" s="121">
        <v>64723</v>
      </c>
      <c r="I17" s="392">
        <v>0</v>
      </c>
      <c r="J17" s="392">
        <v>0</v>
      </c>
      <c r="K17" s="392">
        <v>0</v>
      </c>
      <c r="L17" s="121">
        <v>64723</v>
      </c>
      <c r="M17" s="415" t="s">
        <v>529</v>
      </c>
      <c r="N17" s="135"/>
    </row>
    <row r="18" spans="1:14" s="134" customFormat="1" ht="15" customHeight="1" outlineLevel="2" x14ac:dyDescent="0.35">
      <c r="A18" s="102" t="s">
        <v>414</v>
      </c>
      <c r="B18" s="86" t="s">
        <v>400</v>
      </c>
      <c r="C18" s="85" t="s">
        <v>34</v>
      </c>
      <c r="D18" s="93">
        <v>127</v>
      </c>
      <c r="E18" s="121">
        <v>583727</v>
      </c>
      <c r="F18" s="392">
        <v>0</v>
      </c>
      <c r="G18" s="413" t="s">
        <v>529</v>
      </c>
      <c r="H18" s="121">
        <v>583727</v>
      </c>
      <c r="I18" s="392">
        <v>0</v>
      </c>
      <c r="J18" s="392">
        <v>0</v>
      </c>
      <c r="K18" s="392">
        <v>0</v>
      </c>
      <c r="L18" s="121">
        <v>583727</v>
      </c>
      <c r="M18" s="415" t="s">
        <v>529</v>
      </c>
      <c r="N18" s="135"/>
    </row>
    <row r="19" spans="1:14" s="134" customFormat="1" ht="15.5" outlineLevel="2" x14ac:dyDescent="0.35">
      <c r="A19" s="102" t="s">
        <v>414</v>
      </c>
      <c r="B19" s="86" t="s">
        <v>35</v>
      </c>
      <c r="C19" s="85" t="s">
        <v>36</v>
      </c>
      <c r="D19" s="93">
        <v>175</v>
      </c>
      <c r="E19" s="121">
        <v>12461515</v>
      </c>
      <c r="F19" s="392">
        <v>0</v>
      </c>
      <c r="G19" s="413" t="s">
        <v>529</v>
      </c>
      <c r="H19" s="121">
        <v>12461515</v>
      </c>
      <c r="I19" s="392">
        <v>0</v>
      </c>
      <c r="J19" s="392">
        <v>0</v>
      </c>
      <c r="K19" s="392">
        <v>0</v>
      </c>
      <c r="L19" s="121">
        <v>12461515</v>
      </c>
      <c r="M19" s="415" t="s">
        <v>529</v>
      </c>
      <c r="N19" s="135"/>
    </row>
    <row r="20" spans="1:14" s="134" customFormat="1" ht="31" outlineLevel="2" x14ac:dyDescent="0.35">
      <c r="A20" s="102" t="s">
        <v>414</v>
      </c>
      <c r="B20" s="86" t="s">
        <v>37</v>
      </c>
      <c r="C20" s="85" t="s">
        <v>38</v>
      </c>
      <c r="D20" s="93">
        <v>360</v>
      </c>
      <c r="E20" s="121">
        <v>703084</v>
      </c>
      <c r="F20" s="392">
        <v>0</v>
      </c>
      <c r="G20" s="413" t="s">
        <v>529</v>
      </c>
      <c r="H20" s="121">
        <v>703084</v>
      </c>
      <c r="I20" s="392">
        <v>0</v>
      </c>
      <c r="J20" s="392">
        <v>0</v>
      </c>
      <c r="K20" s="392">
        <v>0</v>
      </c>
      <c r="L20" s="121">
        <v>703084</v>
      </c>
      <c r="M20" s="415" t="s">
        <v>529</v>
      </c>
      <c r="N20" s="135"/>
    </row>
    <row r="21" spans="1:14" s="134" customFormat="1" ht="15.5" outlineLevel="2" x14ac:dyDescent="0.35">
      <c r="A21" s="102" t="s">
        <v>414</v>
      </c>
      <c r="B21" s="86" t="s">
        <v>55</v>
      </c>
      <c r="C21" s="85" t="s">
        <v>56</v>
      </c>
      <c r="D21" s="93">
        <v>163</v>
      </c>
      <c r="E21" s="121">
        <v>12770</v>
      </c>
      <c r="F21" s="392">
        <v>0</v>
      </c>
      <c r="G21" s="413" t="s">
        <v>529</v>
      </c>
      <c r="H21" s="121">
        <v>12770</v>
      </c>
      <c r="I21" s="392">
        <v>0</v>
      </c>
      <c r="J21" s="392">
        <v>0</v>
      </c>
      <c r="K21" s="392">
        <v>0</v>
      </c>
      <c r="L21" s="121">
        <v>12770</v>
      </c>
      <c r="M21" s="415" t="s">
        <v>529</v>
      </c>
      <c r="N21" s="135"/>
    </row>
    <row r="22" spans="1:14" s="134" customFormat="1" ht="15.5" outlineLevel="2" x14ac:dyDescent="0.35">
      <c r="A22" s="102" t="s">
        <v>414</v>
      </c>
      <c r="B22" s="86" t="s">
        <v>39</v>
      </c>
      <c r="C22" s="85" t="s">
        <v>40</v>
      </c>
      <c r="D22" s="93">
        <v>345</v>
      </c>
      <c r="E22" s="121">
        <v>232475</v>
      </c>
      <c r="F22" s="392">
        <v>0</v>
      </c>
      <c r="G22" s="413" t="s">
        <v>529</v>
      </c>
      <c r="H22" s="121">
        <v>232475</v>
      </c>
      <c r="I22" s="392">
        <v>0</v>
      </c>
      <c r="J22" s="392">
        <v>0</v>
      </c>
      <c r="K22" s="392">
        <v>0</v>
      </c>
      <c r="L22" s="121">
        <v>232475</v>
      </c>
      <c r="M22" s="415" t="s">
        <v>529</v>
      </c>
      <c r="N22" s="135"/>
    </row>
    <row r="23" spans="1:14" s="134" customFormat="1" ht="15.5" outlineLevel="1" x14ac:dyDescent="0.35">
      <c r="A23" s="137" t="s">
        <v>430</v>
      </c>
      <c r="B23" s="408" t="s">
        <v>529</v>
      </c>
      <c r="C23" s="409" t="s">
        <v>529</v>
      </c>
      <c r="D23" s="409" t="s">
        <v>529</v>
      </c>
      <c r="E23" s="138">
        <f>SUBTOTAL(109,local201819[Program
Costs])</f>
        <v>54472127</v>
      </c>
      <c r="F23" s="407" t="s">
        <v>582</v>
      </c>
      <c r="G23" s="414" t="s">
        <v>552</v>
      </c>
      <c r="H23" s="138">
        <f>SUBTOTAL(109,local201819[Accounts Payable
Balance])</f>
        <v>54472127</v>
      </c>
      <c r="I23" s="407" t="s">
        <v>582</v>
      </c>
      <c r="J23" s="407" t="s">
        <v>582</v>
      </c>
      <c r="K23" s="407" t="s">
        <v>582</v>
      </c>
      <c r="L23" s="138">
        <f>SUBTOTAL(109,local201819[Net
Balance])</f>
        <v>54472127</v>
      </c>
      <c r="M23" s="412" t="s">
        <v>608</v>
      </c>
      <c r="N23" s="135"/>
    </row>
    <row r="24" spans="1:14" s="134" customFormat="1" ht="15.5" outlineLevel="1" x14ac:dyDescent="0.35">
      <c r="A24" s="386" t="s">
        <v>540</v>
      </c>
      <c r="B24" s="400"/>
      <c r="C24" s="401"/>
      <c r="D24" s="401"/>
      <c r="E24" s="140"/>
      <c r="F24" s="140"/>
      <c r="G24" s="140"/>
      <c r="H24" s="140"/>
      <c r="I24" s="140"/>
      <c r="J24" s="140"/>
      <c r="K24" s="140"/>
      <c r="L24" s="140"/>
      <c r="M24" s="402"/>
      <c r="N24" s="135"/>
    </row>
    <row r="25" spans="1:14" s="134" customFormat="1" ht="50" customHeight="1" x14ac:dyDescent="0.35">
      <c r="A25" s="416" t="s">
        <v>11</v>
      </c>
      <c r="B25" s="416" t="s">
        <v>12</v>
      </c>
      <c r="C25" s="416" t="s">
        <v>0</v>
      </c>
      <c r="D25" s="416" t="s">
        <v>132</v>
      </c>
      <c r="E25" s="417" t="s">
        <v>125</v>
      </c>
      <c r="F25" s="437" t="s">
        <v>607</v>
      </c>
      <c r="G25" s="418" t="s">
        <v>531</v>
      </c>
      <c r="H25" s="417" t="s">
        <v>495</v>
      </c>
      <c r="I25" s="417" t="s">
        <v>496</v>
      </c>
      <c r="J25" s="417" t="s">
        <v>134</v>
      </c>
      <c r="K25" s="417" t="s">
        <v>497</v>
      </c>
      <c r="L25" s="417" t="s">
        <v>133</v>
      </c>
      <c r="M25" s="419" t="s">
        <v>532</v>
      </c>
      <c r="N25" s="135"/>
    </row>
    <row r="26" spans="1:14" s="134" customFormat="1" ht="15.5" x14ac:dyDescent="0.35">
      <c r="A26" s="102" t="s">
        <v>399</v>
      </c>
      <c r="B26" s="86" t="s">
        <v>57</v>
      </c>
      <c r="C26" s="85" t="s">
        <v>58</v>
      </c>
      <c r="D26" s="93">
        <v>246</v>
      </c>
      <c r="E26" s="121">
        <v>1969834</v>
      </c>
      <c r="F26" s="121">
        <v>1879823</v>
      </c>
      <c r="G26" s="415" t="s">
        <v>529</v>
      </c>
      <c r="H26" s="121">
        <v>90011</v>
      </c>
      <c r="I26" s="121">
        <v>19451</v>
      </c>
      <c r="J26" s="121">
        <v>15019</v>
      </c>
      <c r="K26" s="121">
        <v>4432</v>
      </c>
      <c r="L26" s="121">
        <v>85579</v>
      </c>
      <c r="M26" s="421" t="s">
        <v>529</v>
      </c>
      <c r="N26" s="135"/>
    </row>
    <row r="27" spans="1:14" s="134" customFormat="1" ht="15.5" x14ac:dyDescent="0.35">
      <c r="A27" s="102" t="s">
        <v>399</v>
      </c>
      <c r="B27" s="86" t="s">
        <v>13</v>
      </c>
      <c r="C27" s="85" t="s">
        <v>14</v>
      </c>
      <c r="D27" s="93">
        <v>152</v>
      </c>
      <c r="E27" s="121">
        <v>586048</v>
      </c>
      <c r="F27" s="121">
        <v>570063</v>
      </c>
      <c r="G27" s="415" t="s">
        <v>529</v>
      </c>
      <c r="H27" s="121">
        <v>15985</v>
      </c>
      <c r="I27" s="392">
        <v>0</v>
      </c>
      <c r="J27" s="392">
        <v>0</v>
      </c>
      <c r="K27" s="392">
        <v>0</v>
      </c>
      <c r="L27" s="121">
        <v>15985</v>
      </c>
      <c r="M27" s="421" t="s">
        <v>529</v>
      </c>
      <c r="N27" s="135"/>
    </row>
    <row r="28" spans="1:14" s="134" customFormat="1" ht="31" x14ac:dyDescent="0.35">
      <c r="A28" s="102" t="s">
        <v>399</v>
      </c>
      <c r="B28" s="86" t="s">
        <v>425</v>
      </c>
      <c r="C28" s="85" t="s">
        <v>17</v>
      </c>
      <c r="D28" s="93">
        <v>262</v>
      </c>
      <c r="E28" s="121">
        <v>163531</v>
      </c>
      <c r="F28" s="121">
        <v>161049</v>
      </c>
      <c r="G28" s="415" t="s">
        <v>529</v>
      </c>
      <c r="H28" s="121">
        <v>2482</v>
      </c>
      <c r="I28" s="121">
        <v>71</v>
      </c>
      <c r="J28" s="392">
        <v>0</v>
      </c>
      <c r="K28" s="121">
        <v>71</v>
      </c>
      <c r="L28" s="121">
        <v>2411</v>
      </c>
      <c r="M28" s="421" t="s">
        <v>529</v>
      </c>
      <c r="N28" s="135"/>
    </row>
    <row r="29" spans="1:14" s="134" customFormat="1" ht="31" x14ac:dyDescent="0.35">
      <c r="A29" s="102" t="s">
        <v>399</v>
      </c>
      <c r="B29" s="86" t="s">
        <v>426</v>
      </c>
      <c r="C29" s="85" t="s">
        <v>18</v>
      </c>
      <c r="D29" s="93">
        <v>13</v>
      </c>
      <c r="E29" s="121">
        <v>12556735</v>
      </c>
      <c r="F29" s="121">
        <v>12542825</v>
      </c>
      <c r="G29" s="415" t="s">
        <v>529</v>
      </c>
      <c r="H29" s="121">
        <v>13910</v>
      </c>
      <c r="I29" s="392">
        <v>0</v>
      </c>
      <c r="J29" s="392">
        <v>0</v>
      </c>
      <c r="K29" s="392">
        <v>0</v>
      </c>
      <c r="L29" s="121">
        <v>13910</v>
      </c>
      <c r="M29" s="421" t="s">
        <v>529</v>
      </c>
      <c r="N29" s="135"/>
    </row>
    <row r="30" spans="1:14" s="134" customFormat="1" ht="31" x14ac:dyDescent="0.35">
      <c r="A30" s="102" t="s">
        <v>399</v>
      </c>
      <c r="B30" s="86" t="s">
        <v>19</v>
      </c>
      <c r="C30" s="85" t="s">
        <v>20</v>
      </c>
      <c r="D30" s="93">
        <v>167</v>
      </c>
      <c r="E30" s="121">
        <v>9483538</v>
      </c>
      <c r="F30" s="121">
        <v>9193226</v>
      </c>
      <c r="G30" s="415" t="s">
        <v>529</v>
      </c>
      <c r="H30" s="121">
        <v>290312</v>
      </c>
      <c r="I30" s="121">
        <v>32867</v>
      </c>
      <c r="J30" s="392">
        <v>0</v>
      </c>
      <c r="K30" s="121">
        <v>32867</v>
      </c>
      <c r="L30" s="121">
        <v>257445</v>
      </c>
      <c r="M30" s="421" t="s">
        <v>529</v>
      </c>
      <c r="N30" s="135"/>
    </row>
    <row r="31" spans="1:14" s="134" customFormat="1" ht="30" customHeight="1" x14ac:dyDescent="0.35">
      <c r="A31" s="102" t="s">
        <v>399</v>
      </c>
      <c r="B31" s="86" t="s">
        <v>21</v>
      </c>
      <c r="C31" s="85" t="s">
        <v>22</v>
      </c>
      <c r="D31" s="93">
        <v>274</v>
      </c>
      <c r="E31" s="121">
        <v>2237015</v>
      </c>
      <c r="F31" s="121">
        <v>2162506</v>
      </c>
      <c r="G31" s="415" t="s">
        <v>529</v>
      </c>
      <c r="H31" s="121">
        <v>74509</v>
      </c>
      <c r="I31" s="121">
        <v>234</v>
      </c>
      <c r="J31" s="392">
        <v>0</v>
      </c>
      <c r="K31" s="121">
        <v>234</v>
      </c>
      <c r="L31" s="121">
        <v>74275</v>
      </c>
      <c r="M31" s="421" t="s">
        <v>529</v>
      </c>
      <c r="N31" s="135"/>
    </row>
    <row r="32" spans="1:14" s="134" customFormat="1" ht="31" x14ac:dyDescent="0.35">
      <c r="A32" s="102" t="s">
        <v>399</v>
      </c>
      <c r="B32" s="86" t="s">
        <v>427</v>
      </c>
      <c r="C32" s="85" t="s">
        <v>23</v>
      </c>
      <c r="D32" s="93">
        <v>177</v>
      </c>
      <c r="E32" s="121">
        <v>2348108</v>
      </c>
      <c r="F32" s="121">
        <v>2325659</v>
      </c>
      <c r="G32" s="415" t="s">
        <v>529</v>
      </c>
      <c r="H32" s="121">
        <v>22449</v>
      </c>
      <c r="I32" s="392">
        <v>0</v>
      </c>
      <c r="J32" s="392">
        <v>0</v>
      </c>
      <c r="K32" s="392">
        <v>0</v>
      </c>
      <c r="L32" s="121">
        <v>22449</v>
      </c>
      <c r="M32" s="421" t="s">
        <v>529</v>
      </c>
      <c r="N32" s="135"/>
    </row>
    <row r="33" spans="1:14" s="134" customFormat="1" ht="31" x14ac:dyDescent="0.35">
      <c r="A33" s="102" t="s">
        <v>399</v>
      </c>
      <c r="B33" s="86" t="s">
        <v>24</v>
      </c>
      <c r="C33" s="85" t="s">
        <v>25</v>
      </c>
      <c r="D33" s="93">
        <v>197</v>
      </c>
      <c r="E33" s="121">
        <v>2633112</v>
      </c>
      <c r="F33" s="121">
        <v>2604505</v>
      </c>
      <c r="G33" s="415" t="s">
        <v>529</v>
      </c>
      <c r="H33" s="121">
        <v>28607</v>
      </c>
      <c r="I33" s="392">
        <v>0</v>
      </c>
      <c r="J33" s="392">
        <v>0</v>
      </c>
      <c r="K33" s="392">
        <v>0</v>
      </c>
      <c r="L33" s="121">
        <v>28607</v>
      </c>
      <c r="M33" s="421" t="s">
        <v>529</v>
      </c>
      <c r="N33" s="135"/>
    </row>
    <row r="34" spans="1:14" s="134" customFormat="1" ht="40.5" customHeight="1" x14ac:dyDescent="0.35">
      <c r="A34" s="102" t="s">
        <v>399</v>
      </c>
      <c r="B34" s="86" t="s">
        <v>32</v>
      </c>
      <c r="C34" s="85" t="s">
        <v>33</v>
      </c>
      <c r="D34" s="93">
        <v>264</v>
      </c>
      <c r="E34" s="121">
        <v>811858</v>
      </c>
      <c r="F34" s="121">
        <v>797562</v>
      </c>
      <c r="G34" s="415" t="s">
        <v>529</v>
      </c>
      <c r="H34" s="121">
        <v>14296</v>
      </c>
      <c r="I34" s="392">
        <v>0</v>
      </c>
      <c r="J34" s="392">
        <v>0</v>
      </c>
      <c r="K34" s="392">
        <v>0</v>
      </c>
      <c r="L34" s="121">
        <v>14296</v>
      </c>
      <c r="M34" s="421" t="s">
        <v>529</v>
      </c>
      <c r="N34" s="135"/>
    </row>
    <row r="35" spans="1:14" s="134" customFormat="1" ht="15" customHeight="1" x14ac:dyDescent="0.35">
      <c r="A35" s="102" t="s">
        <v>399</v>
      </c>
      <c r="B35" s="86" t="s">
        <v>135</v>
      </c>
      <c r="C35" s="85" t="s">
        <v>136</v>
      </c>
      <c r="D35" s="93">
        <v>187</v>
      </c>
      <c r="E35" s="121">
        <v>7056447</v>
      </c>
      <c r="F35" s="392">
        <v>0</v>
      </c>
      <c r="G35" s="415" t="s">
        <v>529</v>
      </c>
      <c r="H35" s="121">
        <v>7056447</v>
      </c>
      <c r="I35" s="392">
        <v>0</v>
      </c>
      <c r="J35" s="392">
        <v>0</v>
      </c>
      <c r="K35" s="392">
        <v>0</v>
      </c>
      <c r="L35" s="121">
        <v>7056447</v>
      </c>
      <c r="M35" s="421" t="s">
        <v>529</v>
      </c>
      <c r="N35" s="135"/>
    </row>
    <row r="36" spans="1:14" s="134" customFormat="1" ht="15.5" x14ac:dyDescent="0.35">
      <c r="A36" s="102" t="s">
        <v>399</v>
      </c>
      <c r="B36" s="86" t="s">
        <v>400</v>
      </c>
      <c r="C36" s="85" t="s">
        <v>34</v>
      </c>
      <c r="D36" s="93">
        <v>127</v>
      </c>
      <c r="E36" s="121">
        <v>603294</v>
      </c>
      <c r="F36" s="121">
        <v>588192</v>
      </c>
      <c r="G36" s="415" t="s">
        <v>529</v>
      </c>
      <c r="H36" s="121">
        <v>15102</v>
      </c>
      <c r="I36" s="392">
        <v>0</v>
      </c>
      <c r="J36" s="392">
        <v>0</v>
      </c>
      <c r="K36" s="392">
        <v>0</v>
      </c>
      <c r="L36" s="121">
        <v>15102</v>
      </c>
      <c r="M36" s="421" t="s">
        <v>529</v>
      </c>
      <c r="N36" s="135"/>
    </row>
    <row r="37" spans="1:14" s="134" customFormat="1" ht="31" x14ac:dyDescent="0.35">
      <c r="A37" s="102" t="s">
        <v>399</v>
      </c>
      <c r="B37" s="86" t="s">
        <v>37</v>
      </c>
      <c r="C37" s="85" t="s">
        <v>38</v>
      </c>
      <c r="D37" s="93">
        <v>360</v>
      </c>
      <c r="E37" s="121">
        <v>724373</v>
      </c>
      <c r="F37" s="121">
        <v>639943</v>
      </c>
      <c r="G37" s="415" t="s">
        <v>529</v>
      </c>
      <c r="H37" s="121">
        <v>84430</v>
      </c>
      <c r="I37" s="392">
        <v>0</v>
      </c>
      <c r="J37" s="392">
        <v>0</v>
      </c>
      <c r="K37" s="392">
        <v>0</v>
      </c>
      <c r="L37" s="121">
        <v>84430</v>
      </c>
      <c r="M37" s="421" t="s">
        <v>529</v>
      </c>
      <c r="N37" s="135"/>
    </row>
    <row r="38" spans="1:14" s="134" customFormat="1" ht="15.5" x14ac:dyDescent="0.35">
      <c r="A38" s="102" t="s">
        <v>399</v>
      </c>
      <c r="B38" s="86" t="s">
        <v>55</v>
      </c>
      <c r="C38" s="85" t="s">
        <v>56</v>
      </c>
      <c r="D38" s="93">
        <v>163</v>
      </c>
      <c r="E38" s="121">
        <v>55019</v>
      </c>
      <c r="F38" s="392">
        <v>0</v>
      </c>
      <c r="G38" s="415" t="s">
        <v>529</v>
      </c>
      <c r="H38" s="121">
        <v>55019</v>
      </c>
      <c r="I38" s="392">
        <v>0</v>
      </c>
      <c r="J38" s="392">
        <v>0</v>
      </c>
      <c r="K38" s="392">
        <v>0</v>
      </c>
      <c r="L38" s="121">
        <v>55019</v>
      </c>
      <c r="M38" s="421" t="s">
        <v>529</v>
      </c>
      <c r="N38" s="135"/>
    </row>
    <row r="39" spans="1:14" s="134" customFormat="1" ht="20" customHeight="1" x14ac:dyDescent="0.35">
      <c r="A39" s="137" t="s">
        <v>401</v>
      </c>
      <c r="B39" s="408" t="s">
        <v>529</v>
      </c>
      <c r="C39" s="409" t="s">
        <v>529</v>
      </c>
      <c r="D39" s="409" t="s">
        <v>529</v>
      </c>
      <c r="E39" s="138">
        <f>SUBTOTAL(109,local201718[Program
Costs])</f>
        <v>41228912</v>
      </c>
      <c r="F39" s="138">
        <f>SUBTOTAL(109,local201718[Less: Net Payments and Offsets 7])</f>
        <v>33465353</v>
      </c>
      <c r="G39" s="412" t="s">
        <v>552</v>
      </c>
      <c r="H39" s="138">
        <f>SUBTOTAL(109,local201718[Accounts Payable
Balance])</f>
        <v>7763559</v>
      </c>
      <c r="I39" s="138">
        <f>SUBTOTAL(109,local201718[Established
Accounts Receivable])</f>
        <v>52623</v>
      </c>
      <c r="J39" s="138">
        <f>SUBTOTAL(109,local201718[Less: Recovered Amount])</f>
        <v>15019</v>
      </c>
      <c r="K39" s="138">
        <f>SUBTOTAL(109,local201718[Accounts Receivable
Balance])</f>
        <v>37604</v>
      </c>
      <c r="L39" s="138">
        <f>SUBTOTAL(109,local201718[Net
Balance])</f>
        <v>7725955</v>
      </c>
      <c r="M39" s="412" t="s">
        <v>552</v>
      </c>
      <c r="N39" s="135"/>
    </row>
    <row r="40" spans="1:14" s="134" customFormat="1" ht="20" customHeight="1" x14ac:dyDescent="0.35">
      <c r="A40" s="386" t="s">
        <v>540</v>
      </c>
      <c r="B40" s="400"/>
      <c r="C40" s="401"/>
      <c r="D40" s="401"/>
      <c r="E40" s="140"/>
      <c r="F40" s="140"/>
      <c r="G40" s="402"/>
      <c r="H40" s="140"/>
      <c r="I40" s="140"/>
      <c r="J40" s="140"/>
      <c r="K40" s="140"/>
      <c r="L40" s="140"/>
      <c r="M40" s="402"/>
      <c r="N40" s="135"/>
    </row>
    <row r="41" spans="1:14" s="134" customFormat="1" ht="50" customHeight="1" x14ac:dyDescent="0.35">
      <c r="A41" s="299" t="s">
        <v>11</v>
      </c>
      <c r="B41" s="158" t="s">
        <v>12</v>
      </c>
      <c r="C41" s="158" t="s">
        <v>0</v>
      </c>
      <c r="D41" s="158" t="s">
        <v>132</v>
      </c>
      <c r="E41" s="422" t="s">
        <v>125</v>
      </c>
      <c r="F41" s="423" t="s">
        <v>607</v>
      </c>
      <c r="G41" s="424" t="s">
        <v>531</v>
      </c>
      <c r="H41" s="422" t="s">
        <v>495</v>
      </c>
      <c r="I41" s="422" t="s">
        <v>496</v>
      </c>
      <c r="J41" s="422" t="s">
        <v>134</v>
      </c>
      <c r="K41" s="422" t="s">
        <v>497</v>
      </c>
      <c r="L41" s="422" t="s">
        <v>133</v>
      </c>
      <c r="M41" s="425" t="s">
        <v>532</v>
      </c>
      <c r="N41" s="135"/>
    </row>
    <row r="42" spans="1:14" s="134" customFormat="1" ht="29.5" customHeight="1" x14ac:dyDescent="0.35">
      <c r="A42" s="93" t="s">
        <v>4</v>
      </c>
      <c r="B42" s="86" t="s">
        <v>19</v>
      </c>
      <c r="C42" s="85" t="s">
        <v>20</v>
      </c>
      <c r="D42" s="93">
        <v>167</v>
      </c>
      <c r="E42" s="121">
        <v>8924112</v>
      </c>
      <c r="F42" s="121">
        <v>8924112</v>
      </c>
      <c r="G42" s="413" t="s">
        <v>529</v>
      </c>
      <c r="H42" s="392">
        <v>0</v>
      </c>
      <c r="I42" s="121">
        <v>49840</v>
      </c>
      <c r="J42" s="121">
        <v>3026</v>
      </c>
      <c r="K42" s="121">
        <v>46814</v>
      </c>
      <c r="L42" s="121">
        <v>-46814</v>
      </c>
      <c r="M42" s="420" t="s">
        <v>529</v>
      </c>
      <c r="N42" s="135"/>
    </row>
    <row r="43" spans="1:14" s="134" customFormat="1" ht="31" x14ac:dyDescent="0.35">
      <c r="A43" s="93" t="s">
        <v>4</v>
      </c>
      <c r="B43" s="86" t="s">
        <v>21</v>
      </c>
      <c r="C43" s="85" t="s">
        <v>22</v>
      </c>
      <c r="D43" s="93">
        <v>274</v>
      </c>
      <c r="E43" s="121">
        <v>2188022</v>
      </c>
      <c r="F43" s="121">
        <v>2188022</v>
      </c>
      <c r="G43" s="413" t="s">
        <v>529</v>
      </c>
      <c r="H43" s="392">
        <v>0</v>
      </c>
      <c r="I43" s="121">
        <v>1211</v>
      </c>
      <c r="J43" s="121">
        <v>711</v>
      </c>
      <c r="K43" s="121">
        <v>500</v>
      </c>
      <c r="L43" s="121">
        <v>-500</v>
      </c>
      <c r="M43" s="420" t="s">
        <v>529</v>
      </c>
      <c r="N43" s="135"/>
    </row>
    <row r="44" spans="1:14" s="134" customFormat="1" ht="15.5" x14ac:dyDescent="0.35">
      <c r="A44" s="93" t="s">
        <v>4</v>
      </c>
      <c r="B44" s="86" t="s">
        <v>135</v>
      </c>
      <c r="C44" s="85" t="s">
        <v>136</v>
      </c>
      <c r="D44" s="93">
        <v>187</v>
      </c>
      <c r="E44" s="121">
        <v>6167307</v>
      </c>
      <c r="F44" s="392">
        <v>0</v>
      </c>
      <c r="G44" s="413" t="s">
        <v>529</v>
      </c>
      <c r="H44" s="121">
        <v>6167307</v>
      </c>
      <c r="I44" s="392">
        <v>0</v>
      </c>
      <c r="J44" s="392">
        <v>0</v>
      </c>
      <c r="K44" s="392">
        <v>0</v>
      </c>
      <c r="L44" s="121">
        <v>6167307</v>
      </c>
      <c r="M44" s="420" t="s">
        <v>529</v>
      </c>
      <c r="N44" s="135"/>
    </row>
    <row r="45" spans="1:14" s="134" customFormat="1" ht="15" customHeight="1" x14ac:dyDescent="0.35">
      <c r="A45" s="137" t="s">
        <v>137</v>
      </c>
      <c r="B45" s="429" t="s">
        <v>529</v>
      </c>
      <c r="C45" s="430" t="s">
        <v>529</v>
      </c>
      <c r="D45" s="409" t="s">
        <v>529</v>
      </c>
      <c r="E45" s="138">
        <f>SUBTOTAL(109,Local201617[Program
Costs])</f>
        <v>17279441</v>
      </c>
      <c r="F45" s="138">
        <f>SUBTOTAL(109,Local201617[Less: Net Payments and Offsets 7])</f>
        <v>11112134</v>
      </c>
      <c r="G45" s="414" t="s">
        <v>552</v>
      </c>
      <c r="H45" s="138">
        <f>SUBTOTAL(109,Local201617[Accounts Payable
Balance])</f>
        <v>6167307</v>
      </c>
      <c r="I45" s="138">
        <f>SUBTOTAL(109,Local201617[Established
Accounts Receivable])</f>
        <v>51051</v>
      </c>
      <c r="J45" s="138">
        <f>SUBTOTAL(109,Local201617[Less: Recovered Amount])</f>
        <v>3737</v>
      </c>
      <c r="K45" s="138">
        <f>SUBTOTAL(109,Local201617[Accounts Receivable
Balance])</f>
        <v>47314</v>
      </c>
      <c r="L45" s="138">
        <f>SUBTOTAL(109,Local201617[Net
Balance])</f>
        <v>6119993</v>
      </c>
      <c r="M45" s="414" t="s">
        <v>552</v>
      </c>
      <c r="N45" s="135"/>
    </row>
    <row r="46" spans="1:14" s="134" customFormat="1" ht="15" customHeight="1" x14ac:dyDescent="0.35">
      <c r="A46" s="386" t="s">
        <v>540</v>
      </c>
      <c r="B46" s="144"/>
      <c r="C46" s="82"/>
      <c r="D46" s="69"/>
      <c r="E46" s="145"/>
      <c r="F46" s="145"/>
      <c r="G46" s="145"/>
      <c r="H46" s="145"/>
      <c r="I46" s="145"/>
      <c r="J46" s="145"/>
      <c r="K46" s="145"/>
      <c r="L46" s="145"/>
      <c r="M46" s="145"/>
      <c r="N46" s="135"/>
    </row>
    <row r="47" spans="1:14" s="134" customFormat="1" ht="50" customHeight="1" x14ac:dyDescent="0.35">
      <c r="A47" s="299" t="s">
        <v>11</v>
      </c>
      <c r="B47" s="158" t="s">
        <v>12</v>
      </c>
      <c r="C47" s="158" t="s">
        <v>0</v>
      </c>
      <c r="D47" s="158" t="s">
        <v>132</v>
      </c>
      <c r="E47" s="422" t="s">
        <v>125</v>
      </c>
      <c r="F47" s="423" t="s">
        <v>607</v>
      </c>
      <c r="G47" s="424" t="s">
        <v>531</v>
      </c>
      <c r="H47" s="422" t="s">
        <v>495</v>
      </c>
      <c r="I47" s="422" t="s">
        <v>496</v>
      </c>
      <c r="J47" s="422" t="s">
        <v>134</v>
      </c>
      <c r="K47" s="422" t="s">
        <v>497</v>
      </c>
      <c r="L47" s="422" t="s">
        <v>133</v>
      </c>
      <c r="M47" s="425" t="s">
        <v>532</v>
      </c>
      <c r="N47" s="135"/>
    </row>
    <row r="48" spans="1:14" s="134" customFormat="1" ht="30" customHeight="1" x14ac:dyDescent="0.35">
      <c r="A48" s="93" t="s">
        <v>2</v>
      </c>
      <c r="B48" s="86" t="s">
        <v>19</v>
      </c>
      <c r="C48" s="85" t="s">
        <v>20</v>
      </c>
      <c r="D48" s="93">
        <v>167</v>
      </c>
      <c r="E48" s="121">
        <v>8470489</v>
      </c>
      <c r="F48" s="121">
        <v>8470489</v>
      </c>
      <c r="G48" s="413" t="s">
        <v>529</v>
      </c>
      <c r="H48" s="392">
        <v>0</v>
      </c>
      <c r="I48" s="121">
        <v>139451</v>
      </c>
      <c r="J48" s="121">
        <v>74222</v>
      </c>
      <c r="K48" s="121">
        <v>65229</v>
      </c>
      <c r="L48" s="121">
        <v>-65229</v>
      </c>
      <c r="M48" s="420" t="s">
        <v>529</v>
      </c>
      <c r="N48" s="135"/>
    </row>
    <row r="49" spans="1:14" s="134" customFormat="1" ht="15.5" x14ac:dyDescent="0.35">
      <c r="A49" s="93" t="s">
        <v>2</v>
      </c>
      <c r="B49" s="86" t="s">
        <v>135</v>
      </c>
      <c r="C49" s="85" t="s">
        <v>136</v>
      </c>
      <c r="D49" s="93">
        <v>187</v>
      </c>
      <c r="E49" s="121">
        <v>6781918</v>
      </c>
      <c r="F49" s="392">
        <v>0</v>
      </c>
      <c r="G49" s="413" t="s">
        <v>529</v>
      </c>
      <c r="H49" s="121">
        <v>6781918</v>
      </c>
      <c r="I49" s="392">
        <v>0</v>
      </c>
      <c r="J49" s="392">
        <v>0</v>
      </c>
      <c r="K49" s="392">
        <v>0</v>
      </c>
      <c r="L49" s="121">
        <v>6781918</v>
      </c>
      <c r="M49" s="420" t="s">
        <v>529</v>
      </c>
      <c r="N49" s="135"/>
    </row>
    <row r="50" spans="1:14" s="134" customFormat="1" ht="15" customHeight="1" x14ac:dyDescent="0.35">
      <c r="A50" s="137" t="s">
        <v>138</v>
      </c>
      <c r="B50" s="429" t="s">
        <v>529</v>
      </c>
      <c r="C50" s="430" t="s">
        <v>529</v>
      </c>
      <c r="D50" s="409" t="s">
        <v>529</v>
      </c>
      <c r="E50" s="138">
        <f>SUBTOTAL(109,local201516[Program
Costs])</f>
        <v>15252407</v>
      </c>
      <c r="F50" s="138">
        <f>SUBTOTAL(109,local201516[Less: Net Payments and Offsets 7])</f>
        <v>8470489</v>
      </c>
      <c r="G50" s="414" t="s">
        <v>552</v>
      </c>
      <c r="H50" s="138">
        <f>SUBTOTAL(109,local201516[Accounts Payable
Balance])</f>
        <v>6781918</v>
      </c>
      <c r="I50" s="138">
        <f>SUBTOTAL(109,local201516[Established
Accounts Receivable])</f>
        <v>139451</v>
      </c>
      <c r="J50" s="138">
        <f>SUBTOTAL(109,local201516[Less: Recovered Amount])</f>
        <v>74222</v>
      </c>
      <c r="K50" s="138">
        <f>SUBTOTAL(109,local201516[Accounts Receivable
Balance])</f>
        <v>65229</v>
      </c>
      <c r="L50" s="138">
        <f>SUBTOTAL(109,local201516[Net
Balance])</f>
        <v>6716689</v>
      </c>
      <c r="M50" s="414" t="s">
        <v>552</v>
      </c>
      <c r="N50" s="135"/>
    </row>
    <row r="51" spans="1:14" s="134" customFormat="1" ht="15" customHeight="1" x14ac:dyDescent="0.35">
      <c r="A51" s="386" t="s">
        <v>540</v>
      </c>
      <c r="B51" s="139"/>
      <c r="C51" s="139"/>
      <c r="D51" s="139"/>
      <c r="E51" s="140"/>
      <c r="F51" s="140"/>
      <c r="G51" s="140"/>
      <c r="H51" s="140"/>
      <c r="I51" s="140"/>
      <c r="J51" s="140"/>
      <c r="K51" s="140"/>
      <c r="L51" s="140"/>
      <c r="M51" s="136"/>
      <c r="N51" s="135"/>
    </row>
    <row r="52" spans="1:14" s="134" customFormat="1" ht="50" customHeight="1" x14ac:dyDescent="0.35">
      <c r="A52" s="299" t="s">
        <v>11</v>
      </c>
      <c r="B52" s="158" t="s">
        <v>12</v>
      </c>
      <c r="C52" s="158" t="s">
        <v>0</v>
      </c>
      <c r="D52" s="158" t="s">
        <v>132</v>
      </c>
      <c r="E52" s="422" t="s">
        <v>125</v>
      </c>
      <c r="F52" s="423" t="s">
        <v>607</v>
      </c>
      <c r="G52" s="424" t="s">
        <v>531</v>
      </c>
      <c r="H52" s="422" t="s">
        <v>495</v>
      </c>
      <c r="I52" s="422" t="s">
        <v>496</v>
      </c>
      <c r="J52" s="422" t="s">
        <v>134</v>
      </c>
      <c r="K52" s="422" t="s">
        <v>497</v>
      </c>
      <c r="L52" s="422" t="s">
        <v>133</v>
      </c>
      <c r="M52" s="425" t="s">
        <v>532</v>
      </c>
      <c r="N52" s="135"/>
    </row>
    <row r="53" spans="1:14" s="134" customFormat="1" ht="15.5" x14ac:dyDescent="0.35">
      <c r="A53" s="93" t="s">
        <v>5</v>
      </c>
      <c r="B53" s="86" t="s">
        <v>57</v>
      </c>
      <c r="C53" s="85" t="s">
        <v>58</v>
      </c>
      <c r="D53" s="93">
        <v>246</v>
      </c>
      <c r="E53" s="121">
        <v>2137511</v>
      </c>
      <c r="F53" s="121">
        <v>2137511</v>
      </c>
      <c r="G53" s="415" t="s">
        <v>529</v>
      </c>
      <c r="H53" s="392">
        <v>0</v>
      </c>
      <c r="I53" s="121">
        <v>273359</v>
      </c>
      <c r="J53" s="121">
        <v>271123</v>
      </c>
      <c r="K53" s="121">
        <v>2236</v>
      </c>
      <c r="L53" s="121">
        <v>-2236</v>
      </c>
      <c r="M53" s="421" t="s">
        <v>529</v>
      </c>
      <c r="N53" s="135"/>
    </row>
    <row r="54" spans="1:14" s="134" customFormat="1" ht="30" customHeight="1" x14ac:dyDescent="0.35">
      <c r="A54" s="93" t="s">
        <v>5</v>
      </c>
      <c r="B54" s="86" t="s">
        <v>19</v>
      </c>
      <c r="C54" s="85" t="s">
        <v>20</v>
      </c>
      <c r="D54" s="93">
        <v>167</v>
      </c>
      <c r="E54" s="121">
        <v>8113954</v>
      </c>
      <c r="F54" s="121">
        <v>8113954</v>
      </c>
      <c r="G54" s="415" t="s">
        <v>529</v>
      </c>
      <c r="H54" s="392">
        <v>0</v>
      </c>
      <c r="I54" s="121">
        <v>151955</v>
      </c>
      <c r="J54" s="121">
        <v>93325</v>
      </c>
      <c r="K54" s="121">
        <v>58630</v>
      </c>
      <c r="L54" s="121">
        <v>-58630</v>
      </c>
      <c r="M54" s="421" t="s">
        <v>529</v>
      </c>
      <c r="N54" s="135"/>
    </row>
    <row r="55" spans="1:14" s="134" customFormat="1" ht="15.5" x14ac:dyDescent="0.35">
      <c r="A55" s="93" t="s">
        <v>5</v>
      </c>
      <c r="B55" s="86" t="s">
        <v>135</v>
      </c>
      <c r="C55" s="85" t="s">
        <v>136</v>
      </c>
      <c r="D55" s="93">
        <v>187</v>
      </c>
      <c r="E55" s="121">
        <v>6118565</v>
      </c>
      <c r="F55" s="392">
        <v>0</v>
      </c>
      <c r="G55" s="415" t="s">
        <v>529</v>
      </c>
      <c r="H55" s="121">
        <v>6118565</v>
      </c>
      <c r="I55" s="392">
        <v>0</v>
      </c>
      <c r="J55" s="392">
        <v>0</v>
      </c>
      <c r="K55" s="392">
        <v>0</v>
      </c>
      <c r="L55" s="121">
        <v>6118565</v>
      </c>
      <c r="M55" s="421" t="s">
        <v>529</v>
      </c>
      <c r="N55" s="135"/>
    </row>
    <row r="56" spans="1:14" s="134" customFormat="1" ht="15" customHeight="1" x14ac:dyDescent="0.35">
      <c r="A56" s="137" t="s">
        <v>139</v>
      </c>
      <c r="B56" s="429" t="s">
        <v>529</v>
      </c>
      <c r="C56" s="430" t="s">
        <v>529</v>
      </c>
      <c r="D56" s="409" t="s">
        <v>529</v>
      </c>
      <c r="E56" s="138">
        <f>SUBTOTAL(109,local201415[Program
Costs])</f>
        <v>16370030</v>
      </c>
      <c r="F56" s="138">
        <f>SUBTOTAL(109,local201415[Less: Net Payments and Offsets 7])</f>
        <v>10251465</v>
      </c>
      <c r="G56" s="412" t="s">
        <v>552</v>
      </c>
      <c r="H56" s="138">
        <f>SUBTOTAL(109,local201415[Accounts Payable
Balance])</f>
        <v>6118565</v>
      </c>
      <c r="I56" s="138">
        <f>SUBTOTAL(109,local201415[Established
Accounts Receivable])</f>
        <v>425314</v>
      </c>
      <c r="J56" s="138">
        <f>SUBTOTAL(109,local201415[Less: Recovered Amount])</f>
        <v>364448</v>
      </c>
      <c r="K56" s="138">
        <f>SUBTOTAL(109,local201415[Accounts Receivable
Balance])</f>
        <v>60866</v>
      </c>
      <c r="L56" s="138">
        <f>SUBTOTAL(109,local201415[Net
Balance])</f>
        <v>6057699</v>
      </c>
      <c r="M56" s="412" t="s">
        <v>552</v>
      </c>
      <c r="N56" s="135"/>
    </row>
    <row r="57" spans="1:14" s="134" customFormat="1" ht="15" customHeight="1" x14ac:dyDescent="0.35">
      <c r="A57" s="386" t="s">
        <v>540</v>
      </c>
      <c r="B57" s="139"/>
      <c r="C57" s="139"/>
      <c r="D57" s="139"/>
      <c r="E57" s="140"/>
      <c r="F57" s="140"/>
      <c r="G57" s="140"/>
      <c r="H57" s="140"/>
      <c r="I57" s="140"/>
      <c r="J57" s="140"/>
      <c r="K57" s="140"/>
      <c r="L57" s="140"/>
      <c r="M57" s="136"/>
      <c r="N57" s="135"/>
    </row>
    <row r="58" spans="1:14" s="134" customFormat="1" ht="50" customHeight="1" x14ac:dyDescent="0.35">
      <c r="A58" s="299" t="s">
        <v>11</v>
      </c>
      <c r="B58" s="158" t="s">
        <v>12</v>
      </c>
      <c r="C58" s="158" t="s">
        <v>0</v>
      </c>
      <c r="D58" s="158" t="s">
        <v>132</v>
      </c>
      <c r="E58" s="422" t="s">
        <v>125</v>
      </c>
      <c r="F58" s="423" t="s">
        <v>607</v>
      </c>
      <c r="G58" s="424" t="s">
        <v>531</v>
      </c>
      <c r="H58" s="422" t="s">
        <v>495</v>
      </c>
      <c r="I58" s="422" t="s">
        <v>496</v>
      </c>
      <c r="J58" s="422" t="s">
        <v>134</v>
      </c>
      <c r="K58" s="422" t="s">
        <v>497</v>
      </c>
      <c r="L58" s="422" t="s">
        <v>133</v>
      </c>
      <c r="M58" s="425" t="s">
        <v>532</v>
      </c>
      <c r="N58" s="135"/>
    </row>
    <row r="59" spans="1:14" s="134" customFormat="1" ht="30.5" customHeight="1" x14ac:dyDescent="0.35">
      <c r="A59" s="93" t="s">
        <v>140</v>
      </c>
      <c r="B59" s="86" t="s">
        <v>19</v>
      </c>
      <c r="C59" s="85" t="s">
        <v>20</v>
      </c>
      <c r="D59" s="93">
        <v>167</v>
      </c>
      <c r="E59" s="121">
        <v>7825991</v>
      </c>
      <c r="F59" s="121">
        <v>7825991</v>
      </c>
      <c r="G59" s="413" t="s">
        <v>529</v>
      </c>
      <c r="H59" s="392">
        <v>0</v>
      </c>
      <c r="I59" s="121">
        <v>132637</v>
      </c>
      <c r="J59" s="121">
        <v>47673</v>
      </c>
      <c r="K59" s="121">
        <v>84964</v>
      </c>
      <c r="L59" s="121">
        <v>-84964</v>
      </c>
      <c r="M59" s="420" t="s">
        <v>529</v>
      </c>
      <c r="N59" s="135"/>
    </row>
    <row r="60" spans="1:14" s="134" customFormat="1" ht="15" customHeight="1" x14ac:dyDescent="0.35">
      <c r="A60" s="93" t="s">
        <v>140</v>
      </c>
      <c r="B60" s="86" t="s">
        <v>135</v>
      </c>
      <c r="C60" s="85" t="s">
        <v>136</v>
      </c>
      <c r="D60" s="93">
        <v>187</v>
      </c>
      <c r="E60" s="121">
        <v>6014556</v>
      </c>
      <c r="F60" s="392">
        <v>0</v>
      </c>
      <c r="G60" s="413" t="s">
        <v>529</v>
      </c>
      <c r="H60" s="121">
        <v>6014556</v>
      </c>
      <c r="I60" s="392">
        <v>0</v>
      </c>
      <c r="J60" s="392">
        <v>0</v>
      </c>
      <c r="K60" s="392">
        <v>0</v>
      </c>
      <c r="L60" s="121">
        <v>6014556</v>
      </c>
      <c r="M60" s="420" t="s">
        <v>529</v>
      </c>
      <c r="N60" s="135"/>
    </row>
    <row r="61" spans="1:14" s="134" customFormat="1" ht="15.5" x14ac:dyDescent="0.35">
      <c r="A61" s="137" t="s">
        <v>141</v>
      </c>
      <c r="B61" s="408" t="s">
        <v>529</v>
      </c>
      <c r="C61" s="409" t="s">
        <v>529</v>
      </c>
      <c r="D61" s="409" t="s">
        <v>529</v>
      </c>
      <c r="E61" s="138">
        <f>SUBTOTAL(109,local201314[Program
Costs])</f>
        <v>13840547</v>
      </c>
      <c r="F61" s="138">
        <f>SUBTOTAL(109,local201314[Less: Net Payments and Offsets 7])</f>
        <v>7825991</v>
      </c>
      <c r="G61" s="414" t="s">
        <v>552</v>
      </c>
      <c r="H61" s="138">
        <f>SUBTOTAL(109,local201314[Accounts Payable
Balance])</f>
        <v>6014556</v>
      </c>
      <c r="I61" s="138">
        <f>SUBTOTAL(109,local201314[Established
Accounts Receivable])</f>
        <v>132637</v>
      </c>
      <c r="J61" s="138">
        <f>SUBTOTAL(109,local201314[Less: Recovered Amount])</f>
        <v>47673</v>
      </c>
      <c r="K61" s="138">
        <f>SUBTOTAL(109,local201314[Accounts Receivable
Balance])</f>
        <v>84964</v>
      </c>
      <c r="L61" s="138">
        <f>SUBTOTAL(109,local201314[Net
Balance])</f>
        <v>5929592</v>
      </c>
      <c r="M61" s="414" t="s">
        <v>552</v>
      </c>
      <c r="N61" s="135"/>
    </row>
    <row r="62" spans="1:14" s="134" customFormat="1" ht="15.5" x14ac:dyDescent="0.35">
      <c r="A62" s="386" t="s">
        <v>540</v>
      </c>
      <c r="B62" s="139"/>
      <c r="C62" s="139"/>
      <c r="D62" s="139"/>
      <c r="E62" s="140"/>
      <c r="F62" s="140"/>
      <c r="G62" s="140"/>
      <c r="H62" s="140"/>
      <c r="I62" s="140"/>
      <c r="J62" s="140"/>
      <c r="K62" s="140"/>
      <c r="L62" s="140"/>
      <c r="M62" s="136"/>
      <c r="N62" s="135"/>
    </row>
    <row r="63" spans="1:14" s="134" customFormat="1" ht="50" customHeight="1" x14ac:dyDescent="0.35">
      <c r="A63" s="299" t="s">
        <v>11</v>
      </c>
      <c r="B63" s="158" t="s">
        <v>12</v>
      </c>
      <c r="C63" s="158" t="s">
        <v>0</v>
      </c>
      <c r="D63" s="158" t="s">
        <v>132</v>
      </c>
      <c r="E63" s="422" t="s">
        <v>125</v>
      </c>
      <c r="F63" s="423" t="s">
        <v>607</v>
      </c>
      <c r="G63" s="424" t="s">
        <v>531</v>
      </c>
      <c r="H63" s="422" t="s">
        <v>495</v>
      </c>
      <c r="I63" s="422" t="s">
        <v>496</v>
      </c>
      <c r="J63" s="422" t="s">
        <v>134</v>
      </c>
      <c r="K63" s="422" t="s">
        <v>497</v>
      </c>
      <c r="L63" s="422" t="s">
        <v>133</v>
      </c>
      <c r="M63" s="425" t="s">
        <v>532</v>
      </c>
      <c r="N63" s="135"/>
    </row>
    <row r="64" spans="1:14" s="134" customFormat="1" ht="15" customHeight="1" x14ac:dyDescent="0.35">
      <c r="A64" s="93" t="s">
        <v>3</v>
      </c>
      <c r="B64" s="86" t="s">
        <v>135</v>
      </c>
      <c r="C64" s="85" t="s">
        <v>136</v>
      </c>
      <c r="D64" s="93">
        <v>187</v>
      </c>
      <c r="E64" s="121">
        <v>5461966</v>
      </c>
      <c r="F64" s="392">
        <v>0</v>
      </c>
      <c r="G64" s="413" t="s">
        <v>529</v>
      </c>
      <c r="H64" s="121">
        <v>5461966</v>
      </c>
      <c r="I64" s="392">
        <v>0</v>
      </c>
      <c r="J64" s="392">
        <v>0</v>
      </c>
      <c r="K64" s="392">
        <v>0</v>
      </c>
      <c r="L64" s="121">
        <v>5461966</v>
      </c>
      <c r="M64" s="420" t="s">
        <v>529</v>
      </c>
      <c r="N64" s="135"/>
    </row>
    <row r="65" spans="1:14" s="134" customFormat="1" ht="15" customHeight="1" x14ac:dyDescent="0.35">
      <c r="A65" s="137" t="s">
        <v>142</v>
      </c>
      <c r="B65" s="429" t="s">
        <v>529</v>
      </c>
      <c r="C65" s="430" t="s">
        <v>529</v>
      </c>
      <c r="D65" s="409" t="s">
        <v>529</v>
      </c>
      <c r="E65" s="138">
        <f>SUBTOTAL(109,local201213[Program
Costs])</f>
        <v>5461966</v>
      </c>
      <c r="F65" s="407" t="s">
        <v>582</v>
      </c>
      <c r="G65" s="414" t="s">
        <v>552</v>
      </c>
      <c r="H65" s="138">
        <f>SUBTOTAL(109,local201213[Accounts Payable
Balance])</f>
        <v>5461966</v>
      </c>
      <c r="I65" s="407" t="s">
        <v>582</v>
      </c>
      <c r="J65" s="407" t="s">
        <v>582</v>
      </c>
      <c r="K65" s="407" t="s">
        <v>582</v>
      </c>
      <c r="L65" s="138">
        <f>SUBTOTAL(109,local201213[Net
Balance])</f>
        <v>5461966</v>
      </c>
      <c r="M65" s="414" t="s">
        <v>552</v>
      </c>
      <c r="N65" s="135"/>
    </row>
    <row r="66" spans="1:14" s="134" customFormat="1" ht="15" customHeight="1" x14ac:dyDescent="0.35">
      <c r="A66" s="386" t="s">
        <v>540</v>
      </c>
      <c r="B66" s="404"/>
      <c r="C66" s="135"/>
      <c r="D66" s="405"/>
      <c r="E66" s="406"/>
      <c r="F66" s="406"/>
      <c r="G66" s="406"/>
      <c r="H66" s="406"/>
      <c r="I66" s="406"/>
      <c r="J66" s="406"/>
      <c r="K66" s="406"/>
      <c r="L66" s="406"/>
      <c r="M66" s="406"/>
      <c r="N66" s="135"/>
    </row>
    <row r="67" spans="1:14" s="134" customFormat="1" ht="50" customHeight="1" x14ac:dyDescent="0.35">
      <c r="A67" s="299" t="s">
        <v>11</v>
      </c>
      <c r="B67" s="158" t="s">
        <v>12</v>
      </c>
      <c r="C67" s="158" t="s">
        <v>0</v>
      </c>
      <c r="D67" s="158" t="s">
        <v>132</v>
      </c>
      <c r="E67" s="422" t="s">
        <v>125</v>
      </c>
      <c r="F67" s="423" t="s">
        <v>607</v>
      </c>
      <c r="G67" s="424" t="s">
        <v>531</v>
      </c>
      <c r="H67" s="422" t="s">
        <v>495</v>
      </c>
      <c r="I67" s="422" t="s">
        <v>496</v>
      </c>
      <c r="J67" s="422" t="s">
        <v>134</v>
      </c>
      <c r="K67" s="422" t="s">
        <v>497</v>
      </c>
      <c r="L67" s="422" t="s">
        <v>133</v>
      </c>
      <c r="M67" s="425" t="s">
        <v>532</v>
      </c>
      <c r="N67" s="135"/>
    </row>
    <row r="68" spans="1:14" s="134" customFormat="1" ht="15" customHeight="1" x14ac:dyDescent="0.35">
      <c r="A68" s="93" t="s">
        <v>143</v>
      </c>
      <c r="B68" s="86" t="s">
        <v>144</v>
      </c>
      <c r="C68" s="85" t="s">
        <v>145</v>
      </c>
      <c r="D68" s="93">
        <v>219</v>
      </c>
      <c r="E68" s="121">
        <v>14116774</v>
      </c>
      <c r="F68" s="392">
        <v>0</v>
      </c>
      <c r="G68" s="413" t="s">
        <v>529</v>
      </c>
      <c r="H68" s="121">
        <v>14116774</v>
      </c>
      <c r="I68" s="392">
        <v>0</v>
      </c>
      <c r="J68" s="392">
        <v>0</v>
      </c>
      <c r="K68" s="392">
        <v>0</v>
      </c>
      <c r="L68" s="121">
        <v>14116774</v>
      </c>
      <c r="M68" s="420" t="s">
        <v>529</v>
      </c>
      <c r="N68" s="135"/>
    </row>
    <row r="69" spans="1:14" s="134" customFormat="1" ht="15" customHeight="1" x14ac:dyDescent="0.35">
      <c r="A69" s="93" t="s">
        <v>143</v>
      </c>
      <c r="B69" s="86" t="s">
        <v>135</v>
      </c>
      <c r="C69" s="85" t="s">
        <v>136</v>
      </c>
      <c r="D69" s="93">
        <v>187</v>
      </c>
      <c r="E69" s="121">
        <v>5760946</v>
      </c>
      <c r="F69" s="392">
        <v>0</v>
      </c>
      <c r="G69" s="413" t="s">
        <v>529</v>
      </c>
      <c r="H69" s="121">
        <v>5760946</v>
      </c>
      <c r="I69" s="392">
        <v>0</v>
      </c>
      <c r="J69" s="392">
        <v>0</v>
      </c>
      <c r="K69" s="392">
        <v>0</v>
      </c>
      <c r="L69" s="121">
        <v>5760946</v>
      </c>
      <c r="M69" s="420" t="s">
        <v>529</v>
      </c>
      <c r="N69" s="135"/>
    </row>
    <row r="70" spans="1:14" s="134" customFormat="1" ht="15" customHeight="1" x14ac:dyDescent="0.35">
      <c r="A70" s="137" t="s">
        <v>146</v>
      </c>
      <c r="B70" s="429" t="s">
        <v>529</v>
      </c>
      <c r="C70" s="430" t="s">
        <v>529</v>
      </c>
      <c r="D70" s="409" t="s">
        <v>529</v>
      </c>
      <c r="E70" s="138">
        <f>SUBTOTAL(109,local201112[Program
Costs])</f>
        <v>19877720</v>
      </c>
      <c r="F70" s="407" t="s">
        <v>582</v>
      </c>
      <c r="G70" s="414" t="s">
        <v>552</v>
      </c>
      <c r="H70" s="138">
        <f>SUBTOTAL(109,local201112[Accounts Payable
Balance])</f>
        <v>19877720</v>
      </c>
      <c r="I70" s="407" t="s">
        <v>582</v>
      </c>
      <c r="J70" s="407" t="s">
        <v>582</v>
      </c>
      <c r="K70" s="407" t="s">
        <v>582</v>
      </c>
      <c r="L70" s="138">
        <f>SUBTOTAL(109,local201112[Net
Balance])</f>
        <v>19877720</v>
      </c>
      <c r="M70" s="414" t="s">
        <v>552</v>
      </c>
      <c r="N70" s="135"/>
    </row>
    <row r="71" spans="1:14" s="134" customFormat="1" ht="15" customHeight="1" x14ac:dyDescent="0.35">
      <c r="A71" s="386" t="s">
        <v>540</v>
      </c>
      <c r="B71" s="404"/>
      <c r="C71" s="135"/>
      <c r="D71" s="405"/>
      <c r="E71" s="406"/>
      <c r="F71" s="406"/>
      <c r="G71" s="406"/>
      <c r="H71" s="406"/>
      <c r="I71" s="406"/>
      <c r="J71" s="406"/>
      <c r="K71" s="406"/>
      <c r="L71" s="406"/>
      <c r="M71" s="406"/>
      <c r="N71" s="135"/>
    </row>
    <row r="72" spans="1:14" s="134" customFormat="1" ht="50" customHeight="1" x14ac:dyDescent="0.35">
      <c r="A72" s="299" t="s">
        <v>11</v>
      </c>
      <c r="B72" s="158" t="s">
        <v>12</v>
      </c>
      <c r="C72" s="158" t="s">
        <v>0</v>
      </c>
      <c r="D72" s="158" t="s">
        <v>132</v>
      </c>
      <c r="E72" s="422" t="s">
        <v>125</v>
      </c>
      <c r="F72" s="423" t="s">
        <v>607</v>
      </c>
      <c r="G72" s="424" t="s">
        <v>531</v>
      </c>
      <c r="H72" s="422" t="s">
        <v>495</v>
      </c>
      <c r="I72" s="422" t="s">
        <v>496</v>
      </c>
      <c r="J72" s="422" t="s">
        <v>134</v>
      </c>
      <c r="K72" s="422" t="s">
        <v>497</v>
      </c>
      <c r="L72" s="422" t="s">
        <v>133</v>
      </c>
      <c r="M72" s="425" t="s">
        <v>532</v>
      </c>
      <c r="N72" s="135"/>
    </row>
    <row r="73" spans="1:14" s="134" customFormat="1" ht="15.5" x14ac:dyDescent="0.35">
      <c r="A73" s="93" t="s">
        <v>41</v>
      </c>
      <c r="B73" s="86" t="s">
        <v>147</v>
      </c>
      <c r="C73" s="85" t="s">
        <v>148</v>
      </c>
      <c r="D73" s="93">
        <v>2</v>
      </c>
      <c r="E73" s="121">
        <v>24780791</v>
      </c>
      <c r="F73" s="392">
        <v>0</v>
      </c>
      <c r="G73" s="413" t="s">
        <v>529</v>
      </c>
      <c r="H73" s="121">
        <v>24780791</v>
      </c>
      <c r="I73" s="392">
        <v>0</v>
      </c>
      <c r="J73" s="392">
        <v>0</v>
      </c>
      <c r="K73" s="392">
        <v>0</v>
      </c>
      <c r="L73" s="121">
        <v>24780791</v>
      </c>
      <c r="M73" s="421" t="s">
        <v>529</v>
      </c>
      <c r="N73" s="135"/>
    </row>
    <row r="74" spans="1:14" s="134" customFormat="1" ht="15" customHeight="1" x14ac:dyDescent="0.35">
      <c r="A74" s="93" t="s">
        <v>41</v>
      </c>
      <c r="B74" s="86" t="s">
        <v>149</v>
      </c>
      <c r="C74" s="85" t="s">
        <v>150</v>
      </c>
      <c r="D74" s="93">
        <v>248</v>
      </c>
      <c r="E74" s="121">
        <v>35138</v>
      </c>
      <c r="F74" s="392">
        <v>0</v>
      </c>
      <c r="G74" s="413" t="s">
        <v>529</v>
      </c>
      <c r="H74" s="121">
        <v>35138</v>
      </c>
      <c r="I74" s="392">
        <v>0</v>
      </c>
      <c r="J74" s="392">
        <v>0</v>
      </c>
      <c r="K74" s="392">
        <v>0</v>
      </c>
      <c r="L74" s="121">
        <v>35138</v>
      </c>
      <c r="M74" s="421" t="s">
        <v>529</v>
      </c>
      <c r="N74" s="135"/>
    </row>
    <row r="75" spans="1:14" s="134" customFormat="1" ht="15" customHeight="1" x14ac:dyDescent="0.35">
      <c r="A75" s="93" t="s">
        <v>41</v>
      </c>
      <c r="B75" s="86" t="s">
        <v>151</v>
      </c>
      <c r="C75" s="85" t="s">
        <v>152</v>
      </c>
      <c r="D75" s="93">
        <v>353</v>
      </c>
      <c r="E75" s="121">
        <v>2060812</v>
      </c>
      <c r="F75" s="121">
        <v>2060812</v>
      </c>
      <c r="G75" s="413" t="s">
        <v>529</v>
      </c>
      <c r="H75" s="392">
        <v>0</v>
      </c>
      <c r="I75" s="121">
        <v>11046</v>
      </c>
      <c r="J75" s="392">
        <v>0</v>
      </c>
      <c r="K75" s="121">
        <v>11046</v>
      </c>
      <c r="L75" s="121">
        <v>-11046</v>
      </c>
      <c r="M75" s="421" t="s">
        <v>529</v>
      </c>
      <c r="N75" s="135"/>
    </row>
    <row r="76" spans="1:14" s="134" customFormat="1" ht="15" customHeight="1" x14ac:dyDescent="0.35">
      <c r="A76" s="93" t="s">
        <v>41</v>
      </c>
      <c r="B76" s="86" t="s">
        <v>153</v>
      </c>
      <c r="C76" s="85" t="s">
        <v>154</v>
      </c>
      <c r="D76" s="93">
        <v>289</v>
      </c>
      <c r="E76" s="121">
        <v>15567</v>
      </c>
      <c r="F76" s="392">
        <v>0</v>
      </c>
      <c r="G76" s="413" t="s">
        <v>529</v>
      </c>
      <c r="H76" s="121">
        <v>15567</v>
      </c>
      <c r="I76" s="392">
        <v>0</v>
      </c>
      <c r="J76" s="392">
        <v>0</v>
      </c>
      <c r="K76" s="392">
        <v>0</v>
      </c>
      <c r="L76" s="121">
        <v>15567</v>
      </c>
      <c r="M76" s="421" t="s">
        <v>529</v>
      </c>
      <c r="N76" s="135"/>
    </row>
    <row r="77" spans="1:14" s="134" customFormat="1" ht="15" customHeight="1" x14ac:dyDescent="0.35">
      <c r="A77" s="93" t="s">
        <v>41</v>
      </c>
      <c r="B77" s="86" t="s">
        <v>155</v>
      </c>
      <c r="C77" s="85" t="s">
        <v>156</v>
      </c>
      <c r="D77" s="93">
        <v>41</v>
      </c>
      <c r="E77" s="121">
        <v>1410809</v>
      </c>
      <c r="F77" s="392">
        <v>0</v>
      </c>
      <c r="G77" s="413" t="s">
        <v>529</v>
      </c>
      <c r="H77" s="121">
        <v>1410809</v>
      </c>
      <c r="I77" s="392">
        <v>0</v>
      </c>
      <c r="J77" s="392">
        <v>0</v>
      </c>
      <c r="K77" s="392">
        <v>0</v>
      </c>
      <c r="L77" s="121">
        <v>1410809</v>
      </c>
      <c r="M77" s="421" t="s">
        <v>529</v>
      </c>
      <c r="N77" s="135"/>
    </row>
    <row r="78" spans="1:14" s="134" customFormat="1" ht="15.5" x14ac:dyDescent="0.35">
      <c r="A78" s="93" t="s">
        <v>41</v>
      </c>
      <c r="B78" s="86" t="s">
        <v>144</v>
      </c>
      <c r="C78" s="85" t="s">
        <v>145</v>
      </c>
      <c r="D78" s="93">
        <v>219</v>
      </c>
      <c r="E78" s="121">
        <v>14736282</v>
      </c>
      <c r="F78" s="392">
        <v>0</v>
      </c>
      <c r="G78" s="413" t="s">
        <v>529</v>
      </c>
      <c r="H78" s="121">
        <v>14736282</v>
      </c>
      <c r="I78" s="392">
        <v>0</v>
      </c>
      <c r="J78" s="392">
        <v>0</v>
      </c>
      <c r="K78" s="392">
        <v>0</v>
      </c>
      <c r="L78" s="121">
        <v>14736282</v>
      </c>
      <c r="M78" s="421" t="s">
        <v>529</v>
      </c>
      <c r="N78" s="135"/>
    </row>
    <row r="79" spans="1:14" s="134" customFormat="1" ht="15" customHeight="1" x14ac:dyDescent="0.35">
      <c r="A79" s="93" t="s">
        <v>41</v>
      </c>
      <c r="B79" s="86" t="s">
        <v>135</v>
      </c>
      <c r="C79" s="85" t="s">
        <v>136</v>
      </c>
      <c r="D79" s="93">
        <v>187</v>
      </c>
      <c r="E79" s="121">
        <v>6025129</v>
      </c>
      <c r="F79" s="392">
        <v>0</v>
      </c>
      <c r="G79" s="413" t="s">
        <v>529</v>
      </c>
      <c r="H79" s="121">
        <v>6025129</v>
      </c>
      <c r="I79" s="392">
        <v>0</v>
      </c>
      <c r="J79" s="392">
        <v>0</v>
      </c>
      <c r="K79" s="392">
        <v>0</v>
      </c>
      <c r="L79" s="121">
        <v>6025129</v>
      </c>
      <c r="M79" s="421" t="s">
        <v>529</v>
      </c>
      <c r="N79" s="135"/>
    </row>
    <row r="80" spans="1:14" s="134" customFormat="1" ht="15" customHeight="1" x14ac:dyDescent="0.35">
      <c r="A80" s="93" t="s">
        <v>41</v>
      </c>
      <c r="B80" s="86" t="s">
        <v>157</v>
      </c>
      <c r="C80" s="85" t="s">
        <v>158</v>
      </c>
      <c r="D80" s="93">
        <v>56</v>
      </c>
      <c r="E80" s="121">
        <v>1275498</v>
      </c>
      <c r="F80" s="392">
        <v>0</v>
      </c>
      <c r="G80" s="413" t="s">
        <v>529</v>
      </c>
      <c r="H80" s="121">
        <v>1275498</v>
      </c>
      <c r="I80" s="392">
        <v>0</v>
      </c>
      <c r="J80" s="392">
        <v>0</v>
      </c>
      <c r="K80" s="392">
        <v>0</v>
      </c>
      <c r="L80" s="121">
        <v>1275498</v>
      </c>
      <c r="M80" s="421" t="s">
        <v>529</v>
      </c>
      <c r="N80" s="135"/>
    </row>
    <row r="81" spans="1:14" s="134" customFormat="1" ht="15.5" x14ac:dyDescent="0.35">
      <c r="A81" s="137" t="s">
        <v>159</v>
      </c>
      <c r="B81" s="429" t="s">
        <v>529</v>
      </c>
      <c r="C81" s="430" t="s">
        <v>529</v>
      </c>
      <c r="D81" s="409" t="s">
        <v>529</v>
      </c>
      <c r="E81" s="138">
        <f>SUBTOTAL(109,local201011[Program
Costs])</f>
        <v>50340026</v>
      </c>
      <c r="F81" s="138">
        <f>SUBTOTAL(109,local201011[Less: Net Payments and Offsets 7])</f>
        <v>2060812</v>
      </c>
      <c r="G81" s="414" t="s">
        <v>552</v>
      </c>
      <c r="H81" s="138">
        <f>SUBTOTAL(109,local201011[Accounts Payable
Balance])</f>
        <v>48279214</v>
      </c>
      <c r="I81" s="138">
        <f>SUBTOTAL(109,local201011[Established
Accounts Receivable])</f>
        <v>11046</v>
      </c>
      <c r="J81" s="407" t="s">
        <v>582</v>
      </c>
      <c r="K81" s="138">
        <f>SUBTOTAL(109,local201011[Accounts Receivable
Balance])</f>
        <v>11046</v>
      </c>
      <c r="L81" s="138">
        <f>SUBTOTAL(109,local201011[Net
Balance])</f>
        <v>48268168</v>
      </c>
      <c r="M81" s="412" t="s">
        <v>552</v>
      </c>
      <c r="N81" s="135"/>
    </row>
    <row r="82" spans="1:14" s="134" customFormat="1" ht="15.5" x14ac:dyDescent="0.35">
      <c r="A82" s="386" t="s">
        <v>540</v>
      </c>
      <c r="B82" s="404"/>
      <c r="C82" s="135"/>
      <c r="D82" s="405"/>
      <c r="E82" s="406"/>
      <c r="F82" s="406"/>
      <c r="G82" s="406"/>
      <c r="H82" s="406"/>
      <c r="I82" s="406"/>
      <c r="J82" s="406"/>
      <c r="K82" s="406"/>
      <c r="L82" s="406"/>
      <c r="M82" s="406"/>
      <c r="N82" s="135"/>
    </row>
    <row r="83" spans="1:14" s="134" customFormat="1" ht="50" customHeight="1" x14ac:dyDescent="0.35">
      <c r="A83" s="299" t="s">
        <v>11</v>
      </c>
      <c r="B83" s="158" t="s">
        <v>12</v>
      </c>
      <c r="C83" s="158" t="s">
        <v>0</v>
      </c>
      <c r="D83" s="158" t="s">
        <v>132</v>
      </c>
      <c r="E83" s="422" t="s">
        <v>125</v>
      </c>
      <c r="F83" s="423" t="s">
        <v>607</v>
      </c>
      <c r="G83" s="424" t="s">
        <v>531</v>
      </c>
      <c r="H83" s="422" t="s">
        <v>495</v>
      </c>
      <c r="I83" s="422" t="s">
        <v>496</v>
      </c>
      <c r="J83" s="422" t="s">
        <v>134</v>
      </c>
      <c r="K83" s="422" t="s">
        <v>497</v>
      </c>
      <c r="L83" s="422" t="s">
        <v>133</v>
      </c>
      <c r="M83" s="425" t="s">
        <v>532</v>
      </c>
      <c r="N83" s="135"/>
    </row>
    <row r="84" spans="1:14" s="134" customFormat="1" ht="15" customHeight="1" x14ac:dyDescent="0.35">
      <c r="A84" s="93" t="s">
        <v>44</v>
      </c>
      <c r="B84" s="86" t="s">
        <v>147</v>
      </c>
      <c r="C84" s="85" t="s">
        <v>148</v>
      </c>
      <c r="D84" s="93">
        <v>2</v>
      </c>
      <c r="E84" s="121">
        <v>24710823</v>
      </c>
      <c r="F84" s="392">
        <v>0</v>
      </c>
      <c r="G84" s="413" t="s">
        <v>529</v>
      </c>
      <c r="H84" s="121">
        <v>24710823</v>
      </c>
      <c r="I84" s="392">
        <v>0</v>
      </c>
      <c r="J84" s="392">
        <v>0</v>
      </c>
      <c r="K84" s="392">
        <v>0</v>
      </c>
      <c r="L84" s="121">
        <v>24710823</v>
      </c>
      <c r="M84" s="420" t="s">
        <v>529</v>
      </c>
      <c r="N84" s="135"/>
    </row>
    <row r="85" spans="1:14" s="134" customFormat="1" ht="15" customHeight="1" x14ac:dyDescent="0.35">
      <c r="A85" s="93" t="s">
        <v>44</v>
      </c>
      <c r="B85" s="86" t="s">
        <v>149</v>
      </c>
      <c r="C85" s="85" t="s">
        <v>150</v>
      </c>
      <c r="D85" s="93">
        <v>248</v>
      </c>
      <c r="E85" s="121">
        <v>32562</v>
      </c>
      <c r="F85" s="392">
        <v>0</v>
      </c>
      <c r="G85" s="413" t="s">
        <v>529</v>
      </c>
      <c r="H85" s="121">
        <v>32562</v>
      </c>
      <c r="I85" s="392">
        <v>0</v>
      </c>
      <c r="J85" s="392">
        <v>0</v>
      </c>
      <c r="K85" s="392">
        <v>0</v>
      </c>
      <c r="L85" s="121">
        <v>32562</v>
      </c>
      <c r="M85" s="420" t="s">
        <v>529</v>
      </c>
      <c r="N85" s="135"/>
    </row>
    <row r="86" spans="1:14" s="134" customFormat="1" ht="15" customHeight="1" x14ac:dyDescent="0.35">
      <c r="A86" s="93" t="s">
        <v>44</v>
      </c>
      <c r="B86" s="86" t="s">
        <v>160</v>
      </c>
      <c r="C86" s="85" t="s">
        <v>161</v>
      </c>
      <c r="D86" s="93">
        <v>213</v>
      </c>
      <c r="E86" s="121">
        <v>1542144</v>
      </c>
      <c r="F86" s="392">
        <v>0</v>
      </c>
      <c r="G86" s="413" t="s">
        <v>529</v>
      </c>
      <c r="H86" s="121">
        <v>1542144</v>
      </c>
      <c r="I86" s="392">
        <v>0</v>
      </c>
      <c r="J86" s="392">
        <v>0</v>
      </c>
      <c r="K86" s="392">
        <v>0</v>
      </c>
      <c r="L86" s="121">
        <v>1542144</v>
      </c>
      <c r="M86" s="420" t="s">
        <v>529</v>
      </c>
      <c r="N86" s="135"/>
    </row>
    <row r="87" spans="1:14" s="134" customFormat="1" ht="15.5" x14ac:dyDescent="0.35">
      <c r="A87" s="93" t="s">
        <v>44</v>
      </c>
      <c r="B87" s="86" t="s">
        <v>151</v>
      </c>
      <c r="C87" s="85" t="s">
        <v>152</v>
      </c>
      <c r="D87" s="93">
        <v>353</v>
      </c>
      <c r="E87" s="121">
        <v>1640194</v>
      </c>
      <c r="F87" s="121">
        <v>1640194</v>
      </c>
      <c r="G87" s="413" t="s">
        <v>529</v>
      </c>
      <c r="H87" s="392">
        <v>0</v>
      </c>
      <c r="I87" s="121">
        <v>9444</v>
      </c>
      <c r="J87" s="392">
        <v>0</v>
      </c>
      <c r="K87" s="121">
        <v>9444</v>
      </c>
      <c r="L87" s="121">
        <v>-9444</v>
      </c>
      <c r="M87" s="420" t="s">
        <v>529</v>
      </c>
      <c r="N87" s="135"/>
    </row>
    <row r="88" spans="1:14" s="134" customFormat="1" ht="30" customHeight="1" x14ac:dyDescent="0.35">
      <c r="A88" s="93" t="s">
        <v>44</v>
      </c>
      <c r="B88" s="86" t="s">
        <v>162</v>
      </c>
      <c r="C88" s="85" t="s">
        <v>163</v>
      </c>
      <c r="D88" s="93">
        <v>67</v>
      </c>
      <c r="E88" s="121">
        <v>12927</v>
      </c>
      <c r="F88" s="392">
        <v>0</v>
      </c>
      <c r="G88" s="413" t="s">
        <v>529</v>
      </c>
      <c r="H88" s="121">
        <v>12927</v>
      </c>
      <c r="I88" s="392">
        <v>0</v>
      </c>
      <c r="J88" s="392">
        <v>0</v>
      </c>
      <c r="K88" s="392">
        <v>0</v>
      </c>
      <c r="L88" s="121">
        <v>12927</v>
      </c>
      <c r="M88" s="420" t="s">
        <v>529</v>
      </c>
      <c r="N88" s="135"/>
    </row>
    <row r="89" spans="1:14" s="134" customFormat="1" ht="15" customHeight="1" x14ac:dyDescent="0.35">
      <c r="A89" s="93" t="s">
        <v>44</v>
      </c>
      <c r="B89" s="86" t="s">
        <v>164</v>
      </c>
      <c r="C89" s="85" t="s">
        <v>165</v>
      </c>
      <c r="D89" s="93">
        <v>88</v>
      </c>
      <c r="E89" s="121">
        <v>8996</v>
      </c>
      <c r="F89" s="392">
        <v>0</v>
      </c>
      <c r="G89" s="413" t="s">
        <v>529</v>
      </c>
      <c r="H89" s="121">
        <v>8996</v>
      </c>
      <c r="I89" s="392">
        <v>0</v>
      </c>
      <c r="J89" s="392">
        <v>0</v>
      </c>
      <c r="K89" s="392">
        <v>0</v>
      </c>
      <c r="L89" s="121">
        <v>8996</v>
      </c>
      <c r="M89" s="420" t="s">
        <v>529</v>
      </c>
      <c r="N89" s="135"/>
    </row>
    <row r="90" spans="1:14" s="134" customFormat="1" ht="15" customHeight="1" x14ac:dyDescent="0.35">
      <c r="A90" s="93" t="s">
        <v>44</v>
      </c>
      <c r="B90" s="86" t="s">
        <v>166</v>
      </c>
      <c r="C90" s="85" t="s">
        <v>167</v>
      </c>
      <c r="D90" s="93">
        <v>158</v>
      </c>
      <c r="E90" s="121">
        <v>25577</v>
      </c>
      <c r="F90" s="392">
        <v>0</v>
      </c>
      <c r="G90" s="413" t="s">
        <v>529</v>
      </c>
      <c r="H90" s="121">
        <v>25577</v>
      </c>
      <c r="I90" s="392">
        <v>0</v>
      </c>
      <c r="J90" s="392">
        <v>0</v>
      </c>
      <c r="K90" s="392">
        <v>0</v>
      </c>
      <c r="L90" s="121">
        <v>25577</v>
      </c>
      <c r="M90" s="420" t="s">
        <v>529</v>
      </c>
      <c r="N90" s="135"/>
    </row>
    <row r="91" spans="1:14" s="134" customFormat="1" ht="36" customHeight="1" x14ac:dyDescent="0.35">
      <c r="A91" s="93" t="s">
        <v>44</v>
      </c>
      <c r="B91" s="86" t="s">
        <v>428</v>
      </c>
      <c r="C91" s="85" t="s">
        <v>168</v>
      </c>
      <c r="D91" s="93">
        <v>87</v>
      </c>
      <c r="E91" s="121">
        <v>40390</v>
      </c>
      <c r="F91" s="392">
        <v>0</v>
      </c>
      <c r="G91" s="413" t="s">
        <v>529</v>
      </c>
      <c r="H91" s="121">
        <v>40390</v>
      </c>
      <c r="I91" s="392">
        <v>0</v>
      </c>
      <c r="J91" s="392">
        <v>0</v>
      </c>
      <c r="K91" s="392">
        <v>0</v>
      </c>
      <c r="L91" s="121">
        <v>40390</v>
      </c>
      <c r="M91" s="420" t="s">
        <v>529</v>
      </c>
      <c r="N91" s="135"/>
    </row>
    <row r="92" spans="1:14" s="134" customFormat="1" ht="81.5" customHeight="1" x14ac:dyDescent="0.35">
      <c r="A92" s="93" t="s">
        <v>44</v>
      </c>
      <c r="B92" s="86" t="s">
        <v>42</v>
      </c>
      <c r="C92" s="85" t="s">
        <v>43</v>
      </c>
      <c r="D92" s="93">
        <v>273</v>
      </c>
      <c r="E92" s="121">
        <v>117124576</v>
      </c>
      <c r="F92" s="121">
        <v>117124576</v>
      </c>
      <c r="G92" s="413" t="s">
        <v>529</v>
      </c>
      <c r="H92" s="392">
        <v>0</v>
      </c>
      <c r="I92" s="121">
        <v>2030971</v>
      </c>
      <c r="J92" s="121">
        <v>1898602</v>
      </c>
      <c r="K92" s="121">
        <v>132369</v>
      </c>
      <c r="L92" s="121">
        <v>-132369</v>
      </c>
      <c r="M92" s="420" t="s">
        <v>529</v>
      </c>
      <c r="N92" s="135"/>
    </row>
    <row r="93" spans="1:14" s="134" customFormat="1" ht="15" customHeight="1" x14ac:dyDescent="0.35">
      <c r="A93" s="93" t="s">
        <v>44</v>
      </c>
      <c r="B93" s="86" t="s">
        <v>153</v>
      </c>
      <c r="C93" s="85" t="s">
        <v>154</v>
      </c>
      <c r="D93" s="93">
        <v>289</v>
      </c>
      <c r="E93" s="121">
        <v>20569</v>
      </c>
      <c r="F93" s="392">
        <v>0</v>
      </c>
      <c r="G93" s="413" t="s">
        <v>529</v>
      </c>
      <c r="H93" s="121">
        <v>20569</v>
      </c>
      <c r="I93" s="392">
        <v>0</v>
      </c>
      <c r="J93" s="392">
        <v>0</v>
      </c>
      <c r="K93" s="392">
        <v>0</v>
      </c>
      <c r="L93" s="121">
        <v>20569</v>
      </c>
      <c r="M93" s="420" t="s">
        <v>529</v>
      </c>
      <c r="N93" s="135"/>
    </row>
    <row r="94" spans="1:14" s="134" customFormat="1" ht="33" customHeight="1" x14ac:dyDescent="0.35">
      <c r="A94" s="93" t="s">
        <v>44</v>
      </c>
      <c r="B94" s="86" t="s">
        <v>169</v>
      </c>
      <c r="C94" s="85" t="s">
        <v>170</v>
      </c>
      <c r="D94" s="93">
        <v>300</v>
      </c>
      <c r="E94" s="121">
        <v>7017</v>
      </c>
      <c r="F94" s="392">
        <v>0</v>
      </c>
      <c r="G94" s="413" t="s">
        <v>529</v>
      </c>
      <c r="H94" s="121">
        <v>7017</v>
      </c>
      <c r="I94" s="392">
        <v>0</v>
      </c>
      <c r="J94" s="392">
        <v>0</v>
      </c>
      <c r="K94" s="392">
        <v>0</v>
      </c>
      <c r="L94" s="121">
        <v>7017</v>
      </c>
      <c r="M94" s="420" t="s">
        <v>529</v>
      </c>
      <c r="N94" s="135"/>
    </row>
    <row r="95" spans="1:14" s="134" customFormat="1" ht="15" customHeight="1" x14ac:dyDescent="0.35">
      <c r="A95" s="93" t="s">
        <v>44</v>
      </c>
      <c r="B95" s="86" t="s">
        <v>155</v>
      </c>
      <c r="C95" s="85" t="s">
        <v>156</v>
      </c>
      <c r="D95" s="93">
        <v>41</v>
      </c>
      <c r="E95" s="121">
        <v>5475418</v>
      </c>
      <c r="F95" s="392">
        <v>0</v>
      </c>
      <c r="G95" s="413" t="s">
        <v>529</v>
      </c>
      <c r="H95" s="121">
        <v>5475418</v>
      </c>
      <c r="I95" s="392">
        <v>0</v>
      </c>
      <c r="J95" s="392">
        <v>0</v>
      </c>
      <c r="K95" s="392">
        <v>0</v>
      </c>
      <c r="L95" s="121">
        <v>5475418</v>
      </c>
      <c r="M95" s="420" t="s">
        <v>529</v>
      </c>
      <c r="N95" s="135"/>
    </row>
    <row r="96" spans="1:14" s="134" customFormat="1" ht="32.5" customHeight="1" x14ac:dyDescent="0.35">
      <c r="A96" s="93" t="s">
        <v>44</v>
      </c>
      <c r="B96" s="86" t="s">
        <v>429</v>
      </c>
      <c r="C96" s="85" t="s">
        <v>171</v>
      </c>
      <c r="D96" s="93">
        <v>203</v>
      </c>
      <c r="E96" s="121">
        <v>219819</v>
      </c>
      <c r="F96" s="392">
        <v>0</v>
      </c>
      <c r="G96" s="413" t="s">
        <v>529</v>
      </c>
      <c r="H96" s="121">
        <v>219819</v>
      </c>
      <c r="I96" s="392">
        <v>0</v>
      </c>
      <c r="J96" s="392">
        <v>0</v>
      </c>
      <c r="K96" s="392">
        <v>0</v>
      </c>
      <c r="L96" s="121">
        <v>219819</v>
      </c>
      <c r="M96" s="420" t="s">
        <v>529</v>
      </c>
      <c r="N96" s="135"/>
    </row>
    <row r="97" spans="1:14" s="134" customFormat="1" ht="31" customHeight="1" x14ac:dyDescent="0.35">
      <c r="A97" s="93" t="s">
        <v>44</v>
      </c>
      <c r="B97" s="86" t="s">
        <v>172</v>
      </c>
      <c r="C97" s="85" t="s">
        <v>173</v>
      </c>
      <c r="D97" s="93">
        <v>39</v>
      </c>
      <c r="E97" s="121">
        <v>3011</v>
      </c>
      <c r="F97" s="392">
        <v>0</v>
      </c>
      <c r="G97" s="413" t="s">
        <v>529</v>
      </c>
      <c r="H97" s="121">
        <v>3011</v>
      </c>
      <c r="I97" s="392">
        <v>0</v>
      </c>
      <c r="J97" s="392">
        <v>0</v>
      </c>
      <c r="K97" s="392">
        <v>0</v>
      </c>
      <c r="L97" s="121">
        <v>3011</v>
      </c>
      <c r="M97" s="420" t="s">
        <v>529</v>
      </c>
      <c r="N97" s="135"/>
    </row>
    <row r="98" spans="1:14" s="134" customFormat="1" ht="31" x14ac:dyDescent="0.35">
      <c r="A98" s="93" t="s">
        <v>44</v>
      </c>
      <c r="B98" s="86" t="s">
        <v>174</v>
      </c>
      <c r="C98" s="85" t="s">
        <v>175</v>
      </c>
      <c r="D98" s="93">
        <v>66</v>
      </c>
      <c r="E98" s="121">
        <v>1345</v>
      </c>
      <c r="F98" s="392">
        <v>0</v>
      </c>
      <c r="G98" s="413" t="s">
        <v>529</v>
      </c>
      <c r="H98" s="121">
        <v>1345</v>
      </c>
      <c r="I98" s="392">
        <v>0</v>
      </c>
      <c r="J98" s="392">
        <v>0</v>
      </c>
      <c r="K98" s="392">
        <v>0</v>
      </c>
      <c r="L98" s="121">
        <v>1345</v>
      </c>
      <c r="M98" s="420" t="s">
        <v>529</v>
      </c>
      <c r="N98" s="135"/>
    </row>
    <row r="99" spans="1:14" s="134" customFormat="1" ht="15" customHeight="1" x14ac:dyDescent="0.35">
      <c r="A99" s="93" t="s">
        <v>44</v>
      </c>
      <c r="B99" s="86" t="s">
        <v>176</v>
      </c>
      <c r="C99" s="85" t="s">
        <v>177</v>
      </c>
      <c r="D99" s="93">
        <v>200</v>
      </c>
      <c r="E99" s="121">
        <v>120902</v>
      </c>
      <c r="F99" s="392">
        <v>0</v>
      </c>
      <c r="G99" s="413" t="s">
        <v>529</v>
      </c>
      <c r="H99" s="121">
        <v>120902</v>
      </c>
      <c r="I99" s="392">
        <v>0</v>
      </c>
      <c r="J99" s="392">
        <v>0</v>
      </c>
      <c r="K99" s="392">
        <v>0</v>
      </c>
      <c r="L99" s="121">
        <v>120902</v>
      </c>
      <c r="M99" s="420" t="s">
        <v>529</v>
      </c>
      <c r="N99" s="135"/>
    </row>
    <row r="100" spans="1:14" s="134" customFormat="1" ht="15" customHeight="1" x14ac:dyDescent="0.35">
      <c r="A100" s="93" t="s">
        <v>44</v>
      </c>
      <c r="B100" s="86" t="s">
        <v>144</v>
      </c>
      <c r="C100" s="85" t="s">
        <v>145</v>
      </c>
      <c r="D100" s="93">
        <v>219</v>
      </c>
      <c r="E100" s="121">
        <v>15437268</v>
      </c>
      <c r="F100" s="392">
        <v>0</v>
      </c>
      <c r="G100" s="413" t="s">
        <v>529</v>
      </c>
      <c r="H100" s="121">
        <v>15437268</v>
      </c>
      <c r="I100" s="392">
        <v>0</v>
      </c>
      <c r="J100" s="392">
        <v>0</v>
      </c>
      <c r="K100" s="392">
        <v>0</v>
      </c>
      <c r="L100" s="121">
        <v>15437268</v>
      </c>
      <c r="M100" s="420" t="s">
        <v>529</v>
      </c>
      <c r="N100" s="135"/>
    </row>
    <row r="101" spans="1:14" s="134" customFormat="1" ht="31" x14ac:dyDescent="0.35">
      <c r="A101" s="93" t="s">
        <v>44</v>
      </c>
      <c r="B101" s="86" t="s">
        <v>178</v>
      </c>
      <c r="C101" s="85" t="s">
        <v>179</v>
      </c>
      <c r="D101" s="93">
        <v>122</v>
      </c>
      <c r="E101" s="121">
        <v>1466</v>
      </c>
      <c r="F101" s="392">
        <v>0</v>
      </c>
      <c r="G101" s="413" t="s">
        <v>529</v>
      </c>
      <c r="H101" s="121">
        <v>1466</v>
      </c>
      <c r="I101" s="392">
        <v>0</v>
      </c>
      <c r="J101" s="392">
        <v>0</v>
      </c>
      <c r="K101" s="392">
        <v>0</v>
      </c>
      <c r="L101" s="121">
        <v>1466</v>
      </c>
      <c r="M101" s="420" t="s">
        <v>529</v>
      </c>
      <c r="N101" s="135"/>
    </row>
    <row r="102" spans="1:14" s="134" customFormat="1" ht="15" customHeight="1" x14ac:dyDescent="0.35">
      <c r="A102" s="93" t="s">
        <v>44</v>
      </c>
      <c r="B102" s="86" t="s">
        <v>135</v>
      </c>
      <c r="C102" s="85" t="s">
        <v>136</v>
      </c>
      <c r="D102" s="93">
        <v>187</v>
      </c>
      <c r="E102" s="121">
        <v>6503704</v>
      </c>
      <c r="F102" s="392">
        <v>0</v>
      </c>
      <c r="G102" s="413" t="s">
        <v>529</v>
      </c>
      <c r="H102" s="121">
        <v>6503704</v>
      </c>
      <c r="I102" s="392">
        <v>0</v>
      </c>
      <c r="J102" s="392">
        <v>0</v>
      </c>
      <c r="K102" s="392">
        <v>0</v>
      </c>
      <c r="L102" s="121">
        <v>6503704</v>
      </c>
      <c r="M102" s="420" t="s">
        <v>529</v>
      </c>
      <c r="N102" s="135"/>
    </row>
    <row r="103" spans="1:14" s="134" customFormat="1" ht="15" customHeight="1" x14ac:dyDescent="0.35">
      <c r="A103" s="93" t="s">
        <v>44</v>
      </c>
      <c r="B103" s="86" t="s">
        <v>180</v>
      </c>
      <c r="C103" s="85" t="s">
        <v>181</v>
      </c>
      <c r="D103" s="93">
        <v>124</v>
      </c>
      <c r="E103" s="121">
        <v>47464</v>
      </c>
      <c r="F103" s="392">
        <v>0</v>
      </c>
      <c r="G103" s="413" t="s">
        <v>529</v>
      </c>
      <c r="H103" s="121">
        <v>47464</v>
      </c>
      <c r="I103" s="392">
        <v>0</v>
      </c>
      <c r="J103" s="392">
        <v>0</v>
      </c>
      <c r="K103" s="392">
        <v>0</v>
      </c>
      <c r="L103" s="121">
        <v>47464</v>
      </c>
      <c r="M103" s="420" t="s">
        <v>529</v>
      </c>
      <c r="N103" s="135"/>
    </row>
    <row r="104" spans="1:14" s="134" customFormat="1" ht="15" customHeight="1" x14ac:dyDescent="0.35">
      <c r="A104" s="93" t="s">
        <v>44</v>
      </c>
      <c r="B104" s="86" t="s">
        <v>182</v>
      </c>
      <c r="C104" s="85" t="s">
        <v>183</v>
      </c>
      <c r="D104" s="93">
        <v>83</v>
      </c>
      <c r="E104" s="121">
        <v>1310491</v>
      </c>
      <c r="F104" s="392">
        <v>0</v>
      </c>
      <c r="G104" s="413" t="s">
        <v>529</v>
      </c>
      <c r="H104" s="121">
        <v>1310491</v>
      </c>
      <c r="I104" s="392">
        <v>0</v>
      </c>
      <c r="J104" s="392">
        <v>0</v>
      </c>
      <c r="K104" s="392">
        <v>0</v>
      </c>
      <c r="L104" s="121">
        <v>1310491</v>
      </c>
      <c r="M104" s="420" t="s">
        <v>529</v>
      </c>
      <c r="N104" s="135"/>
    </row>
    <row r="105" spans="1:14" s="134" customFormat="1" ht="15" customHeight="1" x14ac:dyDescent="0.35">
      <c r="A105" s="93" t="s">
        <v>44</v>
      </c>
      <c r="B105" s="86" t="s">
        <v>184</v>
      </c>
      <c r="C105" s="85" t="s">
        <v>185</v>
      </c>
      <c r="D105" s="93">
        <v>215</v>
      </c>
      <c r="E105" s="121">
        <v>2177</v>
      </c>
      <c r="F105" s="392">
        <v>0</v>
      </c>
      <c r="G105" s="413" t="s">
        <v>529</v>
      </c>
      <c r="H105" s="121">
        <v>2177</v>
      </c>
      <c r="I105" s="392">
        <v>0</v>
      </c>
      <c r="J105" s="392">
        <v>0</v>
      </c>
      <c r="K105" s="392">
        <v>0</v>
      </c>
      <c r="L105" s="121">
        <v>2177</v>
      </c>
      <c r="M105" s="420" t="s">
        <v>529</v>
      </c>
      <c r="N105" s="135"/>
    </row>
    <row r="106" spans="1:14" s="134" customFormat="1" ht="15" customHeight="1" x14ac:dyDescent="0.35">
      <c r="A106" s="93" t="s">
        <v>44</v>
      </c>
      <c r="B106" s="86" t="s">
        <v>186</v>
      </c>
      <c r="C106" s="85" t="s">
        <v>187</v>
      </c>
      <c r="D106" s="93">
        <v>279</v>
      </c>
      <c r="E106" s="121">
        <v>7804</v>
      </c>
      <c r="F106" s="392">
        <v>0</v>
      </c>
      <c r="G106" s="413" t="s">
        <v>529</v>
      </c>
      <c r="H106" s="121">
        <v>7804</v>
      </c>
      <c r="I106" s="392">
        <v>0</v>
      </c>
      <c r="J106" s="392">
        <v>0</v>
      </c>
      <c r="K106" s="392">
        <v>0</v>
      </c>
      <c r="L106" s="121">
        <v>7804</v>
      </c>
      <c r="M106" s="420" t="s">
        <v>529</v>
      </c>
      <c r="N106" s="135"/>
    </row>
    <row r="107" spans="1:14" s="134" customFormat="1" ht="15.5" x14ac:dyDescent="0.35">
      <c r="A107" s="93" t="s">
        <v>44</v>
      </c>
      <c r="B107" s="86" t="s">
        <v>188</v>
      </c>
      <c r="C107" s="85" t="s">
        <v>189</v>
      </c>
      <c r="D107" s="93">
        <v>73</v>
      </c>
      <c r="E107" s="121">
        <v>48090</v>
      </c>
      <c r="F107" s="392">
        <v>0</v>
      </c>
      <c r="G107" s="413" t="s">
        <v>529</v>
      </c>
      <c r="H107" s="121">
        <v>48090</v>
      </c>
      <c r="I107" s="392">
        <v>0</v>
      </c>
      <c r="J107" s="392">
        <v>0</v>
      </c>
      <c r="K107" s="392">
        <v>0</v>
      </c>
      <c r="L107" s="121">
        <v>48090</v>
      </c>
      <c r="M107" s="420" t="s">
        <v>529</v>
      </c>
      <c r="N107" s="135"/>
    </row>
    <row r="108" spans="1:14" s="134" customFormat="1" ht="15" customHeight="1" x14ac:dyDescent="0.35">
      <c r="A108" s="93" t="s">
        <v>44</v>
      </c>
      <c r="B108" s="86" t="s">
        <v>190</v>
      </c>
      <c r="C108" s="85" t="s">
        <v>191</v>
      </c>
      <c r="D108" s="93">
        <v>120</v>
      </c>
      <c r="E108" s="121">
        <v>13379</v>
      </c>
      <c r="F108" s="392">
        <v>0</v>
      </c>
      <c r="G108" s="413" t="s">
        <v>529</v>
      </c>
      <c r="H108" s="121">
        <v>13379</v>
      </c>
      <c r="I108" s="392">
        <v>0</v>
      </c>
      <c r="J108" s="392">
        <v>0</v>
      </c>
      <c r="K108" s="392">
        <v>0</v>
      </c>
      <c r="L108" s="121">
        <v>13379</v>
      </c>
      <c r="M108" s="420" t="s">
        <v>529</v>
      </c>
      <c r="N108" s="135"/>
    </row>
    <row r="109" spans="1:14" s="134" customFormat="1" ht="15" customHeight="1" x14ac:dyDescent="0.35">
      <c r="A109" s="93" t="s">
        <v>44</v>
      </c>
      <c r="B109" s="86" t="s">
        <v>157</v>
      </c>
      <c r="C109" s="85" t="s">
        <v>158</v>
      </c>
      <c r="D109" s="93">
        <v>56</v>
      </c>
      <c r="E109" s="121">
        <v>1205598</v>
      </c>
      <c r="F109" s="392">
        <v>0</v>
      </c>
      <c r="G109" s="413" t="s">
        <v>529</v>
      </c>
      <c r="H109" s="121">
        <v>1205598</v>
      </c>
      <c r="I109" s="392">
        <v>0</v>
      </c>
      <c r="J109" s="392">
        <v>0</v>
      </c>
      <c r="K109" s="392">
        <v>0</v>
      </c>
      <c r="L109" s="121">
        <v>1205598</v>
      </c>
      <c r="M109" s="420" t="s">
        <v>529</v>
      </c>
      <c r="N109" s="135"/>
    </row>
    <row r="110" spans="1:14" s="134" customFormat="1" ht="15.5" x14ac:dyDescent="0.35">
      <c r="A110" s="137" t="s">
        <v>192</v>
      </c>
      <c r="B110" s="429" t="s">
        <v>529</v>
      </c>
      <c r="C110" s="430" t="s">
        <v>529</v>
      </c>
      <c r="D110" s="409" t="s">
        <v>529</v>
      </c>
      <c r="E110" s="138">
        <f>SUBTOTAL(109,local200910[Program
Costs])</f>
        <v>175563711</v>
      </c>
      <c r="F110" s="407">
        <f>SUBTOTAL(109,local200910[Less: Net Payments and Offsets 7])</f>
        <v>118764770</v>
      </c>
      <c r="G110" s="439" t="s">
        <v>529</v>
      </c>
      <c r="H110" s="407">
        <f>SUBTOTAL(109,local200910[Accounts Payable
Balance])</f>
        <v>56798941</v>
      </c>
      <c r="I110" s="407">
        <f>SUBTOTAL(109,local200910[Established
Accounts Receivable])</f>
        <v>2040415</v>
      </c>
      <c r="J110" s="407">
        <f>SUBTOTAL(109,local200910[Less: Recovered Amount])</f>
        <v>1898602</v>
      </c>
      <c r="K110" s="407">
        <f>SUBTOTAL(109,local200910[Accounts Receivable
Balance])</f>
        <v>141813</v>
      </c>
      <c r="L110" s="407">
        <f>SUBTOTAL(109,local200910[Net
Balance])</f>
        <v>56657128</v>
      </c>
      <c r="M110" s="439" t="s">
        <v>529</v>
      </c>
      <c r="N110" s="135"/>
    </row>
    <row r="111" spans="1:14" s="134" customFormat="1" ht="15.5" x14ac:dyDescent="0.35">
      <c r="A111" s="386" t="s">
        <v>540</v>
      </c>
      <c r="B111" s="431"/>
      <c r="C111" s="420"/>
      <c r="D111" s="421"/>
      <c r="E111" s="140"/>
      <c r="F111" s="432"/>
      <c r="G111" s="433"/>
      <c r="H111" s="140"/>
      <c r="I111" s="432"/>
      <c r="J111" s="432"/>
      <c r="K111" s="432"/>
      <c r="L111" s="140"/>
      <c r="M111" s="433"/>
      <c r="N111" s="135"/>
    </row>
    <row r="112" spans="1:14" s="134" customFormat="1" ht="50" customHeight="1" x14ac:dyDescent="0.35">
      <c r="A112" s="299" t="s">
        <v>11</v>
      </c>
      <c r="B112" s="158" t="s">
        <v>12</v>
      </c>
      <c r="C112" s="158" t="s">
        <v>0</v>
      </c>
      <c r="D112" s="158" t="s">
        <v>132</v>
      </c>
      <c r="E112" s="422" t="s">
        <v>125</v>
      </c>
      <c r="F112" s="423" t="s">
        <v>607</v>
      </c>
      <c r="G112" s="424" t="s">
        <v>531</v>
      </c>
      <c r="H112" s="422" t="s">
        <v>495</v>
      </c>
      <c r="I112" s="422" t="s">
        <v>496</v>
      </c>
      <c r="J112" s="422" t="s">
        <v>134</v>
      </c>
      <c r="K112" s="422" t="s">
        <v>497</v>
      </c>
      <c r="L112" s="422" t="s">
        <v>133</v>
      </c>
      <c r="M112" s="425" t="s">
        <v>532</v>
      </c>
      <c r="N112" s="135"/>
    </row>
    <row r="113" spans="1:14" s="134" customFormat="1" ht="15.5" x14ac:dyDescent="0.35">
      <c r="A113" s="93" t="s">
        <v>45</v>
      </c>
      <c r="B113" s="86" t="s">
        <v>160</v>
      </c>
      <c r="C113" s="85" t="s">
        <v>161</v>
      </c>
      <c r="D113" s="93">
        <v>213</v>
      </c>
      <c r="E113" s="121">
        <v>19846542</v>
      </c>
      <c r="F113" s="392">
        <v>0</v>
      </c>
      <c r="G113" s="413" t="s">
        <v>529</v>
      </c>
      <c r="H113" s="121">
        <v>19846542</v>
      </c>
      <c r="I113" s="392">
        <v>0</v>
      </c>
      <c r="J113" s="392">
        <v>0</v>
      </c>
      <c r="K113" s="392">
        <v>0</v>
      </c>
      <c r="L113" s="121">
        <v>19846542</v>
      </c>
      <c r="M113" s="421" t="s">
        <v>529</v>
      </c>
      <c r="N113" s="135"/>
    </row>
    <row r="114" spans="1:14" s="134" customFormat="1" ht="15" customHeight="1" x14ac:dyDescent="0.35">
      <c r="A114" s="93" t="s">
        <v>45</v>
      </c>
      <c r="B114" s="86" t="s">
        <v>151</v>
      </c>
      <c r="C114" s="85" t="s">
        <v>152</v>
      </c>
      <c r="D114" s="93">
        <v>353</v>
      </c>
      <c r="E114" s="121">
        <v>1558731</v>
      </c>
      <c r="F114" s="121">
        <v>1558731</v>
      </c>
      <c r="G114" s="413" t="s">
        <v>529</v>
      </c>
      <c r="H114" s="392">
        <v>0</v>
      </c>
      <c r="I114" s="121">
        <v>7837</v>
      </c>
      <c r="J114" s="392">
        <v>0</v>
      </c>
      <c r="K114" s="121">
        <v>7837</v>
      </c>
      <c r="L114" s="121">
        <v>-7837</v>
      </c>
      <c r="M114" s="421" t="s">
        <v>529</v>
      </c>
      <c r="N114" s="135"/>
    </row>
    <row r="115" spans="1:14" s="134" customFormat="1" ht="34.5" customHeight="1" x14ac:dyDescent="0.35">
      <c r="A115" s="93" t="s">
        <v>45</v>
      </c>
      <c r="B115" s="86" t="s">
        <v>162</v>
      </c>
      <c r="C115" s="85" t="s">
        <v>163</v>
      </c>
      <c r="D115" s="93">
        <v>67</v>
      </c>
      <c r="E115" s="121">
        <v>171702</v>
      </c>
      <c r="F115" s="392">
        <v>0</v>
      </c>
      <c r="G115" s="413" t="s">
        <v>529</v>
      </c>
      <c r="H115" s="121">
        <v>171702</v>
      </c>
      <c r="I115" s="392">
        <v>0</v>
      </c>
      <c r="J115" s="392">
        <v>0</v>
      </c>
      <c r="K115" s="392">
        <v>0</v>
      </c>
      <c r="L115" s="121">
        <v>171702</v>
      </c>
      <c r="M115" s="421" t="s">
        <v>529</v>
      </c>
      <c r="N115" s="135"/>
    </row>
    <row r="116" spans="1:14" s="134" customFormat="1" ht="15" customHeight="1" x14ac:dyDescent="0.35">
      <c r="A116" s="93" t="s">
        <v>45</v>
      </c>
      <c r="B116" s="86" t="s">
        <v>164</v>
      </c>
      <c r="C116" s="85" t="s">
        <v>165</v>
      </c>
      <c r="D116" s="93">
        <v>88</v>
      </c>
      <c r="E116" s="121">
        <v>113089</v>
      </c>
      <c r="F116" s="392">
        <v>0</v>
      </c>
      <c r="G116" s="413" t="s">
        <v>529</v>
      </c>
      <c r="H116" s="121">
        <v>113089</v>
      </c>
      <c r="I116" s="392">
        <v>0</v>
      </c>
      <c r="J116" s="392">
        <v>0</v>
      </c>
      <c r="K116" s="392">
        <v>0</v>
      </c>
      <c r="L116" s="121">
        <v>113089</v>
      </c>
      <c r="M116" s="421" t="s">
        <v>529</v>
      </c>
      <c r="N116" s="135"/>
    </row>
    <row r="117" spans="1:14" s="134" customFormat="1" ht="15.5" x14ac:dyDescent="0.35">
      <c r="A117" s="93" t="s">
        <v>45</v>
      </c>
      <c r="B117" s="86" t="s">
        <v>166</v>
      </c>
      <c r="C117" s="85" t="s">
        <v>167</v>
      </c>
      <c r="D117" s="93">
        <v>158</v>
      </c>
      <c r="E117" s="121">
        <v>363356</v>
      </c>
      <c r="F117" s="392">
        <v>0</v>
      </c>
      <c r="G117" s="413" t="s">
        <v>529</v>
      </c>
      <c r="H117" s="121">
        <v>363356</v>
      </c>
      <c r="I117" s="392">
        <v>0</v>
      </c>
      <c r="J117" s="392">
        <v>0</v>
      </c>
      <c r="K117" s="392">
        <v>0</v>
      </c>
      <c r="L117" s="121">
        <v>363356</v>
      </c>
      <c r="M117" s="421" t="s">
        <v>529</v>
      </c>
      <c r="N117" s="135"/>
    </row>
    <row r="118" spans="1:14" s="134" customFormat="1" ht="32" customHeight="1" x14ac:dyDescent="0.35">
      <c r="A118" s="93" t="s">
        <v>45</v>
      </c>
      <c r="B118" s="86" t="s">
        <v>428</v>
      </c>
      <c r="C118" s="85" t="s">
        <v>168</v>
      </c>
      <c r="D118" s="93">
        <v>87</v>
      </c>
      <c r="E118" s="121">
        <v>567312</v>
      </c>
      <c r="F118" s="392">
        <v>0</v>
      </c>
      <c r="G118" s="413" t="s">
        <v>529</v>
      </c>
      <c r="H118" s="121">
        <v>567312</v>
      </c>
      <c r="I118" s="392">
        <v>0</v>
      </c>
      <c r="J118" s="392">
        <v>0</v>
      </c>
      <c r="K118" s="392">
        <v>0</v>
      </c>
      <c r="L118" s="121">
        <v>567312</v>
      </c>
      <c r="M118" s="421" t="s">
        <v>529</v>
      </c>
      <c r="N118" s="135"/>
    </row>
    <row r="119" spans="1:14" s="134" customFormat="1" ht="15" customHeight="1" x14ac:dyDescent="0.35">
      <c r="A119" s="93" t="s">
        <v>45</v>
      </c>
      <c r="B119" s="86" t="s">
        <v>193</v>
      </c>
      <c r="C119" s="85" t="s">
        <v>194</v>
      </c>
      <c r="D119" s="93">
        <v>266</v>
      </c>
      <c r="E119" s="121">
        <v>146180</v>
      </c>
      <c r="F119" s="392">
        <v>0</v>
      </c>
      <c r="G119" s="413" t="s">
        <v>529</v>
      </c>
      <c r="H119" s="121">
        <v>146180</v>
      </c>
      <c r="I119" s="392">
        <v>0</v>
      </c>
      <c r="J119" s="392">
        <v>0</v>
      </c>
      <c r="K119" s="392">
        <v>0</v>
      </c>
      <c r="L119" s="121">
        <v>146180</v>
      </c>
      <c r="M119" s="421" t="s">
        <v>529</v>
      </c>
      <c r="N119" s="135"/>
    </row>
    <row r="120" spans="1:14" s="134" customFormat="1" ht="15" customHeight="1" x14ac:dyDescent="0.35">
      <c r="A120" s="93" t="s">
        <v>45</v>
      </c>
      <c r="B120" s="86" t="s">
        <v>195</v>
      </c>
      <c r="C120" s="85" t="s">
        <v>196</v>
      </c>
      <c r="D120" s="93">
        <v>257</v>
      </c>
      <c r="E120" s="121">
        <v>4297</v>
      </c>
      <c r="F120" s="392">
        <v>0</v>
      </c>
      <c r="G120" s="413" t="s">
        <v>529</v>
      </c>
      <c r="H120" s="121">
        <v>4297</v>
      </c>
      <c r="I120" s="392">
        <v>0</v>
      </c>
      <c r="J120" s="392">
        <v>0</v>
      </c>
      <c r="K120" s="392">
        <v>0</v>
      </c>
      <c r="L120" s="121">
        <v>4297</v>
      </c>
      <c r="M120" s="421" t="s">
        <v>529</v>
      </c>
      <c r="N120" s="135"/>
    </row>
    <row r="121" spans="1:14" s="134" customFormat="1" ht="31.5" customHeight="1" x14ac:dyDescent="0.35">
      <c r="A121" s="93" t="s">
        <v>45</v>
      </c>
      <c r="B121" s="86" t="s">
        <v>197</v>
      </c>
      <c r="C121" s="85" t="s">
        <v>198</v>
      </c>
      <c r="D121" s="93">
        <v>35</v>
      </c>
      <c r="E121" s="121">
        <v>139227</v>
      </c>
      <c r="F121" s="392">
        <v>0</v>
      </c>
      <c r="G121" s="413" t="s">
        <v>529</v>
      </c>
      <c r="H121" s="121">
        <v>139227</v>
      </c>
      <c r="I121" s="392">
        <v>0</v>
      </c>
      <c r="J121" s="392">
        <v>0</v>
      </c>
      <c r="K121" s="392">
        <v>0</v>
      </c>
      <c r="L121" s="121">
        <v>139227</v>
      </c>
      <c r="M121" s="421" t="s">
        <v>529</v>
      </c>
      <c r="N121" s="135"/>
    </row>
    <row r="122" spans="1:14" s="134" customFormat="1" ht="30" customHeight="1" x14ac:dyDescent="0.35">
      <c r="A122" s="93" t="s">
        <v>45</v>
      </c>
      <c r="B122" s="86" t="s">
        <v>429</v>
      </c>
      <c r="C122" s="85" t="s">
        <v>171</v>
      </c>
      <c r="D122" s="93">
        <v>203</v>
      </c>
      <c r="E122" s="121">
        <v>3802424</v>
      </c>
      <c r="F122" s="392">
        <v>0</v>
      </c>
      <c r="G122" s="413" t="s">
        <v>529</v>
      </c>
      <c r="H122" s="121">
        <v>3802424</v>
      </c>
      <c r="I122" s="392">
        <v>0</v>
      </c>
      <c r="J122" s="392">
        <v>0</v>
      </c>
      <c r="K122" s="392">
        <v>0</v>
      </c>
      <c r="L122" s="121">
        <v>3802424</v>
      </c>
      <c r="M122" s="421" t="s">
        <v>529</v>
      </c>
      <c r="N122" s="135"/>
    </row>
    <row r="123" spans="1:14" s="134" customFormat="1" ht="33" customHeight="1" x14ac:dyDescent="0.35">
      <c r="A123" s="93" t="s">
        <v>45</v>
      </c>
      <c r="B123" s="86" t="s">
        <v>172</v>
      </c>
      <c r="C123" s="85" t="s">
        <v>173</v>
      </c>
      <c r="D123" s="93">
        <v>39</v>
      </c>
      <c r="E123" s="121">
        <v>40980</v>
      </c>
      <c r="F123" s="392">
        <v>0</v>
      </c>
      <c r="G123" s="413" t="s">
        <v>529</v>
      </c>
      <c r="H123" s="121">
        <v>40980</v>
      </c>
      <c r="I123" s="392">
        <v>0</v>
      </c>
      <c r="J123" s="392">
        <v>0</v>
      </c>
      <c r="K123" s="392">
        <v>0</v>
      </c>
      <c r="L123" s="121">
        <v>40980</v>
      </c>
      <c r="M123" s="421" t="s">
        <v>529</v>
      </c>
      <c r="N123" s="135"/>
    </row>
    <row r="124" spans="1:14" s="134" customFormat="1" ht="34.5" customHeight="1" x14ac:dyDescent="0.35">
      <c r="A124" s="93" t="s">
        <v>45</v>
      </c>
      <c r="B124" s="86" t="s">
        <v>174</v>
      </c>
      <c r="C124" s="85" t="s">
        <v>175</v>
      </c>
      <c r="D124" s="93">
        <v>66</v>
      </c>
      <c r="E124" s="121">
        <v>17862</v>
      </c>
      <c r="F124" s="392">
        <v>0</v>
      </c>
      <c r="G124" s="413" t="s">
        <v>529</v>
      </c>
      <c r="H124" s="121">
        <v>17862</v>
      </c>
      <c r="I124" s="392">
        <v>0</v>
      </c>
      <c r="J124" s="392">
        <v>0</v>
      </c>
      <c r="K124" s="392">
        <v>0</v>
      </c>
      <c r="L124" s="121">
        <v>17862</v>
      </c>
      <c r="M124" s="421" t="s">
        <v>529</v>
      </c>
      <c r="N124" s="135"/>
    </row>
    <row r="125" spans="1:14" s="134" customFormat="1" ht="15" customHeight="1" x14ac:dyDescent="0.35">
      <c r="A125" s="93" t="s">
        <v>45</v>
      </c>
      <c r="B125" s="86" t="s">
        <v>176</v>
      </c>
      <c r="C125" s="85" t="s">
        <v>177</v>
      </c>
      <c r="D125" s="93">
        <v>200</v>
      </c>
      <c r="E125" s="121">
        <v>2749480</v>
      </c>
      <c r="F125" s="392">
        <v>0</v>
      </c>
      <c r="G125" s="413" t="s">
        <v>529</v>
      </c>
      <c r="H125" s="121">
        <v>2749480</v>
      </c>
      <c r="I125" s="392">
        <v>0</v>
      </c>
      <c r="J125" s="392">
        <v>0</v>
      </c>
      <c r="K125" s="392">
        <v>0</v>
      </c>
      <c r="L125" s="121">
        <v>2749480</v>
      </c>
      <c r="M125" s="421" t="s">
        <v>529</v>
      </c>
      <c r="N125" s="135"/>
    </row>
    <row r="126" spans="1:14" s="134" customFormat="1" ht="15.5" x14ac:dyDescent="0.35">
      <c r="A126" s="93" t="s">
        <v>45</v>
      </c>
      <c r="B126" s="86" t="s">
        <v>144</v>
      </c>
      <c r="C126" s="85" t="s">
        <v>145</v>
      </c>
      <c r="D126" s="93">
        <v>219</v>
      </c>
      <c r="E126" s="121">
        <v>15673543</v>
      </c>
      <c r="F126" s="392">
        <v>0</v>
      </c>
      <c r="G126" s="413" t="s">
        <v>529</v>
      </c>
      <c r="H126" s="121">
        <v>15673543</v>
      </c>
      <c r="I126" s="392">
        <v>0</v>
      </c>
      <c r="J126" s="392">
        <v>0</v>
      </c>
      <c r="K126" s="392">
        <v>0</v>
      </c>
      <c r="L126" s="121">
        <v>15673543</v>
      </c>
      <c r="M126" s="421" t="s">
        <v>529</v>
      </c>
      <c r="N126" s="135"/>
    </row>
    <row r="127" spans="1:14" s="134" customFormat="1" ht="34" customHeight="1" x14ac:dyDescent="0.35">
      <c r="A127" s="93" t="s">
        <v>45</v>
      </c>
      <c r="B127" s="86" t="s">
        <v>178</v>
      </c>
      <c r="C127" s="85" t="s">
        <v>179</v>
      </c>
      <c r="D127" s="93">
        <v>122</v>
      </c>
      <c r="E127" s="121">
        <v>64851</v>
      </c>
      <c r="F127" s="392">
        <v>0</v>
      </c>
      <c r="G127" s="413" t="s">
        <v>529</v>
      </c>
      <c r="H127" s="121">
        <v>64851</v>
      </c>
      <c r="I127" s="392">
        <v>0</v>
      </c>
      <c r="J127" s="392">
        <v>0</v>
      </c>
      <c r="K127" s="392">
        <v>0</v>
      </c>
      <c r="L127" s="121">
        <v>64851</v>
      </c>
      <c r="M127" s="421" t="s">
        <v>529</v>
      </c>
      <c r="N127" s="135"/>
    </row>
    <row r="128" spans="1:14" s="134" customFormat="1" ht="15" customHeight="1" x14ac:dyDescent="0.35">
      <c r="A128" s="93" t="s">
        <v>45</v>
      </c>
      <c r="B128" s="86" t="s">
        <v>135</v>
      </c>
      <c r="C128" s="85" t="s">
        <v>136</v>
      </c>
      <c r="D128" s="93">
        <v>187</v>
      </c>
      <c r="E128" s="121">
        <v>6438488</v>
      </c>
      <c r="F128" s="392">
        <v>0</v>
      </c>
      <c r="G128" s="413" t="s">
        <v>529</v>
      </c>
      <c r="H128" s="121">
        <v>6438488</v>
      </c>
      <c r="I128" s="392">
        <v>0</v>
      </c>
      <c r="J128" s="392">
        <v>0</v>
      </c>
      <c r="K128" s="392">
        <v>0</v>
      </c>
      <c r="L128" s="121">
        <v>6438488</v>
      </c>
      <c r="M128" s="421" t="s">
        <v>529</v>
      </c>
      <c r="N128" s="135"/>
    </row>
    <row r="129" spans="1:14" s="134" customFormat="1" ht="15.5" x14ac:dyDescent="0.35">
      <c r="A129" s="93" t="s">
        <v>45</v>
      </c>
      <c r="B129" s="86" t="s">
        <v>180</v>
      </c>
      <c r="C129" s="85" t="s">
        <v>181</v>
      </c>
      <c r="D129" s="93">
        <v>124</v>
      </c>
      <c r="E129" s="121">
        <v>1009278</v>
      </c>
      <c r="F129" s="392">
        <v>0</v>
      </c>
      <c r="G129" s="413" t="s">
        <v>529</v>
      </c>
      <c r="H129" s="121">
        <v>1009278</v>
      </c>
      <c r="I129" s="392">
        <v>0</v>
      </c>
      <c r="J129" s="392">
        <v>0</v>
      </c>
      <c r="K129" s="392">
        <v>0</v>
      </c>
      <c r="L129" s="121">
        <v>1009278</v>
      </c>
      <c r="M129" s="421" t="s">
        <v>529</v>
      </c>
      <c r="N129" s="135"/>
    </row>
    <row r="130" spans="1:14" s="134" customFormat="1" ht="15" customHeight="1" x14ac:dyDescent="0.35">
      <c r="A130" s="93" t="s">
        <v>45</v>
      </c>
      <c r="B130" s="86" t="s">
        <v>184</v>
      </c>
      <c r="C130" s="85" t="s">
        <v>185</v>
      </c>
      <c r="D130" s="93">
        <v>215</v>
      </c>
      <c r="E130" s="121">
        <v>112982</v>
      </c>
      <c r="F130" s="392">
        <v>0</v>
      </c>
      <c r="G130" s="413" t="s">
        <v>529</v>
      </c>
      <c r="H130" s="121">
        <v>112982</v>
      </c>
      <c r="I130" s="392">
        <v>0</v>
      </c>
      <c r="J130" s="392">
        <v>0</v>
      </c>
      <c r="K130" s="392">
        <v>0</v>
      </c>
      <c r="L130" s="121">
        <v>112982</v>
      </c>
      <c r="M130" s="421" t="s">
        <v>529</v>
      </c>
      <c r="N130" s="135"/>
    </row>
    <row r="131" spans="1:14" s="134" customFormat="1" ht="15" customHeight="1" x14ac:dyDescent="0.35">
      <c r="A131" s="93" t="s">
        <v>45</v>
      </c>
      <c r="B131" s="86" t="s">
        <v>186</v>
      </c>
      <c r="C131" s="85" t="s">
        <v>187</v>
      </c>
      <c r="D131" s="93">
        <v>279</v>
      </c>
      <c r="E131" s="121">
        <v>142458</v>
      </c>
      <c r="F131" s="392">
        <v>0</v>
      </c>
      <c r="G131" s="413" t="s">
        <v>529</v>
      </c>
      <c r="H131" s="121">
        <v>142458</v>
      </c>
      <c r="I131" s="392">
        <v>0</v>
      </c>
      <c r="J131" s="392">
        <v>0</v>
      </c>
      <c r="K131" s="392">
        <v>0</v>
      </c>
      <c r="L131" s="121">
        <v>142458</v>
      </c>
      <c r="M131" s="421" t="s">
        <v>529</v>
      </c>
      <c r="N131" s="135"/>
    </row>
    <row r="132" spans="1:14" s="134" customFormat="1" ht="30" customHeight="1" x14ac:dyDescent="0.35">
      <c r="A132" s="93" t="s">
        <v>45</v>
      </c>
      <c r="B132" s="86" t="s">
        <v>199</v>
      </c>
      <c r="C132" s="85" t="s">
        <v>200</v>
      </c>
      <c r="D132" s="93">
        <v>255</v>
      </c>
      <c r="E132" s="121">
        <v>1122</v>
      </c>
      <c r="F132" s="392">
        <v>0</v>
      </c>
      <c r="G132" s="413" t="s">
        <v>529</v>
      </c>
      <c r="H132" s="121">
        <v>1122</v>
      </c>
      <c r="I132" s="392">
        <v>0</v>
      </c>
      <c r="J132" s="392">
        <v>0</v>
      </c>
      <c r="K132" s="392">
        <v>0</v>
      </c>
      <c r="L132" s="121">
        <v>1122</v>
      </c>
      <c r="M132" s="421" t="s">
        <v>529</v>
      </c>
      <c r="N132" s="135"/>
    </row>
    <row r="133" spans="1:14" s="134" customFormat="1" ht="15" customHeight="1" x14ac:dyDescent="0.35">
      <c r="A133" s="93" t="s">
        <v>45</v>
      </c>
      <c r="B133" s="86" t="s">
        <v>188</v>
      </c>
      <c r="C133" s="85" t="s">
        <v>189</v>
      </c>
      <c r="D133" s="93">
        <v>73</v>
      </c>
      <c r="E133" s="121">
        <v>699803</v>
      </c>
      <c r="F133" s="392">
        <v>0</v>
      </c>
      <c r="G133" s="413" t="s">
        <v>529</v>
      </c>
      <c r="H133" s="121">
        <v>699803</v>
      </c>
      <c r="I133" s="392">
        <v>0</v>
      </c>
      <c r="J133" s="392">
        <v>0</v>
      </c>
      <c r="K133" s="392">
        <v>0</v>
      </c>
      <c r="L133" s="121">
        <v>699803</v>
      </c>
      <c r="M133" s="421" t="s">
        <v>529</v>
      </c>
      <c r="N133" s="135"/>
    </row>
    <row r="134" spans="1:14" s="134" customFormat="1" ht="31" x14ac:dyDescent="0.35">
      <c r="A134" s="93" t="s">
        <v>45</v>
      </c>
      <c r="B134" s="86" t="s">
        <v>201</v>
      </c>
      <c r="C134" s="85" t="s">
        <v>202</v>
      </c>
      <c r="D134" s="93">
        <v>18</v>
      </c>
      <c r="E134" s="121">
        <v>195373</v>
      </c>
      <c r="F134" s="392">
        <v>0</v>
      </c>
      <c r="G134" s="413" t="s">
        <v>529</v>
      </c>
      <c r="H134" s="121">
        <v>195373</v>
      </c>
      <c r="I134" s="392">
        <v>0</v>
      </c>
      <c r="J134" s="392">
        <v>0</v>
      </c>
      <c r="K134" s="392">
        <v>0</v>
      </c>
      <c r="L134" s="121">
        <v>195373</v>
      </c>
      <c r="M134" s="421" t="s">
        <v>529</v>
      </c>
      <c r="N134" s="135"/>
    </row>
    <row r="135" spans="1:14" s="134" customFormat="1" ht="15" customHeight="1" x14ac:dyDescent="0.35">
      <c r="A135" s="93" t="s">
        <v>45</v>
      </c>
      <c r="B135" s="86" t="s">
        <v>190</v>
      </c>
      <c r="C135" s="85" t="s">
        <v>191</v>
      </c>
      <c r="D135" s="93">
        <v>120</v>
      </c>
      <c r="E135" s="121">
        <v>551742</v>
      </c>
      <c r="F135" s="392">
        <v>0</v>
      </c>
      <c r="G135" s="413" t="s">
        <v>529</v>
      </c>
      <c r="H135" s="121">
        <v>551742</v>
      </c>
      <c r="I135" s="392">
        <v>0</v>
      </c>
      <c r="J135" s="392">
        <v>0</v>
      </c>
      <c r="K135" s="392">
        <v>0</v>
      </c>
      <c r="L135" s="121">
        <v>551742</v>
      </c>
      <c r="M135" s="421" t="s">
        <v>529</v>
      </c>
      <c r="N135" s="135"/>
    </row>
    <row r="136" spans="1:14" s="134" customFormat="1" ht="15.5" x14ac:dyDescent="0.35">
      <c r="A136" s="137" t="s">
        <v>203</v>
      </c>
      <c r="B136" s="408" t="s">
        <v>529</v>
      </c>
      <c r="C136" s="409" t="s">
        <v>529</v>
      </c>
      <c r="D136" s="409" t="s">
        <v>529</v>
      </c>
      <c r="E136" s="138">
        <f>SUBTOTAL(109,local200809[Program
Costs])</f>
        <v>54410822</v>
      </c>
      <c r="F136" s="138">
        <f>SUBTOTAL(109,local200809[Less: Net Payments and Offsets 7])</f>
        <v>1558731</v>
      </c>
      <c r="G136" s="414" t="s">
        <v>552</v>
      </c>
      <c r="H136" s="138">
        <f>SUBTOTAL(109,local200809[Accounts Payable
Balance])</f>
        <v>52852091</v>
      </c>
      <c r="I136" s="138">
        <f>SUBTOTAL(109,local200809[Established
Accounts Receivable])</f>
        <v>7837</v>
      </c>
      <c r="J136" s="407" t="s">
        <v>582</v>
      </c>
      <c r="K136" s="138">
        <f>SUBTOTAL(109,local200809[Accounts Receivable
Balance])</f>
        <v>7837</v>
      </c>
      <c r="L136" s="138">
        <f>SUBTOTAL(109,local200809[Net
Balance])</f>
        <v>52844254</v>
      </c>
      <c r="M136" s="412" t="s">
        <v>552</v>
      </c>
      <c r="N136" s="135"/>
    </row>
    <row r="137" spans="1:14" s="134" customFormat="1" ht="15.5" x14ac:dyDescent="0.35">
      <c r="A137" s="386" t="s">
        <v>540</v>
      </c>
      <c r="B137" s="434"/>
      <c r="C137" s="421"/>
      <c r="D137" s="421"/>
      <c r="E137" s="140"/>
      <c r="F137" s="140"/>
      <c r="G137" s="433"/>
      <c r="H137" s="140"/>
      <c r="I137" s="140"/>
      <c r="J137" s="432"/>
      <c r="K137" s="140"/>
      <c r="L137" s="140"/>
      <c r="M137" s="435"/>
      <c r="N137" s="135"/>
    </row>
    <row r="138" spans="1:14" s="134" customFormat="1" ht="50" customHeight="1" x14ac:dyDescent="0.35">
      <c r="A138" s="299" t="s">
        <v>11</v>
      </c>
      <c r="B138" s="158" t="s">
        <v>12</v>
      </c>
      <c r="C138" s="158" t="s">
        <v>0</v>
      </c>
      <c r="D138" s="158" t="s">
        <v>132</v>
      </c>
      <c r="E138" s="422" t="s">
        <v>125</v>
      </c>
      <c r="F138" s="423" t="s">
        <v>607</v>
      </c>
      <c r="G138" s="424" t="s">
        <v>531</v>
      </c>
      <c r="H138" s="422" t="s">
        <v>495</v>
      </c>
      <c r="I138" s="422" t="s">
        <v>496</v>
      </c>
      <c r="J138" s="422" t="s">
        <v>134</v>
      </c>
      <c r="K138" s="422" t="s">
        <v>497</v>
      </c>
      <c r="L138" s="422" t="s">
        <v>133</v>
      </c>
      <c r="M138" s="425" t="s">
        <v>532</v>
      </c>
      <c r="N138" s="135"/>
    </row>
    <row r="139" spans="1:14" s="134" customFormat="1" ht="15.5" x14ac:dyDescent="0.35">
      <c r="A139" s="93" t="s">
        <v>46</v>
      </c>
      <c r="B139" s="86" t="s">
        <v>160</v>
      </c>
      <c r="C139" s="85" t="s">
        <v>161</v>
      </c>
      <c r="D139" s="93">
        <v>213</v>
      </c>
      <c r="E139" s="121">
        <v>18204711</v>
      </c>
      <c r="F139" s="392">
        <v>0</v>
      </c>
      <c r="G139" s="413" t="s">
        <v>529</v>
      </c>
      <c r="H139" s="121">
        <v>18204711</v>
      </c>
      <c r="I139" s="392">
        <v>0</v>
      </c>
      <c r="J139" s="392">
        <v>0</v>
      </c>
      <c r="K139" s="392">
        <v>0</v>
      </c>
      <c r="L139" s="121">
        <v>18204711</v>
      </c>
      <c r="M139" s="420" t="s">
        <v>529</v>
      </c>
      <c r="N139" s="135"/>
    </row>
    <row r="140" spans="1:14" s="134" customFormat="1" ht="15.5" x14ac:dyDescent="0.35">
      <c r="A140" s="93" t="s">
        <v>46</v>
      </c>
      <c r="B140" s="86" t="s">
        <v>151</v>
      </c>
      <c r="C140" s="85" t="s">
        <v>152</v>
      </c>
      <c r="D140" s="93">
        <v>353</v>
      </c>
      <c r="E140" s="121">
        <v>1228961</v>
      </c>
      <c r="F140" s="121">
        <v>1228961</v>
      </c>
      <c r="G140" s="413" t="s">
        <v>529</v>
      </c>
      <c r="H140" s="392">
        <v>0</v>
      </c>
      <c r="I140" s="121">
        <v>6821</v>
      </c>
      <c r="J140" s="392">
        <v>0</v>
      </c>
      <c r="K140" s="121">
        <v>6821</v>
      </c>
      <c r="L140" s="121">
        <v>-6821</v>
      </c>
      <c r="M140" s="420" t="s">
        <v>529</v>
      </c>
      <c r="N140" s="135"/>
    </row>
    <row r="141" spans="1:14" s="134" customFormat="1" ht="32.5" customHeight="1" x14ac:dyDescent="0.35">
      <c r="A141" s="93" t="s">
        <v>46</v>
      </c>
      <c r="B141" s="86" t="s">
        <v>162</v>
      </c>
      <c r="C141" s="85" t="s">
        <v>163</v>
      </c>
      <c r="D141" s="93">
        <v>67</v>
      </c>
      <c r="E141" s="121">
        <v>164218</v>
      </c>
      <c r="F141" s="392">
        <v>0</v>
      </c>
      <c r="G141" s="413" t="s">
        <v>529</v>
      </c>
      <c r="H141" s="121">
        <v>164218</v>
      </c>
      <c r="I141" s="392">
        <v>0</v>
      </c>
      <c r="J141" s="392">
        <v>0</v>
      </c>
      <c r="K141" s="392">
        <v>0</v>
      </c>
      <c r="L141" s="121">
        <v>164218</v>
      </c>
      <c r="M141" s="420" t="s">
        <v>529</v>
      </c>
      <c r="N141" s="135"/>
    </row>
    <row r="142" spans="1:14" s="134" customFormat="1" ht="15" customHeight="1" x14ac:dyDescent="0.35">
      <c r="A142" s="93" t="s">
        <v>46</v>
      </c>
      <c r="B142" s="86" t="s">
        <v>164</v>
      </c>
      <c r="C142" s="85" t="s">
        <v>165</v>
      </c>
      <c r="D142" s="93">
        <v>88</v>
      </c>
      <c r="E142" s="121">
        <v>99582</v>
      </c>
      <c r="F142" s="392">
        <v>0</v>
      </c>
      <c r="G142" s="413" t="s">
        <v>529</v>
      </c>
      <c r="H142" s="121">
        <v>99582</v>
      </c>
      <c r="I142" s="392">
        <v>0</v>
      </c>
      <c r="J142" s="392">
        <v>0</v>
      </c>
      <c r="K142" s="392">
        <v>0</v>
      </c>
      <c r="L142" s="121">
        <v>99582</v>
      </c>
      <c r="M142" s="420" t="s">
        <v>529</v>
      </c>
      <c r="N142" s="135"/>
    </row>
    <row r="143" spans="1:14" s="134" customFormat="1" ht="15" customHeight="1" x14ac:dyDescent="0.35">
      <c r="A143" s="93" t="s">
        <v>46</v>
      </c>
      <c r="B143" s="86" t="s">
        <v>166</v>
      </c>
      <c r="C143" s="85" t="s">
        <v>167</v>
      </c>
      <c r="D143" s="93">
        <v>158</v>
      </c>
      <c r="E143" s="121">
        <v>321041</v>
      </c>
      <c r="F143" s="392">
        <v>0</v>
      </c>
      <c r="G143" s="413" t="s">
        <v>529</v>
      </c>
      <c r="H143" s="121">
        <v>321041</v>
      </c>
      <c r="I143" s="392">
        <v>0</v>
      </c>
      <c r="J143" s="392">
        <v>0</v>
      </c>
      <c r="K143" s="392">
        <v>0</v>
      </c>
      <c r="L143" s="121">
        <v>321041</v>
      </c>
      <c r="M143" s="420" t="s">
        <v>529</v>
      </c>
      <c r="N143" s="135"/>
    </row>
    <row r="144" spans="1:14" s="134" customFormat="1" ht="30" customHeight="1" x14ac:dyDescent="0.35">
      <c r="A144" s="93" t="s">
        <v>46</v>
      </c>
      <c r="B144" s="86" t="s">
        <v>428</v>
      </c>
      <c r="C144" s="85" t="s">
        <v>168</v>
      </c>
      <c r="D144" s="93">
        <v>87</v>
      </c>
      <c r="E144" s="121">
        <v>593232</v>
      </c>
      <c r="F144" s="392">
        <v>0</v>
      </c>
      <c r="G144" s="413" t="s">
        <v>529</v>
      </c>
      <c r="H144" s="121">
        <v>593232</v>
      </c>
      <c r="I144" s="392">
        <v>0</v>
      </c>
      <c r="J144" s="392">
        <v>0</v>
      </c>
      <c r="K144" s="392">
        <v>0</v>
      </c>
      <c r="L144" s="121">
        <v>593232</v>
      </c>
      <c r="M144" s="420" t="s">
        <v>529</v>
      </c>
      <c r="N144" s="135"/>
    </row>
    <row r="145" spans="1:14" s="134" customFormat="1" ht="15" customHeight="1" x14ac:dyDescent="0.35">
      <c r="A145" s="93" t="s">
        <v>46</v>
      </c>
      <c r="B145" s="86" t="s">
        <v>193</v>
      </c>
      <c r="C145" s="85" t="s">
        <v>194</v>
      </c>
      <c r="D145" s="93">
        <v>266</v>
      </c>
      <c r="E145" s="121">
        <v>163634</v>
      </c>
      <c r="F145" s="392">
        <v>0</v>
      </c>
      <c r="G145" s="413" t="s">
        <v>529</v>
      </c>
      <c r="H145" s="121">
        <v>163634</v>
      </c>
      <c r="I145" s="392">
        <v>0</v>
      </c>
      <c r="J145" s="392">
        <v>0</v>
      </c>
      <c r="K145" s="392">
        <v>0</v>
      </c>
      <c r="L145" s="121">
        <v>163634</v>
      </c>
      <c r="M145" s="420" t="s">
        <v>529</v>
      </c>
      <c r="N145" s="135"/>
    </row>
    <row r="146" spans="1:14" s="134" customFormat="1" ht="15" customHeight="1" x14ac:dyDescent="0.35">
      <c r="A146" s="93" t="s">
        <v>46</v>
      </c>
      <c r="B146" s="86" t="s">
        <v>195</v>
      </c>
      <c r="C146" s="85" t="s">
        <v>196</v>
      </c>
      <c r="D146" s="93">
        <v>257</v>
      </c>
      <c r="E146" s="121">
        <v>5788</v>
      </c>
      <c r="F146" s="392">
        <v>0</v>
      </c>
      <c r="G146" s="413" t="s">
        <v>529</v>
      </c>
      <c r="H146" s="121">
        <v>5788</v>
      </c>
      <c r="I146" s="392">
        <v>0</v>
      </c>
      <c r="J146" s="392">
        <v>0</v>
      </c>
      <c r="K146" s="392">
        <v>0</v>
      </c>
      <c r="L146" s="121">
        <v>5788</v>
      </c>
      <c r="M146" s="420" t="s">
        <v>529</v>
      </c>
      <c r="N146" s="135"/>
    </row>
    <row r="147" spans="1:14" s="134" customFormat="1" ht="15" customHeight="1" x14ac:dyDescent="0.35">
      <c r="A147" s="93" t="s">
        <v>46</v>
      </c>
      <c r="B147" s="86" t="s">
        <v>204</v>
      </c>
      <c r="C147" s="85" t="s">
        <v>205</v>
      </c>
      <c r="D147" s="93">
        <v>23</v>
      </c>
      <c r="E147" s="121">
        <v>5861791</v>
      </c>
      <c r="F147" s="392">
        <v>0</v>
      </c>
      <c r="G147" s="413" t="s">
        <v>529</v>
      </c>
      <c r="H147" s="121">
        <v>5861791</v>
      </c>
      <c r="I147" s="392">
        <v>0</v>
      </c>
      <c r="J147" s="392">
        <v>0</v>
      </c>
      <c r="K147" s="392">
        <v>0</v>
      </c>
      <c r="L147" s="121">
        <v>5861791</v>
      </c>
      <c r="M147" s="420" t="s">
        <v>529</v>
      </c>
      <c r="N147" s="135"/>
    </row>
    <row r="148" spans="1:14" s="134" customFormat="1" ht="30" customHeight="1" x14ac:dyDescent="0.35">
      <c r="A148" s="93" t="s">
        <v>46</v>
      </c>
      <c r="B148" s="86" t="s">
        <v>197</v>
      </c>
      <c r="C148" s="85" t="s">
        <v>198</v>
      </c>
      <c r="D148" s="93">
        <v>35</v>
      </c>
      <c r="E148" s="121">
        <v>134655</v>
      </c>
      <c r="F148" s="392">
        <v>0</v>
      </c>
      <c r="G148" s="413" t="s">
        <v>529</v>
      </c>
      <c r="H148" s="121">
        <v>134655</v>
      </c>
      <c r="I148" s="392">
        <v>0</v>
      </c>
      <c r="J148" s="392">
        <v>0</v>
      </c>
      <c r="K148" s="392">
        <v>0</v>
      </c>
      <c r="L148" s="121">
        <v>134655</v>
      </c>
      <c r="M148" s="420" t="s">
        <v>529</v>
      </c>
      <c r="N148" s="135"/>
    </row>
    <row r="149" spans="1:14" s="134" customFormat="1" ht="30" customHeight="1" x14ac:dyDescent="0.35">
      <c r="A149" s="93" t="s">
        <v>46</v>
      </c>
      <c r="B149" s="86" t="s">
        <v>169</v>
      </c>
      <c r="C149" s="85" t="s">
        <v>170</v>
      </c>
      <c r="D149" s="93">
        <v>300</v>
      </c>
      <c r="E149" s="121">
        <v>9133</v>
      </c>
      <c r="F149" s="121">
        <v>5761</v>
      </c>
      <c r="G149" s="413" t="s">
        <v>529</v>
      </c>
      <c r="H149" s="121">
        <v>3372</v>
      </c>
      <c r="I149" s="392">
        <v>0</v>
      </c>
      <c r="J149" s="392">
        <v>0</v>
      </c>
      <c r="K149" s="392">
        <v>0</v>
      </c>
      <c r="L149" s="121">
        <v>3372</v>
      </c>
      <c r="M149" s="420" t="s">
        <v>529</v>
      </c>
      <c r="N149" s="135"/>
    </row>
    <row r="150" spans="1:14" s="134" customFormat="1" ht="30" customHeight="1" x14ac:dyDescent="0.35">
      <c r="A150" s="93" t="s">
        <v>46</v>
      </c>
      <c r="B150" s="86" t="s">
        <v>429</v>
      </c>
      <c r="C150" s="85" t="s">
        <v>171</v>
      </c>
      <c r="D150" s="93">
        <v>203</v>
      </c>
      <c r="E150" s="121">
        <v>3146513</v>
      </c>
      <c r="F150" s="392">
        <v>0</v>
      </c>
      <c r="G150" s="413" t="s">
        <v>529</v>
      </c>
      <c r="H150" s="121">
        <v>3146513</v>
      </c>
      <c r="I150" s="392">
        <v>0</v>
      </c>
      <c r="J150" s="392">
        <v>0</v>
      </c>
      <c r="K150" s="392">
        <v>0</v>
      </c>
      <c r="L150" s="121">
        <v>3146513</v>
      </c>
      <c r="M150" s="420" t="s">
        <v>529</v>
      </c>
      <c r="N150" s="135"/>
    </row>
    <row r="151" spans="1:14" s="134" customFormat="1" ht="32" customHeight="1" x14ac:dyDescent="0.35">
      <c r="A151" s="93" t="s">
        <v>46</v>
      </c>
      <c r="B151" s="86" t="s">
        <v>172</v>
      </c>
      <c r="C151" s="85" t="s">
        <v>173</v>
      </c>
      <c r="D151" s="93">
        <v>39</v>
      </c>
      <c r="E151" s="121">
        <v>295550</v>
      </c>
      <c r="F151" s="392">
        <v>0</v>
      </c>
      <c r="G151" s="413" t="s">
        <v>529</v>
      </c>
      <c r="H151" s="121">
        <v>295550</v>
      </c>
      <c r="I151" s="392">
        <v>0</v>
      </c>
      <c r="J151" s="392">
        <v>0</v>
      </c>
      <c r="K151" s="392">
        <v>0</v>
      </c>
      <c r="L151" s="121">
        <v>295550</v>
      </c>
      <c r="M151" s="420" t="s">
        <v>529</v>
      </c>
      <c r="N151" s="135"/>
    </row>
    <row r="152" spans="1:14" s="134" customFormat="1" ht="29" customHeight="1" x14ac:dyDescent="0.35">
      <c r="A152" s="93" t="s">
        <v>46</v>
      </c>
      <c r="B152" s="86" t="s">
        <v>174</v>
      </c>
      <c r="C152" s="85" t="s">
        <v>175</v>
      </c>
      <c r="D152" s="93">
        <v>66</v>
      </c>
      <c r="E152" s="121">
        <v>16698</v>
      </c>
      <c r="F152" s="392">
        <v>0</v>
      </c>
      <c r="G152" s="413" t="s">
        <v>529</v>
      </c>
      <c r="H152" s="121">
        <v>16698</v>
      </c>
      <c r="I152" s="392">
        <v>0</v>
      </c>
      <c r="J152" s="392">
        <v>0</v>
      </c>
      <c r="K152" s="392">
        <v>0</v>
      </c>
      <c r="L152" s="121">
        <v>16698</v>
      </c>
      <c r="M152" s="420" t="s">
        <v>529</v>
      </c>
      <c r="N152" s="135"/>
    </row>
    <row r="153" spans="1:14" s="134" customFormat="1" ht="15" customHeight="1" x14ac:dyDescent="0.35">
      <c r="A153" s="93" t="s">
        <v>46</v>
      </c>
      <c r="B153" s="86" t="s">
        <v>176</v>
      </c>
      <c r="C153" s="85" t="s">
        <v>177</v>
      </c>
      <c r="D153" s="93">
        <v>200</v>
      </c>
      <c r="E153" s="121">
        <v>2338247</v>
      </c>
      <c r="F153" s="392">
        <v>0</v>
      </c>
      <c r="G153" s="413" t="s">
        <v>529</v>
      </c>
      <c r="H153" s="121">
        <v>2338247</v>
      </c>
      <c r="I153" s="392">
        <v>0</v>
      </c>
      <c r="J153" s="392">
        <v>0</v>
      </c>
      <c r="K153" s="392">
        <v>0</v>
      </c>
      <c r="L153" s="121">
        <v>2338247</v>
      </c>
      <c r="M153" s="420" t="s">
        <v>529</v>
      </c>
      <c r="N153" s="135"/>
    </row>
    <row r="154" spans="1:14" s="134" customFormat="1" ht="15" customHeight="1" x14ac:dyDescent="0.35">
      <c r="A154" s="93" t="s">
        <v>46</v>
      </c>
      <c r="B154" s="86" t="s">
        <v>144</v>
      </c>
      <c r="C154" s="85" t="s">
        <v>145</v>
      </c>
      <c r="D154" s="93">
        <v>219</v>
      </c>
      <c r="E154" s="121">
        <v>15622260</v>
      </c>
      <c r="F154" s="392">
        <v>0</v>
      </c>
      <c r="G154" s="413" t="s">
        <v>529</v>
      </c>
      <c r="H154" s="121">
        <v>15622260</v>
      </c>
      <c r="I154" s="392">
        <v>0</v>
      </c>
      <c r="J154" s="392">
        <v>0</v>
      </c>
      <c r="K154" s="392">
        <v>0</v>
      </c>
      <c r="L154" s="121">
        <v>15622260</v>
      </c>
      <c r="M154" s="420" t="s">
        <v>529</v>
      </c>
      <c r="N154" s="135"/>
    </row>
    <row r="155" spans="1:14" s="134" customFormat="1" ht="33" customHeight="1" x14ac:dyDescent="0.35">
      <c r="A155" s="93" t="s">
        <v>46</v>
      </c>
      <c r="B155" s="86" t="s">
        <v>178</v>
      </c>
      <c r="C155" s="85" t="s">
        <v>179</v>
      </c>
      <c r="D155" s="93">
        <v>122</v>
      </c>
      <c r="E155" s="121">
        <v>277610</v>
      </c>
      <c r="F155" s="392">
        <v>0</v>
      </c>
      <c r="G155" s="413" t="s">
        <v>529</v>
      </c>
      <c r="H155" s="121">
        <v>277610</v>
      </c>
      <c r="I155" s="392">
        <v>0</v>
      </c>
      <c r="J155" s="392">
        <v>0</v>
      </c>
      <c r="K155" s="392">
        <v>0</v>
      </c>
      <c r="L155" s="121">
        <v>277610</v>
      </c>
      <c r="M155" s="420" t="s">
        <v>529</v>
      </c>
      <c r="N155" s="135"/>
    </row>
    <row r="156" spans="1:14" s="134" customFormat="1" ht="15" customHeight="1" x14ac:dyDescent="0.35">
      <c r="A156" s="93" t="s">
        <v>46</v>
      </c>
      <c r="B156" s="86" t="s">
        <v>206</v>
      </c>
      <c r="C156" s="85" t="s">
        <v>207</v>
      </c>
      <c r="D156" s="93">
        <v>118</v>
      </c>
      <c r="E156" s="121">
        <v>4797410</v>
      </c>
      <c r="F156" s="392">
        <v>0</v>
      </c>
      <c r="G156" s="413" t="s">
        <v>529</v>
      </c>
      <c r="H156" s="121">
        <v>4797410</v>
      </c>
      <c r="I156" s="392">
        <v>0</v>
      </c>
      <c r="J156" s="392">
        <v>0</v>
      </c>
      <c r="K156" s="392">
        <v>0</v>
      </c>
      <c r="L156" s="121">
        <v>4797410</v>
      </c>
      <c r="M156" s="420" t="s">
        <v>529</v>
      </c>
      <c r="N156" s="135"/>
    </row>
    <row r="157" spans="1:14" s="134" customFormat="1" ht="15" customHeight="1" x14ac:dyDescent="0.35">
      <c r="A157" s="93" t="s">
        <v>46</v>
      </c>
      <c r="B157" s="86" t="s">
        <v>135</v>
      </c>
      <c r="C157" s="85" t="s">
        <v>136</v>
      </c>
      <c r="D157" s="93">
        <v>187</v>
      </c>
      <c r="E157" s="121">
        <v>9211360</v>
      </c>
      <c r="F157" s="392">
        <v>0</v>
      </c>
      <c r="G157" s="413" t="s">
        <v>529</v>
      </c>
      <c r="H157" s="121">
        <v>9211360</v>
      </c>
      <c r="I157" s="392">
        <v>0</v>
      </c>
      <c r="J157" s="392">
        <v>0</v>
      </c>
      <c r="K157" s="392">
        <v>0</v>
      </c>
      <c r="L157" s="121">
        <v>9211360</v>
      </c>
      <c r="M157" s="420" t="s">
        <v>529</v>
      </c>
      <c r="N157" s="135"/>
    </row>
    <row r="158" spans="1:14" s="134" customFormat="1" ht="15.5" x14ac:dyDescent="0.35">
      <c r="A158" s="93" t="s">
        <v>46</v>
      </c>
      <c r="B158" s="86" t="s">
        <v>180</v>
      </c>
      <c r="C158" s="85" t="s">
        <v>181</v>
      </c>
      <c r="D158" s="93">
        <v>124</v>
      </c>
      <c r="E158" s="121">
        <v>1280819</v>
      </c>
      <c r="F158" s="392">
        <v>0</v>
      </c>
      <c r="G158" s="413" t="s">
        <v>529</v>
      </c>
      <c r="H158" s="121">
        <v>1280819</v>
      </c>
      <c r="I158" s="392">
        <v>0</v>
      </c>
      <c r="J158" s="392">
        <v>0</v>
      </c>
      <c r="K158" s="392">
        <v>0</v>
      </c>
      <c r="L158" s="121">
        <v>1280819</v>
      </c>
      <c r="M158" s="420" t="s">
        <v>529</v>
      </c>
      <c r="N158" s="135"/>
    </row>
    <row r="159" spans="1:14" s="134" customFormat="1" ht="15" customHeight="1" x14ac:dyDescent="0.35">
      <c r="A159" s="93" t="s">
        <v>46</v>
      </c>
      <c r="B159" s="86" t="s">
        <v>184</v>
      </c>
      <c r="C159" s="85" t="s">
        <v>185</v>
      </c>
      <c r="D159" s="93">
        <v>215</v>
      </c>
      <c r="E159" s="121">
        <v>163955</v>
      </c>
      <c r="F159" s="392">
        <v>0</v>
      </c>
      <c r="G159" s="413" t="s">
        <v>529</v>
      </c>
      <c r="H159" s="121">
        <v>163955</v>
      </c>
      <c r="I159" s="392">
        <v>0</v>
      </c>
      <c r="J159" s="392">
        <v>0</v>
      </c>
      <c r="K159" s="392">
        <v>0</v>
      </c>
      <c r="L159" s="121">
        <v>163955</v>
      </c>
      <c r="M159" s="420" t="s">
        <v>529</v>
      </c>
      <c r="N159" s="135"/>
    </row>
    <row r="160" spans="1:14" s="134" customFormat="1" ht="15" customHeight="1" x14ac:dyDescent="0.35">
      <c r="A160" s="93" t="s">
        <v>46</v>
      </c>
      <c r="B160" s="86" t="s">
        <v>186</v>
      </c>
      <c r="C160" s="85" t="s">
        <v>187</v>
      </c>
      <c r="D160" s="93">
        <v>279</v>
      </c>
      <c r="E160" s="121">
        <v>123677</v>
      </c>
      <c r="F160" s="392">
        <v>0</v>
      </c>
      <c r="G160" s="413" t="s">
        <v>529</v>
      </c>
      <c r="H160" s="121">
        <v>123677</v>
      </c>
      <c r="I160" s="392">
        <v>0</v>
      </c>
      <c r="J160" s="392">
        <v>0</v>
      </c>
      <c r="K160" s="392">
        <v>0</v>
      </c>
      <c r="L160" s="121">
        <v>123677</v>
      </c>
      <c r="M160" s="420" t="s">
        <v>529</v>
      </c>
      <c r="N160" s="135"/>
    </row>
    <row r="161" spans="1:14" s="134" customFormat="1" ht="37" customHeight="1" x14ac:dyDescent="0.35">
      <c r="A161" s="93" t="s">
        <v>46</v>
      </c>
      <c r="B161" s="86" t="s">
        <v>199</v>
      </c>
      <c r="C161" s="85" t="s">
        <v>200</v>
      </c>
      <c r="D161" s="93">
        <v>255</v>
      </c>
      <c r="E161" s="121">
        <v>4338</v>
      </c>
      <c r="F161" s="392">
        <v>0</v>
      </c>
      <c r="G161" s="413" t="s">
        <v>529</v>
      </c>
      <c r="H161" s="121">
        <v>4338</v>
      </c>
      <c r="I161" s="392">
        <v>0</v>
      </c>
      <c r="J161" s="392">
        <v>0</v>
      </c>
      <c r="K161" s="392">
        <v>0</v>
      </c>
      <c r="L161" s="121">
        <v>4338</v>
      </c>
      <c r="M161" s="420" t="s">
        <v>529</v>
      </c>
      <c r="N161" s="135"/>
    </row>
    <row r="162" spans="1:14" s="134" customFormat="1" ht="15" customHeight="1" x14ac:dyDescent="0.35">
      <c r="A162" s="93" t="s">
        <v>46</v>
      </c>
      <c r="B162" s="86" t="s">
        <v>188</v>
      </c>
      <c r="C162" s="85" t="s">
        <v>189</v>
      </c>
      <c r="D162" s="93">
        <v>73</v>
      </c>
      <c r="E162" s="121">
        <v>834422</v>
      </c>
      <c r="F162" s="392">
        <v>0</v>
      </c>
      <c r="G162" s="413" t="s">
        <v>529</v>
      </c>
      <c r="H162" s="121">
        <v>834422</v>
      </c>
      <c r="I162" s="392">
        <v>0</v>
      </c>
      <c r="J162" s="392">
        <v>0</v>
      </c>
      <c r="K162" s="392">
        <v>0</v>
      </c>
      <c r="L162" s="121">
        <v>834422</v>
      </c>
      <c r="M162" s="420" t="s">
        <v>529</v>
      </c>
      <c r="N162" s="135"/>
    </row>
    <row r="163" spans="1:14" s="134" customFormat="1" ht="15" customHeight="1" x14ac:dyDescent="0.35">
      <c r="A163" s="93" t="s">
        <v>46</v>
      </c>
      <c r="B163" s="86" t="s">
        <v>201</v>
      </c>
      <c r="C163" s="85" t="s">
        <v>202</v>
      </c>
      <c r="D163" s="93">
        <v>18</v>
      </c>
      <c r="E163" s="121">
        <v>284904</v>
      </c>
      <c r="F163" s="392">
        <v>0</v>
      </c>
      <c r="G163" s="413" t="s">
        <v>529</v>
      </c>
      <c r="H163" s="121">
        <v>284904</v>
      </c>
      <c r="I163" s="392">
        <v>0</v>
      </c>
      <c r="J163" s="392">
        <v>0</v>
      </c>
      <c r="K163" s="392">
        <v>0</v>
      </c>
      <c r="L163" s="121">
        <v>284904</v>
      </c>
      <c r="M163" s="420" t="s">
        <v>529</v>
      </c>
      <c r="N163" s="135"/>
    </row>
    <row r="164" spans="1:14" s="134" customFormat="1" ht="15" customHeight="1" x14ac:dyDescent="0.35">
      <c r="A164" s="93" t="s">
        <v>46</v>
      </c>
      <c r="B164" s="86" t="s">
        <v>190</v>
      </c>
      <c r="C164" s="85" t="s">
        <v>191</v>
      </c>
      <c r="D164" s="93">
        <v>120</v>
      </c>
      <c r="E164" s="121">
        <v>551719</v>
      </c>
      <c r="F164" s="392">
        <v>0</v>
      </c>
      <c r="G164" s="413" t="s">
        <v>529</v>
      </c>
      <c r="H164" s="121">
        <v>551719</v>
      </c>
      <c r="I164" s="392">
        <v>0</v>
      </c>
      <c r="J164" s="392">
        <v>0</v>
      </c>
      <c r="K164" s="392">
        <v>0</v>
      </c>
      <c r="L164" s="121">
        <v>551719</v>
      </c>
      <c r="M164" s="420" t="s">
        <v>529</v>
      </c>
      <c r="N164" s="135"/>
    </row>
    <row r="165" spans="1:14" s="134" customFormat="1" ht="15" customHeight="1" x14ac:dyDescent="0.35">
      <c r="A165" s="137" t="s">
        <v>208</v>
      </c>
      <c r="B165" s="429" t="s">
        <v>529</v>
      </c>
      <c r="C165" s="430" t="s">
        <v>529</v>
      </c>
      <c r="D165" s="409" t="s">
        <v>529</v>
      </c>
      <c r="E165" s="138">
        <f>SUBTOTAL(109,local200708[Program
Costs])</f>
        <v>65736228</v>
      </c>
      <c r="F165" s="138">
        <f>SUBTOTAL(109,local200708[Less: Net Payments and Offsets 7])</f>
        <v>1234722</v>
      </c>
      <c r="G165" s="414" t="s">
        <v>552</v>
      </c>
      <c r="H165" s="138">
        <f>SUBTOTAL(109,local200708[Accounts Payable
Balance])</f>
        <v>64501506</v>
      </c>
      <c r="I165" s="138">
        <f>SUBTOTAL(109,local200708[Established
Accounts Receivable])</f>
        <v>6821</v>
      </c>
      <c r="J165" s="407" t="s">
        <v>582</v>
      </c>
      <c r="K165" s="138">
        <f>SUBTOTAL(109,local200708[Accounts Receivable
Balance])</f>
        <v>6821</v>
      </c>
      <c r="L165" s="138">
        <f>SUBTOTAL(109,local200708[Net
Balance])</f>
        <v>64494685</v>
      </c>
      <c r="M165" s="414" t="s">
        <v>552</v>
      </c>
      <c r="N165" s="135"/>
    </row>
    <row r="166" spans="1:14" s="134" customFormat="1" ht="15" customHeight="1" x14ac:dyDescent="0.35">
      <c r="A166" s="386" t="s">
        <v>540</v>
      </c>
      <c r="B166" s="404"/>
      <c r="C166" s="135"/>
      <c r="D166" s="405"/>
      <c r="E166" s="406"/>
      <c r="F166" s="406"/>
      <c r="G166" s="406"/>
      <c r="H166" s="406"/>
      <c r="I166" s="406"/>
      <c r="J166" s="406"/>
      <c r="K166" s="406"/>
      <c r="L166" s="406"/>
      <c r="M166" s="406"/>
      <c r="N166" s="135"/>
    </row>
    <row r="167" spans="1:14" s="134" customFormat="1" ht="50" customHeight="1" x14ac:dyDescent="0.35">
      <c r="A167" s="299" t="s">
        <v>11</v>
      </c>
      <c r="B167" s="158" t="s">
        <v>12</v>
      </c>
      <c r="C167" s="158" t="s">
        <v>0</v>
      </c>
      <c r="D167" s="158" t="s">
        <v>132</v>
      </c>
      <c r="E167" s="422" t="s">
        <v>125</v>
      </c>
      <c r="F167" s="423" t="s">
        <v>607</v>
      </c>
      <c r="G167" s="424" t="s">
        <v>531</v>
      </c>
      <c r="H167" s="422" t="s">
        <v>495</v>
      </c>
      <c r="I167" s="422" t="s">
        <v>496</v>
      </c>
      <c r="J167" s="422" t="s">
        <v>134</v>
      </c>
      <c r="K167" s="422" t="s">
        <v>497</v>
      </c>
      <c r="L167" s="422" t="s">
        <v>133</v>
      </c>
      <c r="M167" s="425" t="s">
        <v>532</v>
      </c>
      <c r="N167" s="135"/>
    </row>
    <row r="168" spans="1:14" s="134" customFormat="1" ht="15" customHeight="1" x14ac:dyDescent="0.35">
      <c r="A168" s="93" t="s">
        <v>47</v>
      </c>
      <c r="B168" s="86" t="s">
        <v>160</v>
      </c>
      <c r="C168" s="85" t="s">
        <v>161</v>
      </c>
      <c r="D168" s="93">
        <v>213</v>
      </c>
      <c r="E168" s="121">
        <v>17241364</v>
      </c>
      <c r="F168" s="121">
        <v>17241364</v>
      </c>
      <c r="G168" s="413" t="s">
        <v>529</v>
      </c>
      <c r="H168" s="392">
        <v>0</v>
      </c>
      <c r="I168" s="121">
        <v>7522234</v>
      </c>
      <c r="J168" s="121">
        <v>6773030</v>
      </c>
      <c r="K168" s="121">
        <v>749204</v>
      </c>
      <c r="L168" s="121">
        <v>-749204</v>
      </c>
      <c r="M168" s="420" t="s">
        <v>529</v>
      </c>
      <c r="N168" s="135"/>
    </row>
    <row r="169" spans="1:14" s="134" customFormat="1" ht="15" customHeight="1" x14ac:dyDescent="0.35">
      <c r="A169" s="93" t="s">
        <v>47</v>
      </c>
      <c r="B169" s="86" t="s">
        <v>151</v>
      </c>
      <c r="C169" s="85" t="s">
        <v>152</v>
      </c>
      <c r="D169" s="93">
        <v>353</v>
      </c>
      <c r="E169" s="121">
        <v>866729</v>
      </c>
      <c r="F169" s="121">
        <v>866729</v>
      </c>
      <c r="G169" s="413" t="s">
        <v>529</v>
      </c>
      <c r="H169" s="392">
        <v>0</v>
      </c>
      <c r="I169" s="121">
        <v>6573</v>
      </c>
      <c r="J169" s="392">
        <v>0</v>
      </c>
      <c r="K169" s="121">
        <v>6573</v>
      </c>
      <c r="L169" s="121">
        <v>-6573</v>
      </c>
      <c r="M169" s="420" t="s">
        <v>529</v>
      </c>
      <c r="N169" s="135"/>
    </row>
    <row r="170" spans="1:14" s="134" customFormat="1" ht="15.5" x14ac:dyDescent="0.35">
      <c r="A170" s="93" t="s">
        <v>47</v>
      </c>
      <c r="B170" s="86" t="s">
        <v>204</v>
      </c>
      <c r="C170" s="85" t="s">
        <v>205</v>
      </c>
      <c r="D170" s="93">
        <v>23</v>
      </c>
      <c r="E170" s="121">
        <v>4926471</v>
      </c>
      <c r="F170" s="121">
        <v>4901214</v>
      </c>
      <c r="G170" s="413" t="s">
        <v>529</v>
      </c>
      <c r="H170" s="121">
        <v>25257</v>
      </c>
      <c r="I170" s="121">
        <v>319599</v>
      </c>
      <c r="J170" s="121">
        <v>262355</v>
      </c>
      <c r="K170" s="121">
        <v>57244</v>
      </c>
      <c r="L170" s="121">
        <v>-31987</v>
      </c>
      <c r="M170" s="420" t="s">
        <v>529</v>
      </c>
      <c r="N170" s="135"/>
    </row>
    <row r="171" spans="1:14" s="134" customFormat="1" ht="30.5" customHeight="1" x14ac:dyDescent="0.35">
      <c r="A171" s="93" t="s">
        <v>47</v>
      </c>
      <c r="B171" s="86" t="s">
        <v>429</v>
      </c>
      <c r="C171" s="85" t="s">
        <v>171</v>
      </c>
      <c r="D171" s="93">
        <v>203</v>
      </c>
      <c r="E171" s="121">
        <v>3003738</v>
      </c>
      <c r="F171" s="121">
        <v>2950498</v>
      </c>
      <c r="G171" s="413" t="s">
        <v>529</v>
      </c>
      <c r="H171" s="121">
        <v>53240</v>
      </c>
      <c r="I171" s="121">
        <v>341376</v>
      </c>
      <c r="J171" s="121">
        <v>341376</v>
      </c>
      <c r="K171" s="392">
        <v>0</v>
      </c>
      <c r="L171" s="121">
        <v>53240</v>
      </c>
      <c r="M171" s="420" t="s">
        <v>529</v>
      </c>
      <c r="N171" s="135"/>
    </row>
    <row r="172" spans="1:14" s="134" customFormat="1" ht="15" customHeight="1" x14ac:dyDescent="0.35">
      <c r="A172" s="93" t="s">
        <v>47</v>
      </c>
      <c r="B172" s="86" t="s">
        <v>176</v>
      </c>
      <c r="C172" s="85" t="s">
        <v>177</v>
      </c>
      <c r="D172" s="93">
        <v>200</v>
      </c>
      <c r="E172" s="121">
        <v>1707977</v>
      </c>
      <c r="F172" s="121">
        <v>1702574</v>
      </c>
      <c r="G172" s="413" t="s">
        <v>529</v>
      </c>
      <c r="H172" s="121">
        <v>5403</v>
      </c>
      <c r="I172" s="121">
        <v>439438</v>
      </c>
      <c r="J172" s="121">
        <v>439438</v>
      </c>
      <c r="K172" s="392">
        <v>0</v>
      </c>
      <c r="L172" s="121">
        <v>5403</v>
      </c>
      <c r="M172" s="420" t="s">
        <v>529</v>
      </c>
      <c r="N172" s="135"/>
    </row>
    <row r="173" spans="1:14" s="134" customFormat="1" ht="15" customHeight="1" x14ac:dyDescent="0.35">
      <c r="A173" s="93" t="s">
        <v>47</v>
      </c>
      <c r="B173" s="86" t="s">
        <v>144</v>
      </c>
      <c r="C173" s="85" t="s">
        <v>145</v>
      </c>
      <c r="D173" s="93">
        <v>219</v>
      </c>
      <c r="E173" s="121">
        <v>14836644</v>
      </c>
      <c r="F173" s="392">
        <v>0</v>
      </c>
      <c r="G173" s="413" t="s">
        <v>529</v>
      </c>
      <c r="H173" s="121">
        <v>14836644</v>
      </c>
      <c r="I173" s="392">
        <v>0</v>
      </c>
      <c r="J173" s="392">
        <v>0</v>
      </c>
      <c r="K173" s="392">
        <v>0</v>
      </c>
      <c r="L173" s="121">
        <v>14836644</v>
      </c>
      <c r="M173" s="420" t="s">
        <v>529</v>
      </c>
      <c r="N173" s="135"/>
    </row>
    <row r="174" spans="1:14" s="134" customFormat="1" ht="15" customHeight="1" x14ac:dyDescent="0.35">
      <c r="A174" s="93" t="s">
        <v>47</v>
      </c>
      <c r="B174" s="86" t="s">
        <v>206</v>
      </c>
      <c r="C174" s="85" t="s">
        <v>207</v>
      </c>
      <c r="D174" s="93">
        <v>118</v>
      </c>
      <c r="E174" s="121">
        <v>5458348</v>
      </c>
      <c r="F174" s="121">
        <v>5346969</v>
      </c>
      <c r="G174" s="413" t="s">
        <v>529</v>
      </c>
      <c r="H174" s="121">
        <v>111379</v>
      </c>
      <c r="I174" s="121">
        <v>499658</v>
      </c>
      <c r="J174" s="121">
        <v>499658</v>
      </c>
      <c r="K174" s="392">
        <v>0</v>
      </c>
      <c r="L174" s="121">
        <v>111379</v>
      </c>
      <c r="M174" s="420" t="s">
        <v>529</v>
      </c>
      <c r="N174" s="135"/>
    </row>
    <row r="175" spans="1:14" s="134" customFormat="1" ht="15.5" x14ac:dyDescent="0.35">
      <c r="A175" s="93" t="s">
        <v>47</v>
      </c>
      <c r="B175" s="86" t="s">
        <v>135</v>
      </c>
      <c r="C175" s="85" t="s">
        <v>136</v>
      </c>
      <c r="D175" s="93">
        <v>187</v>
      </c>
      <c r="E175" s="121">
        <v>9846865</v>
      </c>
      <c r="F175" s="121">
        <v>7917464</v>
      </c>
      <c r="G175" s="413" t="s">
        <v>529</v>
      </c>
      <c r="H175" s="121">
        <v>1929401</v>
      </c>
      <c r="I175" s="121">
        <v>10543101</v>
      </c>
      <c r="J175" s="121">
        <v>10543101</v>
      </c>
      <c r="K175" s="392">
        <v>0</v>
      </c>
      <c r="L175" s="121">
        <v>1929401</v>
      </c>
      <c r="M175" s="420" t="s">
        <v>529</v>
      </c>
      <c r="N175" s="135"/>
    </row>
    <row r="176" spans="1:14" s="134" customFormat="1" ht="15" customHeight="1" x14ac:dyDescent="0.35">
      <c r="A176" s="93" t="s">
        <v>47</v>
      </c>
      <c r="B176" s="86" t="s">
        <v>184</v>
      </c>
      <c r="C176" s="85" t="s">
        <v>185</v>
      </c>
      <c r="D176" s="93">
        <v>215</v>
      </c>
      <c r="E176" s="121">
        <v>309808</v>
      </c>
      <c r="F176" s="121">
        <v>298328</v>
      </c>
      <c r="G176" s="413" t="s">
        <v>529</v>
      </c>
      <c r="H176" s="121">
        <v>11480</v>
      </c>
      <c r="I176" s="121">
        <v>224111</v>
      </c>
      <c r="J176" s="121">
        <v>224111</v>
      </c>
      <c r="K176" s="392">
        <v>0</v>
      </c>
      <c r="L176" s="121">
        <v>11480</v>
      </c>
      <c r="M176" s="420" t="s">
        <v>529</v>
      </c>
      <c r="N176" s="135"/>
    </row>
    <row r="177" spans="1:14" s="134" customFormat="1" ht="31.5" customHeight="1" x14ac:dyDescent="0.35">
      <c r="A177" s="93" t="s">
        <v>47</v>
      </c>
      <c r="B177" s="86" t="s">
        <v>186</v>
      </c>
      <c r="C177" s="85" t="s">
        <v>187</v>
      </c>
      <c r="D177" s="93">
        <v>279</v>
      </c>
      <c r="E177" s="121">
        <v>359305</v>
      </c>
      <c r="F177" s="121">
        <v>334797</v>
      </c>
      <c r="G177" s="413" t="s">
        <v>529</v>
      </c>
      <c r="H177" s="121">
        <v>24508</v>
      </c>
      <c r="I177" s="392">
        <v>0</v>
      </c>
      <c r="J177" s="392">
        <v>0</v>
      </c>
      <c r="K177" s="392">
        <v>0</v>
      </c>
      <c r="L177" s="121">
        <v>24508</v>
      </c>
      <c r="M177" s="420" t="s">
        <v>529</v>
      </c>
      <c r="N177" s="135"/>
    </row>
    <row r="178" spans="1:14" s="134" customFormat="1" ht="33.5" customHeight="1" x14ac:dyDescent="0.35">
      <c r="A178" s="93" t="s">
        <v>47</v>
      </c>
      <c r="B178" s="86" t="s">
        <v>201</v>
      </c>
      <c r="C178" s="85" t="s">
        <v>202</v>
      </c>
      <c r="D178" s="93">
        <v>18</v>
      </c>
      <c r="E178" s="121">
        <v>273468</v>
      </c>
      <c r="F178" s="121">
        <v>273084</v>
      </c>
      <c r="G178" s="413" t="s">
        <v>529</v>
      </c>
      <c r="H178" s="121">
        <v>384</v>
      </c>
      <c r="I178" s="121">
        <v>384</v>
      </c>
      <c r="J178" s="121">
        <v>384</v>
      </c>
      <c r="K178" s="392">
        <v>0</v>
      </c>
      <c r="L178" s="121">
        <v>384</v>
      </c>
      <c r="M178" s="420" t="s">
        <v>529</v>
      </c>
      <c r="N178" s="135"/>
    </row>
    <row r="179" spans="1:14" s="134" customFormat="1" ht="15" customHeight="1" x14ac:dyDescent="0.35">
      <c r="A179" s="137" t="s">
        <v>209</v>
      </c>
      <c r="B179" s="426" t="s">
        <v>529</v>
      </c>
      <c r="C179" s="427" t="s">
        <v>529</v>
      </c>
      <c r="D179" s="428" t="s">
        <v>529</v>
      </c>
      <c r="E179" s="138">
        <f>SUBTOTAL(109,Local200607[Program
Costs])</f>
        <v>58830717</v>
      </c>
      <c r="F179" s="138">
        <f>SUBTOTAL(109,Local200607[Less: Net Payments and Offsets 7])</f>
        <v>41833021</v>
      </c>
      <c r="G179" s="414" t="s">
        <v>552</v>
      </c>
      <c r="H179" s="138">
        <f>SUBTOTAL(109,Local200607[Accounts Payable
Balance])</f>
        <v>16997696</v>
      </c>
      <c r="I179" s="138">
        <f>SUBTOTAL(109,Local200607[Established
Accounts Receivable])</f>
        <v>19896474</v>
      </c>
      <c r="J179" s="138">
        <f>SUBTOTAL(109,Local200607[Less: Recovered Amount])</f>
        <v>19083453</v>
      </c>
      <c r="K179" s="138">
        <f>SUBTOTAL(109,Local200607[Accounts Receivable
Balance])</f>
        <v>813021</v>
      </c>
      <c r="L179" s="138">
        <f>SUBTOTAL(109,Local200607[Net
Balance])</f>
        <v>16184675</v>
      </c>
      <c r="M179" s="430" t="s">
        <v>529</v>
      </c>
      <c r="N179" s="135"/>
    </row>
    <row r="180" spans="1:14" s="134" customFormat="1" ht="15" customHeight="1" x14ac:dyDescent="0.35">
      <c r="A180" s="386" t="s">
        <v>540</v>
      </c>
      <c r="B180" s="139"/>
      <c r="C180" s="139"/>
      <c r="D180" s="139"/>
      <c r="E180" s="140"/>
      <c r="F180" s="140"/>
      <c r="G180" s="140"/>
      <c r="H180" s="140"/>
      <c r="I180" s="140"/>
      <c r="J180" s="140"/>
      <c r="K180" s="140"/>
      <c r="L180" s="140"/>
      <c r="M180" s="136"/>
      <c r="N180" s="135"/>
    </row>
    <row r="181" spans="1:14" s="134" customFormat="1" ht="50" customHeight="1" x14ac:dyDescent="0.35">
      <c r="A181" s="299" t="s">
        <v>11</v>
      </c>
      <c r="B181" s="158" t="s">
        <v>12</v>
      </c>
      <c r="C181" s="158" t="s">
        <v>0</v>
      </c>
      <c r="D181" s="158" t="s">
        <v>132</v>
      </c>
      <c r="E181" s="422" t="s">
        <v>125</v>
      </c>
      <c r="F181" s="423" t="s">
        <v>607</v>
      </c>
      <c r="G181" s="424" t="s">
        <v>531</v>
      </c>
      <c r="H181" s="422" t="s">
        <v>495</v>
      </c>
      <c r="I181" s="422" t="s">
        <v>496</v>
      </c>
      <c r="J181" s="422" t="s">
        <v>134</v>
      </c>
      <c r="K181" s="422" t="s">
        <v>497</v>
      </c>
      <c r="L181" s="422" t="s">
        <v>133</v>
      </c>
      <c r="M181" s="425" t="s">
        <v>532</v>
      </c>
      <c r="N181" s="135"/>
    </row>
    <row r="182" spans="1:14" s="134" customFormat="1" ht="15" customHeight="1" x14ac:dyDescent="0.35">
      <c r="A182" s="93" t="s">
        <v>48</v>
      </c>
      <c r="B182" s="86" t="s">
        <v>160</v>
      </c>
      <c r="C182" s="85" t="s">
        <v>161</v>
      </c>
      <c r="D182" s="93">
        <v>213</v>
      </c>
      <c r="E182" s="121">
        <v>17225079</v>
      </c>
      <c r="F182" s="121">
        <v>17202021</v>
      </c>
      <c r="G182" s="413" t="s">
        <v>529</v>
      </c>
      <c r="H182" s="121">
        <v>23058</v>
      </c>
      <c r="I182" s="121">
        <v>4824796</v>
      </c>
      <c r="J182" s="121">
        <v>4107415</v>
      </c>
      <c r="K182" s="121">
        <v>717381</v>
      </c>
      <c r="L182" s="121">
        <v>-694323</v>
      </c>
      <c r="M182" s="420" t="s">
        <v>529</v>
      </c>
      <c r="N182" s="135"/>
    </row>
    <row r="183" spans="1:14" s="134" customFormat="1" ht="15.5" x14ac:dyDescent="0.35">
      <c r="A183" s="93" t="s">
        <v>48</v>
      </c>
      <c r="B183" s="86" t="s">
        <v>151</v>
      </c>
      <c r="C183" s="85" t="s">
        <v>152</v>
      </c>
      <c r="D183" s="93">
        <v>353</v>
      </c>
      <c r="E183" s="121">
        <v>660948</v>
      </c>
      <c r="F183" s="121">
        <v>660948</v>
      </c>
      <c r="G183" s="413" t="s">
        <v>529</v>
      </c>
      <c r="H183" s="392">
        <v>0</v>
      </c>
      <c r="I183" s="121">
        <v>6766</v>
      </c>
      <c r="J183" s="392">
        <v>0</v>
      </c>
      <c r="K183" s="121">
        <v>6766</v>
      </c>
      <c r="L183" s="121">
        <v>-6766</v>
      </c>
      <c r="M183" s="420" t="s">
        <v>529</v>
      </c>
      <c r="N183" s="135"/>
    </row>
    <row r="184" spans="1:14" s="134" customFormat="1" ht="31.5" customHeight="1" x14ac:dyDescent="0.35">
      <c r="A184" s="93" t="s">
        <v>48</v>
      </c>
      <c r="B184" s="86" t="s">
        <v>169</v>
      </c>
      <c r="C184" s="85" t="s">
        <v>170</v>
      </c>
      <c r="D184" s="93">
        <v>300</v>
      </c>
      <c r="E184" s="121">
        <v>196139</v>
      </c>
      <c r="F184" s="121">
        <v>192604</v>
      </c>
      <c r="G184" s="413" t="s">
        <v>529</v>
      </c>
      <c r="H184" s="121">
        <v>3535</v>
      </c>
      <c r="I184" s="392">
        <v>0</v>
      </c>
      <c r="J184" s="392">
        <v>0</v>
      </c>
      <c r="K184" s="392">
        <v>0</v>
      </c>
      <c r="L184" s="121">
        <v>3535</v>
      </c>
      <c r="M184" s="420" t="s">
        <v>529</v>
      </c>
      <c r="N184" s="135"/>
    </row>
    <row r="185" spans="1:14" s="134" customFormat="1" ht="15" customHeight="1" x14ac:dyDescent="0.35">
      <c r="A185" s="93" t="s">
        <v>48</v>
      </c>
      <c r="B185" s="86" t="s">
        <v>144</v>
      </c>
      <c r="C185" s="85" t="s">
        <v>145</v>
      </c>
      <c r="D185" s="93">
        <v>219</v>
      </c>
      <c r="E185" s="121">
        <v>13588945</v>
      </c>
      <c r="F185" s="121">
        <v>400803</v>
      </c>
      <c r="G185" s="413" t="s">
        <v>529</v>
      </c>
      <c r="H185" s="121">
        <v>13188142</v>
      </c>
      <c r="I185" s="121">
        <v>187248</v>
      </c>
      <c r="J185" s="121">
        <v>179625</v>
      </c>
      <c r="K185" s="121">
        <v>7623</v>
      </c>
      <c r="L185" s="121">
        <v>13180519</v>
      </c>
      <c r="M185" s="420" t="s">
        <v>529</v>
      </c>
      <c r="N185" s="135"/>
    </row>
    <row r="186" spans="1:14" s="134" customFormat="1" ht="15.5" x14ac:dyDescent="0.35">
      <c r="A186" s="93" t="s">
        <v>48</v>
      </c>
      <c r="B186" s="86" t="s">
        <v>135</v>
      </c>
      <c r="C186" s="85" t="s">
        <v>136</v>
      </c>
      <c r="D186" s="93">
        <v>187</v>
      </c>
      <c r="E186" s="121">
        <v>13310225</v>
      </c>
      <c r="F186" s="121">
        <v>11075800</v>
      </c>
      <c r="G186" s="413" t="s">
        <v>529</v>
      </c>
      <c r="H186" s="121">
        <v>2234425</v>
      </c>
      <c r="I186" s="121">
        <v>6047022</v>
      </c>
      <c r="J186" s="121">
        <v>6047022</v>
      </c>
      <c r="K186" s="392">
        <v>0</v>
      </c>
      <c r="L186" s="121">
        <v>2234425</v>
      </c>
      <c r="M186" s="420" t="s">
        <v>529</v>
      </c>
      <c r="N186" s="135"/>
    </row>
    <row r="187" spans="1:14" s="134" customFormat="1" ht="15" customHeight="1" x14ac:dyDescent="0.35">
      <c r="A187" s="93" t="s">
        <v>48</v>
      </c>
      <c r="B187" s="86" t="s">
        <v>186</v>
      </c>
      <c r="C187" s="85" t="s">
        <v>187</v>
      </c>
      <c r="D187" s="93">
        <v>279</v>
      </c>
      <c r="E187" s="121">
        <v>173372</v>
      </c>
      <c r="F187" s="121">
        <v>134566</v>
      </c>
      <c r="G187" s="413" t="s">
        <v>529</v>
      </c>
      <c r="H187" s="121">
        <v>38806</v>
      </c>
      <c r="I187" s="392">
        <v>0</v>
      </c>
      <c r="J187" s="392">
        <v>0</v>
      </c>
      <c r="K187" s="392">
        <v>0</v>
      </c>
      <c r="L187" s="121">
        <v>38806</v>
      </c>
      <c r="M187" s="420" t="s">
        <v>529</v>
      </c>
      <c r="N187" s="135"/>
    </row>
    <row r="188" spans="1:14" s="134" customFormat="1" ht="29.5" customHeight="1" x14ac:dyDescent="0.35">
      <c r="A188" s="93" t="s">
        <v>48</v>
      </c>
      <c r="B188" s="86" t="s">
        <v>201</v>
      </c>
      <c r="C188" s="85" t="s">
        <v>202</v>
      </c>
      <c r="D188" s="93">
        <v>18</v>
      </c>
      <c r="E188" s="121">
        <v>258165</v>
      </c>
      <c r="F188" s="121">
        <v>258032</v>
      </c>
      <c r="G188" s="413" t="s">
        <v>529</v>
      </c>
      <c r="H188" s="121">
        <v>133</v>
      </c>
      <c r="I188" s="121">
        <v>133</v>
      </c>
      <c r="J188" s="121">
        <v>133</v>
      </c>
      <c r="K188" s="392">
        <v>0</v>
      </c>
      <c r="L188" s="121">
        <v>133</v>
      </c>
      <c r="M188" s="420" t="s">
        <v>529</v>
      </c>
      <c r="N188" s="135"/>
    </row>
    <row r="189" spans="1:14" s="134" customFormat="1" ht="15.5" x14ac:dyDescent="0.35">
      <c r="A189" s="137" t="s">
        <v>210</v>
      </c>
      <c r="B189" s="429" t="s">
        <v>529</v>
      </c>
      <c r="C189" s="430" t="s">
        <v>529</v>
      </c>
      <c r="D189" s="409" t="s">
        <v>529</v>
      </c>
      <c r="E189" s="138">
        <f>SUBTOTAL(109,local200506[Program
Costs])</f>
        <v>45412873</v>
      </c>
      <c r="F189" s="138">
        <f>SUBTOTAL(109,local200506[Less: Net Payments and Offsets 7])</f>
        <v>29924774</v>
      </c>
      <c r="G189" s="414" t="s">
        <v>552</v>
      </c>
      <c r="H189" s="138">
        <f>SUBTOTAL(109,local200506[Accounts Payable
Balance])</f>
        <v>15488099</v>
      </c>
      <c r="I189" s="138">
        <f>SUBTOTAL(109,local200506[Established
Accounts Receivable])</f>
        <v>11065965</v>
      </c>
      <c r="J189" s="138">
        <f>SUBTOTAL(109,local200506[Less: Recovered Amount])</f>
        <v>10334195</v>
      </c>
      <c r="K189" s="138">
        <f>SUBTOTAL(109,local200506[Accounts Receivable
Balance])</f>
        <v>731770</v>
      </c>
      <c r="L189" s="138">
        <f>SUBTOTAL(109,local200506[Net
Balance])</f>
        <v>14756329</v>
      </c>
      <c r="M189" s="414" t="s">
        <v>552</v>
      </c>
      <c r="N189" s="135"/>
    </row>
    <row r="190" spans="1:14" s="134" customFormat="1" ht="15.5" x14ac:dyDescent="0.35">
      <c r="A190" s="386" t="s">
        <v>540</v>
      </c>
      <c r="B190" s="139"/>
      <c r="C190" s="139"/>
      <c r="D190" s="139"/>
      <c r="E190" s="140"/>
      <c r="F190" s="140"/>
      <c r="G190" s="140"/>
      <c r="H190" s="140"/>
      <c r="I190" s="140"/>
      <c r="J190" s="140"/>
      <c r="K190" s="140"/>
      <c r="L190" s="140"/>
      <c r="M190" s="136"/>
      <c r="N190" s="135"/>
    </row>
    <row r="191" spans="1:14" s="134" customFormat="1" ht="50" customHeight="1" x14ac:dyDescent="0.35">
      <c r="A191" s="299" t="s">
        <v>11</v>
      </c>
      <c r="B191" s="158" t="s">
        <v>12</v>
      </c>
      <c r="C191" s="158" t="s">
        <v>0</v>
      </c>
      <c r="D191" s="158" t="s">
        <v>132</v>
      </c>
      <c r="E191" s="422" t="s">
        <v>125</v>
      </c>
      <c r="F191" s="423" t="s">
        <v>607</v>
      </c>
      <c r="G191" s="424" t="s">
        <v>531</v>
      </c>
      <c r="H191" s="422" t="s">
        <v>495</v>
      </c>
      <c r="I191" s="422" t="s">
        <v>496</v>
      </c>
      <c r="J191" s="422" t="s">
        <v>134</v>
      </c>
      <c r="K191" s="422" t="s">
        <v>497</v>
      </c>
      <c r="L191" s="422" t="s">
        <v>133</v>
      </c>
      <c r="M191" s="425" t="s">
        <v>532</v>
      </c>
      <c r="N191" s="135"/>
    </row>
    <row r="192" spans="1:14" s="134" customFormat="1" ht="15" customHeight="1" x14ac:dyDescent="0.35">
      <c r="A192" s="93" t="s">
        <v>49</v>
      </c>
      <c r="B192" s="86" t="s">
        <v>147</v>
      </c>
      <c r="C192" s="85" t="s">
        <v>148</v>
      </c>
      <c r="D192" s="93">
        <v>2</v>
      </c>
      <c r="E192" s="121">
        <v>17563599</v>
      </c>
      <c r="F192" s="121">
        <v>17516451</v>
      </c>
      <c r="G192" s="413" t="s">
        <v>529</v>
      </c>
      <c r="H192" s="121">
        <v>47148</v>
      </c>
      <c r="I192" s="121">
        <v>2316857</v>
      </c>
      <c r="J192" s="121">
        <v>2316857</v>
      </c>
      <c r="K192" s="392">
        <v>0</v>
      </c>
      <c r="L192" s="121">
        <v>47148</v>
      </c>
      <c r="M192" s="420" t="s">
        <v>529</v>
      </c>
      <c r="N192" s="135"/>
    </row>
    <row r="193" spans="1:14" s="134" customFormat="1" ht="15" customHeight="1" x14ac:dyDescent="0.35">
      <c r="A193" s="93" t="s">
        <v>49</v>
      </c>
      <c r="B193" s="86" t="s">
        <v>160</v>
      </c>
      <c r="C193" s="85" t="s">
        <v>161</v>
      </c>
      <c r="D193" s="93">
        <v>213</v>
      </c>
      <c r="E193" s="121">
        <v>19847433</v>
      </c>
      <c r="F193" s="121">
        <v>19847433</v>
      </c>
      <c r="G193" s="413" t="s">
        <v>529</v>
      </c>
      <c r="H193" s="392">
        <v>0</v>
      </c>
      <c r="I193" s="121">
        <v>3917590</v>
      </c>
      <c r="J193" s="121">
        <v>3826680</v>
      </c>
      <c r="K193" s="121">
        <v>90910</v>
      </c>
      <c r="L193" s="121">
        <v>-90910</v>
      </c>
      <c r="M193" s="420" t="s">
        <v>529</v>
      </c>
      <c r="N193" s="135"/>
    </row>
    <row r="194" spans="1:14" s="134" customFormat="1" ht="15" customHeight="1" x14ac:dyDescent="0.35">
      <c r="A194" s="93" t="s">
        <v>49</v>
      </c>
      <c r="B194" s="86" t="s">
        <v>151</v>
      </c>
      <c r="C194" s="85" t="s">
        <v>152</v>
      </c>
      <c r="D194" s="93">
        <v>353</v>
      </c>
      <c r="E194" s="121">
        <v>515185</v>
      </c>
      <c r="F194" s="121">
        <v>515185</v>
      </c>
      <c r="G194" s="413" t="s">
        <v>529</v>
      </c>
      <c r="H194" s="392">
        <v>0</v>
      </c>
      <c r="I194" s="121">
        <v>5351</v>
      </c>
      <c r="J194" s="392">
        <v>0</v>
      </c>
      <c r="K194" s="121">
        <v>5351</v>
      </c>
      <c r="L194" s="121">
        <v>-5351</v>
      </c>
      <c r="M194" s="420" t="s">
        <v>529</v>
      </c>
      <c r="N194" s="135"/>
    </row>
    <row r="195" spans="1:14" s="134" customFormat="1" ht="15.5" x14ac:dyDescent="0.35">
      <c r="A195" s="93" t="s">
        <v>49</v>
      </c>
      <c r="B195" s="86" t="s">
        <v>144</v>
      </c>
      <c r="C195" s="85" t="s">
        <v>145</v>
      </c>
      <c r="D195" s="93">
        <v>219</v>
      </c>
      <c r="E195" s="121">
        <v>14784873</v>
      </c>
      <c r="F195" s="121">
        <v>14433621</v>
      </c>
      <c r="G195" s="413" t="s">
        <v>529</v>
      </c>
      <c r="H195" s="121">
        <v>351252</v>
      </c>
      <c r="I195" s="121">
        <v>1695469</v>
      </c>
      <c r="J195" s="121">
        <v>1688569</v>
      </c>
      <c r="K195" s="121">
        <v>6900</v>
      </c>
      <c r="L195" s="121">
        <v>344352</v>
      </c>
      <c r="M195" s="420" t="s">
        <v>529</v>
      </c>
      <c r="N195" s="135"/>
    </row>
    <row r="196" spans="1:14" s="134" customFormat="1" ht="15" customHeight="1" x14ac:dyDescent="0.35">
      <c r="A196" s="93" t="s">
        <v>49</v>
      </c>
      <c r="B196" s="86" t="s">
        <v>135</v>
      </c>
      <c r="C196" s="85" t="s">
        <v>136</v>
      </c>
      <c r="D196" s="93">
        <v>187</v>
      </c>
      <c r="E196" s="121">
        <v>13187078</v>
      </c>
      <c r="F196" s="392">
        <v>0</v>
      </c>
      <c r="G196" s="413" t="s">
        <v>529</v>
      </c>
      <c r="H196" s="121">
        <v>13187078</v>
      </c>
      <c r="I196" s="392">
        <v>0</v>
      </c>
      <c r="J196" s="392">
        <v>0</v>
      </c>
      <c r="K196" s="392">
        <v>0</v>
      </c>
      <c r="L196" s="121">
        <v>13187078</v>
      </c>
      <c r="M196" s="420" t="s">
        <v>529</v>
      </c>
      <c r="N196" s="135"/>
    </row>
    <row r="197" spans="1:14" s="134" customFormat="1" ht="32" customHeight="1" x14ac:dyDescent="0.35">
      <c r="A197" s="93" t="s">
        <v>49</v>
      </c>
      <c r="B197" s="86" t="s">
        <v>186</v>
      </c>
      <c r="C197" s="85" t="s">
        <v>187</v>
      </c>
      <c r="D197" s="93">
        <v>279</v>
      </c>
      <c r="E197" s="121">
        <v>31183</v>
      </c>
      <c r="F197" s="121">
        <v>17053</v>
      </c>
      <c r="G197" s="413" t="s">
        <v>529</v>
      </c>
      <c r="H197" s="121">
        <v>14130</v>
      </c>
      <c r="I197" s="392">
        <v>0</v>
      </c>
      <c r="J197" s="392">
        <v>0</v>
      </c>
      <c r="K197" s="392">
        <v>0</v>
      </c>
      <c r="L197" s="121">
        <v>14130</v>
      </c>
      <c r="M197" s="420" t="s">
        <v>529</v>
      </c>
      <c r="N197" s="135"/>
    </row>
    <row r="198" spans="1:14" s="134" customFormat="1" ht="15" customHeight="1" x14ac:dyDescent="0.35">
      <c r="A198" s="137" t="s">
        <v>211</v>
      </c>
      <c r="B198" s="429" t="s">
        <v>529</v>
      </c>
      <c r="C198" s="430" t="s">
        <v>529</v>
      </c>
      <c r="D198" s="409" t="s">
        <v>529</v>
      </c>
      <c r="E198" s="138">
        <f>SUBTOTAL(109,local200405[Program
Costs])</f>
        <v>65929351</v>
      </c>
      <c r="F198" s="138">
        <f>SUBTOTAL(109,local200405[Less: Net Payments and Offsets 7])</f>
        <v>52329743</v>
      </c>
      <c r="G198" s="414" t="s">
        <v>552</v>
      </c>
      <c r="H198" s="138">
        <f>SUBTOTAL(109,local200405[Accounts Payable
Balance])</f>
        <v>13599608</v>
      </c>
      <c r="I198" s="138">
        <f>SUBTOTAL(109,local200405[Established
Accounts Receivable])</f>
        <v>7935267</v>
      </c>
      <c r="J198" s="138">
        <f>SUBTOTAL(109,local200405[Less: Recovered Amount])</f>
        <v>7832106</v>
      </c>
      <c r="K198" s="138">
        <f>SUBTOTAL(109,local200405[Accounts Receivable
Balance])</f>
        <v>103161</v>
      </c>
      <c r="L198" s="138">
        <f>SUBTOTAL(109,local200405[Net
Balance])</f>
        <v>13496447</v>
      </c>
      <c r="M198" s="414" t="s">
        <v>552</v>
      </c>
      <c r="N198" s="135"/>
    </row>
    <row r="199" spans="1:14" s="134" customFormat="1" ht="15" customHeight="1" x14ac:dyDescent="0.35">
      <c r="A199" s="386" t="s">
        <v>540</v>
      </c>
      <c r="B199" s="139"/>
      <c r="C199" s="139"/>
      <c r="D199" s="139"/>
      <c r="E199" s="140"/>
      <c r="F199" s="140"/>
      <c r="G199" s="140"/>
      <c r="H199" s="140"/>
      <c r="I199" s="140"/>
      <c r="J199" s="140"/>
      <c r="K199" s="140"/>
      <c r="L199" s="140"/>
      <c r="M199" s="136"/>
      <c r="N199" s="135"/>
    </row>
    <row r="200" spans="1:14" s="134" customFormat="1" ht="50" customHeight="1" x14ac:dyDescent="0.35">
      <c r="A200" s="299" t="s">
        <v>11</v>
      </c>
      <c r="B200" s="158" t="s">
        <v>12</v>
      </c>
      <c r="C200" s="158" t="s">
        <v>0</v>
      </c>
      <c r="D200" s="158" t="s">
        <v>132</v>
      </c>
      <c r="E200" s="422" t="s">
        <v>125</v>
      </c>
      <c r="F200" s="423" t="s">
        <v>607</v>
      </c>
      <c r="G200" s="424" t="s">
        <v>531</v>
      </c>
      <c r="H200" s="422" t="s">
        <v>495</v>
      </c>
      <c r="I200" s="422" t="s">
        <v>496</v>
      </c>
      <c r="J200" s="422" t="s">
        <v>134</v>
      </c>
      <c r="K200" s="422" t="s">
        <v>497</v>
      </c>
      <c r="L200" s="422" t="s">
        <v>133</v>
      </c>
      <c r="M200" s="425" t="s">
        <v>532</v>
      </c>
      <c r="N200" s="135"/>
    </row>
    <row r="201" spans="1:14" s="134" customFormat="1" ht="15" customHeight="1" x14ac:dyDescent="0.35">
      <c r="A201" s="93" t="s">
        <v>50</v>
      </c>
      <c r="B201" s="86" t="s">
        <v>153</v>
      </c>
      <c r="C201" s="85" t="s">
        <v>154</v>
      </c>
      <c r="D201" s="93">
        <v>289</v>
      </c>
      <c r="E201" s="121">
        <v>11904</v>
      </c>
      <c r="F201" s="392">
        <v>0</v>
      </c>
      <c r="G201" s="413" t="s">
        <v>529</v>
      </c>
      <c r="H201" s="121">
        <v>11904</v>
      </c>
      <c r="I201" s="392">
        <v>0</v>
      </c>
      <c r="J201" s="392">
        <v>0</v>
      </c>
      <c r="K201" s="392">
        <v>0</v>
      </c>
      <c r="L201" s="121">
        <v>11904</v>
      </c>
      <c r="M201" s="420" t="s">
        <v>529</v>
      </c>
      <c r="N201" s="135"/>
    </row>
    <row r="202" spans="1:14" s="134" customFormat="1" ht="33.5" customHeight="1" x14ac:dyDescent="0.35">
      <c r="A202" s="93" t="s">
        <v>50</v>
      </c>
      <c r="B202" s="86" t="s">
        <v>186</v>
      </c>
      <c r="C202" s="85" t="s">
        <v>187</v>
      </c>
      <c r="D202" s="93">
        <v>279</v>
      </c>
      <c r="E202" s="121">
        <v>148711</v>
      </c>
      <c r="F202" s="121">
        <v>124059</v>
      </c>
      <c r="G202" s="413" t="s">
        <v>529</v>
      </c>
      <c r="H202" s="121">
        <v>24652</v>
      </c>
      <c r="I202" s="392">
        <v>0</v>
      </c>
      <c r="J202" s="392">
        <v>0</v>
      </c>
      <c r="K202" s="392">
        <v>0</v>
      </c>
      <c r="L202" s="121">
        <v>24652</v>
      </c>
      <c r="M202" s="420" t="s">
        <v>529</v>
      </c>
      <c r="N202" s="135"/>
    </row>
    <row r="203" spans="1:14" s="134" customFormat="1" ht="15.5" x14ac:dyDescent="0.35">
      <c r="A203" s="137" t="s">
        <v>212</v>
      </c>
      <c r="B203" s="429" t="s">
        <v>529</v>
      </c>
      <c r="C203" s="430" t="s">
        <v>529</v>
      </c>
      <c r="D203" s="409" t="s">
        <v>529</v>
      </c>
      <c r="E203" s="138">
        <f>SUBTOTAL(109,local200304[Program
Costs])</f>
        <v>160615</v>
      </c>
      <c r="F203" s="138">
        <f>SUBTOTAL(109,local200304[Less: Net Payments and Offsets 7])</f>
        <v>124059</v>
      </c>
      <c r="G203" s="414" t="s">
        <v>552</v>
      </c>
      <c r="H203" s="138">
        <f>SUBTOTAL(109,local200304[Accounts Payable
Balance])</f>
        <v>36556</v>
      </c>
      <c r="I203" s="407" t="s">
        <v>582</v>
      </c>
      <c r="J203" s="407" t="s">
        <v>582</v>
      </c>
      <c r="K203" s="407" t="s">
        <v>582</v>
      </c>
      <c r="L203" s="138">
        <f>SUBTOTAL(109,local200304[Net
Balance])</f>
        <v>36556</v>
      </c>
      <c r="M203" s="414" t="s">
        <v>552</v>
      </c>
      <c r="N203" s="135"/>
    </row>
    <row r="204" spans="1:14" s="134" customFormat="1" ht="15.5" x14ac:dyDescent="0.35">
      <c r="A204" s="386" t="s">
        <v>540</v>
      </c>
      <c r="B204" s="404"/>
      <c r="C204" s="135"/>
      <c r="D204" s="405"/>
      <c r="E204" s="406"/>
      <c r="F204" s="406"/>
      <c r="G204" s="406"/>
      <c r="H204" s="406"/>
      <c r="I204" s="406"/>
      <c r="J204" s="406"/>
      <c r="K204" s="406"/>
      <c r="L204" s="406"/>
      <c r="M204" s="406"/>
      <c r="N204" s="135"/>
    </row>
    <row r="205" spans="1:14" s="134" customFormat="1" ht="50" customHeight="1" x14ac:dyDescent="0.35">
      <c r="A205" s="299" t="s">
        <v>11</v>
      </c>
      <c r="B205" s="158" t="s">
        <v>12</v>
      </c>
      <c r="C205" s="158" t="s">
        <v>0</v>
      </c>
      <c r="D205" s="158" t="s">
        <v>132</v>
      </c>
      <c r="E205" s="422" t="s">
        <v>125</v>
      </c>
      <c r="F205" s="423" t="s">
        <v>607</v>
      </c>
      <c r="G205" s="424" t="s">
        <v>531</v>
      </c>
      <c r="H205" s="422" t="s">
        <v>495</v>
      </c>
      <c r="I205" s="422" t="s">
        <v>496</v>
      </c>
      <c r="J205" s="422" t="s">
        <v>134</v>
      </c>
      <c r="K205" s="422" t="s">
        <v>497</v>
      </c>
      <c r="L205" s="422" t="s">
        <v>133</v>
      </c>
      <c r="M205" s="425" t="s">
        <v>532</v>
      </c>
      <c r="N205" s="135"/>
    </row>
    <row r="206" spans="1:14" s="134" customFormat="1" ht="15" customHeight="1" x14ac:dyDescent="0.35">
      <c r="A206" s="93" t="s">
        <v>51</v>
      </c>
      <c r="B206" s="86" t="s">
        <v>153</v>
      </c>
      <c r="C206" s="85" t="s">
        <v>154</v>
      </c>
      <c r="D206" s="93">
        <v>289</v>
      </c>
      <c r="E206" s="121">
        <v>132994</v>
      </c>
      <c r="F206" s="392">
        <v>0</v>
      </c>
      <c r="G206" s="413" t="s">
        <v>529</v>
      </c>
      <c r="H206" s="121">
        <v>132994</v>
      </c>
      <c r="I206" s="392">
        <v>0</v>
      </c>
      <c r="J206" s="392">
        <v>0</v>
      </c>
      <c r="K206" s="392">
        <v>0</v>
      </c>
      <c r="L206" s="121">
        <v>132994</v>
      </c>
      <c r="M206" s="420" t="s">
        <v>529</v>
      </c>
      <c r="N206" s="135"/>
    </row>
    <row r="207" spans="1:14" s="134" customFormat="1" ht="29.5" customHeight="1" x14ac:dyDescent="0.35">
      <c r="A207" s="93" t="s">
        <v>51</v>
      </c>
      <c r="B207" s="86" t="s">
        <v>186</v>
      </c>
      <c r="C207" s="85" t="s">
        <v>187</v>
      </c>
      <c r="D207" s="93">
        <v>279</v>
      </c>
      <c r="E207" s="121">
        <v>135482</v>
      </c>
      <c r="F207" s="121">
        <v>112687</v>
      </c>
      <c r="G207" s="413" t="s">
        <v>529</v>
      </c>
      <c r="H207" s="121">
        <v>22795</v>
      </c>
      <c r="I207" s="392">
        <v>0</v>
      </c>
      <c r="J207" s="392">
        <v>0</v>
      </c>
      <c r="K207" s="392">
        <v>0</v>
      </c>
      <c r="L207" s="121">
        <v>22795</v>
      </c>
      <c r="M207" s="420" t="s">
        <v>529</v>
      </c>
      <c r="N207" s="135"/>
    </row>
    <row r="208" spans="1:14" s="134" customFormat="1" ht="15.5" x14ac:dyDescent="0.35">
      <c r="A208" s="137" t="s">
        <v>213</v>
      </c>
      <c r="B208" s="429" t="s">
        <v>529</v>
      </c>
      <c r="C208" s="430" t="s">
        <v>529</v>
      </c>
      <c r="D208" s="409" t="s">
        <v>529</v>
      </c>
      <c r="E208" s="138">
        <f>SUBTOTAL(109,local200203[Program
Costs])</f>
        <v>268476</v>
      </c>
      <c r="F208" s="138">
        <f>SUBTOTAL(109,local200203[Less: Net Payments and Offsets 7])</f>
        <v>112687</v>
      </c>
      <c r="G208" s="414" t="s">
        <v>552</v>
      </c>
      <c r="H208" s="138">
        <f>SUBTOTAL(109,local200203[Accounts Payable
Balance])</f>
        <v>155789</v>
      </c>
      <c r="I208" s="407" t="s">
        <v>582</v>
      </c>
      <c r="J208" s="407" t="s">
        <v>582</v>
      </c>
      <c r="K208" s="407" t="s">
        <v>582</v>
      </c>
      <c r="L208" s="138">
        <f>SUBTOTAL(109,local200203[Net
Balance])</f>
        <v>155789</v>
      </c>
      <c r="M208" s="414" t="s">
        <v>552</v>
      </c>
      <c r="N208" s="135"/>
    </row>
    <row r="209" spans="1:14" s="134" customFormat="1" ht="15.5" x14ac:dyDescent="0.35">
      <c r="A209" s="386" t="s">
        <v>540</v>
      </c>
      <c r="B209" s="139"/>
      <c r="C209" s="139"/>
      <c r="D209" s="139"/>
      <c r="E209" s="140"/>
      <c r="F209" s="140"/>
      <c r="G209" s="140"/>
      <c r="H209" s="140"/>
      <c r="I209" s="140"/>
      <c r="J209" s="140"/>
      <c r="K209" s="140"/>
      <c r="L209" s="140"/>
      <c r="M209" s="136"/>
      <c r="N209" s="135"/>
    </row>
    <row r="210" spans="1:14" s="134" customFormat="1" ht="50" customHeight="1" x14ac:dyDescent="0.35">
      <c r="A210" s="299" t="s">
        <v>11</v>
      </c>
      <c r="B210" s="158" t="s">
        <v>12</v>
      </c>
      <c r="C210" s="158" t="s">
        <v>0</v>
      </c>
      <c r="D210" s="158" t="s">
        <v>132</v>
      </c>
      <c r="E210" s="422" t="s">
        <v>125</v>
      </c>
      <c r="F210" s="423" t="s">
        <v>607</v>
      </c>
      <c r="G210" s="424" t="s">
        <v>531</v>
      </c>
      <c r="H210" s="422" t="s">
        <v>495</v>
      </c>
      <c r="I210" s="422" t="s">
        <v>496</v>
      </c>
      <c r="J210" s="422" t="s">
        <v>134</v>
      </c>
      <c r="K210" s="422" t="s">
        <v>497</v>
      </c>
      <c r="L210" s="422" t="s">
        <v>133</v>
      </c>
      <c r="M210" s="425" t="s">
        <v>532</v>
      </c>
      <c r="N210" s="135"/>
    </row>
    <row r="211" spans="1:14" s="134" customFormat="1" ht="15" customHeight="1" x14ac:dyDescent="0.35">
      <c r="A211" s="93" t="s">
        <v>52</v>
      </c>
      <c r="B211" s="86" t="s">
        <v>160</v>
      </c>
      <c r="C211" s="85" t="s">
        <v>161</v>
      </c>
      <c r="D211" s="93">
        <v>213</v>
      </c>
      <c r="E211" s="121">
        <v>14577947</v>
      </c>
      <c r="F211" s="121">
        <v>14577947</v>
      </c>
      <c r="G211" s="413" t="s">
        <v>529</v>
      </c>
      <c r="H211" s="392">
        <v>0</v>
      </c>
      <c r="I211" s="121">
        <v>25647</v>
      </c>
      <c r="J211" s="121">
        <v>18475</v>
      </c>
      <c r="K211" s="121">
        <v>7172</v>
      </c>
      <c r="L211" s="121">
        <v>-7172</v>
      </c>
      <c r="M211" s="420" t="s">
        <v>529</v>
      </c>
      <c r="N211" s="135"/>
    </row>
    <row r="212" spans="1:14" s="134" customFormat="1" ht="15.5" x14ac:dyDescent="0.35">
      <c r="A212" s="93" t="s">
        <v>52</v>
      </c>
      <c r="B212" s="86" t="s">
        <v>153</v>
      </c>
      <c r="C212" s="85" t="s">
        <v>154</v>
      </c>
      <c r="D212" s="93">
        <v>289</v>
      </c>
      <c r="E212" s="121">
        <v>116534</v>
      </c>
      <c r="F212" s="392">
        <v>0</v>
      </c>
      <c r="G212" s="413" t="s">
        <v>529</v>
      </c>
      <c r="H212" s="121">
        <v>116534</v>
      </c>
      <c r="I212" s="392">
        <v>0</v>
      </c>
      <c r="J212" s="392">
        <v>0</v>
      </c>
      <c r="K212" s="392">
        <v>0</v>
      </c>
      <c r="L212" s="121">
        <v>116534</v>
      </c>
      <c r="M212" s="420" t="s">
        <v>529</v>
      </c>
      <c r="N212" s="135"/>
    </row>
    <row r="213" spans="1:14" s="134" customFormat="1" ht="15" customHeight="1" x14ac:dyDescent="0.35">
      <c r="A213" s="93" t="s">
        <v>52</v>
      </c>
      <c r="B213" s="86" t="s">
        <v>214</v>
      </c>
      <c r="C213" s="85" t="s">
        <v>215</v>
      </c>
      <c r="D213" s="93">
        <v>161</v>
      </c>
      <c r="E213" s="121">
        <v>6083222</v>
      </c>
      <c r="F213" s="121">
        <v>6083222</v>
      </c>
      <c r="G213" s="413" t="s">
        <v>529</v>
      </c>
      <c r="H213" s="392">
        <v>0</v>
      </c>
      <c r="I213" s="121">
        <v>214181</v>
      </c>
      <c r="J213" s="121">
        <v>212019</v>
      </c>
      <c r="K213" s="121">
        <v>2162</v>
      </c>
      <c r="L213" s="121">
        <v>-2162</v>
      </c>
      <c r="M213" s="420" t="s">
        <v>529</v>
      </c>
      <c r="N213" s="135"/>
    </row>
    <row r="214" spans="1:14" s="134" customFormat="1" ht="30" customHeight="1" x14ac:dyDescent="0.35">
      <c r="A214" s="93" t="s">
        <v>52</v>
      </c>
      <c r="B214" s="86" t="s">
        <v>186</v>
      </c>
      <c r="C214" s="85" t="s">
        <v>187</v>
      </c>
      <c r="D214" s="93">
        <v>279</v>
      </c>
      <c r="E214" s="121">
        <v>73775</v>
      </c>
      <c r="F214" s="121">
        <v>62375</v>
      </c>
      <c r="G214" s="413" t="s">
        <v>529</v>
      </c>
      <c r="H214" s="121">
        <v>11400</v>
      </c>
      <c r="I214" s="392">
        <v>0</v>
      </c>
      <c r="J214" s="392">
        <v>0</v>
      </c>
      <c r="K214" s="392">
        <v>0</v>
      </c>
      <c r="L214" s="121">
        <v>11400</v>
      </c>
      <c r="M214" s="420" t="s">
        <v>529</v>
      </c>
      <c r="N214" s="135"/>
    </row>
    <row r="215" spans="1:14" s="134" customFormat="1" ht="15" customHeight="1" x14ac:dyDescent="0.35">
      <c r="A215" s="137" t="s">
        <v>216</v>
      </c>
      <c r="B215" s="429" t="s">
        <v>529</v>
      </c>
      <c r="C215" s="430" t="s">
        <v>529</v>
      </c>
      <c r="D215" s="409" t="s">
        <v>529</v>
      </c>
      <c r="E215" s="138">
        <f>SUBTOTAL(109,local200102[Program
Costs])</f>
        <v>20851478</v>
      </c>
      <c r="F215" s="138">
        <f>SUBTOTAL(109,local200102[Less: Net Payments and Offsets 7])</f>
        <v>20723544</v>
      </c>
      <c r="G215" s="414" t="s">
        <v>552</v>
      </c>
      <c r="H215" s="138">
        <f>SUBTOTAL(109,local200102[Accounts Payable
Balance])</f>
        <v>127934</v>
      </c>
      <c r="I215" s="138">
        <f>SUBTOTAL(109,local200102[Established
Accounts Receivable])</f>
        <v>239828</v>
      </c>
      <c r="J215" s="138">
        <f>SUBTOTAL(109,local200102[Less: Recovered Amount])</f>
        <v>230494</v>
      </c>
      <c r="K215" s="138">
        <f>SUBTOTAL(109,local200102[Accounts Receivable
Balance])</f>
        <v>9334</v>
      </c>
      <c r="L215" s="138">
        <f>SUBTOTAL(109,local200102[Net
Balance])</f>
        <v>118600</v>
      </c>
      <c r="M215" s="414" t="s">
        <v>552</v>
      </c>
      <c r="N215" s="135"/>
    </row>
    <row r="216" spans="1:14" s="134" customFormat="1" ht="15" customHeight="1" x14ac:dyDescent="0.35">
      <c r="A216" s="386" t="s">
        <v>540</v>
      </c>
      <c r="B216" s="139"/>
      <c r="C216" s="139"/>
      <c r="D216" s="139"/>
      <c r="E216" s="140"/>
      <c r="F216" s="140"/>
      <c r="G216" s="140"/>
      <c r="H216" s="140"/>
      <c r="I216" s="140"/>
      <c r="J216" s="140"/>
      <c r="K216" s="140"/>
      <c r="L216" s="140"/>
      <c r="M216" s="136"/>
      <c r="N216" s="135"/>
    </row>
    <row r="217" spans="1:14" s="134" customFormat="1" ht="50" customHeight="1" x14ac:dyDescent="0.35">
      <c r="A217" s="299" t="s">
        <v>11</v>
      </c>
      <c r="B217" s="158" t="s">
        <v>12</v>
      </c>
      <c r="C217" s="158" t="s">
        <v>0</v>
      </c>
      <c r="D217" s="158" t="s">
        <v>132</v>
      </c>
      <c r="E217" s="422" t="s">
        <v>125</v>
      </c>
      <c r="F217" s="423" t="s">
        <v>607</v>
      </c>
      <c r="G217" s="424" t="s">
        <v>531</v>
      </c>
      <c r="H217" s="422" t="s">
        <v>495</v>
      </c>
      <c r="I217" s="422" t="s">
        <v>496</v>
      </c>
      <c r="J217" s="422" t="s">
        <v>134</v>
      </c>
      <c r="K217" s="422" t="s">
        <v>497</v>
      </c>
      <c r="L217" s="422" t="s">
        <v>133</v>
      </c>
      <c r="M217" s="425" t="s">
        <v>532</v>
      </c>
      <c r="N217" s="135"/>
    </row>
    <row r="218" spans="1:14" s="134" customFormat="1" ht="15.5" x14ac:dyDescent="0.35">
      <c r="A218" s="93" t="s">
        <v>53</v>
      </c>
      <c r="B218" s="86" t="s">
        <v>153</v>
      </c>
      <c r="C218" s="85" t="s">
        <v>154</v>
      </c>
      <c r="D218" s="93">
        <v>289</v>
      </c>
      <c r="E218" s="121">
        <v>112301</v>
      </c>
      <c r="F218" s="392">
        <v>0</v>
      </c>
      <c r="G218" s="413" t="s">
        <v>529</v>
      </c>
      <c r="H218" s="121">
        <v>112301</v>
      </c>
      <c r="I218" s="392">
        <v>0</v>
      </c>
      <c r="J218" s="392">
        <v>0</v>
      </c>
      <c r="K218" s="392">
        <v>0</v>
      </c>
      <c r="L218" s="121">
        <v>112301</v>
      </c>
      <c r="M218" s="420" t="s">
        <v>529</v>
      </c>
      <c r="N218" s="135"/>
    </row>
    <row r="219" spans="1:14" s="134" customFormat="1" ht="15" customHeight="1" x14ac:dyDescent="0.35">
      <c r="A219" s="137" t="s">
        <v>217</v>
      </c>
      <c r="B219" s="429" t="s">
        <v>529</v>
      </c>
      <c r="C219" s="430" t="s">
        <v>529</v>
      </c>
      <c r="D219" s="409" t="s">
        <v>529</v>
      </c>
      <c r="E219" s="138">
        <f>SUBTOTAL(109,local200001[Program
Costs])</f>
        <v>112301</v>
      </c>
      <c r="F219" s="407" t="s">
        <v>582</v>
      </c>
      <c r="G219" s="414" t="s">
        <v>552</v>
      </c>
      <c r="H219" s="138">
        <f>SUBTOTAL(109,local200001[Accounts Payable
Balance])</f>
        <v>112301</v>
      </c>
      <c r="I219" s="407" t="s">
        <v>582</v>
      </c>
      <c r="J219" s="407" t="s">
        <v>582</v>
      </c>
      <c r="K219" s="407" t="s">
        <v>582</v>
      </c>
      <c r="L219" s="138">
        <f>SUBTOTAL(109,local200001[Net
Balance])</f>
        <v>112301</v>
      </c>
      <c r="M219" s="414" t="s">
        <v>552</v>
      </c>
      <c r="N219" s="135"/>
    </row>
    <row r="220" spans="1:14" s="134" customFormat="1" ht="15" customHeight="1" x14ac:dyDescent="0.35">
      <c r="A220" s="386" t="s">
        <v>540</v>
      </c>
      <c r="B220" s="139"/>
      <c r="C220" s="139"/>
      <c r="D220" s="139"/>
      <c r="E220" s="140"/>
      <c r="F220" s="140"/>
      <c r="G220" s="140"/>
      <c r="H220" s="140"/>
      <c r="I220" s="140"/>
      <c r="J220" s="140"/>
      <c r="K220" s="140"/>
      <c r="L220" s="140"/>
      <c r="M220" s="136"/>
      <c r="N220" s="135"/>
    </row>
    <row r="221" spans="1:14" s="134" customFormat="1" ht="50" customHeight="1" x14ac:dyDescent="0.35">
      <c r="A221" s="299" t="s">
        <v>11</v>
      </c>
      <c r="B221" s="158" t="s">
        <v>12</v>
      </c>
      <c r="C221" s="158" t="s">
        <v>0</v>
      </c>
      <c r="D221" s="158" t="s">
        <v>132</v>
      </c>
      <c r="E221" s="422" t="s">
        <v>125</v>
      </c>
      <c r="F221" s="423" t="s">
        <v>607</v>
      </c>
      <c r="G221" s="424" t="s">
        <v>531</v>
      </c>
      <c r="H221" s="422" t="s">
        <v>495</v>
      </c>
      <c r="I221" s="422" t="s">
        <v>496</v>
      </c>
      <c r="J221" s="422" t="s">
        <v>134</v>
      </c>
      <c r="K221" s="422" t="s">
        <v>497</v>
      </c>
      <c r="L221" s="422" t="s">
        <v>133</v>
      </c>
      <c r="M221" s="425" t="s">
        <v>532</v>
      </c>
      <c r="N221" s="135"/>
    </row>
    <row r="222" spans="1:14" s="134" customFormat="1" ht="15" customHeight="1" x14ac:dyDescent="0.35">
      <c r="A222" s="93" t="s">
        <v>54</v>
      </c>
      <c r="B222" s="86" t="s">
        <v>160</v>
      </c>
      <c r="C222" s="85" t="s">
        <v>161</v>
      </c>
      <c r="D222" s="93">
        <v>213</v>
      </c>
      <c r="E222" s="121">
        <v>13692831</v>
      </c>
      <c r="F222" s="121">
        <v>13692379</v>
      </c>
      <c r="G222" s="413" t="s">
        <v>529</v>
      </c>
      <c r="H222" s="121">
        <v>452</v>
      </c>
      <c r="I222" s="121">
        <v>3459493</v>
      </c>
      <c r="J222" s="121">
        <v>3459493</v>
      </c>
      <c r="K222" s="392">
        <v>0</v>
      </c>
      <c r="L222" s="121">
        <v>452</v>
      </c>
      <c r="M222" s="420" t="s">
        <v>529</v>
      </c>
      <c r="N222" s="135"/>
    </row>
    <row r="223" spans="1:14" s="134" customFormat="1" ht="15" customHeight="1" x14ac:dyDescent="0.35">
      <c r="A223" s="93" t="s">
        <v>54</v>
      </c>
      <c r="B223" s="86" t="s">
        <v>153</v>
      </c>
      <c r="C223" s="85" t="s">
        <v>154</v>
      </c>
      <c r="D223" s="93">
        <v>289</v>
      </c>
      <c r="E223" s="121">
        <v>32985</v>
      </c>
      <c r="F223" s="392">
        <v>0</v>
      </c>
      <c r="G223" s="413" t="s">
        <v>529</v>
      </c>
      <c r="H223" s="121">
        <v>32985</v>
      </c>
      <c r="I223" s="392">
        <v>0</v>
      </c>
      <c r="J223" s="392">
        <v>0</v>
      </c>
      <c r="K223" s="392">
        <v>0</v>
      </c>
      <c r="L223" s="121">
        <v>32985</v>
      </c>
      <c r="M223" s="420" t="s">
        <v>529</v>
      </c>
      <c r="N223" s="135"/>
    </row>
    <row r="224" spans="1:14" s="134" customFormat="1" ht="15.5" x14ac:dyDescent="0.35">
      <c r="A224" s="93" t="s">
        <v>54</v>
      </c>
      <c r="B224" s="86" t="s">
        <v>180</v>
      </c>
      <c r="C224" s="85" t="s">
        <v>181</v>
      </c>
      <c r="D224" s="93">
        <v>124</v>
      </c>
      <c r="E224" s="121">
        <v>811698</v>
      </c>
      <c r="F224" s="121">
        <v>811698</v>
      </c>
      <c r="G224" s="413" t="s">
        <v>529</v>
      </c>
      <c r="H224" s="392">
        <v>0</v>
      </c>
      <c r="I224" s="121">
        <v>1488386</v>
      </c>
      <c r="J224" s="121">
        <v>1402610</v>
      </c>
      <c r="K224" s="121">
        <v>85776</v>
      </c>
      <c r="L224" s="121">
        <v>-85776</v>
      </c>
      <c r="M224" s="420" t="s">
        <v>529</v>
      </c>
      <c r="N224" s="135"/>
    </row>
    <row r="225" spans="1:14" s="134" customFormat="1" ht="15" customHeight="1" x14ac:dyDescent="0.35">
      <c r="A225" s="93" t="s">
        <v>54</v>
      </c>
      <c r="B225" s="86" t="s">
        <v>218</v>
      </c>
      <c r="C225" s="85" t="s">
        <v>219</v>
      </c>
      <c r="D225" s="93">
        <v>180</v>
      </c>
      <c r="E225" s="121">
        <v>105659</v>
      </c>
      <c r="F225" s="121">
        <v>105659</v>
      </c>
      <c r="G225" s="413" t="s">
        <v>529</v>
      </c>
      <c r="H225" s="392">
        <v>0</v>
      </c>
      <c r="I225" s="121">
        <v>14707</v>
      </c>
      <c r="J225" s="121">
        <v>13726</v>
      </c>
      <c r="K225" s="121">
        <v>981</v>
      </c>
      <c r="L225" s="121">
        <v>-981</v>
      </c>
      <c r="M225" s="420" t="s">
        <v>529</v>
      </c>
      <c r="N225" s="135"/>
    </row>
    <row r="226" spans="1:14" s="134" customFormat="1" ht="15" customHeight="1" x14ac:dyDescent="0.35">
      <c r="A226" s="137" t="s">
        <v>220</v>
      </c>
      <c r="B226" s="429" t="s">
        <v>529</v>
      </c>
      <c r="C226" s="430" t="s">
        <v>529</v>
      </c>
      <c r="D226" s="409" t="s">
        <v>529</v>
      </c>
      <c r="E226" s="138">
        <f>SUBTOTAL(109,local199900[Program
Costs])</f>
        <v>14643173</v>
      </c>
      <c r="F226" s="138">
        <f>SUBTOTAL(109,local199900[Less: Net Payments and Offsets 7])</f>
        <v>14609736</v>
      </c>
      <c r="G226" s="414" t="s">
        <v>552</v>
      </c>
      <c r="H226" s="138">
        <f>SUBTOTAL(109,local199900[Accounts Payable
Balance])</f>
        <v>33437</v>
      </c>
      <c r="I226" s="138">
        <f>SUBTOTAL(109,local199900[Established
Accounts Receivable])</f>
        <v>4962586</v>
      </c>
      <c r="J226" s="138">
        <f>SUBTOTAL(109,local199900[Less: Recovered Amount])</f>
        <v>4875829</v>
      </c>
      <c r="K226" s="138">
        <f>SUBTOTAL(109,local199900[Accounts Receivable
Balance])</f>
        <v>86757</v>
      </c>
      <c r="L226" s="138">
        <f>SUBTOTAL(109,local199900[Net
Balance])</f>
        <v>-53320</v>
      </c>
      <c r="M226" s="414" t="s">
        <v>552</v>
      </c>
      <c r="N226" s="135"/>
    </row>
    <row r="227" spans="1:14" s="134" customFormat="1" ht="15" customHeight="1" x14ac:dyDescent="0.35">
      <c r="A227" s="386" t="s">
        <v>540</v>
      </c>
      <c r="B227" s="139"/>
      <c r="C227" s="139"/>
      <c r="D227" s="139"/>
      <c r="E227" s="140"/>
      <c r="F227" s="140"/>
      <c r="G227" s="140"/>
      <c r="H227" s="140"/>
      <c r="I227" s="140"/>
      <c r="J227" s="140"/>
      <c r="K227" s="140"/>
      <c r="L227" s="140"/>
      <c r="M227" s="136"/>
      <c r="N227" s="135"/>
    </row>
    <row r="228" spans="1:14" s="134" customFormat="1" ht="50" customHeight="1" x14ac:dyDescent="0.35">
      <c r="A228" s="299" t="s">
        <v>11</v>
      </c>
      <c r="B228" s="158" t="s">
        <v>12</v>
      </c>
      <c r="C228" s="158" t="s">
        <v>0</v>
      </c>
      <c r="D228" s="158" t="s">
        <v>132</v>
      </c>
      <c r="E228" s="422" t="s">
        <v>125</v>
      </c>
      <c r="F228" s="423" t="s">
        <v>607</v>
      </c>
      <c r="G228" s="424" t="s">
        <v>531</v>
      </c>
      <c r="H228" s="422" t="s">
        <v>495</v>
      </c>
      <c r="I228" s="422" t="s">
        <v>496</v>
      </c>
      <c r="J228" s="422" t="s">
        <v>134</v>
      </c>
      <c r="K228" s="422" t="s">
        <v>497</v>
      </c>
      <c r="L228" s="422" t="s">
        <v>133</v>
      </c>
      <c r="M228" s="425" t="s">
        <v>532</v>
      </c>
      <c r="N228" s="135"/>
    </row>
    <row r="229" spans="1:14" s="134" customFormat="1" ht="15.5" x14ac:dyDescent="0.35">
      <c r="A229" s="93" t="s">
        <v>221</v>
      </c>
      <c r="B229" s="86" t="s">
        <v>160</v>
      </c>
      <c r="C229" s="85" t="s">
        <v>161</v>
      </c>
      <c r="D229" s="93">
        <v>213</v>
      </c>
      <c r="E229" s="121">
        <v>2654301</v>
      </c>
      <c r="F229" s="121">
        <v>2613916</v>
      </c>
      <c r="G229" s="413" t="s">
        <v>529</v>
      </c>
      <c r="H229" s="121">
        <v>40385</v>
      </c>
      <c r="I229" s="121">
        <v>1280135</v>
      </c>
      <c r="J229" s="121">
        <v>1280135</v>
      </c>
      <c r="K229" s="392">
        <v>0</v>
      </c>
      <c r="L229" s="121">
        <v>40385</v>
      </c>
      <c r="M229" s="420" t="s">
        <v>529</v>
      </c>
      <c r="N229" s="135"/>
    </row>
    <row r="230" spans="1:14" s="134" customFormat="1" ht="15.5" x14ac:dyDescent="0.35">
      <c r="A230" s="93" t="s">
        <v>221</v>
      </c>
      <c r="B230" s="86" t="s">
        <v>222</v>
      </c>
      <c r="C230" s="85" t="s">
        <v>145</v>
      </c>
      <c r="D230" s="93">
        <v>49</v>
      </c>
      <c r="E230" s="121">
        <v>5316132</v>
      </c>
      <c r="F230" s="121">
        <v>5316132</v>
      </c>
      <c r="G230" s="413" t="s">
        <v>529</v>
      </c>
      <c r="H230" s="392">
        <v>0</v>
      </c>
      <c r="I230" s="121">
        <v>670665</v>
      </c>
      <c r="J230" s="121">
        <v>669938</v>
      </c>
      <c r="K230" s="121">
        <v>727</v>
      </c>
      <c r="L230" s="121">
        <v>-727</v>
      </c>
      <c r="M230" s="420" t="s">
        <v>529</v>
      </c>
      <c r="N230" s="135"/>
    </row>
    <row r="231" spans="1:14" s="134" customFormat="1" ht="15.5" x14ac:dyDescent="0.35">
      <c r="A231" s="93" t="s">
        <v>221</v>
      </c>
      <c r="B231" s="86" t="s">
        <v>223</v>
      </c>
      <c r="C231" s="85" t="s">
        <v>224</v>
      </c>
      <c r="D231" s="93">
        <v>55</v>
      </c>
      <c r="E231" s="121">
        <v>1323819</v>
      </c>
      <c r="F231" s="121">
        <v>1323819</v>
      </c>
      <c r="G231" s="413" t="s">
        <v>529</v>
      </c>
      <c r="H231" s="392">
        <v>0</v>
      </c>
      <c r="I231" s="121">
        <v>647104</v>
      </c>
      <c r="J231" s="121">
        <v>481403</v>
      </c>
      <c r="K231" s="121">
        <v>165701</v>
      </c>
      <c r="L231" s="121">
        <v>-165701</v>
      </c>
      <c r="M231" s="420" t="s">
        <v>529</v>
      </c>
      <c r="N231" s="135"/>
    </row>
    <row r="232" spans="1:14" ht="15.5" x14ac:dyDescent="0.35">
      <c r="A232" s="137" t="s">
        <v>225</v>
      </c>
      <c r="B232" s="429" t="s">
        <v>529</v>
      </c>
      <c r="C232" s="430" t="s">
        <v>529</v>
      </c>
      <c r="D232" s="409" t="s">
        <v>529</v>
      </c>
      <c r="E232" s="138">
        <f>SUBTOTAL(109,local199899[Program
Costs])</f>
        <v>9294252</v>
      </c>
      <c r="F232" s="138">
        <f>SUBTOTAL(109,local199899[Less: Net Payments and Offsets 7])</f>
        <v>9253867</v>
      </c>
      <c r="G232" s="414" t="s">
        <v>552</v>
      </c>
      <c r="H232" s="138">
        <f>SUBTOTAL(109,local199899[Accounts Payable
Balance])</f>
        <v>40385</v>
      </c>
      <c r="I232" s="138">
        <f>SUBTOTAL(109,local199899[Established
Accounts Receivable])</f>
        <v>2597904</v>
      </c>
      <c r="J232" s="138">
        <f>SUBTOTAL(109,local199899[Less: Recovered Amount])</f>
        <v>2431476</v>
      </c>
      <c r="K232" s="138">
        <f>SUBTOTAL(109,local199899[Accounts Receivable
Balance])</f>
        <v>166428</v>
      </c>
      <c r="L232" s="138">
        <f>SUBTOTAL(109,local199899[Net
Balance])</f>
        <v>-126043</v>
      </c>
      <c r="M232" s="414" t="s">
        <v>552</v>
      </c>
    </row>
    <row r="233" spans="1:14" ht="15.5" x14ac:dyDescent="0.35">
      <c r="A233" s="386" t="s">
        <v>540</v>
      </c>
      <c r="B233" s="404"/>
      <c r="C233" s="135"/>
      <c r="D233" s="405"/>
      <c r="E233" s="406"/>
      <c r="F233" s="406"/>
      <c r="G233" s="406"/>
      <c r="H233" s="406"/>
      <c r="I233" s="406"/>
      <c r="J233" s="406"/>
      <c r="K233" s="406"/>
      <c r="L233" s="406"/>
      <c r="M233" s="406"/>
    </row>
    <row r="234" spans="1:14" ht="50" customHeight="1" x14ac:dyDescent="0.35">
      <c r="A234" s="299" t="s">
        <v>11</v>
      </c>
      <c r="B234" s="158" t="s">
        <v>12</v>
      </c>
      <c r="C234" s="158" t="s">
        <v>0</v>
      </c>
      <c r="D234" s="158" t="s">
        <v>132</v>
      </c>
      <c r="E234" s="422" t="s">
        <v>125</v>
      </c>
      <c r="F234" s="423" t="s">
        <v>607</v>
      </c>
      <c r="G234" s="424" t="s">
        <v>531</v>
      </c>
      <c r="H234" s="422" t="s">
        <v>495</v>
      </c>
      <c r="I234" s="422" t="s">
        <v>496</v>
      </c>
      <c r="J234" s="422" t="s">
        <v>134</v>
      </c>
      <c r="K234" s="422" t="s">
        <v>497</v>
      </c>
      <c r="L234" s="422" t="s">
        <v>133</v>
      </c>
      <c r="M234" s="425" t="s">
        <v>532</v>
      </c>
    </row>
    <row r="235" spans="1:14" ht="15.5" x14ac:dyDescent="0.35">
      <c r="A235" s="93" t="s">
        <v>226</v>
      </c>
      <c r="B235" s="86" t="s">
        <v>155</v>
      </c>
      <c r="C235" s="85" t="s">
        <v>156</v>
      </c>
      <c r="D235" s="93">
        <v>41</v>
      </c>
      <c r="E235" s="121">
        <v>3841394</v>
      </c>
      <c r="F235" s="121">
        <v>3841394</v>
      </c>
      <c r="G235" s="413" t="s">
        <v>529</v>
      </c>
      <c r="H235" s="392">
        <v>0</v>
      </c>
      <c r="I235" s="121">
        <v>230325</v>
      </c>
      <c r="J235" s="121">
        <v>229212</v>
      </c>
      <c r="K235" s="121">
        <v>1113</v>
      </c>
      <c r="L235" s="121">
        <v>-1113</v>
      </c>
      <c r="M235" s="420" t="s">
        <v>529</v>
      </c>
    </row>
    <row r="236" spans="1:14" ht="15.5" x14ac:dyDescent="0.35">
      <c r="A236" s="93" t="s">
        <v>226</v>
      </c>
      <c r="B236" s="86" t="s">
        <v>222</v>
      </c>
      <c r="C236" s="85" t="s">
        <v>145</v>
      </c>
      <c r="D236" s="93">
        <v>49</v>
      </c>
      <c r="E236" s="121">
        <v>4707412</v>
      </c>
      <c r="F236" s="121">
        <v>4707412</v>
      </c>
      <c r="G236" s="413" t="s">
        <v>529</v>
      </c>
      <c r="H236" s="392">
        <v>0</v>
      </c>
      <c r="I236" s="121">
        <v>183902</v>
      </c>
      <c r="J236" s="121">
        <v>183169</v>
      </c>
      <c r="K236" s="121">
        <v>733</v>
      </c>
      <c r="L236" s="121">
        <v>-733</v>
      </c>
      <c r="M236" s="420" t="s">
        <v>529</v>
      </c>
    </row>
    <row r="237" spans="1:14" ht="15.5" x14ac:dyDescent="0.35">
      <c r="A237" s="137" t="s">
        <v>227</v>
      </c>
      <c r="B237" s="429" t="s">
        <v>529</v>
      </c>
      <c r="C237" s="430" t="s">
        <v>529</v>
      </c>
      <c r="D237" s="409" t="s">
        <v>529</v>
      </c>
      <c r="E237" s="138">
        <f>SUBTOTAL(109,local199798[Program
Costs])</f>
        <v>8548806</v>
      </c>
      <c r="F237" s="138">
        <f>SUBTOTAL(109,local199798[Less: Net Payments and Offsets 7])</f>
        <v>8548806</v>
      </c>
      <c r="G237" s="414" t="s">
        <v>552</v>
      </c>
      <c r="H237" s="407" t="s">
        <v>582</v>
      </c>
      <c r="I237" s="138">
        <f>SUBTOTAL(109,local199798[Established
Accounts Receivable])</f>
        <v>414227</v>
      </c>
      <c r="J237" s="138">
        <f>SUBTOTAL(109,local199798[Less: Recovered Amount])</f>
        <v>412381</v>
      </c>
      <c r="K237" s="138">
        <f>SUBTOTAL(109,local199798[Accounts Receivable
Balance])</f>
        <v>1846</v>
      </c>
      <c r="L237" s="138">
        <f>SUBTOTAL(109,local199798[Net
Balance])</f>
        <v>-1846</v>
      </c>
      <c r="M237" s="414" t="s">
        <v>552</v>
      </c>
    </row>
    <row r="238" spans="1:14" ht="15.5" x14ac:dyDescent="0.35">
      <c r="A238" s="386" t="s">
        <v>540</v>
      </c>
      <c r="B238" s="139"/>
      <c r="C238" s="139"/>
      <c r="D238" s="139"/>
      <c r="E238" s="140"/>
      <c r="F238" s="140"/>
      <c r="G238" s="140"/>
      <c r="H238" s="140"/>
      <c r="I238" s="140"/>
      <c r="J238" s="140"/>
      <c r="K238" s="140"/>
      <c r="L238" s="140"/>
      <c r="M238" s="136"/>
    </row>
    <row r="239" spans="1:14" ht="50" customHeight="1" x14ac:dyDescent="0.35">
      <c r="A239" s="299" t="s">
        <v>11</v>
      </c>
      <c r="B239" s="158" t="s">
        <v>12</v>
      </c>
      <c r="C239" s="158" t="s">
        <v>0</v>
      </c>
      <c r="D239" s="158" t="s">
        <v>132</v>
      </c>
      <c r="E239" s="422" t="s">
        <v>125</v>
      </c>
      <c r="F239" s="423" t="s">
        <v>607</v>
      </c>
      <c r="G239" s="424" t="s">
        <v>531</v>
      </c>
      <c r="H239" s="422" t="s">
        <v>495</v>
      </c>
      <c r="I239" s="422" t="s">
        <v>496</v>
      </c>
      <c r="J239" s="422" t="s">
        <v>134</v>
      </c>
      <c r="K239" s="422" t="s">
        <v>497</v>
      </c>
      <c r="L239" s="422" t="s">
        <v>133</v>
      </c>
      <c r="M239" s="425" t="s">
        <v>532</v>
      </c>
    </row>
    <row r="240" spans="1:14" ht="15.5" x14ac:dyDescent="0.35">
      <c r="A240" s="93" t="s">
        <v>228</v>
      </c>
      <c r="B240" s="86" t="s">
        <v>155</v>
      </c>
      <c r="C240" s="85" t="s">
        <v>156</v>
      </c>
      <c r="D240" s="93">
        <v>41</v>
      </c>
      <c r="E240" s="121">
        <v>3560480</v>
      </c>
      <c r="F240" s="121">
        <v>3560480</v>
      </c>
      <c r="G240" s="413" t="s">
        <v>529</v>
      </c>
      <c r="H240" s="392">
        <v>0</v>
      </c>
      <c r="I240" s="121">
        <v>319940</v>
      </c>
      <c r="J240" s="121">
        <v>319763</v>
      </c>
      <c r="K240" s="121">
        <v>177</v>
      </c>
      <c r="L240" s="121">
        <v>-177</v>
      </c>
      <c r="M240" s="420" t="s">
        <v>529</v>
      </c>
    </row>
    <row r="241" spans="1:13" ht="15.5" x14ac:dyDescent="0.35">
      <c r="A241" s="137" t="s">
        <v>229</v>
      </c>
      <c r="B241" s="429" t="s">
        <v>529</v>
      </c>
      <c r="C241" s="430" t="s">
        <v>529</v>
      </c>
      <c r="D241" s="409" t="s">
        <v>529</v>
      </c>
      <c r="E241" s="138">
        <f>SUBTOTAL(109,local199697[Program
Costs])</f>
        <v>3560480</v>
      </c>
      <c r="F241" s="138">
        <f>SUBTOTAL(109,local199697[Less: Net Payments and Offsets 7])</f>
        <v>3560480</v>
      </c>
      <c r="G241" s="414" t="s">
        <v>552</v>
      </c>
      <c r="H241" s="407" t="s">
        <v>582</v>
      </c>
      <c r="I241" s="138">
        <f>SUBTOTAL(109,local199697[Established
Accounts Receivable])</f>
        <v>319940</v>
      </c>
      <c r="J241" s="138">
        <f>SUBTOTAL(109,local199697[Less: Recovered Amount])</f>
        <v>319763</v>
      </c>
      <c r="K241" s="138">
        <f>SUBTOTAL(109,local199697[Accounts Receivable
Balance])</f>
        <v>177</v>
      </c>
      <c r="L241" s="138">
        <f>SUBTOTAL(109,local199697[Net
Balance])</f>
        <v>-177</v>
      </c>
      <c r="M241" s="414" t="s">
        <v>552</v>
      </c>
    </row>
    <row r="242" spans="1:13" ht="15.5" x14ac:dyDescent="0.35">
      <c r="A242" s="386" t="s">
        <v>540</v>
      </c>
      <c r="B242" s="139"/>
      <c r="C242" s="139"/>
      <c r="D242" s="139"/>
      <c r="E242" s="140"/>
      <c r="F242" s="140"/>
      <c r="G242" s="140"/>
      <c r="H242" s="140"/>
      <c r="I242" s="140"/>
      <c r="J242" s="140"/>
      <c r="K242" s="140"/>
      <c r="L242" s="140"/>
      <c r="M242" s="136"/>
    </row>
    <row r="243" spans="1:13" ht="50" customHeight="1" x14ac:dyDescent="0.35">
      <c r="A243" s="299" t="s">
        <v>11</v>
      </c>
      <c r="B243" s="158" t="s">
        <v>12</v>
      </c>
      <c r="C243" s="158" t="s">
        <v>0</v>
      </c>
      <c r="D243" s="158" t="s">
        <v>132</v>
      </c>
      <c r="E243" s="422" t="s">
        <v>125</v>
      </c>
      <c r="F243" s="423" t="s">
        <v>607</v>
      </c>
      <c r="G243" s="424" t="s">
        <v>531</v>
      </c>
      <c r="H243" s="422" t="s">
        <v>495</v>
      </c>
      <c r="I243" s="422" t="s">
        <v>496</v>
      </c>
      <c r="J243" s="422" t="s">
        <v>134</v>
      </c>
      <c r="K243" s="422" t="s">
        <v>497</v>
      </c>
      <c r="L243" s="422" t="s">
        <v>133</v>
      </c>
      <c r="M243" s="425" t="s">
        <v>532</v>
      </c>
    </row>
    <row r="244" spans="1:13" ht="15.5" x14ac:dyDescent="0.35">
      <c r="A244" s="93" t="s">
        <v>230</v>
      </c>
      <c r="B244" s="86" t="s">
        <v>155</v>
      </c>
      <c r="C244" s="85" t="s">
        <v>156</v>
      </c>
      <c r="D244" s="93">
        <v>41</v>
      </c>
      <c r="E244" s="121">
        <v>2968144</v>
      </c>
      <c r="F244" s="121">
        <v>2968144</v>
      </c>
      <c r="G244" s="413" t="s">
        <v>529</v>
      </c>
      <c r="H244" s="392">
        <v>0</v>
      </c>
      <c r="I244" s="121">
        <v>661263</v>
      </c>
      <c r="J244" s="121">
        <v>657646</v>
      </c>
      <c r="K244" s="121">
        <v>3617</v>
      </c>
      <c r="L244" s="121">
        <v>-3617</v>
      </c>
      <c r="M244" s="420" t="s">
        <v>529</v>
      </c>
    </row>
    <row r="245" spans="1:13" ht="15.5" x14ac:dyDescent="0.35">
      <c r="A245" s="93" t="s">
        <v>230</v>
      </c>
      <c r="B245" s="86" t="s">
        <v>222</v>
      </c>
      <c r="C245" s="85" t="s">
        <v>145</v>
      </c>
      <c r="D245" s="93">
        <v>49</v>
      </c>
      <c r="E245" s="121">
        <v>3690222</v>
      </c>
      <c r="F245" s="121">
        <v>3690222</v>
      </c>
      <c r="G245" s="413" t="s">
        <v>529</v>
      </c>
      <c r="H245" s="392">
        <v>0</v>
      </c>
      <c r="I245" s="121">
        <v>870559</v>
      </c>
      <c r="J245" s="121">
        <v>867771</v>
      </c>
      <c r="K245" s="121">
        <v>2788</v>
      </c>
      <c r="L245" s="121">
        <v>-2788</v>
      </c>
      <c r="M245" s="420" t="s">
        <v>529</v>
      </c>
    </row>
    <row r="246" spans="1:13" ht="15.5" x14ac:dyDescent="0.35">
      <c r="A246" s="137" t="s">
        <v>231</v>
      </c>
      <c r="B246" s="429" t="s">
        <v>529</v>
      </c>
      <c r="C246" s="430" t="s">
        <v>529</v>
      </c>
      <c r="D246" s="409" t="s">
        <v>529</v>
      </c>
      <c r="E246" s="138">
        <f>SUBTOTAL(109,local199596[Program
Costs])</f>
        <v>6658366</v>
      </c>
      <c r="F246" s="138">
        <f>SUBTOTAL(109,local199596[Less: Net Payments and Offsets 7])</f>
        <v>6658366</v>
      </c>
      <c r="G246" s="414" t="s">
        <v>552</v>
      </c>
      <c r="H246" s="407" t="s">
        <v>582</v>
      </c>
      <c r="I246" s="138">
        <f>SUBTOTAL(109,local199596[Established
Accounts Receivable])</f>
        <v>1531822</v>
      </c>
      <c r="J246" s="138">
        <f>SUBTOTAL(109,local199596[Less: Recovered Amount])</f>
        <v>1525417</v>
      </c>
      <c r="K246" s="138">
        <f>SUBTOTAL(109,local199596[Accounts Receivable
Balance])</f>
        <v>6405</v>
      </c>
      <c r="L246" s="138">
        <f>SUBTOTAL(109,local199596[Net
Balance])</f>
        <v>-6405</v>
      </c>
      <c r="M246" s="414" t="s">
        <v>552</v>
      </c>
    </row>
    <row r="247" spans="1:13" ht="15.5" x14ac:dyDescent="0.35">
      <c r="A247" s="386" t="s">
        <v>540</v>
      </c>
      <c r="B247" s="139"/>
      <c r="C247" s="139"/>
      <c r="D247" s="139"/>
      <c r="E247" s="140"/>
      <c r="F247" s="140"/>
      <c r="G247" s="140"/>
      <c r="H247" s="140"/>
      <c r="I247" s="140"/>
      <c r="J247" s="140"/>
      <c r="K247" s="140"/>
      <c r="L247" s="140"/>
      <c r="M247" s="136"/>
    </row>
    <row r="248" spans="1:13" ht="50" customHeight="1" x14ac:dyDescent="0.35">
      <c r="A248" s="299" t="s">
        <v>11</v>
      </c>
      <c r="B248" s="158" t="s">
        <v>12</v>
      </c>
      <c r="C248" s="158" t="s">
        <v>0</v>
      </c>
      <c r="D248" s="158" t="s">
        <v>132</v>
      </c>
      <c r="E248" s="422" t="s">
        <v>125</v>
      </c>
      <c r="F248" s="423" t="s">
        <v>607</v>
      </c>
      <c r="G248" s="424" t="s">
        <v>531</v>
      </c>
      <c r="H248" s="422" t="s">
        <v>495</v>
      </c>
      <c r="I248" s="422" t="s">
        <v>496</v>
      </c>
      <c r="J248" s="422" t="s">
        <v>134</v>
      </c>
      <c r="K248" s="422" t="s">
        <v>497</v>
      </c>
      <c r="L248" s="422" t="s">
        <v>133</v>
      </c>
      <c r="M248" s="425" t="s">
        <v>532</v>
      </c>
    </row>
    <row r="249" spans="1:13" ht="15.5" x14ac:dyDescent="0.35">
      <c r="A249" s="93" t="s">
        <v>232</v>
      </c>
      <c r="B249" s="86" t="s">
        <v>155</v>
      </c>
      <c r="C249" s="85" t="s">
        <v>156</v>
      </c>
      <c r="D249" s="93">
        <v>41</v>
      </c>
      <c r="E249" s="121">
        <v>3097183</v>
      </c>
      <c r="F249" s="121">
        <v>3097183</v>
      </c>
      <c r="G249" s="413" t="s">
        <v>529</v>
      </c>
      <c r="H249" s="392">
        <v>0</v>
      </c>
      <c r="I249" s="121">
        <v>201105</v>
      </c>
      <c r="J249" s="121">
        <v>200520</v>
      </c>
      <c r="K249" s="121">
        <v>585</v>
      </c>
      <c r="L249" s="121">
        <v>-585</v>
      </c>
      <c r="M249" s="420" t="s">
        <v>529</v>
      </c>
    </row>
    <row r="250" spans="1:13" ht="15.5" x14ac:dyDescent="0.35">
      <c r="A250" s="137" t="s">
        <v>233</v>
      </c>
      <c r="B250" s="429" t="s">
        <v>529</v>
      </c>
      <c r="C250" s="430" t="s">
        <v>529</v>
      </c>
      <c r="D250" s="409" t="s">
        <v>529</v>
      </c>
      <c r="E250" s="138">
        <f>SUBTOTAL(109,local199495[Program
Costs])</f>
        <v>3097183</v>
      </c>
      <c r="F250" s="138">
        <f>SUBTOTAL(109,local199495[Less: Net Payments and Offsets 7])</f>
        <v>3097183</v>
      </c>
      <c r="G250" s="414" t="s">
        <v>552</v>
      </c>
      <c r="H250" s="407" t="s">
        <v>582</v>
      </c>
      <c r="I250" s="138">
        <f>SUBTOTAL(109,local199495[Established
Accounts Receivable])</f>
        <v>201105</v>
      </c>
      <c r="J250" s="138">
        <f>SUBTOTAL(109,local199495[Less: Recovered Amount])</f>
        <v>200520</v>
      </c>
      <c r="K250" s="138">
        <f>SUBTOTAL(109,local199495[Accounts Receivable
Balance])</f>
        <v>585</v>
      </c>
      <c r="L250" s="138">
        <f>SUBTOTAL(109,local199495[Net
Balance])</f>
        <v>-585</v>
      </c>
      <c r="M250" s="414" t="s">
        <v>552</v>
      </c>
    </row>
    <row r="251" spans="1:13" ht="15.5" x14ac:dyDescent="0.35">
      <c r="A251" s="386" t="s">
        <v>540</v>
      </c>
      <c r="B251" s="139"/>
      <c r="C251" s="139"/>
      <c r="D251" s="139"/>
      <c r="E251" s="140"/>
      <c r="F251" s="140"/>
      <c r="G251" s="140"/>
      <c r="H251" s="140"/>
      <c r="I251" s="140"/>
      <c r="J251" s="140"/>
      <c r="K251" s="140"/>
      <c r="L251" s="140"/>
      <c r="M251" s="136"/>
    </row>
    <row r="252" spans="1:13" ht="50" customHeight="1" x14ac:dyDescent="0.35">
      <c r="A252" s="299" t="s">
        <v>11</v>
      </c>
      <c r="B252" s="158" t="s">
        <v>12</v>
      </c>
      <c r="C252" s="158" t="s">
        <v>0</v>
      </c>
      <c r="D252" s="158" t="s">
        <v>132</v>
      </c>
      <c r="E252" s="422" t="s">
        <v>125</v>
      </c>
      <c r="F252" s="423" t="s">
        <v>607</v>
      </c>
      <c r="G252" s="424" t="s">
        <v>531</v>
      </c>
      <c r="H252" s="422" t="s">
        <v>495</v>
      </c>
      <c r="I252" s="422" t="s">
        <v>496</v>
      </c>
      <c r="J252" s="422" t="s">
        <v>134</v>
      </c>
      <c r="K252" s="422" t="s">
        <v>497</v>
      </c>
      <c r="L252" s="422" t="s">
        <v>133</v>
      </c>
      <c r="M252" s="425" t="s">
        <v>532</v>
      </c>
    </row>
    <row r="253" spans="1:13" ht="15.5" x14ac:dyDescent="0.35">
      <c r="A253" s="93" t="s">
        <v>234</v>
      </c>
      <c r="B253" s="86" t="s">
        <v>222</v>
      </c>
      <c r="C253" s="85" t="s">
        <v>145</v>
      </c>
      <c r="D253" s="93">
        <v>49</v>
      </c>
      <c r="E253" s="121">
        <v>4970992</v>
      </c>
      <c r="F253" s="121">
        <v>4970992</v>
      </c>
      <c r="G253" s="413" t="s">
        <v>529</v>
      </c>
      <c r="H253" s="392">
        <v>0</v>
      </c>
      <c r="I253" s="121">
        <v>713</v>
      </c>
      <c r="J253" s="392">
        <v>0</v>
      </c>
      <c r="K253" s="121">
        <v>713</v>
      </c>
      <c r="L253" s="121">
        <v>-713</v>
      </c>
      <c r="M253" s="420" t="s">
        <v>529</v>
      </c>
    </row>
    <row r="254" spans="1:13" ht="15.5" x14ac:dyDescent="0.35">
      <c r="A254" s="93" t="s">
        <v>234</v>
      </c>
      <c r="B254" s="86" t="s">
        <v>235</v>
      </c>
      <c r="C254" s="85" t="s">
        <v>236</v>
      </c>
      <c r="D254" s="93">
        <v>24</v>
      </c>
      <c r="E254" s="121">
        <v>722127</v>
      </c>
      <c r="F254" s="121">
        <v>722127</v>
      </c>
      <c r="G254" s="413" t="s">
        <v>529</v>
      </c>
      <c r="H254" s="392">
        <v>0</v>
      </c>
      <c r="I254" s="121">
        <v>2253</v>
      </c>
      <c r="J254" s="392">
        <v>0</v>
      </c>
      <c r="K254" s="121">
        <v>2253</v>
      </c>
      <c r="L254" s="121">
        <v>-2253</v>
      </c>
      <c r="M254" s="420" t="s">
        <v>529</v>
      </c>
    </row>
    <row r="255" spans="1:13" ht="15.5" x14ac:dyDescent="0.35">
      <c r="A255" s="137" t="s">
        <v>237</v>
      </c>
      <c r="B255" s="429" t="s">
        <v>529</v>
      </c>
      <c r="C255" s="430" t="s">
        <v>529</v>
      </c>
      <c r="D255" s="409" t="s">
        <v>529</v>
      </c>
      <c r="E255" s="138">
        <f>SUBTOTAL(109,local199293[Program
Costs])</f>
        <v>5693119</v>
      </c>
      <c r="F255" s="138">
        <f>SUBTOTAL(109,local199293[Less: Net Payments and Offsets 7])</f>
        <v>5693119</v>
      </c>
      <c r="G255" s="414" t="s">
        <v>552</v>
      </c>
      <c r="H255" s="407" t="s">
        <v>582</v>
      </c>
      <c r="I255" s="138">
        <f>SUBTOTAL(109,local199293[Established
Accounts Receivable])</f>
        <v>2966</v>
      </c>
      <c r="J255" s="407" t="s">
        <v>582</v>
      </c>
      <c r="K255" s="138">
        <f>SUBTOTAL(109,local199293[Accounts Receivable
Balance])</f>
        <v>2966</v>
      </c>
      <c r="L255" s="138">
        <f>SUBTOTAL(109,local199293[Net
Balance])</f>
        <v>-2966</v>
      </c>
      <c r="M255" s="414" t="s">
        <v>552</v>
      </c>
    </row>
    <row r="256" spans="1:13" ht="15.5" x14ac:dyDescent="0.35">
      <c r="A256" s="386" t="s">
        <v>540</v>
      </c>
      <c r="B256" s="139"/>
      <c r="C256" s="139"/>
      <c r="D256" s="139"/>
      <c r="E256" s="140"/>
      <c r="F256" s="140"/>
      <c r="G256" s="140"/>
      <c r="H256" s="140"/>
      <c r="I256" s="140"/>
      <c r="J256" s="140"/>
      <c r="K256" s="140"/>
      <c r="L256" s="140"/>
      <c r="M256" s="136"/>
    </row>
    <row r="257" spans="1:13" ht="50" customHeight="1" x14ac:dyDescent="0.35">
      <c r="A257" s="299" t="s">
        <v>11</v>
      </c>
      <c r="B257" s="158" t="s">
        <v>12</v>
      </c>
      <c r="C257" s="158" t="s">
        <v>0</v>
      </c>
      <c r="D257" s="158" t="s">
        <v>132</v>
      </c>
      <c r="E257" s="422" t="s">
        <v>125</v>
      </c>
      <c r="F257" s="423" t="s">
        <v>607</v>
      </c>
      <c r="G257" s="424" t="s">
        <v>531</v>
      </c>
      <c r="H257" s="422" t="s">
        <v>495</v>
      </c>
      <c r="I257" s="422" t="s">
        <v>496</v>
      </c>
      <c r="J257" s="422" t="s">
        <v>134</v>
      </c>
      <c r="K257" s="422" t="s">
        <v>497</v>
      </c>
      <c r="L257" s="422" t="s">
        <v>133</v>
      </c>
      <c r="M257" s="425" t="s">
        <v>532</v>
      </c>
    </row>
    <row r="258" spans="1:13" ht="15.5" x14ac:dyDescent="0.35">
      <c r="A258" s="93" t="s">
        <v>238</v>
      </c>
      <c r="B258" s="86" t="s">
        <v>155</v>
      </c>
      <c r="C258" s="85" t="s">
        <v>156</v>
      </c>
      <c r="D258" s="93">
        <v>41</v>
      </c>
      <c r="E258" s="121">
        <v>2102143</v>
      </c>
      <c r="F258" s="121">
        <v>2102143</v>
      </c>
      <c r="G258" s="413" t="s">
        <v>529</v>
      </c>
      <c r="H258" s="392">
        <v>0</v>
      </c>
      <c r="I258" s="121">
        <v>153432</v>
      </c>
      <c r="J258" s="121">
        <v>114504</v>
      </c>
      <c r="K258" s="121">
        <v>38928</v>
      </c>
      <c r="L258" s="121">
        <v>-38928</v>
      </c>
      <c r="M258" s="420" t="s">
        <v>529</v>
      </c>
    </row>
    <row r="259" spans="1:13" ht="15.5" x14ac:dyDescent="0.35">
      <c r="A259" s="93" t="s">
        <v>238</v>
      </c>
      <c r="B259" s="86" t="s">
        <v>222</v>
      </c>
      <c r="C259" s="85" t="s">
        <v>145</v>
      </c>
      <c r="D259" s="93">
        <v>49</v>
      </c>
      <c r="E259" s="121">
        <v>5350067</v>
      </c>
      <c r="F259" s="121">
        <v>5350067</v>
      </c>
      <c r="G259" s="413" t="s">
        <v>529</v>
      </c>
      <c r="H259" s="392">
        <v>0</v>
      </c>
      <c r="I259" s="121">
        <v>48328</v>
      </c>
      <c r="J259" s="121">
        <v>47747</v>
      </c>
      <c r="K259" s="121">
        <v>581</v>
      </c>
      <c r="L259" s="121">
        <v>-581</v>
      </c>
      <c r="M259" s="420" t="s">
        <v>529</v>
      </c>
    </row>
    <row r="260" spans="1:13" ht="31" x14ac:dyDescent="0.35">
      <c r="A260" s="93" t="s">
        <v>238</v>
      </c>
      <c r="B260" s="86" t="s">
        <v>239</v>
      </c>
      <c r="C260" s="85" t="s">
        <v>240</v>
      </c>
      <c r="D260" s="93">
        <v>64</v>
      </c>
      <c r="E260" s="121">
        <v>7349099</v>
      </c>
      <c r="F260" s="121">
        <v>7349099</v>
      </c>
      <c r="G260" s="413" t="s">
        <v>529</v>
      </c>
      <c r="H260" s="392">
        <v>0</v>
      </c>
      <c r="I260" s="121">
        <v>293279</v>
      </c>
      <c r="J260" s="121">
        <v>284557</v>
      </c>
      <c r="K260" s="121">
        <v>8722</v>
      </c>
      <c r="L260" s="438">
        <v>-8722</v>
      </c>
      <c r="M260" s="420" t="s">
        <v>529</v>
      </c>
    </row>
    <row r="261" spans="1:13" ht="15.5" x14ac:dyDescent="0.35">
      <c r="A261" s="137" t="s">
        <v>241</v>
      </c>
      <c r="B261" s="429" t="s">
        <v>529</v>
      </c>
      <c r="C261" s="430" t="s">
        <v>529</v>
      </c>
      <c r="D261" s="409" t="s">
        <v>529</v>
      </c>
      <c r="E261" s="138">
        <f>SUBTOTAL(109,local199192[Program
Costs])</f>
        <v>14801309</v>
      </c>
      <c r="F261" s="138">
        <f>SUBTOTAL(109,local199192[Less: Net Payments and Offsets 7])</f>
        <v>14801309</v>
      </c>
      <c r="G261" s="414" t="s">
        <v>552</v>
      </c>
      <c r="H261" s="407" t="s">
        <v>582</v>
      </c>
      <c r="I261" s="138">
        <f>SUBTOTAL(109,local199192[Established
Accounts Receivable])</f>
        <v>495039</v>
      </c>
      <c r="J261" s="138">
        <f>SUBTOTAL(109,local199192[Less: Recovered Amount])</f>
        <v>446808</v>
      </c>
      <c r="K261" s="138">
        <f>SUBTOTAL(109,local199192[Accounts Receivable
Balance])</f>
        <v>48231</v>
      </c>
      <c r="L261" s="138">
        <f>SUBTOTAL(109,local199192[Net
Balance])</f>
        <v>-48231</v>
      </c>
      <c r="M261" s="414" t="s">
        <v>552</v>
      </c>
    </row>
    <row r="262" spans="1:13" ht="15.5" x14ac:dyDescent="0.35">
      <c r="A262" s="386" t="s">
        <v>540</v>
      </c>
      <c r="B262" s="404"/>
      <c r="C262" s="135"/>
      <c r="D262" s="405"/>
      <c r="E262" s="406"/>
      <c r="F262" s="406"/>
      <c r="G262" s="406"/>
      <c r="H262" s="406"/>
      <c r="I262" s="406"/>
      <c r="J262" s="406"/>
      <c r="K262" s="406"/>
      <c r="L262" s="406"/>
      <c r="M262" s="406"/>
    </row>
    <row r="263" spans="1:13" ht="50" customHeight="1" x14ac:dyDescent="0.35">
      <c r="A263" s="299" t="s">
        <v>11</v>
      </c>
      <c r="B263" s="158" t="s">
        <v>12</v>
      </c>
      <c r="C263" s="158" t="s">
        <v>0</v>
      </c>
      <c r="D263" s="158" t="s">
        <v>132</v>
      </c>
      <c r="E263" s="422" t="s">
        <v>125</v>
      </c>
      <c r="F263" s="423" t="s">
        <v>607</v>
      </c>
      <c r="G263" s="424" t="s">
        <v>531</v>
      </c>
      <c r="H263" s="422" t="s">
        <v>495</v>
      </c>
      <c r="I263" s="422" t="s">
        <v>496</v>
      </c>
      <c r="J263" s="422" t="s">
        <v>134</v>
      </c>
      <c r="K263" s="422" t="s">
        <v>497</v>
      </c>
      <c r="L263" s="422" t="s">
        <v>133</v>
      </c>
      <c r="M263" s="425" t="s">
        <v>532</v>
      </c>
    </row>
    <row r="264" spans="1:13" ht="15.5" x14ac:dyDescent="0.35">
      <c r="A264" s="93" t="s">
        <v>414</v>
      </c>
      <c r="B264" s="306" t="s">
        <v>529</v>
      </c>
      <c r="C264" s="306" t="s">
        <v>529</v>
      </c>
      <c r="D264" s="306" t="s">
        <v>529</v>
      </c>
      <c r="E264" s="438">
        <f>local201819[[#Totals],[Program
Costs]]</f>
        <v>54472127</v>
      </c>
      <c r="F264" s="440" t="str">
        <f>local201819[[#Totals],[Less: Net Payments and Offsets 7]]</f>
        <v xml:space="preserve">$0 </v>
      </c>
      <c r="G264" s="441" t="s">
        <v>529</v>
      </c>
      <c r="H264" s="438">
        <f>local201819[[#Totals],[Accounts Payable
Balance]]</f>
        <v>54472127</v>
      </c>
      <c r="I264" s="440" t="str">
        <f>local201819[[#Totals],[Established
Accounts Receivable]]</f>
        <v xml:space="preserve">$0 </v>
      </c>
      <c r="J264" s="440" t="str">
        <f>local201819[[#Totals],[Established
Accounts Receivable]]</f>
        <v xml:space="preserve">$0 </v>
      </c>
      <c r="K264" s="440" t="str">
        <f>local201819[[#Totals],[Established
Accounts Receivable]]</f>
        <v xml:space="preserve">$0 </v>
      </c>
      <c r="L264" s="438">
        <f>local201819[[#Totals],[Net
Balance]]</f>
        <v>54472127</v>
      </c>
      <c r="M264" s="415" t="s">
        <v>529</v>
      </c>
    </row>
    <row r="265" spans="1:13" ht="15.5" x14ac:dyDescent="0.35">
      <c r="A265" s="93" t="s">
        <v>399</v>
      </c>
      <c r="B265" s="306" t="s">
        <v>529</v>
      </c>
      <c r="C265" s="306" t="s">
        <v>529</v>
      </c>
      <c r="D265" s="306" t="s">
        <v>529</v>
      </c>
      <c r="E265" s="438">
        <f>local201718[[#Totals],[Program
Costs]]</f>
        <v>41228912</v>
      </c>
      <c r="F265" s="438">
        <f>local201718[[#Totals],[Less: Net Payments and Offsets 7]]</f>
        <v>33465353</v>
      </c>
      <c r="G265" s="441" t="s">
        <v>529</v>
      </c>
      <c r="H265" s="438">
        <f>local201718[[#Totals],[Accounts Payable
Balance]]</f>
        <v>7763559</v>
      </c>
      <c r="I265" s="438">
        <f>local201718[[#Totals],[Established
Accounts Receivable]]</f>
        <v>52623</v>
      </c>
      <c r="J265" s="438">
        <f>local201718[[#Totals],[Less: Recovered Amount]]</f>
        <v>15019</v>
      </c>
      <c r="K265" s="438">
        <f>local201718[[#Totals],[Accounts Receivable
Balance]]</f>
        <v>37604</v>
      </c>
      <c r="L265" s="438">
        <f>local201718[[#Totals],[Net
Balance]]</f>
        <v>7725955</v>
      </c>
      <c r="M265" s="415" t="s">
        <v>529</v>
      </c>
    </row>
    <row r="266" spans="1:13" ht="15.5" x14ac:dyDescent="0.35">
      <c r="A266" s="93" t="s">
        <v>4</v>
      </c>
      <c r="B266" s="306" t="s">
        <v>529</v>
      </c>
      <c r="C266" s="306" t="s">
        <v>529</v>
      </c>
      <c r="D266" s="306" t="s">
        <v>529</v>
      </c>
      <c r="E266" s="438">
        <f>Local201617[[#Totals],[Program
Costs]]</f>
        <v>17279441</v>
      </c>
      <c r="F266" s="438">
        <f>Local201617[[#Totals],[Less: Net Payments and Offsets 7]]</f>
        <v>11112134</v>
      </c>
      <c r="G266" s="441" t="s">
        <v>529</v>
      </c>
      <c r="H266" s="438">
        <f>Local201617[[#Totals],[Accounts Payable
Balance]]</f>
        <v>6167307</v>
      </c>
      <c r="I266" s="438">
        <f>Local201617[[#Totals],[Established
Accounts Receivable]]</f>
        <v>51051</v>
      </c>
      <c r="J266" s="438">
        <f>Local201617[[#Totals],[Less: Recovered Amount]]</f>
        <v>3737</v>
      </c>
      <c r="K266" s="438">
        <f>Local201617[[#Totals],[Accounts Receivable
Balance]]</f>
        <v>47314</v>
      </c>
      <c r="L266" s="438">
        <f>Local201617[[#Totals],[Net
Balance]]</f>
        <v>6119993</v>
      </c>
      <c r="M266" s="415" t="s">
        <v>529</v>
      </c>
    </row>
    <row r="267" spans="1:13" ht="15.5" x14ac:dyDescent="0.35">
      <c r="A267" s="93" t="s">
        <v>2</v>
      </c>
      <c r="B267" s="306" t="s">
        <v>529</v>
      </c>
      <c r="C267" s="306" t="s">
        <v>529</v>
      </c>
      <c r="D267" s="306" t="s">
        <v>529</v>
      </c>
      <c r="E267" s="438">
        <f>local201516[[#Totals],[Program
Costs]]</f>
        <v>15252407</v>
      </c>
      <c r="F267" s="438">
        <f>local201516[[#Totals],[Less: Net Payments and Offsets 7]]</f>
        <v>8470489</v>
      </c>
      <c r="G267" s="441" t="s">
        <v>529</v>
      </c>
      <c r="H267" s="438">
        <f>local201516[[#Totals],[Accounts Payable
Balance]]</f>
        <v>6781918</v>
      </c>
      <c r="I267" s="438">
        <f>local201516[[#Totals],[Established
Accounts Receivable]]</f>
        <v>139451</v>
      </c>
      <c r="J267" s="438">
        <f>local201516[[#Totals],[Less: Recovered Amount]]</f>
        <v>74222</v>
      </c>
      <c r="K267" s="438">
        <f>local201516[[#Totals],[Accounts Receivable
Balance]]</f>
        <v>65229</v>
      </c>
      <c r="L267" s="438">
        <f>local201516[[#Totals],[Net
Balance]]</f>
        <v>6716689</v>
      </c>
      <c r="M267" s="415" t="s">
        <v>529</v>
      </c>
    </row>
    <row r="268" spans="1:13" ht="15.5" x14ac:dyDescent="0.35">
      <c r="A268" s="93" t="s">
        <v>5</v>
      </c>
      <c r="B268" s="306" t="s">
        <v>529</v>
      </c>
      <c r="C268" s="306" t="s">
        <v>529</v>
      </c>
      <c r="D268" s="306" t="s">
        <v>529</v>
      </c>
      <c r="E268" s="438">
        <f>local201415[[#Totals],[Program
Costs]]</f>
        <v>16370030</v>
      </c>
      <c r="F268" s="438">
        <f>local201415[[#Totals],[Less: Net Payments and Offsets 7]]</f>
        <v>10251465</v>
      </c>
      <c r="G268" s="441" t="s">
        <v>529</v>
      </c>
      <c r="H268" s="438">
        <f>local201415[[#Totals],[Accounts Payable
Balance]]</f>
        <v>6118565</v>
      </c>
      <c r="I268" s="438">
        <f>local201415[[#Totals],[Established
Accounts Receivable]]</f>
        <v>425314</v>
      </c>
      <c r="J268" s="438">
        <f>local201415[[#Totals],[Less: Recovered Amount]]</f>
        <v>364448</v>
      </c>
      <c r="K268" s="438">
        <f>local201415[[#Totals],[Accounts Receivable
Balance]]</f>
        <v>60866</v>
      </c>
      <c r="L268" s="438">
        <f>local201415[[#Totals],[Net
Balance]]</f>
        <v>6057699</v>
      </c>
      <c r="M268" s="415" t="s">
        <v>529</v>
      </c>
    </row>
    <row r="269" spans="1:13" ht="15.5" x14ac:dyDescent="0.35">
      <c r="A269" s="93" t="s">
        <v>140</v>
      </c>
      <c r="B269" s="306" t="s">
        <v>529</v>
      </c>
      <c r="C269" s="306" t="s">
        <v>529</v>
      </c>
      <c r="D269" s="306" t="s">
        <v>529</v>
      </c>
      <c r="E269" s="438">
        <f>local201314[[#Totals],[Program
Costs]]</f>
        <v>13840547</v>
      </c>
      <c r="F269" s="438">
        <f>local201314[[#Totals],[Less: Net Payments and Offsets 7]]</f>
        <v>7825991</v>
      </c>
      <c r="G269" s="441" t="s">
        <v>529</v>
      </c>
      <c r="H269" s="438">
        <f>local201314[[#Totals],[Accounts Payable
Balance]]</f>
        <v>6014556</v>
      </c>
      <c r="I269" s="438">
        <f>local201314[[#Totals],[Established
Accounts Receivable]]</f>
        <v>132637</v>
      </c>
      <c r="J269" s="438">
        <f>local201314[[#Totals],[Less: Recovered Amount]]</f>
        <v>47673</v>
      </c>
      <c r="K269" s="438">
        <f>local201314[[#Totals],[Accounts Receivable
Balance]]</f>
        <v>84964</v>
      </c>
      <c r="L269" s="438">
        <f>local201314[[#Totals],[Net
Balance]]</f>
        <v>5929592</v>
      </c>
      <c r="M269" s="415" t="s">
        <v>529</v>
      </c>
    </row>
    <row r="270" spans="1:13" ht="15.5" x14ac:dyDescent="0.35">
      <c r="A270" s="93" t="s">
        <v>3</v>
      </c>
      <c r="B270" s="306" t="s">
        <v>529</v>
      </c>
      <c r="C270" s="306" t="s">
        <v>529</v>
      </c>
      <c r="D270" s="306" t="s">
        <v>529</v>
      </c>
      <c r="E270" s="438">
        <f>local201213[[#Totals],[Program
Costs]]</f>
        <v>5461966</v>
      </c>
      <c r="F270" s="440" t="str">
        <f>local201213[[#Totals],[Less: Net Payments and Offsets 7]]</f>
        <v xml:space="preserve">$0 </v>
      </c>
      <c r="G270" s="441" t="s">
        <v>529</v>
      </c>
      <c r="H270" s="438">
        <f>local201213[[#Totals],[Accounts Payable
Balance]]</f>
        <v>5461966</v>
      </c>
      <c r="I270" s="440" t="str">
        <f>local201213[[#Totals],[Established
Accounts Receivable]]</f>
        <v xml:space="preserve">$0 </v>
      </c>
      <c r="J270" s="440" t="str">
        <f>local201213[[#Totals],[Less: Recovered Amount]]</f>
        <v xml:space="preserve">$0 </v>
      </c>
      <c r="K270" s="440" t="str">
        <f>local201213[[#Totals],[Accounts Receivable
Balance]]</f>
        <v xml:space="preserve">$0 </v>
      </c>
      <c r="L270" s="438">
        <f>local201213[[#Totals],[Net
Balance]]</f>
        <v>5461966</v>
      </c>
      <c r="M270" s="415" t="s">
        <v>529</v>
      </c>
    </row>
    <row r="271" spans="1:13" ht="15.5" x14ac:dyDescent="0.35">
      <c r="A271" s="93" t="s">
        <v>143</v>
      </c>
      <c r="B271" s="306" t="s">
        <v>529</v>
      </c>
      <c r="C271" s="306" t="s">
        <v>529</v>
      </c>
      <c r="D271" s="306" t="s">
        <v>529</v>
      </c>
      <c r="E271" s="438">
        <f>local201112[[#Totals],[Program
Costs]]</f>
        <v>19877720</v>
      </c>
      <c r="F271" s="440" t="str">
        <f>local201112[[#Totals],[Less: Net Payments and Offsets 7]]</f>
        <v xml:space="preserve">$0 </v>
      </c>
      <c r="G271" s="441" t="s">
        <v>529</v>
      </c>
      <c r="H271" s="438">
        <f>local201112[[#Totals],[Accounts Payable
Balance]]</f>
        <v>19877720</v>
      </c>
      <c r="I271" s="440" t="str">
        <f>local201112[[#Totals],[Established
Accounts Receivable]]</f>
        <v xml:space="preserve">$0 </v>
      </c>
      <c r="J271" s="440" t="str">
        <f>local201112[[#Totals],[Less: Recovered Amount]]</f>
        <v xml:space="preserve">$0 </v>
      </c>
      <c r="K271" s="440" t="str">
        <f>local201112[[#Totals],[Accounts Receivable
Balance]]</f>
        <v xml:space="preserve">$0 </v>
      </c>
      <c r="L271" s="438">
        <f>local201112[[#Totals],[Net
Balance]]</f>
        <v>19877720</v>
      </c>
      <c r="M271" s="415" t="s">
        <v>529</v>
      </c>
    </row>
    <row r="272" spans="1:13" ht="15.5" x14ac:dyDescent="0.35">
      <c r="A272" s="93" t="s">
        <v>41</v>
      </c>
      <c r="B272" s="306" t="s">
        <v>529</v>
      </c>
      <c r="C272" s="306" t="s">
        <v>529</v>
      </c>
      <c r="D272" s="306" t="s">
        <v>529</v>
      </c>
      <c r="E272" s="438">
        <f>local201011[[#Totals],[Program
Costs]]</f>
        <v>50340026</v>
      </c>
      <c r="F272" s="438">
        <f>local201011[[#Totals],[Less: Net Payments and Offsets 7]]</f>
        <v>2060812</v>
      </c>
      <c r="G272" s="441" t="s">
        <v>529</v>
      </c>
      <c r="H272" s="438">
        <f>local201011[[#Totals],[Accounts Payable
Balance]]</f>
        <v>48279214</v>
      </c>
      <c r="I272" s="438">
        <f>local201011[[#Totals],[Established
Accounts Receivable]]</f>
        <v>11046</v>
      </c>
      <c r="J272" s="440" t="str">
        <f>local201011[[#Totals],[Less: Recovered Amount]]</f>
        <v xml:space="preserve">$0 </v>
      </c>
      <c r="K272" s="438">
        <f>local201011[[#Totals],[Accounts Receivable
Balance]]</f>
        <v>11046</v>
      </c>
      <c r="L272" s="438">
        <f>local201011[[#Totals],[Net
Balance]]</f>
        <v>48268168</v>
      </c>
      <c r="M272" s="415" t="s">
        <v>529</v>
      </c>
    </row>
    <row r="273" spans="1:14" ht="15.5" x14ac:dyDescent="0.35">
      <c r="A273" s="93" t="s">
        <v>44</v>
      </c>
      <c r="B273" s="306" t="s">
        <v>529</v>
      </c>
      <c r="C273" s="306" t="s">
        <v>529</v>
      </c>
      <c r="D273" s="306" t="s">
        <v>529</v>
      </c>
      <c r="E273" s="438">
        <f>local200910[[#Totals],[Program
Costs]]</f>
        <v>175563711</v>
      </c>
      <c r="F273" s="438">
        <f>local200910[[#Totals],[Less: Net Payments and Offsets 7]]</f>
        <v>118764770</v>
      </c>
      <c r="G273" s="441" t="s">
        <v>529</v>
      </c>
      <c r="H273" s="438">
        <f>local200910[[#Totals],[Accounts Payable
Balance]]</f>
        <v>56798941</v>
      </c>
      <c r="I273" s="438">
        <f>local200910[[#Totals],[Established
Accounts Receivable]]</f>
        <v>2040415</v>
      </c>
      <c r="J273" s="438">
        <f>local200910[[#Totals],[Less: Recovered Amount]]</f>
        <v>1898602</v>
      </c>
      <c r="K273" s="438">
        <f>local200910[[#Totals],[Accounts Receivable
Balance]]</f>
        <v>141813</v>
      </c>
      <c r="L273" s="438">
        <f>local200910[[#Totals],[Net
Balance]]</f>
        <v>56657128</v>
      </c>
      <c r="M273" s="415" t="s">
        <v>529</v>
      </c>
    </row>
    <row r="274" spans="1:14" ht="15.5" x14ac:dyDescent="0.35">
      <c r="A274" s="93" t="s">
        <v>45</v>
      </c>
      <c r="B274" s="306" t="s">
        <v>529</v>
      </c>
      <c r="C274" s="306" t="s">
        <v>529</v>
      </c>
      <c r="D274" s="306" t="s">
        <v>529</v>
      </c>
      <c r="E274" s="438">
        <f>local200809[[#Totals],[Program
Costs]]</f>
        <v>54410822</v>
      </c>
      <c r="F274" s="438">
        <f>local200809[[#Totals],[Less: Net Payments and Offsets 7]]</f>
        <v>1558731</v>
      </c>
      <c r="G274" s="441" t="s">
        <v>529</v>
      </c>
      <c r="H274" s="438">
        <f>local200809[[#Totals],[Accounts Payable
Balance]]</f>
        <v>52852091</v>
      </c>
      <c r="I274" s="438">
        <f>local200809[[#Totals],[Established
Accounts Receivable]]</f>
        <v>7837</v>
      </c>
      <c r="J274" s="440" t="str">
        <f>local200809[[#Totals],[Less: Recovered Amount]]</f>
        <v xml:space="preserve">$0 </v>
      </c>
      <c r="K274" s="438">
        <f>local200809[[#Totals],[Accounts Receivable
Balance]]</f>
        <v>7837</v>
      </c>
      <c r="L274" s="438">
        <f>local200809[[#Totals],[Net
Balance]]</f>
        <v>52844254</v>
      </c>
      <c r="M274" s="415" t="s">
        <v>529</v>
      </c>
    </row>
    <row r="275" spans="1:14" ht="15.5" x14ac:dyDescent="0.35">
      <c r="A275" s="93" t="s">
        <v>46</v>
      </c>
      <c r="B275" s="306" t="s">
        <v>529</v>
      </c>
      <c r="C275" s="306" t="s">
        <v>529</v>
      </c>
      <c r="D275" s="306" t="s">
        <v>529</v>
      </c>
      <c r="E275" s="438">
        <f>local200708[[#Totals],[Program
Costs]]</f>
        <v>65736228</v>
      </c>
      <c r="F275" s="130">
        <f>local200708[[#Totals],[Less: Net Payments and Offsets 7]]</f>
        <v>1234722</v>
      </c>
      <c r="G275" s="441" t="s">
        <v>529</v>
      </c>
      <c r="H275" s="438">
        <f>local200708[[#Totals],[Accounts Payable
Balance]]</f>
        <v>64501506</v>
      </c>
      <c r="I275" s="438">
        <f>local200708[[#Totals],[Established
Accounts Receivable]]</f>
        <v>6821</v>
      </c>
      <c r="J275" s="440" t="str">
        <f>local200708[[#Totals],[Less: Recovered Amount]]</f>
        <v xml:space="preserve">$0 </v>
      </c>
      <c r="K275" s="438">
        <f>local200708[[#Totals],[Accounts Receivable
Balance]]</f>
        <v>6821</v>
      </c>
      <c r="L275" s="438">
        <f>local200708[[#Totals],[Net
Balance]]</f>
        <v>64494685</v>
      </c>
      <c r="M275" s="415" t="s">
        <v>529</v>
      </c>
    </row>
    <row r="276" spans="1:14" ht="15.5" x14ac:dyDescent="0.35">
      <c r="A276" s="93" t="s">
        <v>47</v>
      </c>
      <c r="B276" s="306" t="s">
        <v>529</v>
      </c>
      <c r="C276" s="306" t="s">
        <v>529</v>
      </c>
      <c r="D276" s="306" t="s">
        <v>529</v>
      </c>
      <c r="E276" s="438">
        <f>Local200607[[#Totals],[Program
Costs]]</f>
        <v>58830717</v>
      </c>
      <c r="F276" s="130">
        <f>Local200607[[#Totals],[Less: Net Payments and Offsets 7]]</f>
        <v>41833021</v>
      </c>
      <c r="G276" s="441" t="s">
        <v>529</v>
      </c>
      <c r="H276" s="438">
        <f>Local200607[[#Totals],[Accounts Payable
Balance]]</f>
        <v>16997696</v>
      </c>
      <c r="I276" s="438">
        <f>Local200607[[#Totals],[Established
Accounts Receivable]]</f>
        <v>19896474</v>
      </c>
      <c r="J276" s="438">
        <f>Local200607[[#Totals],[Less: Recovered Amount]]</f>
        <v>19083453</v>
      </c>
      <c r="K276" s="438">
        <f>Local200607[[#Totals],[Accounts Receivable
Balance]]</f>
        <v>813021</v>
      </c>
      <c r="L276" s="438">
        <f>Local200607[[#Totals],[Net
Balance]]</f>
        <v>16184675</v>
      </c>
      <c r="M276" s="415" t="s">
        <v>529</v>
      </c>
    </row>
    <row r="277" spans="1:14" ht="15.5" x14ac:dyDescent="0.35">
      <c r="A277" s="93" t="s">
        <v>48</v>
      </c>
      <c r="B277" s="306" t="s">
        <v>529</v>
      </c>
      <c r="C277" s="306" t="s">
        <v>529</v>
      </c>
      <c r="D277" s="306" t="s">
        <v>529</v>
      </c>
      <c r="E277" s="438">
        <f>local200506[[#Totals],[Program
Costs]]</f>
        <v>45412873</v>
      </c>
      <c r="F277" s="130">
        <f>local200506[[#Totals],[Less: Net Payments and Offsets 7]]</f>
        <v>29924774</v>
      </c>
      <c r="G277" s="441" t="s">
        <v>529</v>
      </c>
      <c r="H277" s="438">
        <f>local200506[[#Totals],[Accounts Payable
Balance]]</f>
        <v>15488099</v>
      </c>
      <c r="I277" s="438">
        <f>local200506[[#Totals],[Established
Accounts Receivable]]</f>
        <v>11065965</v>
      </c>
      <c r="J277" s="438">
        <f>local200506[[#Totals],[Less: Recovered Amount]]</f>
        <v>10334195</v>
      </c>
      <c r="K277" s="438">
        <f>local200506[[#Totals],[Accounts Receivable
Balance]]</f>
        <v>731770</v>
      </c>
      <c r="L277" s="438">
        <f>local200506[[#Totals],[Net
Balance]]</f>
        <v>14756329</v>
      </c>
      <c r="M277" s="415" t="s">
        <v>529</v>
      </c>
    </row>
    <row r="278" spans="1:14" ht="15.5" x14ac:dyDescent="0.35">
      <c r="A278" s="93" t="s">
        <v>49</v>
      </c>
      <c r="B278" s="306" t="s">
        <v>529</v>
      </c>
      <c r="C278" s="306" t="s">
        <v>529</v>
      </c>
      <c r="D278" s="306" t="s">
        <v>529</v>
      </c>
      <c r="E278" s="438">
        <f>local200405[[#Totals],[Program
Costs]]</f>
        <v>65929351</v>
      </c>
      <c r="F278" s="130">
        <f>local200405[[#Totals],[Less: Net Payments and Offsets 7]]</f>
        <v>52329743</v>
      </c>
      <c r="G278" s="441" t="s">
        <v>529</v>
      </c>
      <c r="H278" s="438">
        <f>local200405[[#Totals],[Accounts Payable
Balance]]</f>
        <v>13599608</v>
      </c>
      <c r="I278" s="438">
        <f>local200405[[#Totals],[Established
Accounts Receivable]]</f>
        <v>7935267</v>
      </c>
      <c r="J278" s="438">
        <f>local200405[[#Totals],[Less: Recovered Amount]]</f>
        <v>7832106</v>
      </c>
      <c r="K278" s="438">
        <f>local200405[[#Totals],[Accounts Receivable
Balance]]</f>
        <v>103161</v>
      </c>
      <c r="L278" s="438">
        <f>local200405[[#Totals],[Net
Balance]]</f>
        <v>13496447</v>
      </c>
      <c r="M278" s="415" t="s">
        <v>529</v>
      </c>
    </row>
    <row r="279" spans="1:14" ht="15.5" x14ac:dyDescent="0.35">
      <c r="A279" s="93" t="s">
        <v>50</v>
      </c>
      <c r="B279" s="306" t="s">
        <v>529</v>
      </c>
      <c r="C279" s="306" t="s">
        <v>529</v>
      </c>
      <c r="D279" s="306" t="s">
        <v>529</v>
      </c>
      <c r="E279" s="438">
        <f>local200304[[#Totals],[Program
Costs]]</f>
        <v>160615</v>
      </c>
      <c r="F279" s="130">
        <f>local200304[[#Totals],[Less: Net Payments and Offsets 7]]</f>
        <v>124059</v>
      </c>
      <c r="G279" s="441" t="s">
        <v>529</v>
      </c>
      <c r="H279" s="438">
        <f>local200304[[#Totals],[Accounts Payable
Balance]]</f>
        <v>36556</v>
      </c>
      <c r="I279" s="440" t="str">
        <f>local200304[[#Totals],[Established
Accounts Receivable]]</f>
        <v xml:space="preserve">$0 </v>
      </c>
      <c r="J279" s="440" t="str">
        <f>local200304[[#Totals],[Less: Recovered Amount]]</f>
        <v xml:space="preserve">$0 </v>
      </c>
      <c r="K279" s="440" t="str">
        <f>local200304[[#Totals],[Accounts Receivable
Balance]]</f>
        <v xml:space="preserve">$0 </v>
      </c>
      <c r="L279" s="438">
        <f>local200304[[#Totals],[Net
Balance]]</f>
        <v>36556</v>
      </c>
      <c r="M279" s="415" t="s">
        <v>529</v>
      </c>
    </row>
    <row r="280" spans="1:14" ht="15.5" x14ac:dyDescent="0.35">
      <c r="A280" s="93" t="s">
        <v>51</v>
      </c>
      <c r="B280" s="306" t="s">
        <v>529</v>
      </c>
      <c r="C280" s="306" t="s">
        <v>529</v>
      </c>
      <c r="D280" s="306" t="s">
        <v>529</v>
      </c>
      <c r="E280" s="438">
        <f>local200203[[#Totals],[Program
Costs]]</f>
        <v>268476</v>
      </c>
      <c r="F280" s="130">
        <f>local200203[[#Totals],[Less: Net Payments and Offsets 7]]</f>
        <v>112687</v>
      </c>
      <c r="G280" s="441" t="s">
        <v>529</v>
      </c>
      <c r="H280" s="438">
        <f>local200203[[#Totals],[Accounts Payable
Balance]]</f>
        <v>155789</v>
      </c>
      <c r="I280" s="440" t="str">
        <f>local200203[[#Totals],[Established
Accounts Receivable]]</f>
        <v xml:space="preserve">$0 </v>
      </c>
      <c r="J280" s="440" t="str">
        <f>local200203[[#Totals],[Less: Recovered Amount]]</f>
        <v xml:space="preserve">$0 </v>
      </c>
      <c r="K280" s="440" t="str">
        <f>local200203[[#Totals],[Accounts Receivable
Balance]]</f>
        <v xml:space="preserve">$0 </v>
      </c>
      <c r="L280" s="438">
        <f>local200203[[#Totals],[Net
Balance]]</f>
        <v>155789</v>
      </c>
      <c r="M280" s="415" t="s">
        <v>529</v>
      </c>
      <c r="N280" s="48"/>
    </row>
    <row r="281" spans="1:14" ht="15.5" x14ac:dyDescent="0.35">
      <c r="A281" s="93" t="s">
        <v>52</v>
      </c>
      <c r="B281" s="306" t="s">
        <v>529</v>
      </c>
      <c r="C281" s="306" t="s">
        <v>529</v>
      </c>
      <c r="D281" s="306" t="s">
        <v>529</v>
      </c>
      <c r="E281" s="438">
        <f>local200102[[#Totals],[Program
Costs]]</f>
        <v>20851478</v>
      </c>
      <c r="F281" s="130">
        <f>local200102[[#Totals],[Less: Net Payments and Offsets 7]]</f>
        <v>20723544</v>
      </c>
      <c r="G281" s="441" t="s">
        <v>529</v>
      </c>
      <c r="H281" s="438">
        <f>local200102[[#Totals],[Accounts Payable
Balance]]</f>
        <v>127934</v>
      </c>
      <c r="I281" s="438">
        <f>local200102[[#Totals],[Established
Accounts Receivable]]</f>
        <v>239828</v>
      </c>
      <c r="J281" s="438">
        <f>local200102[[#Totals],[Less: Recovered Amount]]</f>
        <v>230494</v>
      </c>
      <c r="K281" s="438">
        <f>local200102[[#Totals],[Accounts Receivable
Balance]]</f>
        <v>9334</v>
      </c>
      <c r="L281" s="438">
        <f>local200102[[#Totals],[Net
Balance]]</f>
        <v>118600</v>
      </c>
      <c r="M281" s="415" t="s">
        <v>529</v>
      </c>
      <c r="N281" s="48"/>
    </row>
    <row r="282" spans="1:14" ht="15.5" x14ac:dyDescent="0.35">
      <c r="A282" s="93" t="s">
        <v>53</v>
      </c>
      <c r="B282" s="306" t="s">
        <v>529</v>
      </c>
      <c r="C282" s="306" t="s">
        <v>529</v>
      </c>
      <c r="D282" s="306" t="s">
        <v>529</v>
      </c>
      <c r="E282" s="438">
        <f>local200001[[#Totals],[Program
Costs]]</f>
        <v>112301</v>
      </c>
      <c r="F282" s="442" t="str">
        <f>local200001[[#Totals],[Less: Net Payments and Offsets 7]]</f>
        <v xml:space="preserve">$0 </v>
      </c>
      <c r="G282" s="441" t="s">
        <v>529</v>
      </c>
      <c r="H282" s="438">
        <f>local200001[[#Totals],[Accounts Payable
Balance]]</f>
        <v>112301</v>
      </c>
      <c r="I282" s="440" t="str">
        <f>local200001[[#Totals],[Established
Accounts Receivable]]</f>
        <v xml:space="preserve">$0 </v>
      </c>
      <c r="J282" s="440" t="str">
        <f>local200001[[#Totals],[Less: Recovered Amount]]</f>
        <v xml:space="preserve">$0 </v>
      </c>
      <c r="K282" s="440" t="str">
        <f>local200001[[#Totals],[Accounts Receivable
Balance]]</f>
        <v xml:space="preserve">$0 </v>
      </c>
      <c r="L282" s="438">
        <f>local200001[[#Totals],[Net
Balance]]</f>
        <v>112301</v>
      </c>
      <c r="M282" s="415" t="s">
        <v>529</v>
      </c>
      <c r="N282" s="48"/>
    </row>
    <row r="283" spans="1:14" ht="15.5" x14ac:dyDescent="0.35">
      <c r="A283" s="93" t="s">
        <v>54</v>
      </c>
      <c r="B283" s="306" t="s">
        <v>529</v>
      </c>
      <c r="C283" s="306" t="s">
        <v>529</v>
      </c>
      <c r="D283" s="306" t="s">
        <v>529</v>
      </c>
      <c r="E283" s="438">
        <f>local199900[[#Totals],[Program
Costs]]</f>
        <v>14643173</v>
      </c>
      <c r="F283" s="130">
        <f>local199900[[#Totals],[Less: Net Payments and Offsets 7]]</f>
        <v>14609736</v>
      </c>
      <c r="G283" s="441" t="s">
        <v>529</v>
      </c>
      <c r="H283" s="438">
        <f>local199900[[#Totals],[Accounts Payable
Balance]]</f>
        <v>33437</v>
      </c>
      <c r="I283" s="438">
        <f>local199900[[#Totals],[Established
Accounts Receivable]]</f>
        <v>4962586</v>
      </c>
      <c r="J283" s="438">
        <f>local199900[[#Totals],[Less: Recovered Amount]]</f>
        <v>4875829</v>
      </c>
      <c r="K283" s="438">
        <f>local199900[[#Totals],[Accounts Receivable
Balance]]</f>
        <v>86757</v>
      </c>
      <c r="L283" s="438">
        <f>local199900[[#Totals],[Net
Balance]]</f>
        <v>-53320</v>
      </c>
      <c r="M283" s="415" t="s">
        <v>529</v>
      </c>
      <c r="N283" s="48"/>
    </row>
    <row r="284" spans="1:14" ht="15.5" x14ac:dyDescent="0.35">
      <c r="A284" s="93" t="s">
        <v>221</v>
      </c>
      <c r="B284" s="306" t="s">
        <v>529</v>
      </c>
      <c r="C284" s="306" t="s">
        <v>529</v>
      </c>
      <c r="D284" s="306" t="s">
        <v>529</v>
      </c>
      <c r="E284" s="438">
        <f>local199899[[#Totals],[Program
Costs]]</f>
        <v>9294252</v>
      </c>
      <c r="F284" s="130">
        <f>local199899[[#Totals],[Less: Net Payments and Offsets 7]]</f>
        <v>9253867</v>
      </c>
      <c r="G284" s="441" t="s">
        <v>529</v>
      </c>
      <c r="H284" s="438">
        <f>local199899[[#Totals],[Accounts Payable
Balance]]</f>
        <v>40385</v>
      </c>
      <c r="I284" s="438">
        <f>local199899[[#Totals],[Established
Accounts Receivable]]</f>
        <v>2597904</v>
      </c>
      <c r="J284" s="438">
        <f>local199899[[#Totals],[Less: Recovered Amount]]</f>
        <v>2431476</v>
      </c>
      <c r="K284" s="438">
        <f>local199899[[#Totals],[Accounts Receivable
Balance]]</f>
        <v>166428</v>
      </c>
      <c r="L284" s="438">
        <f>local199899[[#Totals],[Net
Balance]]</f>
        <v>-126043</v>
      </c>
      <c r="M284" s="415" t="s">
        <v>529</v>
      </c>
      <c r="N284" s="48"/>
    </row>
    <row r="285" spans="1:14" ht="15.5" x14ac:dyDescent="0.35">
      <c r="A285" s="93" t="s">
        <v>226</v>
      </c>
      <c r="B285" s="306" t="s">
        <v>529</v>
      </c>
      <c r="C285" s="306" t="s">
        <v>529</v>
      </c>
      <c r="D285" s="306" t="s">
        <v>529</v>
      </c>
      <c r="E285" s="438">
        <f>local199798[[#Totals],[Program
Costs]]</f>
        <v>8548806</v>
      </c>
      <c r="F285" s="130">
        <f>local199798[[#Totals],[Less: Net Payments and Offsets 7]]</f>
        <v>8548806</v>
      </c>
      <c r="G285" s="441" t="s">
        <v>529</v>
      </c>
      <c r="H285" s="440" t="str">
        <f>local199798[[#Totals],[Accounts Payable
Balance]]</f>
        <v xml:space="preserve">$0 </v>
      </c>
      <c r="I285" s="438">
        <f>local199798[[#Totals],[Established
Accounts Receivable]]</f>
        <v>414227</v>
      </c>
      <c r="J285" s="438">
        <f>local199798[[#Totals],[Less: Recovered Amount]]</f>
        <v>412381</v>
      </c>
      <c r="K285" s="438">
        <f>local199798[[#Totals],[Accounts Receivable
Balance]]</f>
        <v>1846</v>
      </c>
      <c r="L285" s="438">
        <f>local199798[[#Totals],[Net
Balance]]</f>
        <v>-1846</v>
      </c>
      <c r="M285" s="415" t="s">
        <v>529</v>
      </c>
      <c r="N285" s="48"/>
    </row>
    <row r="286" spans="1:14" ht="15.5" x14ac:dyDescent="0.35">
      <c r="A286" s="93" t="s">
        <v>228</v>
      </c>
      <c r="B286" s="306" t="s">
        <v>529</v>
      </c>
      <c r="C286" s="306" t="s">
        <v>529</v>
      </c>
      <c r="D286" s="306" t="s">
        <v>529</v>
      </c>
      <c r="E286" s="438">
        <f>local199697[[#Totals],[Program
Costs]]</f>
        <v>3560480</v>
      </c>
      <c r="F286" s="130">
        <f>local199697[[#Totals],[Less: Net Payments and Offsets 7]]</f>
        <v>3560480</v>
      </c>
      <c r="G286" s="441" t="s">
        <v>529</v>
      </c>
      <c r="H286" s="440" t="str">
        <f>local199697[[#Totals],[Accounts Payable
Balance]]</f>
        <v xml:space="preserve">$0 </v>
      </c>
      <c r="I286" s="438">
        <f>local199697[[#Totals],[Established
Accounts Receivable]]</f>
        <v>319940</v>
      </c>
      <c r="J286" s="438">
        <f>local199697[[#Totals],[Less: Recovered Amount]]</f>
        <v>319763</v>
      </c>
      <c r="K286" s="438">
        <f>local199697[[#Totals],[Accounts Receivable
Balance]]</f>
        <v>177</v>
      </c>
      <c r="L286" s="438">
        <f>local199697[[#Totals],[Net
Balance]]</f>
        <v>-177</v>
      </c>
      <c r="M286" s="415" t="s">
        <v>529</v>
      </c>
      <c r="N286" s="48"/>
    </row>
    <row r="287" spans="1:14" ht="15.5" x14ac:dyDescent="0.35">
      <c r="A287" s="93" t="s">
        <v>230</v>
      </c>
      <c r="B287" s="306" t="s">
        <v>529</v>
      </c>
      <c r="C287" s="306" t="s">
        <v>529</v>
      </c>
      <c r="D287" s="306" t="s">
        <v>529</v>
      </c>
      <c r="E287" s="438">
        <f>local199596[[#Totals],[Program
Costs]]</f>
        <v>6658366</v>
      </c>
      <c r="F287" s="130">
        <f>local199596[[#Totals],[Less: Net Payments and Offsets 7]]</f>
        <v>6658366</v>
      </c>
      <c r="G287" s="441" t="s">
        <v>529</v>
      </c>
      <c r="H287" s="440" t="str">
        <f>local199596[[#Totals],[Accounts Payable
Balance]]</f>
        <v xml:space="preserve">$0 </v>
      </c>
      <c r="I287" s="438">
        <f>local199596[[#Totals],[Established
Accounts Receivable]]</f>
        <v>1531822</v>
      </c>
      <c r="J287" s="438">
        <f>local199596[[#Totals],[Less: Recovered Amount]]</f>
        <v>1525417</v>
      </c>
      <c r="K287" s="438">
        <f>local199596[[#Totals],[Accounts Receivable
Balance]]</f>
        <v>6405</v>
      </c>
      <c r="L287" s="438">
        <f>local199596[[#Totals],[Net
Balance]]</f>
        <v>-6405</v>
      </c>
      <c r="M287" s="415" t="s">
        <v>529</v>
      </c>
      <c r="N287" s="48"/>
    </row>
    <row r="288" spans="1:14" ht="15.5" x14ac:dyDescent="0.35">
      <c r="A288" s="93" t="s">
        <v>232</v>
      </c>
      <c r="B288" s="306" t="s">
        <v>529</v>
      </c>
      <c r="C288" s="306" t="s">
        <v>529</v>
      </c>
      <c r="D288" s="306" t="s">
        <v>529</v>
      </c>
      <c r="E288" s="438">
        <f>local199495[[#Totals],[Program
Costs]]</f>
        <v>3097183</v>
      </c>
      <c r="F288" s="130">
        <f>local199495[[#Totals],[Less: Net Payments and Offsets 7]]</f>
        <v>3097183</v>
      </c>
      <c r="G288" s="441" t="s">
        <v>529</v>
      </c>
      <c r="H288" s="440" t="str">
        <f>local199495[[#Totals],[Accounts Payable
Balance]]</f>
        <v xml:space="preserve">$0 </v>
      </c>
      <c r="I288" s="438">
        <f>local199495[[#Totals],[Established
Accounts Receivable]]</f>
        <v>201105</v>
      </c>
      <c r="J288" s="438">
        <f>local199495[[#Totals],[Less: Recovered Amount]]</f>
        <v>200520</v>
      </c>
      <c r="K288" s="438">
        <f>local199495[[#Totals],[Accounts Receivable
Balance]]</f>
        <v>585</v>
      </c>
      <c r="L288" s="438">
        <f>local199495[[#Totals],[Net
Balance]]</f>
        <v>-585</v>
      </c>
      <c r="M288" s="415" t="s">
        <v>529</v>
      </c>
      <c r="N288" s="48"/>
    </row>
    <row r="289" spans="1:14" ht="15.5" x14ac:dyDescent="0.35">
      <c r="A289" s="93" t="s">
        <v>234</v>
      </c>
      <c r="B289" s="306" t="s">
        <v>529</v>
      </c>
      <c r="C289" s="306" t="s">
        <v>529</v>
      </c>
      <c r="D289" s="306" t="s">
        <v>529</v>
      </c>
      <c r="E289" s="438">
        <f>local199293[[#Totals],[Program
Costs]]</f>
        <v>5693119</v>
      </c>
      <c r="F289" s="130">
        <f>local199293[[#Totals],[Less: Net Payments and Offsets 7]]</f>
        <v>5693119</v>
      </c>
      <c r="G289" s="441" t="s">
        <v>529</v>
      </c>
      <c r="H289" s="440" t="str">
        <f>local199293[[#Totals],[Accounts Payable
Balance]]</f>
        <v xml:space="preserve">$0 </v>
      </c>
      <c r="I289" s="438">
        <f>local199293[[#Totals],[Established
Accounts Receivable]]</f>
        <v>2966</v>
      </c>
      <c r="J289" s="440" t="str">
        <f>local199293[[#Totals],[Less: Recovered Amount]]</f>
        <v xml:space="preserve">$0 </v>
      </c>
      <c r="K289" s="438">
        <f>local199293[[#Totals],[Accounts Receivable
Balance]]</f>
        <v>2966</v>
      </c>
      <c r="L289" s="438">
        <f>local199293[[#Totals],[Net
Balance]]</f>
        <v>-2966</v>
      </c>
      <c r="M289" s="415" t="s">
        <v>529</v>
      </c>
      <c r="N289" s="48"/>
    </row>
    <row r="290" spans="1:14" ht="15.5" x14ac:dyDescent="0.35">
      <c r="A290" s="93" t="s">
        <v>238</v>
      </c>
      <c r="B290" s="306" t="s">
        <v>529</v>
      </c>
      <c r="C290" s="306" t="s">
        <v>529</v>
      </c>
      <c r="D290" s="306" t="s">
        <v>529</v>
      </c>
      <c r="E290" s="438">
        <f>local199192[[#Totals],[Program
Costs]]</f>
        <v>14801309</v>
      </c>
      <c r="F290" s="130">
        <f>local199192[[#Totals],[Less: Net Payments and Offsets 7]]</f>
        <v>14801309</v>
      </c>
      <c r="G290" s="441" t="s">
        <v>529</v>
      </c>
      <c r="H290" s="440" t="str">
        <f>local199192[[#Totals],[Accounts Payable
Balance]]</f>
        <v xml:space="preserve">$0 </v>
      </c>
      <c r="I290" s="438">
        <f>local199192[[#Totals],[Established
Accounts Receivable]]</f>
        <v>495039</v>
      </c>
      <c r="J290" s="438">
        <f>local199192[[#Totals],[Less: Recovered Amount]]</f>
        <v>446808</v>
      </c>
      <c r="K290" s="438">
        <f>local199192[[#Totals],[Accounts Receivable
Balance]]</f>
        <v>48231</v>
      </c>
      <c r="L290" s="438">
        <f>local199192[[#Totals],[Net
Balance]]</f>
        <v>-48231</v>
      </c>
      <c r="M290" s="415" t="s">
        <v>529</v>
      </c>
      <c r="N290" s="48"/>
    </row>
    <row r="291" spans="1:14" ht="17.5" x14ac:dyDescent="0.35">
      <c r="A291" s="443" t="s">
        <v>6</v>
      </c>
      <c r="B291" s="444" t="s">
        <v>529</v>
      </c>
      <c r="C291" s="445" t="s">
        <v>529</v>
      </c>
      <c r="D291" s="445" t="s">
        <v>529</v>
      </c>
      <c r="E291" s="446">
        <f>SUBTOTAL(109,localgrandtotal[Program
Costs])</f>
        <v>787696436</v>
      </c>
      <c r="F291" s="446">
        <f>SUBTOTAL(109,localgrandtotal[Less: Net Payments and Offsets 7])</f>
        <v>406015161</v>
      </c>
      <c r="G291" s="447" t="s">
        <v>552</v>
      </c>
      <c r="H291" s="446">
        <f>SUBTOTAL(109,localgrandtotal[Accounts Payable
Balance])</f>
        <v>381681275</v>
      </c>
      <c r="I291" s="446">
        <f>SUBTOTAL(109,localgrandtotal[Established
Accounts Receivable])</f>
        <v>52530318</v>
      </c>
      <c r="J291" s="446">
        <f>SUBTOTAL(109,localgrandtotal[Less: Recovered Amount])</f>
        <v>50096143</v>
      </c>
      <c r="K291" s="446">
        <f>SUBTOTAL(109,localgrandtotal[Accounts Receivable
Balance])</f>
        <v>2434175</v>
      </c>
      <c r="L291" s="446">
        <f>SUBTOTAL(109,localgrandtotal[Net
Balance])</f>
        <v>379247100</v>
      </c>
      <c r="M291" s="448" t="s">
        <v>611</v>
      </c>
    </row>
    <row r="292" spans="1:14" ht="15.5" x14ac:dyDescent="0.35">
      <c r="A292" s="436" t="s">
        <v>612</v>
      </c>
      <c r="B292" s="70"/>
      <c r="C292" s="70"/>
      <c r="D292" s="70"/>
      <c r="E292" s="70"/>
      <c r="F292" s="70"/>
      <c r="G292" s="70"/>
      <c r="H292" s="70"/>
      <c r="I292" s="70"/>
      <c r="J292" s="70"/>
      <c r="K292" s="70"/>
      <c r="L292" s="70"/>
      <c r="M292" s="141"/>
    </row>
    <row r="293" spans="1:14" ht="18.5" x14ac:dyDescent="0.35">
      <c r="A293" s="83" t="s">
        <v>609</v>
      </c>
    </row>
  </sheetData>
  <hyperlinks>
    <hyperlink ref="F2" location="'Schedule B1-Local Agencies'!A292" tooltip="This hyperlink will take you to the referenced footnote-footnote 7" display="Less: Net Payments and Offsets 7"/>
    <hyperlink ref="M291" location="'Schedule B1-Local Agencies'!A293" tooltip="This hyperlink will take you to the referenced footnote-footnote 7" display="7"/>
  </hyperlinks>
  <printOptions horizontalCentered="1" gridLines="1"/>
  <pageMargins left="0.3" right="0.3" top="1.1000000000000001" bottom="0.75" header="0.3" footer="0.1"/>
  <pageSetup scale="64" fitToHeight="0" orientation="landscape" r:id="rId1"/>
  <headerFooter>
    <oddHeader>&amp;C&amp;"Arial,Bold"&amp;12State Controller's Office
Schedule B1: Detail of Funded State-Mandated Programs by Fiscal Year
As of April 1, 2020</oddHeader>
    <oddFooter>&amp;L&amp;"Arial,Regular"&amp;12Schedule B1: Detail of Funded State-Mandated Programs by Fiscal Year
Local Agencies&amp;R&amp;"Arial,Regular"&amp;12Page &amp;P of &amp;N</oddFooter>
  </headerFooter>
  <rowBreaks count="4" manualBreakCount="4">
    <brk id="93" max="12" man="1"/>
    <brk id="126" max="12" man="1"/>
    <brk id="160" max="12" man="1"/>
    <brk id="195" max="12" man="1"/>
  </rowBreaks>
  <legacyDrawing r:id="rId2"/>
  <tableParts count="28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903"/>
  <sheetViews>
    <sheetView zoomScaleNormal="100" zoomScaleSheetLayoutView="90" workbookViewId="0">
      <selection activeCell="A902" sqref="A902"/>
    </sheetView>
  </sheetViews>
  <sheetFormatPr defaultColWidth="9.1796875" defaultRowHeight="14.5" outlineLevelRow="2" x14ac:dyDescent="0.35"/>
  <cols>
    <col min="1" max="1" width="23.90625" style="20" customWidth="1"/>
    <col min="2" max="2" width="44.1796875" style="21" customWidth="1"/>
    <col min="3" max="3" width="12.6328125" style="22" customWidth="1"/>
    <col min="4" max="4" width="14.6328125" style="20" customWidth="1"/>
    <col min="5" max="5" width="17.6328125" style="23" customWidth="1"/>
    <col min="6" max="6" width="17.6328125" style="24" customWidth="1"/>
    <col min="7" max="7" width="2.6328125" style="24" customWidth="1"/>
    <col min="8" max="12" width="15.6328125" style="23" customWidth="1"/>
    <col min="13" max="13" width="2.6328125" style="18" customWidth="1"/>
    <col min="14" max="16384" width="9.1796875" style="18"/>
  </cols>
  <sheetData>
    <row r="1" spans="1:13" ht="54" x14ac:dyDescent="0.4">
      <c r="A1" s="66" t="s">
        <v>526</v>
      </c>
      <c r="B1" s="58"/>
      <c r="C1" s="58"/>
      <c r="D1" s="59"/>
      <c r="E1" s="60"/>
      <c r="F1" s="60"/>
      <c r="G1" s="60"/>
      <c r="H1" s="60"/>
      <c r="I1" s="60"/>
      <c r="J1" s="60"/>
      <c r="K1" s="60"/>
      <c r="L1" s="60"/>
      <c r="M1" s="142"/>
    </row>
    <row r="2" spans="1:13" s="19" customFormat="1" ht="50" customHeight="1" outlineLevel="1" x14ac:dyDescent="0.35">
      <c r="A2" s="350" t="s">
        <v>11</v>
      </c>
      <c r="B2" s="350" t="s">
        <v>12</v>
      </c>
      <c r="C2" s="67" t="s">
        <v>0</v>
      </c>
      <c r="D2" s="350" t="s">
        <v>132</v>
      </c>
      <c r="E2" s="452" t="s">
        <v>125</v>
      </c>
      <c r="F2" s="480" t="s">
        <v>619</v>
      </c>
      <c r="G2" s="479" t="s">
        <v>618</v>
      </c>
      <c r="H2" s="403" t="s">
        <v>495</v>
      </c>
      <c r="I2" s="403" t="s">
        <v>496</v>
      </c>
      <c r="J2" s="452" t="s">
        <v>134</v>
      </c>
      <c r="K2" s="403" t="s">
        <v>497</v>
      </c>
      <c r="L2" s="452" t="s">
        <v>133</v>
      </c>
      <c r="M2" s="454" t="s">
        <v>532</v>
      </c>
    </row>
    <row r="3" spans="1:13" ht="31" outlineLevel="2" x14ac:dyDescent="0.35">
      <c r="A3" s="93" t="s">
        <v>414</v>
      </c>
      <c r="B3" s="86" t="s">
        <v>63</v>
      </c>
      <c r="C3" s="85" t="s">
        <v>64</v>
      </c>
      <c r="D3" s="93">
        <v>250</v>
      </c>
      <c r="E3" s="121">
        <v>15908</v>
      </c>
      <c r="F3" s="392">
        <v>0</v>
      </c>
      <c r="G3" s="413" t="s">
        <v>529</v>
      </c>
      <c r="H3" s="121">
        <v>15908</v>
      </c>
      <c r="I3" s="392">
        <v>0</v>
      </c>
      <c r="J3" s="392">
        <v>0</v>
      </c>
      <c r="K3" s="392">
        <v>0</v>
      </c>
      <c r="L3" s="121">
        <v>15908</v>
      </c>
      <c r="M3" s="450" t="s">
        <v>529</v>
      </c>
    </row>
    <row r="4" spans="1:13" ht="31" outlineLevel="2" x14ac:dyDescent="0.35">
      <c r="A4" s="93" t="s">
        <v>414</v>
      </c>
      <c r="B4" s="86" t="s">
        <v>409</v>
      </c>
      <c r="C4" s="85" t="s">
        <v>410</v>
      </c>
      <c r="D4" s="93">
        <v>370</v>
      </c>
      <c r="E4" s="121">
        <v>49754</v>
      </c>
      <c r="F4" s="392">
        <v>0</v>
      </c>
      <c r="G4" s="413" t="s">
        <v>529</v>
      </c>
      <c r="H4" s="121">
        <v>49754</v>
      </c>
      <c r="I4" s="392">
        <v>0</v>
      </c>
      <c r="J4" s="392">
        <v>0</v>
      </c>
      <c r="K4" s="392">
        <v>0</v>
      </c>
      <c r="L4" s="121">
        <v>49754</v>
      </c>
      <c r="M4" s="450" t="s">
        <v>529</v>
      </c>
    </row>
    <row r="5" spans="1:13" ht="31" outlineLevel="2" x14ac:dyDescent="0.35">
      <c r="A5" s="93" t="s">
        <v>414</v>
      </c>
      <c r="B5" s="86" t="s">
        <v>65</v>
      </c>
      <c r="C5" s="85" t="s">
        <v>66</v>
      </c>
      <c r="D5" s="93">
        <v>369</v>
      </c>
      <c r="E5" s="121">
        <v>73358</v>
      </c>
      <c r="F5" s="392">
        <v>0</v>
      </c>
      <c r="G5" s="413" t="s">
        <v>529</v>
      </c>
      <c r="H5" s="121">
        <v>73358</v>
      </c>
      <c r="I5" s="392">
        <v>0</v>
      </c>
      <c r="J5" s="392">
        <v>0</v>
      </c>
      <c r="K5" s="392">
        <v>0</v>
      </c>
      <c r="L5" s="121">
        <v>73358</v>
      </c>
      <c r="M5" s="450" t="s">
        <v>529</v>
      </c>
    </row>
    <row r="6" spans="1:13" ht="31" outlineLevel="2" x14ac:dyDescent="0.35">
      <c r="A6" s="93" t="s">
        <v>414</v>
      </c>
      <c r="B6" s="86" t="s">
        <v>69</v>
      </c>
      <c r="C6" s="85" t="s">
        <v>70</v>
      </c>
      <c r="D6" s="93">
        <v>172</v>
      </c>
      <c r="E6" s="121">
        <v>2715</v>
      </c>
      <c r="F6" s="392">
        <v>0</v>
      </c>
      <c r="G6" s="413" t="s">
        <v>529</v>
      </c>
      <c r="H6" s="121">
        <v>2715</v>
      </c>
      <c r="I6" s="392">
        <v>0</v>
      </c>
      <c r="J6" s="392">
        <v>0</v>
      </c>
      <c r="K6" s="392">
        <v>0</v>
      </c>
      <c r="L6" s="121">
        <v>2715</v>
      </c>
      <c r="M6" s="450" t="s">
        <v>529</v>
      </c>
    </row>
    <row r="7" spans="1:13" ht="31" outlineLevel="2" x14ac:dyDescent="0.35">
      <c r="A7" s="93" t="s">
        <v>414</v>
      </c>
      <c r="B7" s="86" t="s">
        <v>72</v>
      </c>
      <c r="C7" s="85" t="s">
        <v>73</v>
      </c>
      <c r="D7" s="93">
        <v>11</v>
      </c>
      <c r="E7" s="121">
        <v>136002</v>
      </c>
      <c r="F7" s="392">
        <v>0</v>
      </c>
      <c r="G7" s="413" t="s">
        <v>529</v>
      </c>
      <c r="H7" s="121">
        <v>136002</v>
      </c>
      <c r="I7" s="392">
        <v>0</v>
      </c>
      <c r="J7" s="392">
        <v>0</v>
      </c>
      <c r="K7" s="392">
        <v>0</v>
      </c>
      <c r="L7" s="121">
        <v>136002</v>
      </c>
      <c r="M7" s="450" t="s">
        <v>529</v>
      </c>
    </row>
    <row r="8" spans="1:13" ht="15" customHeight="1" outlineLevel="2" x14ac:dyDescent="0.35">
      <c r="A8" s="93" t="s">
        <v>414</v>
      </c>
      <c r="B8" s="86" t="s">
        <v>74</v>
      </c>
      <c r="C8" s="85" t="s">
        <v>75</v>
      </c>
      <c r="D8" s="93">
        <v>313</v>
      </c>
      <c r="E8" s="121">
        <v>27892</v>
      </c>
      <c r="F8" s="392">
        <v>0</v>
      </c>
      <c r="G8" s="413" t="s">
        <v>529</v>
      </c>
      <c r="H8" s="121">
        <v>27892</v>
      </c>
      <c r="I8" s="392">
        <v>0</v>
      </c>
      <c r="J8" s="392">
        <v>0</v>
      </c>
      <c r="K8" s="392">
        <v>0</v>
      </c>
      <c r="L8" s="121">
        <v>27892</v>
      </c>
      <c r="M8" s="450" t="s">
        <v>529</v>
      </c>
    </row>
    <row r="9" spans="1:13" ht="31" outlineLevel="2" x14ac:dyDescent="0.35">
      <c r="A9" s="93" t="s">
        <v>414</v>
      </c>
      <c r="B9" s="86" t="s">
        <v>76</v>
      </c>
      <c r="C9" s="85" t="s">
        <v>77</v>
      </c>
      <c r="D9" s="93">
        <v>330</v>
      </c>
      <c r="E9" s="121">
        <v>36306</v>
      </c>
      <c r="F9" s="392">
        <v>0</v>
      </c>
      <c r="G9" s="413" t="s">
        <v>529</v>
      </c>
      <c r="H9" s="121">
        <v>36306</v>
      </c>
      <c r="I9" s="392">
        <v>0</v>
      </c>
      <c r="J9" s="392">
        <v>0</v>
      </c>
      <c r="K9" s="392">
        <v>0</v>
      </c>
      <c r="L9" s="121">
        <v>36306</v>
      </c>
      <c r="M9" s="450" t="s">
        <v>529</v>
      </c>
    </row>
    <row r="10" spans="1:13" ht="46.5" outlineLevel="2" x14ac:dyDescent="0.35">
      <c r="A10" s="93" t="s">
        <v>414</v>
      </c>
      <c r="B10" s="86" t="s">
        <v>78</v>
      </c>
      <c r="C10" s="85" t="s">
        <v>79</v>
      </c>
      <c r="D10" s="93">
        <v>272</v>
      </c>
      <c r="E10" s="121">
        <v>24722</v>
      </c>
      <c r="F10" s="392">
        <v>0</v>
      </c>
      <c r="G10" s="413" t="s">
        <v>529</v>
      </c>
      <c r="H10" s="121">
        <v>24722</v>
      </c>
      <c r="I10" s="392">
        <v>0</v>
      </c>
      <c r="J10" s="392">
        <v>0</v>
      </c>
      <c r="K10" s="392">
        <v>0</v>
      </c>
      <c r="L10" s="121">
        <v>24722</v>
      </c>
      <c r="M10" s="450" t="s">
        <v>529</v>
      </c>
    </row>
    <row r="11" spans="1:13" ht="46.5" outlineLevel="2" x14ac:dyDescent="0.35">
      <c r="A11" s="93" t="s">
        <v>414</v>
      </c>
      <c r="B11" s="86" t="s">
        <v>80</v>
      </c>
      <c r="C11" s="85" t="s">
        <v>81</v>
      </c>
      <c r="D11" s="93">
        <v>276</v>
      </c>
      <c r="E11" s="121">
        <v>3169</v>
      </c>
      <c r="F11" s="392">
        <v>0</v>
      </c>
      <c r="G11" s="413" t="s">
        <v>529</v>
      </c>
      <c r="H11" s="121">
        <v>3169</v>
      </c>
      <c r="I11" s="392">
        <v>0</v>
      </c>
      <c r="J11" s="392">
        <v>0</v>
      </c>
      <c r="K11" s="392">
        <v>0</v>
      </c>
      <c r="L11" s="121">
        <v>3169</v>
      </c>
      <c r="M11" s="450" t="s">
        <v>529</v>
      </c>
    </row>
    <row r="12" spans="1:13" ht="78" customHeight="1" outlineLevel="2" x14ac:dyDescent="0.35">
      <c r="A12" s="93" t="s">
        <v>414</v>
      </c>
      <c r="B12" s="86" t="s">
        <v>82</v>
      </c>
      <c r="C12" s="85" t="s">
        <v>83</v>
      </c>
      <c r="D12" s="93">
        <v>292</v>
      </c>
      <c r="E12" s="121">
        <v>27368</v>
      </c>
      <c r="F12" s="392">
        <v>0</v>
      </c>
      <c r="G12" s="413" t="s">
        <v>529</v>
      </c>
      <c r="H12" s="121">
        <v>27368</v>
      </c>
      <c r="I12" s="392">
        <v>0</v>
      </c>
      <c r="J12" s="392">
        <v>0</v>
      </c>
      <c r="K12" s="392">
        <v>0</v>
      </c>
      <c r="L12" s="121">
        <v>27368</v>
      </c>
      <c r="M12" s="450" t="s">
        <v>529</v>
      </c>
    </row>
    <row r="13" spans="1:13" ht="31" outlineLevel="2" x14ac:dyDescent="0.35">
      <c r="A13" s="93" t="s">
        <v>414</v>
      </c>
      <c r="B13" s="86" t="s">
        <v>84</v>
      </c>
      <c r="C13" s="85" t="s">
        <v>85</v>
      </c>
      <c r="D13" s="93">
        <v>209</v>
      </c>
      <c r="E13" s="121">
        <v>31923</v>
      </c>
      <c r="F13" s="392">
        <v>0</v>
      </c>
      <c r="G13" s="413" t="s">
        <v>529</v>
      </c>
      <c r="H13" s="121">
        <v>31923</v>
      </c>
      <c r="I13" s="392">
        <v>0</v>
      </c>
      <c r="J13" s="392">
        <v>0</v>
      </c>
      <c r="K13" s="392">
        <v>0</v>
      </c>
      <c r="L13" s="121">
        <v>31923</v>
      </c>
      <c r="M13" s="450" t="s">
        <v>529</v>
      </c>
    </row>
    <row r="14" spans="1:13" ht="15.5" outlineLevel="2" x14ac:dyDescent="0.35">
      <c r="A14" s="93" t="s">
        <v>414</v>
      </c>
      <c r="B14" s="86" t="s">
        <v>86</v>
      </c>
      <c r="C14" s="85" t="s">
        <v>87</v>
      </c>
      <c r="D14" s="93">
        <v>183</v>
      </c>
      <c r="E14" s="121">
        <v>7067</v>
      </c>
      <c r="F14" s="392">
        <v>0</v>
      </c>
      <c r="G14" s="413" t="s">
        <v>529</v>
      </c>
      <c r="H14" s="121">
        <v>7067</v>
      </c>
      <c r="I14" s="392">
        <v>0</v>
      </c>
      <c r="J14" s="392">
        <v>0</v>
      </c>
      <c r="K14" s="392">
        <v>0</v>
      </c>
      <c r="L14" s="121">
        <v>7067</v>
      </c>
      <c r="M14" s="450" t="s">
        <v>529</v>
      </c>
    </row>
    <row r="15" spans="1:13" ht="15.5" outlineLevel="2" x14ac:dyDescent="0.35">
      <c r="A15" s="93" t="s">
        <v>414</v>
      </c>
      <c r="B15" s="86" t="s">
        <v>88</v>
      </c>
      <c r="C15" s="85" t="s">
        <v>89</v>
      </c>
      <c r="D15" s="93">
        <v>251</v>
      </c>
      <c r="E15" s="121">
        <v>2048</v>
      </c>
      <c r="F15" s="392">
        <v>0</v>
      </c>
      <c r="G15" s="413" t="s">
        <v>529</v>
      </c>
      <c r="H15" s="121">
        <v>2048</v>
      </c>
      <c r="I15" s="392">
        <v>0</v>
      </c>
      <c r="J15" s="392">
        <v>0</v>
      </c>
      <c r="K15" s="392">
        <v>0</v>
      </c>
      <c r="L15" s="121">
        <v>2048</v>
      </c>
      <c r="M15" s="450" t="s">
        <v>529</v>
      </c>
    </row>
    <row r="16" spans="1:13" ht="15.5" outlineLevel="2" x14ac:dyDescent="0.35">
      <c r="A16" s="93" t="s">
        <v>414</v>
      </c>
      <c r="B16" s="86" t="s">
        <v>90</v>
      </c>
      <c r="C16" s="85" t="s">
        <v>91</v>
      </c>
      <c r="D16" s="93">
        <v>192</v>
      </c>
      <c r="E16" s="121">
        <v>5791</v>
      </c>
      <c r="F16" s="392">
        <v>0</v>
      </c>
      <c r="G16" s="413" t="s">
        <v>529</v>
      </c>
      <c r="H16" s="121">
        <v>5791</v>
      </c>
      <c r="I16" s="392">
        <v>0</v>
      </c>
      <c r="J16" s="392">
        <v>0</v>
      </c>
      <c r="K16" s="392">
        <v>0</v>
      </c>
      <c r="L16" s="121">
        <v>5791</v>
      </c>
      <c r="M16" s="450" t="s">
        <v>529</v>
      </c>
    </row>
    <row r="17" spans="1:13" ht="31" outlineLevel="2" x14ac:dyDescent="0.35">
      <c r="A17" s="93" t="s">
        <v>414</v>
      </c>
      <c r="B17" s="86" t="s">
        <v>92</v>
      </c>
      <c r="C17" s="85" t="s">
        <v>93</v>
      </c>
      <c r="D17" s="93">
        <v>297</v>
      </c>
      <c r="E17" s="121">
        <v>3196917</v>
      </c>
      <c r="F17" s="392">
        <v>0</v>
      </c>
      <c r="G17" s="413" t="s">
        <v>529</v>
      </c>
      <c r="H17" s="121">
        <v>3196917</v>
      </c>
      <c r="I17" s="392">
        <v>0</v>
      </c>
      <c r="J17" s="392">
        <v>0</v>
      </c>
      <c r="K17" s="392">
        <v>0</v>
      </c>
      <c r="L17" s="121">
        <v>3196917</v>
      </c>
      <c r="M17" s="450" t="s">
        <v>529</v>
      </c>
    </row>
    <row r="18" spans="1:13" ht="15.5" outlineLevel="2" x14ac:dyDescent="0.35">
      <c r="A18" s="93" t="s">
        <v>414</v>
      </c>
      <c r="B18" s="86" t="s">
        <v>94</v>
      </c>
      <c r="C18" s="85" t="s">
        <v>95</v>
      </c>
      <c r="D18" s="93">
        <v>166</v>
      </c>
      <c r="E18" s="121">
        <v>44363</v>
      </c>
      <c r="F18" s="392">
        <v>0</v>
      </c>
      <c r="G18" s="413" t="s">
        <v>529</v>
      </c>
      <c r="H18" s="121">
        <v>44363</v>
      </c>
      <c r="I18" s="392">
        <v>0</v>
      </c>
      <c r="J18" s="392">
        <v>0</v>
      </c>
      <c r="K18" s="392">
        <v>0</v>
      </c>
      <c r="L18" s="121">
        <v>44363</v>
      </c>
      <c r="M18" s="450" t="s">
        <v>529</v>
      </c>
    </row>
    <row r="19" spans="1:13" ht="15.5" outlineLevel="2" x14ac:dyDescent="0.35">
      <c r="A19" s="93" t="s">
        <v>414</v>
      </c>
      <c r="B19" s="86" t="s">
        <v>96</v>
      </c>
      <c r="C19" s="85" t="s">
        <v>97</v>
      </c>
      <c r="D19" s="93">
        <v>32</v>
      </c>
      <c r="E19" s="121">
        <v>9295</v>
      </c>
      <c r="F19" s="392">
        <v>0</v>
      </c>
      <c r="G19" s="413" t="s">
        <v>529</v>
      </c>
      <c r="H19" s="121">
        <v>9295</v>
      </c>
      <c r="I19" s="392">
        <v>0</v>
      </c>
      <c r="J19" s="392">
        <v>0</v>
      </c>
      <c r="K19" s="392">
        <v>0</v>
      </c>
      <c r="L19" s="121">
        <v>9295</v>
      </c>
      <c r="M19" s="450" t="s">
        <v>529</v>
      </c>
    </row>
    <row r="20" spans="1:13" ht="31" outlineLevel="2" x14ac:dyDescent="0.35">
      <c r="A20" s="93" t="s">
        <v>414</v>
      </c>
      <c r="B20" s="86" t="s">
        <v>98</v>
      </c>
      <c r="C20" s="85" t="s">
        <v>99</v>
      </c>
      <c r="D20" s="93">
        <v>368</v>
      </c>
      <c r="E20" s="121">
        <v>13387</v>
      </c>
      <c r="F20" s="392">
        <v>0</v>
      </c>
      <c r="G20" s="413" t="s">
        <v>529</v>
      </c>
      <c r="H20" s="121">
        <v>13387</v>
      </c>
      <c r="I20" s="392">
        <v>0</v>
      </c>
      <c r="J20" s="392">
        <v>0</v>
      </c>
      <c r="K20" s="392">
        <v>0</v>
      </c>
      <c r="L20" s="121">
        <v>13387</v>
      </c>
      <c r="M20" s="450" t="s">
        <v>529</v>
      </c>
    </row>
    <row r="21" spans="1:13" ht="15.5" outlineLevel="2" x14ac:dyDescent="0.35">
      <c r="A21" s="93" t="s">
        <v>414</v>
      </c>
      <c r="B21" s="86" t="s">
        <v>419</v>
      </c>
      <c r="C21" s="85" t="s">
        <v>100</v>
      </c>
      <c r="D21" s="93">
        <v>357</v>
      </c>
      <c r="E21" s="121">
        <v>4676</v>
      </c>
      <c r="F21" s="392">
        <v>0</v>
      </c>
      <c r="G21" s="413" t="s">
        <v>529</v>
      </c>
      <c r="H21" s="121">
        <v>4676</v>
      </c>
      <c r="I21" s="392">
        <v>0</v>
      </c>
      <c r="J21" s="392">
        <v>0</v>
      </c>
      <c r="K21" s="392">
        <v>0</v>
      </c>
      <c r="L21" s="121">
        <v>4676</v>
      </c>
      <c r="M21" s="450" t="s">
        <v>529</v>
      </c>
    </row>
    <row r="22" spans="1:13" ht="15.5" outlineLevel="2" x14ac:dyDescent="0.35">
      <c r="A22" s="93" t="s">
        <v>414</v>
      </c>
      <c r="B22" s="86" t="s">
        <v>101</v>
      </c>
      <c r="C22" s="85" t="s">
        <v>102</v>
      </c>
      <c r="D22" s="93">
        <v>153</v>
      </c>
      <c r="E22" s="121">
        <v>8800</v>
      </c>
      <c r="F22" s="392">
        <v>0</v>
      </c>
      <c r="G22" s="413" t="s">
        <v>529</v>
      </c>
      <c r="H22" s="121">
        <v>8800</v>
      </c>
      <c r="I22" s="392">
        <v>0</v>
      </c>
      <c r="J22" s="392">
        <v>0</v>
      </c>
      <c r="K22" s="392">
        <v>0</v>
      </c>
      <c r="L22" s="121">
        <v>8800</v>
      </c>
      <c r="M22" s="450" t="s">
        <v>529</v>
      </c>
    </row>
    <row r="23" spans="1:13" ht="15.5" outlineLevel="2" x14ac:dyDescent="0.35">
      <c r="A23" s="93" t="s">
        <v>414</v>
      </c>
      <c r="B23" s="86" t="s">
        <v>246</v>
      </c>
      <c r="C23" s="85" t="s">
        <v>247</v>
      </c>
      <c r="D23" s="93">
        <v>155</v>
      </c>
      <c r="E23" s="121">
        <v>2350</v>
      </c>
      <c r="F23" s="392">
        <v>0</v>
      </c>
      <c r="G23" s="413" t="s">
        <v>529</v>
      </c>
      <c r="H23" s="121">
        <v>2350</v>
      </c>
      <c r="I23" s="392">
        <v>0</v>
      </c>
      <c r="J23" s="392">
        <v>0</v>
      </c>
      <c r="K23" s="392">
        <v>0</v>
      </c>
      <c r="L23" s="121">
        <v>2350</v>
      </c>
      <c r="M23" s="450" t="s">
        <v>529</v>
      </c>
    </row>
    <row r="24" spans="1:13" ht="15.5" outlineLevel="2" x14ac:dyDescent="0.35">
      <c r="A24" s="93" t="s">
        <v>414</v>
      </c>
      <c r="B24" s="86" t="s">
        <v>103</v>
      </c>
      <c r="C24" s="85" t="s">
        <v>93</v>
      </c>
      <c r="D24" s="93">
        <v>48</v>
      </c>
      <c r="E24" s="121">
        <v>114153</v>
      </c>
      <c r="F24" s="392">
        <v>0</v>
      </c>
      <c r="G24" s="413" t="s">
        <v>529</v>
      </c>
      <c r="H24" s="121">
        <v>114153</v>
      </c>
      <c r="I24" s="392">
        <v>0</v>
      </c>
      <c r="J24" s="392">
        <v>0</v>
      </c>
      <c r="K24" s="392">
        <v>0</v>
      </c>
      <c r="L24" s="121">
        <v>114153</v>
      </c>
      <c r="M24" s="450" t="s">
        <v>529</v>
      </c>
    </row>
    <row r="25" spans="1:13" ht="15.5" outlineLevel="2" x14ac:dyDescent="0.35">
      <c r="A25" s="93" t="s">
        <v>414</v>
      </c>
      <c r="B25" s="86" t="s">
        <v>104</v>
      </c>
      <c r="C25" s="85" t="s">
        <v>105</v>
      </c>
      <c r="D25" s="93">
        <v>350</v>
      </c>
      <c r="E25" s="121">
        <v>3858</v>
      </c>
      <c r="F25" s="392">
        <v>0</v>
      </c>
      <c r="G25" s="413" t="s">
        <v>529</v>
      </c>
      <c r="H25" s="121">
        <v>3858</v>
      </c>
      <c r="I25" s="392">
        <v>0</v>
      </c>
      <c r="J25" s="392">
        <v>0</v>
      </c>
      <c r="K25" s="392">
        <v>0</v>
      </c>
      <c r="L25" s="121">
        <v>3858</v>
      </c>
      <c r="M25" s="450" t="s">
        <v>529</v>
      </c>
    </row>
    <row r="26" spans="1:13" ht="15.5" outlineLevel="2" x14ac:dyDescent="0.35">
      <c r="A26" s="93" t="s">
        <v>414</v>
      </c>
      <c r="B26" s="86" t="s">
        <v>106</v>
      </c>
      <c r="C26" s="85" t="s">
        <v>107</v>
      </c>
      <c r="D26" s="93">
        <v>173</v>
      </c>
      <c r="E26" s="121">
        <v>7912</v>
      </c>
      <c r="F26" s="392">
        <v>0</v>
      </c>
      <c r="G26" s="413" t="s">
        <v>529</v>
      </c>
      <c r="H26" s="121">
        <v>7912</v>
      </c>
      <c r="I26" s="392">
        <v>0</v>
      </c>
      <c r="J26" s="392">
        <v>0</v>
      </c>
      <c r="K26" s="392">
        <v>0</v>
      </c>
      <c r="L26" s="121">
        <v>7912</v>
      </c>
      <c r="M26" s="450" t="s">
        <v>529</v>
      </c>
    </row>
    <row r="27" spans="1:13" ht="15.5" outlineLevel="2" x14ac:dyDescent="0.35">
      <c r="A27" s="93" t="s">
        <v>414</v>
      </c>
      <c r="B27" s="86" t="s">
        <v>110</v>
      </c>
      <c r="C27" s="85" t="s">
        <v>111</v>
      </c>
      <c r="D27" s="93">
        <v>244</v>
      </c>
      <c r="E27" s="121">
        <v>3097</v>
      </c>
      <c r="F27" s="392">
        <v>0</v>
      </c>
      <c r="G27" s="413" t="s">
        <v>529</v>
      </c>
      <c r="H27" s="121">
        <v>3097</v>
      </c>
      <c r="I27" s="392">
        <v>0</v>
      </c>
      <c r="J27" s="392">
        <v>0</v>
      </c>
      <c r="K27" s="392">
        <v>0</v>
      </c>
      <c r="L27" s="121">
        <v>3097</v>
      </c>
      <c r="M27" s="450" t="s">
        <v>529</v>
      </c>
    </row>
    <row r="28" spans="1:13" ht="15.5" outlineLevel="2" x14ac:dyDescent="0.35">
      <c r="A28" s="93" t="s">
        <v>414</v>
      </c>
      <c r="B28" s="86" t="s">
        <v>112</v>
      </c>
      <c r="C28" s="85" t="s">
        <v>113</v>
      </c>
      <c r="D28" s="93">
        <v>171</v>
      </c>
      <c r="E28" s="121">
        <v>15251</v>
      </c>
      <c r="F28" s="392">
        <v>0</v>
      </c>
      <c r="G28" s="413" t="s">
        <v>529</v>
      </c>
      <c r="H28" s="121">
        <v>15251</v>
      </c>
      <c r="I28" s="392">
        <v>0</v>
      </c>
      <c r="J28" s="392">
        <v>0</v>
      </c>
      <c r="K28" s="392">
        <v>0</v>
      </c>
      <c r="L28" s="121">
        <v>15251</v>
      </c>
      <c r="M28" s="450" t="s">
        <v>529</v>
      </c>
    </row>
    <row r="29" spans="1:13" ht="30" customHeight="1" outlineLevel="2" x14ac:dyDescent="0.35">
      <c r="A29" s="93" t="s">
        <v>414</v>
      </c>
      <c r="B29" s="86" t="s">
        <v>114</v>
      </c>
      <c r="C29" s="85" t="s">
        <v>111</v>
      </c>
      <c r="D29" s="93">
        <v>258</v>
      </c>
      <c r="E29" s="121">
        <v>53492</v>
      </c>
      <c r="F29" s="392">
        <v>0</v>
      </c>
      <c r="G29" s="413" t="s">
        <v>529</v>
      </c>
      <c r="H29" s="121">
        <v>53492</v>
      </c>
      <c r="I29" s="392">
        <v>0</v>
      </c>
      <c r="J29" s="392">
        <v>0</v>
      </c>
      <c r="K29" s="392">
        <v>0</v>
      </c>
      <c r="L29" s="121">
        <v>53492</v>
      </c>
      <c r="M29" s="450" t="s">
        <v>529</v>
      </c>
    </row>
    <row r="30" spans="1:13" ht="15.5" outlineLevel="2" x14ac:dyDescent="0.35">
      <c r="A30" s="93" t="s">
        <v>414</v>
      </c>
      <c r="B30" s="86" t="s">
        <v>115</v>
      </c>
      <c r="C30" s="85" t="s">
        <v>93</v>
      </c>
      <c r="D30" s="93">
        <v>260</v>
      </c>
      <c r="E30" s="121">
        <v>105162</v>
      </c>
      <c r="F30" s="392">
        <v>0</v>
      </c>
      <c r="G30" s="413" t="s">
        <v>529</v>
      </c>
      <c r="H30" s="121">
        <v>105162</v>
      </c>
      <c r="I30" s="392">
        <v>0</v>
      </c>
      <c r="J30" s="392">
        <v>0</v>
      </c>
      <c r="K30" s="392">
        <v>0</v>
      </c>
      <c r="L30" s="121">
        <v>105162</v>
      </c>
      <c r="M30" s="450" t="s">
        <v>529</v>
      </c>
    </row>
    <row r="31" spans="1:13" ht="31" outlineLevel="2" x14ac:dyDescent="0.35">
      <c r="A31" s="93" t="s">
        <v>414</v>
      </c>
      <c r="B31" s="86" t="s">
        <v>116</v>
      </c>
      <c r="C31" s="85" t="s">
        <v>117</v>
      </c>
      <c r="D31" s="93">
        <v>367</v>
      </c>
      <c r="E31" s="121">
        <v>92147</v>
      </c>
      <c r="F31" s="392">
        <v>0</v>
      </c>
      <c r="G31" s="413" t="s">
        <v>529</v>
      </c>
      <c r="H31" s="121">
        <v>92147</v>
      </c>
      <c r="I31" s="392">
        <v>0</v>
      </c>
      <c r="J31" s="392">
        <v>0</v>
      </c>
      <c r="K31" s="392">
        <v>0</v>
      </c>
      <c r="L31" s="121">
        <v>92147</v>
      </c>
      <c r="M31" s="450" t="s">
        <v>529</v>
      </c>
    </row>
    <row r="32" spans="1:13" ht="15.5" outlineLevel="2" x14ac:dyDescent="0.35">
      <c r="A32" s="93" t="s">
        <v>414</v>
      </c>
      <c r="B32" s="86" t="s">
        <v>118</v>
      </c>
      <c r="C32" s="85" t="s">
        <v>119</v>
      </c>
      <c r="D32" s="93">
        <v>346</v>
      </c>
      <c r="E32" s="121">
        <v>1195</v>
      </c>
      <c r="F32" s="392">
        <v>0</v>
      </c>
      <c r="G32" s="413" t="s">
        <v>529</v>
      </c>
      <c r="H32" s="121">
        <v>1195</v>
      </c>
      <c r="I32" s="392">
        <v>0</v>
      </c>
      <c r="J32" s="392">
        <v>0</v>
      </c>
      <c r="K32" s="392">
        <v>0</v>
      </c>
      <c r="L32" s="121">
        <v>1195</v>
      </c>
      <c r="M32" s="450" t="s">
        <v>529</v>
      </c>
    </row>
    <row r="33" spans="1:13" ht="15" customHeight="1" outlineLevel="2" x14ac:dyDescent="0.35">
      <c r="A33" s="93" t="s">
        <v>414</v>
      </c>
      <c r="B33" s="86" t="s">
        <v>120</v>
      </c>
      <c r="C33" s="85" t="s">
        <v>121</v>
      </c>
      <c r="D33" s="93">
        <v>351</v>
      </c>
      <c r="E33" s="121">
        <v>10813</v>
      </c>
      <c r="F33" s="392">
        <v>0</v>
      </c>
      <c r="G33" s="413" t="s">
        <v>529</v>
      </c>
      <c r="H33" s="121">
        <v>10813</v>
      </c>
      <c r="I33" s="392">
        <v>0</v>
      </c>
      <c r="J33" s="392">
        <v>0</v>
      </c>
      <c r="K33" s="392">
        <v>0</v>
      </c>
      <c r="L33" s="121">
        <v>10813</v>
      </c>
      <c r="M33" s="451" t="s">
        <v>529</v>
      </c>
    </row>
    <row r="34" spans="1:13" ht="15.5" outlineLevel="1" x14ac:dyDescent="0.35">
      <c r="A34" s="96" t="s">
        <v>430</v>
      </c>
      <c r="B34" s="429" t="s">
        <v>529</v>
      </c>
      <c r="C34" s="430" t="s">
        <v>529</v>
      </c>
      <c r="D34" s="409" t="s">
        <v>529</v>
      </c>
      <c r="E34" s="138">
        <f>SUBTOTAL(109,school201819[Program
Costs])</f>
        <v>4130891</v>
      </c>
      <c r="F34" s="407" t="s">
        <v>582</v>
      </c>
      <c r="G34" s="414" t="s">
        <v>552</v>
      </c>
      <c r="H34" s="138">
        <f>SUBTOTAL(109,school201819[Accounts Payable
Balance])</f>
        <v>4130891</v>
      </c>
      <c r="I34" s="407" t="s">
        <v>582</v>
      </c>
      <c r="J34" s="407" t="s">
        <v>582</v>
      </c>
      <c r="K34" s="407" t="s">
        <v>582</v>
      </c>
      <c r="L34" s="138">
        <f>SUBTOTAL(109,school201819[Net
Balance])</f>
        <v>4130891</v>
      </c>
      <c r="M34" s="414" t="s">
        <v>552</v>
      </c>
    </row>
    <row r="35" spans="1:13" ht="15" customHeight="1" outlineLevel="2" x14ac:dyDescent="0.35">
      <c r="A35" s="386" t="s">
        <v>540</v>
      </c>
      <c r="B35" s="139"/>
      <c r="C35" s="139"/>
      <c r="D35" s="139"/>
      <c r="E35" s="140"/>
      <c r="F35" s="140"/>
      <c r="G35" s="140"/>
      <c r="H35" s="140"/>
      <c r="I35" s="140"/>
      <c r="J35" s="140"/>
      <c r="K35" s="140"/>
      <c r="L35" s="140"/>
      <c r="M35" s="449"/>
    </row>
    <row r="36" spans="1:13" ht="50" customHeight="1" outlineLevel="2" x14ac:dyDescent="0.35">
      <c r="A36" s="457" t="s">
        <v>11</v>
      </c>
      <c r="B36" s="300" t="s">
        <v>12</v>
      </c>
      <c r="C36" s="158" t="s">
        <v>0</v>
      </c>
      <c r="D36" s="300" t="s">
        <v>132</v>
      </c>
      <c r="E36" s="458" t="s">
        <v>125</v>
      </c>
      <c r="F36" s="423" t="s">
        <v>614</v>
      </c>
      <c r="G36" s="424" t="s">
        <v>531</v>
      </c>
      <c r="H36" s="422" t="s">
        <v>495</v>
      </c>
      <c r="I36" s="422" t="s">
        <v>496</v>
      </c>
      <c r="J36" s="458" t="s">
        <v>134</v>
      </c>
      <c r="K36" s="422" t="s">
        <v>497</v>
      </c>
      <c r="L36" s="458" t="s">
        <v>133</v>
      </c>
      <c r="M36" s="459" t="s">
        <v>532</v>
      </c>
    </row>
    <row r="37" spans="1:13" ht="15.5" outlineLevel="2" x14ac:dyDescent="0.35">
      <c r="A37" s="93" t="s">
        <v>399</v>
      </c>
      <c r="B37" s="86" t="s">
        <v>61</v>
      </c>
      <c r="C37" s="85" t="s">
        <v>62</v>
      </c>
      <c r="D37" s="93">
        <v>305</v>
      </c>
      <c r="E37" s="392">
        <v>0</v>
      </c>
      <c r="F37" s="392">
        <v>0</v>
      </c>
      <c r="G37" s="413" t="s">
        <v>552</v>
      </c>
      <c r="H37" s="392">
        <v>0</v>
      </c>
      <c r="I37" s="121">
        <v>1000</v>
      </c>
      <c r="J37" s="392">
        <v>0</v>
      </c>
      <c r="K37" s="121">
        <v>1000</v>
      </c>
      <c r="L37" s="121">
        <v>-1000</v>
      </c>
      <c r="M37" s="413" t="s">
        <v>552</v>
      </c>
    </row>
    <row r="38" spans="1:13" ht="30" customHeight="1" outlineLevel="2" x14ac:dyDescent="0.35">
      <c r="A38" s="93" t="s">
        <v>399</v>
      </c>
      <c r="B38" s="86" t="s">
        <v>63</v>
      </c>
      <c r="C38" s="85" t="s">
        <v>64</v>
      </c>
      <c r="D38" s="93">
        <v>250</v>
      </c>
      <c r="E38" s="121">
        <v>18960</v>
      </c>
      <c r="F38" s="121">
        <v>1000</v>
      </c>
      <c r="G38" s="413" t="s">
        <v>552</v>
      </c>
      <c r="H38" s="121">
        <v>17960</v>
      </c>
      <c r="I38" s="392">
        <v>0</v>
      </c>
      <c r="J38" s="392">
        <v>0</v>
      </c>
      <c r="K38" s="392">
        <v>0</v>
      </c>
      <c r="L38" s="121">
        <v>17960</v>
      </c>
      <c r="M38" s="413" t="s">
        <v>552</v>
      </c>
    </row>
    <row r="39" spans="1:13" ht="30" customHeight="1" outlineLevel="2" x14ac:dyDescent="0.35">
      <c r="A39" s="93" t="s">
        <v>399</v>
      </c>
      <c r="B39" s="86" t="s">
        <v>409</v>
      </c>
      <c r="C39" s="85" t="s">
        <v>410</v>
      </c>
      <c r="D39" s="93">
        <v>370</v>
      </c>
      <c r="E39" s="121">
        <v>206525</v>
      </c>
      <c r="F39" s="121">
        <v>1000</v>
      </c>
      <c r="G39" s="413" t="s">
        <v>552</v>
      </c>
      <c r="H39" s="121">
        <v>205525</v>
      </c>
      <c r="I39" s="392">
        <v>0</v>
      </c>
      <c r="J39" s="392">
        <v>0</v>
      </c>
      <c r="K39" s="392">
        <v>0</v>
      </c>
      <c r="L39" s="121">
        <v>205525</v>
      </c>
      <c r="M39" s="413" t="s">
        <v>552</v>
      </c>
    </row>
    <row r="40" spans="1:13" ht="30" customHeight="1" outlineLevel="2" x14ac:dyDescent="0.35">
      <c r="A40" s="93" t="s">
        <v>399</v>
      </c>
      <c r="B40" s="86" t="s">
        <v>65</v>
      </c>
      <c r="C40" s="85" t="s">
        <v>66</v>
      </c>
      <c r="D40" s="93">
        <v>369</v>
      </c>
      <c r="E40" s="121">
        <v>92251</v>
      </c>
      <c r="F40" s="121">
        <v>1000</v>
      </c>
      <c r="G40" s="413" t="s">
        <v>552</v>
      </c>
      <c r="H40" s="121">
        <v>91251</v>
      </c>
      <c r="I40" s="392">
        <v>0</v>
      </c>
      <c r="J40" s="392">
        <v>0</v>
      </c>
      <c r="K40" s="392">
        <v>0</v>
      </c>
      <c r="L40" s="121">
        <v>91251</v>
      </c>
      <c r="M40" s="413" t="s">
        <v>552</v>
      </c>
    </row>
    <row r="41" spans="1:13" ht="15" customHeight="1" outlineLevel="2" x14ac:dyDescent="0.35">
      <c r="A41" s="93" t="s">
        <v>399</v>
      </c>
      <c r="B41" s="86" t="s">
        <v>69</v>
      </c>
      <c r="C41" s="85" t="s">
        <v>70</v>
      </c>
      <c r="D41" s="93">
        <v>172</v>
      </c>
      <c r="E41" s="121">
        <v>2572</v>
      </c>
      <c r="F41" s="121">
        <v>1000</v>
      </c>
      <c r="G41" s="413" t="s">
        <v>552</v>
      </c>
      <c r="H41" s="121">
        <v>1572</v>
      </c>
      <c r="I41" s="392">
        <v>0</v>
      </c>
      <c r="J41" s="392">
        <v>0</v>
      </c>
      <c r="K41" s="392">
        <v>0</v>
      </c>
      <c r="L41" s="121">
        <v>1572</v>
      </c>
      <c r="M41" s="413" t="s">
        <v>552</v>
      </c>
    </row>
    <row r="42" spans="1:13" ht="15.5" outlineLevel="2" x14ac:dyDescent="0.35">
      <c r="A42" s="93" t="s">
        <v>399</v>
      </c>
      <c r="B42" s="86" t="s">
        <v>420</v>
      </c>
      <c r="C42" s="85" t="s">
        <v>71</v>
      </c>
      <c r="D42" s="93">
        <v>278</v>
      </c>
      <c r="E42" s="121">
        <v>7603</v>
      </c>
      <c r="F42" s="121">
        <v>1000</v>
      </c>
      <c r="G42" s="413" t="s">
        <v>552</v>
      </c>
      <c r="H42" s="121">
        <v>6603</v>
      </c>
      <c r="I42" s="392">
        <v>0</v>
      </c>
      <c r="J42" s="392">
        <v>0</v>
      </c>
      <c r="K42" s="392">
        <v>0</v>
      </c>
      <c r="L42" s="121">
        <v>6603</v>
      </c>
      <c r="M42" s="413" t="s">
        <v>552</v>
      </c>
    </row>
    <row r="43" spans="1:13" ht="31" outlineLevel="2" x14ac:dyDescent="0.35">
      <c r="A43" s="93" t="s">
        <v>399</v>
      </c>
      <c r="B43" s="86" t="s">
        <v>72</v>
      </c>
      <c r="C43" s="85" t="s">
        <v>73</v>
      </c>
      <c r="D43" s="93">
        <v>11</v>
      </c>
      <c r="E43" s="121">
        <v>185663</v>
      </c>
      <c r="F43" s="121">
        <v>1000</v>
      </c>
      <c r="G43" s="413" t="s">
        <v>552</v>
      </c>
      <c r="H43" s="121">
        <v>184663</v>
      </c>
      <c r="I43" s="392">
        <v>0</v>
      </c>
      <c r="J43" s="392">
        <v>0</v>
      </c>
      <c r="K43" s="392">
        <v>0</v>
      </c>
      <c r="L43" s="121">
        <v>184663</v>
      </c>
      <c r="M43" s="413" t="s">
        <v>552</v>
      </c>
    </row>
    <row r="44" spans="1:13" ht="30" customHeight="1" outlineLevel="2" x14ac:dyDescent="0.35">
      <c r="A44" s="93" t="s">
        <v>399</v>
      </c>
      <c r="B44" s="86" t="s">
        <v>74</v>
      </c>
      <c r="C44" s="85" t="s">
        <v>75</v>
      </c>
      <c r="D44" s="93">
        <v>313</v>
      </c>
      <c r="E44" s="121">
        <v>52448</v>
      </c>
      <c r="F44" s="121">
        <v>1000</v>
      </c>
      <c r="G44" s="413" t="s">
        <v>552</v>
      </c>
      <c r="H44" s="121">
        <v>51448</v>
      </c>
      <c r="I44" s="392">
        <v>0</v>
      </c>
      <c r="J44" s="392">
        <v>0</v>
      </c>
      <c r="K44" s="392">
        <v>0</v>
      </c>
      <c r="L44" s="121">
        <v>51448</v>
      </c>
      <c r="M44" s="413" t="s">
        <v>552</v>
      </c>
    </row>
    <row r="45" spans="1:13" ht="45" customHeight="1" outlineLevel="2" x14ac:dyDescent="0.35">
      <c r="A45" s="93" t="s">
        <v>399</v>
      </c>
      <c r="B45" s="86" t="s">
        <v>76</v>
      </c>
      <c r="C45" s="85" t="s">
        <v>77</v>
      </c>
      <c r="D45" s="93">
        <v>330</v>
      </c>
      <c r="E45" s="121">
        <v>50776</v>
      </c>
      <c r="F45" s="121">
        <v>1000</v>
      </c>
      <c r="G45" s="413" t="s">
        <v>552</v>
      </c>
      <c r="H45" s="121">
        <v>49776</v>
      </c>
      <c r="I45" s="392">
        <v>0</v>
      </c>
      <c r="J45" s="392">
        <v>0</v>
      </c>
      <c r="K45" s="392">
        <v>0</v>
      </c>
      <c r="L45" s="121">
        <v>49776</v>
      </c>
      <c r="M45" s="413" t="s">
        <v>552</v>
      </c>
    </row>
    <row r="46" spans="1:13" ht="45" customHeight="1" outlineLevel="2" x14ac:dyDescent="0.35">
      <c r="A46" s="93" t="s">
        <v>399</v>
      </c>
      <c r="B46" s="86" t="s">
        <v>78</v>
      </c>
      <c r="C46" s="85" t="s">
        <v>79</v>
      </c>
      <c r="D46" s="93">
        <v>272</v>
      </c>
      <c r="E46" s="121">
        <v>37266</v>
      </c>
      <c r="F46" s="121">
        <v>1000</v>
      </c>
      <c r="G46" s="413" t="s">
        <v>552</v>
      </c>
      <c r="H46" s="121">
        <v>36266</v>
      </c>
      <c r="I46" s="392">
        <v>0</v>
      </c>
      <c r="J46" s="392">
        <v>0</v>
      </c>
      <c r="K46" s="392">
        <v>0</v>
      </c>
      <c r="L46" s="121">
        <v>36266</v>
      </c>
      <c r="M46" s="413" t="s">
        <v>552</v>
      </c>
    </row>
    <row r="47" spans="1:13" ht="46.5" outlineLevel="2" x14ac:dyDescent="0.35">
      <c r="A47" s="93" t="s">
        <v>399</v>
      </c>
      <c r="B47" s="86" t="s">
        <v>80</v>
      </c>
      <c r="C47" s="85" t="s">
        <v>81</v>
      </c>
      <c r="D47" s="93">
        <v>276</v>
      </c>
      <c r="E47" s="121">
        <v>5401</v>
      </c>
      <c r="F47" s="121">
        <v>1000</v>
      </c>
      <c r="G47" s="413" t="s">
        <v>552</v>
      </c>
      <c r="H47" s="121">
        <v>4401</v>
      </c>
      <c r="I47" s="392">
        <v>0</v>
      </c>
      <c r="J47" s="392">
        <v>0</v>
      </c>
      <c r="K47" s="392">
        <v>0</v>
      </c>
      <c r="L47" s="121">
        <v>4401</v>
      </c>
      <c r="M47" s="413" t="s">
        <v>552</v>
      </c>
    </row>
    <row r="48" spans="1:13" ht="83.5" customHeight="1" outlineLevel="2" x14ac:dyDescent="0.35">
      <c r="A48" s="93" t="s">
        <v>399</v>
      </c>
      <c r="B48" s="86" t="s">
        <v>82</v>
      </c>
      <c r="C48" s="85" t="s">
        <v>83</v>
      </c>
      <c r="D48" s="93">
        <v>292</v>
      </c>
      <c r="E48" s="121">
        <v>68320</v>
      </c>
      <c r="F48" s="121">
        <v>1000</v>
      </c>
      <c r="G48" s="413" t="s">
        <v>552</v>
      </c>
      <c r="H48" s="121">
        <v>67320</v>
      </c>
      <c r="I48" s="392">
        <v>0</v>
      </c>
      <c r="J48" s="392">
        <v>0</v>
      </c>
      <c r="K48" s="392">
        <v>0</v>
      </c>
      <c r="L48" s="121">
        <v>67320</v>
      </c>
      <c r="M48" s="413" t="s">
        <v>552</v>
      </c>
    </row>
    <row r="49" spans="1:13" ht="35" customHeight="1" outlineLevel="2" x14ac:dyDescent="0.35">
      <c r="A49" s="93" t="s">
        <v>399</v>
      </c>
      <c r="B49" s="86" t="s">
        <v>84</v>
      </c>
      <c r="C49" s="85" t="s">
        <v>85</v>
      </c>
      <c r="D49" s="93">
        <v>209</v>
      </c>
      <c r="E49" s="121">
        <v>52760</v>
      </c>
      <c r="F49" s="121">
        <v>1000</v>
      </c>
      <c r="G49" s="413" t="s">
        <v>552</v>
      </c>
      <c r="H49" s="121">
        <v>51760</v>
      </c>
      <c r="I49" s="392">
        <v>0</v>
      </c>
      <c r="J49" s="392">
        <v>0</v>
      </c>
      <c r="K49" s="392">
        <v>0</v>
      </c>
      <c r="L49" s="121">
        <v>51760</v>
      </c>
      <c r="M49" s="413" t="s">
        <v>552</v>
      </c>
    </row>
    <row r="50" spans="1:13" ht="15" customHeight="1" outlineLevel="2" x14ac:dyDescent="0.35">
      <c r="A50" s="93" t="s">
        <v>399</v>
      </c>
      <c r="B50" s="86" t="s">
        <v>86</v>
      </c>
      <c r="C50" s="85" t="s">
        <v>87</v>
      </c>
      <c r="D50" s="93">
        <v>183</v>
      </c>
      <c r="E50" s="121">
        <v>16550</v>
      </c>
      <c r="F50" s="121">
        <v>1000</v>
      </c>
      <c r="G50" s="413" t="s">
        <v>552</v>
      </c>
      <c r="H50" s="121">
        <v>15550</v>
      </c>
      <c r="I50" s="392">
        <v>0</v>
      </c>
      <c r="J50" s="392">
        <v>0</v>
      </c>
      <c r="K50" s="392">
        <v>0</v>
      </c>
      <c r="L50" s="121">
        <v>15550</v>
      </c>
      <c r="M50" s="413" t="s">
        <v>552</v>
      </c>
    </row>
    <row r="51" spans="1:13" ht="15" customHeight="1" outlineLevel="2" x14ac:dyDescent="0.35">
      <c r="A51" s="93" t="s">
        <v>399</v>
      </c>
      <c r="B51" s="86" t="s">
        <v>88</v>
      </c>
      <c r="C51" s="85" t="s">
        <v>89</v>
      </c>
      <c r="D51" s="93">
        <v>251</v>
      </c>
      <c r="E51" s="121">
        <v>3144</v>
      </c>
      <c r="F51" s="121">
        <v>1000</v>
      </c>
      <c r="G51" s="413" t="s">
        <v>552</v>
      </c>
      <c r="H51" s="121">
        <v>2144</v>
      </c>
      <c r="I51" s="392">
        <v>0</v>
      </c>
      <c r="J51" s="392">
        <v>0</v>
      </c>
      <c r="K51" s="392">
        <v>0</v>
      </c>
      <c r="L51" s="121">
        <v>2144</v>
      </c>
      <c r="M51" s="413" t="s">
        <v>552</v>
      </c>
    </row>
    <row r="52" spans="1:13" ht="15.5" outlineLevel="2" x14ac:dyDescent="0.35">
      <c r="A52" s="93" t="s">
        <v>399</v>
      </c>
      <c r="B52" s="86" t="s">
        <v>90</v>
      </c>
      <c r="C52" s="85" t="s">
        <v>91</v>
      </c>
      <c r="D52" s="93">
        <v>192</v>
      </c>
      <c r="E52" s="121">
        <v>13420</v>
      </c>
      <c r="F52" s="121">
        <v>1000</v>
      </c>
      <c r="G52" s="413" t="s">
        <v>552</v>
      </c>
      <c r="H52" s="121">
        <v>12420</v>
      </c>
      <c r="I52" s="392">
        <v>0</v>
      </c>
      <c r="J52" s="392">
        <v>0</v>
      </c>
      <c r="K52" s="392">
        <v>0</v>
      </c>
      <c r="L52" s="121">
        <v>12420</v>
      </c>
      <c r="M52" s="413" t="s">
        <v>552</v>
      </c>
    </row>
    <row r="53" spans="1:13" ht="30" customHeight="1" outlineLevel="2" x14ac:dyDescent="0.35">
      <c r="A53" s="93" t="s">
        <v>399</v>
      </c>
      <c r="B53" s="86" t="s">
        <v>92</v>
      </c>
      <c r="C53" s="85" t="s">
        <v>93</v>
      </c>
      <c r="D53" s="93">
        <v>297</v>
      </c>
      <c r="E53" s="121">
        <v>3674720</v>
      </c>
      <c r="F53" s="121">
        <v>1000</v>
      </c>
      <c r="G53" s="413" t="s">
        <v>552</v>
      </c>
      <c r="H53" s="121">
        <v>3673720</v>
      </c>
      <c r="I53" s="392">
        <v>0</v>
      </c>
      <c r="J53" s="392">
        <v>0</v>
      </c>
      <c r="K53" s="392">
        <v>0</v>
      </c>
      <c r="L53" s="121">
        <v>3673720</v>
      </c>
      <c r="M53" s="413" t="s">
        <v>552</v>
      </c>
    </row>
    <row r="54" spans="1:13" ht="15" customHeight="1" outlineLevel="2" x14ac:dyDescent="0.35">
      <c r="A54" s="93" t="s">
        <v>399</v>
      </c>
      <c r="B54" s="86" t="s">
        <v>94</v>
      </c>
      <c r="C54" s="85" t="s">
        <v>95</v>
      </c>
      <c r="D54" s="93">
        <v>166</v>
      </c>
      <c r="E54" s="121">
        <v>138292</v>
      </c>
      <c r="F54" s="121">
        <v>1000</v>
      </c>
      <c r="G54" s="413" t="s">
        <v>552</v>
      </c>
      <c r="H54" s="121">
        <v>137292</v>
      </c>
      <c r="I54" s="392">
        <v>0</v>
      </c>
      <c r="J54" s="392">
        <v>0</v>
      </c>
      <c r="K54" s="392">
        <v>0</v>
      </c>
      <c r="L54" s="121">
        <v>137292</v>
      </c>
      <c r="M54" s="413" t="s">
        <v>552</v>
      </c>
    </row>
    <row r="55" spans="1:13" ht="15.5" outlineLevel="2" x14ac:dyDescent="0.35">
      <c r="A55" s="93" t="s">
        <v>399</v>
      </c>
      <c r="B55" s="86" t="s">
        <v>96</v>
      </c>
      <c r="C55" s="85" t="s">
        <v>97</v>
      </c>
      <c r="D55" s="93">
        <v>32</v>
      </c>
      <c r="E55" s="121">
        <v>18488</v>
      </c>
      <c r="F55" s="121">
        <v>1000</v>
      </c>
      <c r="G55" s="413" t="s">
        <v>552</v>
      </c>
      <c r="H55" s="121">
        <v>17488</v>
      </c>
      <c r="I55" s="392">
        <v>0</v>
      </c>
      <c r="J55" s="392">
        <v>0</v>
      </c>
      <c r="K55" s="392">
        <v>0</v>
      </c>
      <c r="L55" s="121">
        <v>17488</v>
      </c>
      <c r="M55" s="413" t="s">
        <v>552</v>
      </c>
    </row>
    <row r="56" spans="1:13" ht="37" customHeight="1" outlineLevel="2" x14ac:dyDescent="0.35">
      <c r="A56" s="93" t="s">
        <v>399</v>
      </c>
      <c r="B56" s="86" t="s">
        <v>98</v>
      </c>
      <c r="C56" s="85" t="s">
        <v>99</v>
      </c>
      <c r="D56" s="93">
        <v>368</v>
      </c>
      <c r="E56" s="121">
        <v>21734</v>
      </c>
      <c r="F56" s="121">
        <v>1000</v>
      </c>
      <c r="G56" s="413" t="s">
        <v>552</v>
      </c>
      <c r="H56" s="121">
        <v>20734</v>
      </c>
      <c r="I56" s="392">
        <v>0</v>
      </c>
      <c r="J56" s="392">
        <v>0</v>
      </c>
      <c r="K56" s="392">
        <v>0</v>
      </c>
      <c r="L56" s="121">
        <v>20734</v>
      </c>
      <c r="M56" s="413" t="s">
        <v>552</v>
      </c>
    </row>
    <row r="57" spans="1:13" ht="15" customHeight="1" outlineLevel="2" x14ac:dyDescent="0.35">
      <c r="A57" s="93" t="s">
        <v>399</v>
      </c>
      <c r="B57" s="86" t="s">
        <v>419</v>
      </c>
      <c r="C57" s="85" t="s">
        <v>100</v>
      </c>
      <c r="D57" s="93">
        <v>357</v>
      </c>
      <c r="E57" s="121">
        <v>15235</v>
      </c>
      <c r="F57" s="121">
        <v>1000</v>
      </c>
      <c r="G57" s="413" t="s">
        <v>552</v>
      </c>
      <c r="H57" s="121">
        <v>14235</v>
      </c>
      <c r="I57" s="392">
        <v>0</v>
      </c>
      <c r="J57" s="392">
        <v>0</v>
      </c>
      <c r="K57" s="392">
        <v>0</v>
      </c>
      <c r="L57" s="121">
        <v>14235</v>
      </c>
      <c r="M57" s="413" t="s">
        <v>552</v>
      </c>
    </row>
    <row r="58" spans="1:13" ht="15" customHeight="1" outlineLevel="2" x14ac:dyDescent="0.35">
      <c r="A58" s="93" t="s">
        <v>399</v>
      </c>
      <c r="B58" s="86" t="s">
        <v>101</v>
      </c>
      <c r="C58" s="85" t="s">
        <v>102</v>
      </c>
      <c r="D58" s="93">
        <v>153</v>
      </c>
      <c r="E58" s="121">
        <v>7120</v>
      </c>
      <c r="F58" s="121">
        <v>1000</v>
      </c>
      <c r="G58" s="413" t="s">
        <v>552</v>
      </c>
      <c r="H58" s="121">
        <v>6120</v>
      </c>
      <c r="I58" s="392">
        <v>0</v>
      </c>
      <c r="J58" s="392">
        <v>0</v>
      </c>
      <c r="K58" s="392">
        <v>0</v>
      </c>
      <c r="L58" s="121">
        <v>6120</v>
      </c>
      <c r="M58" s="413" t="s">
        <v>552</v>
      </c>
    </row>
    <row r="59" spans="1:13" ht="15" customHeight="1" outlineLevel="2" x14ac:dyDescent="0.35">
      <c r="A59" s="93" t="s">
        <v>399</v>
      </c>
      <c r="B59" s="86" t="s">
        <v>246</v>
      </c>
      <c r="C59" s="85" t="s">
        <v>247</v>
      </c>
      <c r="D59" s="93">
        <v>155</v>
      </c>
      <c r="E59" s="121">
        <v>3677</v>
      </c>
      <c r="F59" s="121">
        <v>1000</v>
      </c>
      <c r="G59" s="413" t="s">
        <v>552</v>
      </c>
      <c r="H59" s="121">
        <v>2677</v>
      </c>
      <c r="I59" s="392">
        <v>0</v>
      </c>
      <c r="J59" s="392">
        <v>0</v>
      </c>
      <c r="K59" s="392">
        <v>0</v>
      </c>
      <c r="L59" s="121">
        <v>2677</v>
      </c>
      <c r="M59" s="413" t="s">
        <v>552</v>
      </c>
    </row>
    <row r="60" spans="1:13" ht="15" customHeight="1" outlineLevel="2" x14ac:dyDescent="0.35">
      <c r="A60" s="93" t="s">
        <v>399</v>
      </c>
      <c r="B60" s="86" t="s">
        <v>103</v>
      </c>
      <c r="C60" s="85" t="s">
        <v>93</v>
      </c>
      <c r="D60" s="93">
        <v>48</v>
      </c>
      <c r="E60" s="121">
        <v>161660</v>
      </c>
      <c r="F60" s="121">
        <v>1000</v>
      </c>
      <c r="G60" s="413" t="s">
        <v>552</v>
      </c>
      <c r="H60" s="121">
        <v>160660</v>
      </c>
      <c r="I60" s="392">
        <v>0</v>
      </c>
      <c r="J60" s="392">
        <v>0</v>
      </c>
      <c r="K60" s="392">
        <v>0</v>
      </c>
      <c r="L60" s="121">
        <v>160660</v>
      </c>
      <c r="M60" s="413" t="s">
        <v>552</v>
      </c>
    </row>
    <row r="61" spans="1:13" ht="15" customHeight="1" outlineLevel="2" x14ac:dyDescent="0.35">
      <c r="A61" s="93" t="s">
        <v>399</v>
      </c>
      <c r="B61" s="86" t="s">
        <v>104</v>
      </c>
      <c r="C61" s="85" t="s">
        <v>105</v>
      </c>
      <c r="D61" s="93">
        <v>350</v>
      </c>
      <c r="E61" s="121">
        <v>5051</v>
      </c>
      <c r="F61" s="121">
        <v>1000</v>
      </c>
      <c r="G61" s="413" t="s">
        <v>552</v>
      </c>
      <c r="H61" s="121">
        <v>4051</v>
      </c>
      <c r="I61" s="392">
        <v>0</v>
      </c>
      <c r="J61" s="392">
        <v>0</v>
      </c>
      <c r="K61" s="392">
        <v>0</v>
      </c>
      <c r="L61" s="121">
        <v>4051</v>
      </c>
      <c r="M61" s="413" t="s">
        <v>552</v>
      </c>
    </row>
    <row r="62" spans="1:13" ht="15.5" outlineLevel="2" x14ac:dyDescent="0.35">
      <c r="A62" s="93" t="s">
        <v>399</v>
      </c>
      <c r="B62" s="86" t="s">
        <v>106</v>
      </c>
      <c r="C62" s="85" t="s">
        <v>107</v>
      </c>
      <c r="D62" s="93">
        <v>173</v>
      </c>
      <c r="E62" s="121">
        <v>19997</v>
      </c>
      <c r="F62" s="121">
        <v>1000</v>
      </c>
      <c r="G62" s="413" t="s">
        <v>552</v>
      </c>
      <c r="H62" s="121">
        <v>18997</v>
      </c>
      <c r="I62" s="392">
        <v>0</v>
      </c>
      <c r="J62" s="392">
        <v>0</v>
      </c>
      <c r="K62" s="392">
        <v>0</v>
      </c>
      <c r="L62" s="121">
        <v>18997</v>
      </c>
      <c r="M62" s="413" t="s">
        <v>552</v>
      </c>
    </row>
    <row r="63" spans="1:13" ht="35" customHeight="1" outlineLevel="2" x14ac:dyDescent="0.35">
      <c r="A63" s="93" t="s">
        <v>399</v>
      </c>
      <c r="B63" s="86" t="s">
        <v>108</v>
      </c>
      <c r="C63" s="85" t="s">
        <v>109</v>
      </c>
      <c r="D63" s="93">
        <v>261</v>
      </c>
      <c r="E63" s="121">
        <v>4052</v>
      </c>
      <c r="F63" s="121">
        <v>1000</v>
      </c>
      <c r="G63" s="413" t="s">
        <v>552</v>
      </c>
      <c r="H63" s="121">
        <v>3052</v>
      </c>
      <c r="I63" s="392">
        <v>0</v>
      </c>
      <c r="J63" s="392">
        <v>0</v>
      </c>
      <c r="K63" s="392">
        <v>0</v>
      </c>
      <c r="L63" s="121">
        <v>3052</v>
      </c>
      <c r="M63" s="413" t="s">
        <v>552</v>
      </c>
    </row>
    <row r="64" spans="1:13" ht="15" customHeight="1" outlineLevel="2" x14ac:dyDescent="0.35">
      <c r="A64" s="93" t="s">
        <v>399</v>
      </c>
      <c r="B64" s="86" t="s">
        <v>110</v>
      </c>
      <c r="C64" s="85" t="s">
        <v>111</v>
      </c>
      <c r="D64" s="93">
        <v>244</v>
      </c>
      <c r="E64" s="121">
        <v>16313</v>
      </c>
      <c r="F64" s="121">
        <v>1000</v>
      </c>
      <c r="G64" s="413" t="s">
        <v>552</v>
      </c>
      <c r="H64" s="121">
        <v>15313</v>
      </c>
      <c r="I64" s="392">
        <v>0</v>
      </c>
      <c r="J64" s="392">
        <v>0</v>
      </c>
      <c r="K64" s="392">
        <v>0</v>
      </c>
      <c r="L64" s="121">
        <v>15313</v>
      </c>
      <c r="M64" s="413" t="s">
        <v>552</v>
      </c>
    </row>
    <row r="65" spans="1:13" ht="15.5" outlineLevel="2" x14ac:dyDescent="0.35">
      <c r="A65" s="93" t="s">
        <v>399</v>
      </c>
      <c r="B65" s="86" t="s">
        <v>112</v>
      </c>
      <c r="C65" s="85" t="s">
        <v>113</v>
      </c>
      <c r="D65" s="93">
        <v>171</v>
      </c>
      <c r="E65" s="121">
        <v>18422</v>
      </c>
      <c r="F65" s="121">
        <v>1000</v>
      </c>
      <c r="G65" s="413" t="s">
        <v>552</v>
      </c>
      <c r="H65" s="121">
        <v>17422</v>
      </c>
      <c r="I65" s="392">
        <v>0</v>
      </c>
      <c r="J65" s="392">
        <v>0</v>
      </c>
      <c r="K65" s="392">
        <v>0</v>
      </c>
      <c r="L65" s="121">
        <v>17422</v>
      </c>
      <c r="M65" s="413" t="s">
        <v>552</v>
      </c>
    </row>
    <row r="66" spans="1:13" ht="36" customHeight="1" outlineLevel="2" x14ac:dyDescent="0.35">
      <c r="A66" s="93" t="s">
        <v>399</v>
      </c>
      <c r="B66" s="86" t="s">
        <v>114</v>
      </c>
      <c r="C66" s="85" t="s">
        <v>111</v>
      </c>
      <c r="D66" s="93">
        <v>258</v>
      </c>
      <c r="E66" s="121">
        <v>68578</v>
      </c>
      <c r="F66" s="121">
        <v>1000</v>
      </c>
      <c r="G66" s="413" t="s">
        <v>552</v>
      </c>
      <c r="H66" s="121">
        <v>67578</v>
      </c>
      <c r="I66" s="392">
        <v>0</v>
      </c>
      <c r="J66" s="392">
        <v>0</v>
      </c>
      <c r="K66" s="392">
        <v>0</v>
      </c>
      <c r="L66" s="121">
        <v>67578</v>
      </c>
      <c r="M66" s="413" t="s">
        <v>552</v>
      </c>
    </row>
    <row r="67" spans="1:13" ht="15.5" outlineLevel="2" x14ac:dyDescent="0.35">
      <c r="A67" s="93" t="s">
        <v>399</v>
      </c>
      <c r="B67" s="86" t="s">
        <v>115</v>
      </c>
      <c r="C67" s="85" t="s">
        <v>93</v>
      </c>
      <c r="D67" s="93">
        <v>260</v>
      </c>
      <c r="E67" s="121">
        <v>192758</v>
      </c>
      <c r="F67" s="121">
        <v>1000</v>
      </c>
      <c r="G67" s="413" t="s">
        <v>552</v>
      </c>
      <c r="H67" s="121">
        <v>191758</v>
      </c>
      <c r="I67" s="392">
        <v>0</v>
      </c>
      <c r="J67" s="392">
        <v>0</v>
      </c>
      <c r="K67" s="392">
        <v>0</v>
      </c>
      <c r="L67" s="121">
        <v>191758</v>
      </c>
      <c r="M67" s="413" t="s">
        <v>552</v>
      </c>
    </row>
    <row r="68" spans="1:13" ht="33" customHeight="1" outlineLevel="2" x14ac:dyDescent="0.35">
      <c r="A68" s="93" t="s">
        <v>399</v>
      </c>
      <c r="B68" s="86" t="s">
        <v>116</v>
      </c>
      <c r="C68" s="85" t="s">
        <v>117</v>
      </c>
      <c r="D68" s="93">
        <v>367</v>
      </c>
      <c r="E68" s="121">
        <v>163922</v>
      </c>
      <c r="F68" s="121">
        <v>1000</v>
      </c>
      <c r="G68" s="413" t="s">
        <v>552</v>
      </c>
      <c r="H68" s="121">
        <v>162922</v>
      </c>
      <c r="I68" s="392">
        <v>0</v>
      </c>
      <c r="J68" s="392">
        <v>0</v>
      </c>
      <c r="K68" s="392">
        <v>0</v>
      </c>
      <c r="L68" s="121">
        <v>162922</v>
      </c>
      <c r="M68" s="413" t="s">
        <v>552</v>
      </c>
    </row>
    <row r="69" spans="1:13" ht="15.5" outlineLevel="1" x14ac:dyDescent="0.35">
      <c r="A69" s="93" t="s">
        <v>399</v>
      </c>
      <c r="B69" s="86" t="s">
        <v>120</v>
      </c>
      <c r="C69" s="85" t="s">
        <v>121</v>
      </c>
      <c r="D69" s="93">
        <v>351</v>
      </c>
      <c r="E69" s="121">
        <v>14783</v>
      </c>
      <c r="F69" s="121">
        <v>1000</v>
      </c>
      <c r="G69" s="413" t="s">
        <v>552</v>
      </c>
      <c r="H69" s="121">
        <v>13783</v>
      </c>
      <c r="I69" s="392">
        <v>0</v>
      </c>
      <c r="J69" s="392">
        <v>0</v>
      </c>
      <c r="K69" s="392">
        <v>0</v>
      </c>
      <c r="L69" s="121">
        <v>13783</v>
      </c>
      <c r="M69" s="413" t="s">
        <v>552</v>
      </c>
    </row>
    <row r="70" spans="1:13" ht="15" customHeight="1" outlineLevel="2" x14ac:dyDescent="0.35">
      <c r="A70" s="139" t="s">
        <v>401</v>
      </c>
      <c r="B70" s="431" t="s">
        <v>529</v>
      </c>
      <c r="C70" s="420" t="s">
        <v>529</v>
      </c>
      <c r="D70" s="421" t="s">
        <v>529</v>
      </c>
      <c r="E70" s="140">
        <f>SUBTOTAL(109,school201718[Program
Costs])</f>
        <v>5358461</v>
      </c>
      <c r="F70" s="140">
        <f>SUBTOTAL(109,school201718[Less: Net Payments and Offsets 8])</f>
        <v>32000</v>
      </c>
      <c r="G70" s="433" t="s">
        <v>552</v>
      </c>
      <c r="H70" s="140">
        <f>SUBTOTAL(109,school201718[Accounts Payable
Balance])</f>
        <v>5326461</v>
      </c>
      <c r="I70" s="140">
        <f>SUBTOTAL(109,school201718[Established
Accounts Receivable])</f>
        <v>1000</v>
      </c>
      <c r="J70" s="455" t="s">
        <v>615</v>
      </c>
      <c r="K70" s="140">
        <f>SUBTOTAL(109,school201718[Accounts Receivable
Balance])</f>
        <v>1000</v>
      </c>
      <c r="L70" s="140">
        <f>SUBTOTAL(109,school201718[Net
Balance])</f>
        <v>5325461</v>
      </c>
      <c r="M70" s="433" t="s">
        <v>552</v>
      </c>
    </row>
    <row r="71" spans="1:13" ht="15" customHeight="1" outlineLevel="2" x14ac:dyDescent="0.35">
      <c r="A71" s="386" t="s">
        <v>540</v>
      </c>
      <c r="B71" s="139"/>
      <c r="C71" s="139"/>
      <c r="D71" s="139"/>
      <c r="E71" s="140"/>
      <c r="F71" s="140"/>
      <c r="G71" s="140"/>
      <c r="H71" s="140"/>
      <c r="I71" s="140"/>
      <c r="J71" s="140"/>
      <c r="K71" s="140"/>
      <c r="L71" s="140"/>
      <c r="M71" s="449"/>
    </row>
    <row r="72" spans="1:13" ht="50" customHeight="1" outlineLevel="2" x14ac:dyDescent="0.35">
      <c r="A72" s="457" t="s">
        <v>11</v>
      </c>
      <c r="B72" s="300" t="s">
        <v>12</v>
      </c>
      <c r="C72" s="158" t="s">
        <v>0</v>
      </c>
      <c r="D72" s="300" t="s">
        <v>132</v>
      </c>
      <c r="E72" s="458" t="s">
        <v>125</v>
      </c>
      <c r="F72" s="423" t="s">
        <v>614</v>
      </c>
      <c r="G72" s="424" t="s">
        <v>531</v>
      </c>
      <c r="H72" s="422" t="s">
        <v>495</v>
      </c>
      <c r="I72" s="422" t="s">
        <v>496</v>
      </c>
      <c r="J72" s="458" t="s">
        <v>134</v>
      </c>
      <c r="K72" s="422" t="s">
        <v>497</v>
      </c>
      <c r="L72" s="458" t="s">
        <v>133</v>
      </c>
      <c r="M72" s="459" t="s">
        <v>532</v>
      </c>
    </row>
    <row r="73" spans="1:13" ht="15.5" outlineLevel="2" x14ac:dyDescent="0.35">
      <c r="A73" s="93" t="s">
        <v>4</v>
      </c>
      <c r="B73" s="86" t="s">
        <v>61</v>
      </c>
      <c r="C73" s="85" t="s">
        <v>62</v>
      </c>
      <c r="D73" s="93">
        <v>305</v>
      </c>
      <c r="E73" s="121">
        <v>1203</v>
      </c>
      <c r="F73" s="121">
        <v>1000</v>
      </c>
      <c r="G73" s="413" t="s">
        <v>529</v>
      </c>
      <c r="H73" s="121">
        <v>203</v>
      </c>
      <c r="I73" s="392">
        <v>0</v>
      </c>
      <c r="J73" s="392">
        <v>0</v>
      </c>
      <c r="K73" s="392">
        <v>0</v>
      </c>
      <c r="L73" s="121">
        <v>203</v>
      </c>
      <c r="M73" s="413" t="s">
        <v>529</v>
      </c>
    </row>
    <row r="74" spans="1:13" ht="30" customHeight="1" outlineLevel="2" x14ac:dyDescent="0.35">
      <c r="A74" s="93" t="s">
        <v>4</v>
      </c>
      <c r="B74" s="86" t="s">
        <v>63</v>
      </c>
      <c r="C74" s="85" t="s">
        <v>64</v>
      </c>
      <c r="D74" s="93">
        <v>250</v>
      </c>
      <c r="E74" s="121">
        <v>45017</v>
      </c>
      <c r="F74" s="121">
        <v>1000</v>
      </c>
      <c r="G74" s="413" t="s">
        <v>529</v>
      </c>
      <c r="H74" s="121">
        <v>44017</v>
      </c>
      <c r="I74" s="392">
        <v>0</v>
      </c>
      <c r="J74" s="392">
        <v>0</v>
      </c>
      <c r="K74" s="392">
        <v>0</v>
      </c>
      <c r="L74" s="121">
        <v>44017</v>
      </c>
      <c r="M74" s="413" t="s">
        <v>529</v>
      </c>
    </row>
    <row r="75" spans="1:13" ht="34.5" customHeight="1" outlineLevel="2" x14ac:dyDescent="0.35">
      <c r="A75" s="93" t="s">
        <v>4</v>
      </c>
      <c r="B75" s="86" t="s">
        <v>65</v>
      </c>
      <c r="C75" s="85" t="s">
        <v>66</v>
      </c>
      <c r="D75" s="93">
        <v>369</v>
      </c>
      <c r="E75" s="121">
        <v>10890034</v>
      </c>
      <c r="F75" s="121">
        <v>5682816</v>
      </c>
      <c r="G75" s="413" t="s">
        <v>529</v>
      </c>
      <c r="H75" s="121">
        <v>5207218</v>
      </c>
      <c r="I75" s="392">
        <v>0</v>
      </c>
      <c r="J75" s="392">
        <v>0</v>
      </c>
      <c r="K75" s="392">
        <v>0</v>
      </c>
      <c r="L75" s="121">
        <v>5207218</v>
      </c>
      <c r="M75" s="413" t="s">
        <v>529</v>
      </c>
    </row>
    <row r="76" spans="1:13" ht="30" customHeight="1" outlineLevel="2" x14ac:dyDescent="0.35">
      <c r="A76" s="93" t="s">
        <v>4</v>
      </c>
      <c r="B76" s="86" t="s">
        <v>69</v>
      </c>
      <c r="C76" s="85" t="s">
        <v>70</v>
      </c>
      <c r="D76" s="93">
        <v>172</v>
      </c>
      <c r="E76" s="121">
        <v>3190</v>
      </c>
      <c r="F76" s="121">
        <v>1000</v>
      </c>
      <c r="G76" s="413" t="s">
        <v>529</v>
      </c>
      <c r="H76" s="121">
        <v>2190</v>
      </c>
      <c r="I76" s="392">
        <v>0</v>
      </c>
      <c r="J76" s="392">
        <v>0</v>
      </c>
      <c r="K76" s="392">
        <v>0</v>
      </c>
      <c r="L76" s="121">
        <v>2190</v>
      </c>
      <c r="M76" s="413" t="s">
        <v>529</v>
      </c>
    </row>
    <row r="77" spans="1:13" ht="15" customHeight="1" outlineLevel="2" x14ac:dyDescent="0.35">
      <c r="A77" s="93" t="s">
        <v>4</v>
      </c>
      <c r="B77" s="86" t="s">
        <v>420</v>
      </c>
      <c r="C77" s="85" t="s">
        <v>71</v>
      </c>
      <c r="D77" s="93">
        <v>278</v>
      </c>
      <c r="E77" s="121">
        <v>14543</v>
      </c>
      <c r="F77" s="121">
        <v>1039</v>
      </c>
      <c r="G77" s="413" t="s">
        <v>529</v>
      </c>
      <c r="H77" s="121">
        <v>13504</v>
      </c>
      <c r="I77" s="392">
        <v>0</v>
      </c>
      <c r="J77" s="392">
        <v>0</v>
      </c>
      <c r="K77" s="392">
        <v>0</v>
      </c>
      <c r="L77" s="121">
        <v>13504</v>
      </c>
      <c r="M77" s="413" t="s">
        <v>529</v>
      </c>
    </row>
    <row r="78" spans="1:13" ht="30" customHeight="1" outlineLevel="2" x14ac:dyDescent="0.35">
      <c r="A78" s="93" t="s">
        <v>4</v>
      </c>
      <c r="B78" s="86" t="s">
        <v>72</v>
      </c>
      <c r="C78" s="85" t="s">
        <v>73</v>
      </c>
      <c r="D78" s="93">
        <v>11</v>
      </c>
      <c r="E78" s="121">
        <v>204485</v>
      </c>
      <c r="F78" s="121">
        <v>22063</v>
      </c>
      <c r="G78" s="413" t="s">
        <v>529</v>
      </c>
      <c r="H78" s="121">
        <v>182422</v>
      </c>
      <c r="I78" s="392">
        <v>0</v>
      </c>
      <c r="J78" s="392">
        <v>0</v>
      </c>
      <c r="K78" s="392">
        <v>0</v>
      </c>
      <c r="L78" s="121">
        <v>182422</v>
      </c>
      <c r="M78" s="413" t="s">
        <v>529</v>
      </c>
    </row>
    <row r="79" spans="1:13" ht="31" outlineLevel="2" x14ac:dyDescent="0.35">
      <c r="A79" s="93" t="s">
        <v>4</v>
      </c>
      <c r="B79" s="86" t="s">
        <v>74</v>
      </c>
      <c r="C79" s="85" t="s">
        <v>75</v>
      </c>
      <c r="D79" s="93">
        <v>313</v>
      </c>
      <c r="E79" s="121">
        <v>35671</v>
      </c>
      <c r="F79" s="121">
        <v>1285</v>
      </c>
      <c r="G79" s="413" t="s">
        <v>529</v>
      </c>
      <c r="H79" s="121">
        <v>34386</v>
      </c>
      <c r="I79" s="392">
        <v>0</v>
      </c>
      <c r="J79" s="392">
        <v>0</v>
      </c>
      <c r="K79" s="392">
        <v>0</v>
      </c>
      <c r="L79" s="121">
        <v>34386</v>
      </c>
      <c r="M79" s="413" t="s">
        <v>529</v>
      </c>
    </row>
    <row r="80" spans="1:13" ht="31" outlineLevel="2" x14ac:dyDescent="0.35">
      <c r="A80" s="93" t="s">
        <v>4</v>
      </c>
      <c r="B80" s="86" t="s">
        <v>76</v>
      </c>
      <c r="C80" s="85" t="s">
        <v>77</v>
      </c>
      <c r="D80" s="93">
        <v>330</v>
      </c>
      <c r="E80" s="121">
        <v>44856</v>
      </c>
      <c r="F80" s="121">
        <v>1000</v>
      </c>
      <c r="G80" s="413" t="s">
        <v>529</v>
      </c>
      <c r="H80" s="121">
        <v>43856</v>
      </c>
      <c r="I80" s="392">
        <v>0</v>
      </c>
      <c r="J80" s="392">
        <v>0</v>
      </c>
      <c r="K80" s="392">
        <v>0</v>
      </c>
      <c r="L80" s="121">
        <v>43856</v>
      </c>
      <c r="M80" s="413" t="s">
        <v>529</v>
      </c>
    </row>
    <row r="81" spans="1:13" ht="46.5" outlineLevel="2" x14ac:dyDescent="0.35">
      <c r="A81" s="93" t="s">
        <v>4</v>
      </c>
      <c r="B81" s="86" t="s">
        <v>78</v>
      </c>
      <c r="C81" s="85" t="s">
        <v>79</v>
      </c>
      <c r="D81" s="93">
        <v>272</v>
      </c>
      <c r="E81" s="121">
        <v>31110</v>
      </c>
      <c r="F81" s="121">
        <v>1000</v>
      </c>
      <c r="G81" s="413" t="s">
        <v>529</v>
      </c>
      <c r="H81" s="121">
        <v>30110</v>
      </c>
      <c r="I81" s="392">
        <v>0</v>
      </c>
      <c r="J81" s="392">
        <v>0</v>
      </c>
      <c r="K81" s="392">
        <v>0</v>
      </c>
      <c r="L81" s="121">
        <v>30110</v>
      </c>
      <c r="M81" s="413" t="s">
        <v>529</v>
      </c>
    </row>
    <row r="82" spans="1:13" ht="55" customHeight="1" outlineLevel="2" x14ac:dyDescent="0.35">
      <c r="A82" s="93" t="s">
        <v>4</v>
      </c>
      <c r="B82" s="86" t="s">
        <v>80</v>
      </c>
      <c r="C82" s="85" t="s">
        <v>81</v>
      </c>
      <c r="D82" s="93">
        <v>276</v>
      </c>
      <c r="E82" s="121">
        <v>1065</v>
      </c>
      <c r="F82" s="121">
        <v>1000</v>
      </c>
      <c r="G82" s="413" t="s">
        <v>529</v>
      </c>
      <c r="H82" s="121">
        <v>65</v>
      </c>
      <c r="I82" s="392">
        <v>0</v>
      </c>
      <c r="J82" s="392">
        <v>0</v>
      </c>
      <c r="K82" s="392">
        <v>0</v>
      </c>
      <c r="L82" s="121">
        <v>65</v>
      </c>
      <c r="M82" s="413" t="s">
        <v>529</v>
      </c>
    </row>
    <row r="83" spans="1:13" ht="85" customHeight="1" outlineLevel="2" x14ac:dyDescent="0.35">
      <c r="A83" s="93" t="s">
        <v>4</v>
      </c>
      <c r="B83" s="86" t="s">
        <v>82</v>
      </c>
      <c r="C83" s="85" t="s">
        <v>83</v>
      </c>
      <c r="D83" s="93">
        <v>292</v>
      </c>
      <c r="E83" s="121">
        <v>55727</v>
      </c>
      <c r="F83" s="121">
        <v>10004</v>
      </c>
      <c r="G83" s="413" t="s">
        <v>529</v>
      </c>
      <c r="H83" s="121">
        <v>45723</v>
      </c>
      <c r="I83" s="392">
        <v>0</v>
      </c>
      <c r="J83" s="392">
        <v>0</v>
      </c>
      <c r="K83" s="392">
        <v>0</v>
      </c>
      <c r="L83" s="121">
        <v>45723</v>
      </c>
      <c r="M83" s="413" t="s">
        <v>529</v>
      </c>
    </row>
    <row r="84" spans="1:13" ht="32" customHeight="1" outlineLevel="2" x14ac:dyDescent="0.35">
      <c r="A84" s="93" t="s">
        <v>4</v>
      </c>
      <c r="B84" s="86" t="s">
        <v>84</v>
      </c>
      <c r="C84" s="85" t="s">
        <v>85</v>
      </c>
      <c r="D84" s="93">
        <v>209</v>
      </c>
      <c r="E84" s="121">
        <v>65899</v>
      </c>
      <c r="F84" s="121">
        <v>1000</v>
      </c>
      <c r="G84" s="413" t="s">
        <v>529</v>
      </c>
      <c r="H84" s="121">
        <v>64899</v>
      </c>
      <c r="I84" s="392">
        <v>0</v>
      </c>
      <c r="J84" s="392">
        <v>0</v>
      </c>
      <c r="K84" s="392">
        <v>0</v>
      </c>
      <c r="L84" s="121">
        <v>64899</v>
      </c>
      <c r="M84" s="413" t="s">
        <v>529</v>
      </c>
    </row>
    <row r="85" spans="1:13" ht="15" customHeight="1" outlineLevel="2" x14ac:dyDescent="0.35">
      <c r="A85" s="93" t="s">
        <v>4</v>
      </c>
      <c r="B85" s="86" t="s">
        <v>86</v>
      </c>
      <c r="C85" s="85" t="s">
        <v>87</v>
      </c>
      <c r="D85" s="93">
        <v>183</v>
      </c>
      <c r="E85" s="121">
        <v>6458</v>
      </c>
      <c r="F85" s="121">
        <v>1000</v>
      </c>
      <c r="G85" s="413" t="s">
        <v>529</v>
      </c>
      <c r="H85" s="121">
        <v>5458</v>
      </c>
      <c r="I85" s="392">
        <v>0</v>
      </c>
      <c r="J85" s="392">
        <v>0</v>
      </c>
      <c r="K85" s="392">
        <v>0</v>
      </c>
      <c r="L85" s="121">
        <v>5458</v>
      </c>
      <c r="M85" s="413" t="s">
        <v>529</v>
      </c>
    </row>
    <row r="86" spans="1:13" ht="15.5" outlineLevel="2" x14ac:dyDescent="0.35">
      <c r="A86" s="93" t="s">
        <v>4</v>
      </c>
      <c r="B86" s="86" t="s">
        <v>88</v>
      </c>
      <c r="C86" s="85" t="s">
        <v>89</v>
      </c>
      <c r="D86" s="93">
        <v>251</v>
      </c>
      <c r="E86" s="121">
        <v>3050</v>
      </c>
      <c r="F86" s="121">
        <v>1000</v>
      </c>
      <c r="G86" s="413" t="s">
        <v>529</v>
      </c>
      <c r="H86" s="121">
        <v>2050</v>
      </c>
      <c r="I86" s="392">
        <v>0</v>
      </c>
      <c r="J86" s="392">
        <v>0</v>
      </c>
      <c r="K86" s="392">
        <v>0</v>
      </c>
      <c r="L86" s="121">
        <v>2050</v>
      </c>
      <c r="M86" s="413" t="s">
        <v>529</v>
      </c>
    </row>
    <row r="87" spans="1:13" ht="15" customHeight="1" outlineLevel="2" x14ac:dyDescent="0.35">
      <c r="A87" s="93" t="s">
        <v>4</v>
      </c>
      <c r="B87" s="86" t="s">
        <v>90</v>
      </c>
      <c r="C87" s="85" t="s">
        <v>91</v>
      </c>
      <c r="D87" s="93">
        <v>192</v>
      </c>
      <c r="E87" s="121">
        <v>15289</v>
      </c>
      <c r="F87" s="121">
        <v>1000</v>
      </c>
      <c r="G87" s="413" t="s">
        <v>529</v>
      </c>
      <c r="H87" s="121">
        <v>14289</v>
      </c>
      <c r="I87" s="392">
        <v>0</v>
      </c>
      <c r="J87" s="392">
        <v>0</v>
      </c>
      <c r="K87" s="392">
        <v>0</v>
      </c>
      <c r="L87" s="121">
        <v>14289</v>
      </c>
      <c r="M87" s="413" t="s">
        <v>529</v>
      </c>
    </row>
    <row r="88" spans="1:13" ht="28" customHeight="1" outlineLevel="2" x14ac:dyDescent="0.35">
      <c r="A88" s="93" t="s">
        <v>4</v>
      </c>
      <c r="B88" s="86" t="s">
        <v>92</v>
      </c>
      <c r="C88" s="85" t="s">
        <v>93</v>
      </c>
      <c r="D88" s="93">
        <v>297</v>
      </c>
      <c r="E88" s="121">
        <v>3576360</v>
      </c>
      <c r="F88" s="121">
        <v>208220</v>
      </c>
      <c r="G88" s="413" t="s">
        <v>529</v>
      </c>
      <c r="H88" s="121">
        <v>3368140</v>
      </c>
      <c r="I88" s="392">
        <v>0</v>
      </c>
      <c r="J88" s="392">
        <v>0</v>
      </c>
      <c r="K88" s="392">
        <v>0</v>
      </c>
      <c r="L88" s="121">
        <v>3368140</v>
      </c>
      <c r="M88" s="413" t="s">
        <v>529</v>
      </c>
    </row>
    <row r="89" spans="1:13" ht="15.5" outlineLevel="2" x14ac:dyDescent="0.35">
      <c r="A89" s="93" t="s">
        <v>4</v>
      </c>
      <c r="B89" s="86" t="s">
        <v>94</v>
      </c>
      <c r="C89" s="85" t="s">
        <v>95</v>
      </c>
      <c r="D89" s="93">
        <v>166</v>
      </c>
      <c r="E89" s="121">
        <v>136467</v>
      </c>
      <c r="F89" s="121">
        <v>26708</v>
      </c>
      <c r="G89" s="413" t="s">
        <v>529</v>
      </c>
      <c r="H89" s="121">
        <v>109759</v>
      </c>
      <c r="I89" s="392">
        <v>0</v>
      </c>
      <c r="J89" s="392">
        <v>0</v>
      </c>
      <c r="K89" s="392">
        <v>0</v>
      </c>
      <c r="L89" s="121">
        <v>109759</v>
      </c>
      <c r="M89" s="413" t="s">
        <v>529</v>
      </c>
    </row>
    <row r="90" spans="1:13" ht="15" customHeight="1" outlineLevel="2" x14ac:dyDescent="0.35">
      <c r="A90" s="93" t="s">
        <v>4</v>
      </c>
      <c r="B90" s="86" t="s">
        <v>96</v>
      </c>
      <c r="C90" s="85" t="s">
        <v>97</v>
      </c>
      <c r="D90" s="93">
        <v>32</v>
      </c>
      <c r="E90" s="121">
        <v>23524</v>
      </c>
      <c r="F90" s="121">
        <v>5404</v>
      </c>
      <c r="G90" s="413" t="s">
        <v>529</v>
      </c>
      <c r="H90" s="121">
        <v>18120</v>
      </c>
      <c r="I90" s="392">
        <v>0</v>
      </c>
      <c r="J90" s="392">
        <v>0</v>
      </c>
      <c r="K90" s="392">
        <v>0</v>
      </c>
      <c r="L90" s="121">
        <v>18120</v>
      </c>
      <c r="M90" s="413" t="s">
        <v>529</v>
      </c>
    </row>
    <row r="91" spans="1:13" ht="33" customHeight="1" outlineLevel="2" x14ac:dyDescent="0.35">
      <c r="A91" s="93" t="s">
        <v>4</v>
      </c>
      <c r="B91" s="86" t="s">
        <v>98</v>
      </c>
      <c r="C91" s="85" t="s">
        <v>99</v>
      </c>
      <c r="D91" s="93">
        <v>368</v>
      </c>
      <c r="E91" s="121">
        <v>21279</v>
      </c>
      <c r="F91" s="121">
        <v>2085</v>
      </c>
      <c r="G91" s="413" t="s">
        <v>529</v>
      </c>
      <c r="H91" s="121">
        <v>19194</v>
      </c>
      <c r="I91" s="392">
        <v>0</v>
      </c>
      <c r="J91" s="392">
        <v>0</v>
      </c>
      <c r="K91" s="392">
        <v>0</v>
      </c>
      <c r="L91" s="121">
        <v>19194</v>
      </c>
      <c r="M91" s="413" t="s">
        <v>529</v>
      </c>
    </row>
    <row r="92" spans="1:13" ht="15" customHeight="1" outlineLevel="2" x14ac:dyDescent="0.35">
      <c r="A92" s="93" t="s">
        <v>4</v>
      </c>
      <c r="B92" s="86" t="s">
        <v>419</v>
      </c>
      <c r="C92" s="85" t="s">
        <v>100</v>
      </c>
      <c r="D92" s="93">
        <v>357</v>
      </c>
      <c r="E92" s="121">
        <v>16772</v>
      </c>
      <c r="F92" s="121">
        <v>1000</v>
      </c>
      <c r="G92" s="413" t="s">
        <v>529</v>
      </c>
      <c r="H92" s="121">
        <v>15772</v>
      </c>
      <c r="I92" s="392">
        <v>0</v>
      </c>
      <c r="J92" s="392">
        <v>0</v>
      </c>
      <c r="K92" s="392">
        <v>0</v>
      </c>
      <c r="L92" s="121">
        <v>15772</v>
      </c>
      <c r="M92" s="413" t="s">
        <v>529</v>
      </c>
    </row>
    <row r="93" spans="1:13" ht="15" customHeight="1" outlineLevel="2" x14ac:dyDescent="0.35">
      <c r="A93" s="93" t="s">
        <v>4</v>
      </c>
      <c r="B93" s="86" t="s">
        <v>101</v>
      </c>
      <c r="C93" s="85" t="s">
        <v>102</v>
      </c>
      <c r="D93" s="93">
        <v>153</v>
      </c>
      <c r="E93" s="121">
        <v>3284</v>
      </c>
      <c r="F93" s="121">
        <v>1000</v>
      </c>
      <c r="G93" s="413" t="s">
        <v>529</v>
      </c>
      <c r="H93" s="121">
        <v>2284</v>
      </c>
      <c r="I93" s="392">
        <v>0</v>
      </c>
      <c r="J93" s="392">
        <v>0</v>
      </c>
      <c r="K93" s="392">
        <v>0</v>
      </c>
      <c r="L93" s="121">
        <v>2284</v>
      </c>
      <c r="M93" s="413" t="s">
        <v>529</v>
      </c>
    </row>
    <row r="94" spans="1:13" ht="15" customHeight="1" outlineLevel="2" x14ac:dyDescent="0.35">
      <c r="A94" s="93" t="s">
        <v>4</v>
      </c>
      <c r="B94" s="86" t="s">
        <v>103</v>
      </c>
      <c r="C94" s="85" t="s">
        <v>93</v>
      </c>
      <c r="D94" s="93">
        <v>48</v>
      </c>
      <c r="E94" s="121">
        <v>168734</v>
      </c>
      <c r="F94" s="121">
        <v>46317</v>
      </c>
      <c r="G94" s="413" t="s">
        <v>529</v>
      </c>
      <c r="H94" s="121">
        <v>122417</v>
      </c>
      <c r="I94" s="392">
        <v>0</v>
      </c>
      <c r="J94" s="392">
        <v>0</v>
      </c>
      <c r="K94" s="392">
        <v>0</v>
      </c>
      <c r="L94" s="121">
        <v>122417</v>
      </c>
      <c r="M94" s="413" t="s">
        <v>529</v>
      </c>
    </row>
    <row r="95" spans="1:13" ht="15.5" outlineLevel="2" x14ac:dyDescent="0.35">
      <c r="A95" s="93" t="s">
        <v>4</v>
      </c>
      <c r="B95" s="86" t="s">
        <v>104</v>
      </c>
      <c r="C95" s="85" t="s">
        <v>105</v>
      </c>
      <c r="D95" s="93">
        <v>350</v>
      </c>
      <c r="E95" s="121">
        <v>5687</v>
      </c>
      <c r="F95" s="121">
        <v>2260</v>
      </c>
      <c r="G95" s="413" t="s">
        <v>529</v>
      </c>
      <c r="H95" s="121">
        <v>3427</v>
      </c>
      <c r="I95" s="392">
        <v>0</v>
      </c>
      <c r="J95" s="392">
        <v>0</v>
      </c>
      <c r="K95" s="392">
        <v>0</v>
      </c>
      <c r="L95" s="121">
        <v>3427</v>
      </c>
      <c r="M95" s="413" t="s">
        <v>529</v>
      </c>
    </row>
    <row r="96" spans="1:13" ht="15" customHeight="1" outlineLevel="2" x14ac:dyDescent="0.35">
      <c r="A96" s="93" t="s">
        <v>4</v>
      </c>
      <c r="B96" s="86" t="s">
        <v>106</v>
      </c>
      <c r="C96" s="85" t="s">
        <v>107</v>
      </c>
      <c r="D96" s="93">
        <v>173</v>
      </c>
      <c r="E96" s="121">
        <v>21944</v>
      </c>
      <c r="F96" s="121">
        <v>5333</v>
      </c>
      <c r="G96" s="413" t="s">
        <v>529</v>
      </c>
      <c r="H96" s="121">
        <v>16611</v>
      </c>
      <c r="I96" s="392">
        <v>0</v>
      </c>
      <c r="J96" s="392">
        <v>0</v>
      </c>
      <c r="K96" s="392">
        <v>0</v>
      </c>
      <c r="L96" s="121">
        <v>16611</v>
      </c>
      <c r="M96" s="413" t="s">
        <v>529</v>
      </c>
    </row>
    <row r="97" spans="1:13" ht="31.5" customHeight="1" outlineLevel="2" x14ac:dyDescent="0.35">
      <c r="A97" s="93" t="s">
        <v>4</v>
      </c>
      <c r="B97" s="86" t="s">
        <v>108</v>
      </c>
      <c r="C97" s="85" t="s">
        <v>109</v>
      </c>
      <c r="D97" s="93">
        <v>261</v>
      </c>
      <c r="E97" s="121">
        <v>2385</v>
      </c>
      <c r="F97" s="121">
        <v>1000</v>
      </c>
      <c r="G97" s="413" t="s">
        <v>529</v>
      </c>
      <c r="H97" s="121">
        <v>1385</v>
      </c>
      <c r="I97" s="392">
        <v>0</v>
      </c>
      <c r="J97" s="392">
        <v>0</v>
      </c>
      <c r="K97" s="392">
        <v>0</v>
      </c>
      <c r="L97" s="121">
        <v>1385</v>
      </c>
      <c r="M97" s="413" t="s">
        <v>529</v>
      </c>
    </row>
    <row r="98" spans="1:13" ht="15.5" outlineLevel="2" x14ac:dyDescent="0.35">
      <c r="A98" s="93" t="s">
        <v>4</v>
      </c>
      <c r="B98" s="86" t="s">
        <v>110</v>
      </c>
      <c r="C98" s="85" t="s">
        <v>111</v>
      </c>
      <c r="D98" s="93">
        <v>244</v>
      </c>
      <c r="E98" s="121">
        <v>18055</v>
      </c>
      <c r="F98" s="121">
        <v>2017</v>
      </c>
      <c r="G98" s="413" t="s">
        <v>529</v>
      </c>
      <c r="H98" s="121">
        <v>16038</v>
      </c>
      <c r="I98" s="392">
        <v>0</v>
      </c>
      <c r="J98" s="392">
        <v>0</v>
      </c>
      <c r="K98" s="392">
        <v>0</v>
      </c>
      <c r="L98" s="121">
        <v>16038</v>
      </c>
      <c r="M98" s="413" t="s">
        <v>529</v>
      </c>
    </row>
    <row r="99" spans="1:13" ht="15" customHeight="1" outlineLevel="2" x14ac:dyDescent="0.35">
      <c r="A99" s="93" t="s">
        <v>4</v>
      </c>
      <c r="B99" s="86" t="s">
        <v>112</v>
      </c>
      <c r="C99" s="85" t="s">
        <v>113</v>
      </c>
      <c r="D99" s="93">
        <v>171</v>
      </c>
      <c r="E99" s="121">
        <v>18873</v>
      </c>
      <c r="F99" s="121">
        <v>3510</v>
      </c>
      <c r="G99" s="413" t="s">
        <v>529</v>
      </c>
      <c r="H99" s="121">
        <v>15363</v>
      </c>
      <c r="I99" s="392">
        <v>0</v>
      </c>
      <c r="J99" s="392">
        <v>0</v>
      </c>
      <c r="K99" s="392">
        <v>0</v>
      </c>
      <c r="L99" s="121">
        <v>15363</v>
      </c>
      <c r="M99" s="413" t="s">
        <v>529</v>
      </c>
    </row>
    <row r="100" spans="1:13" ht="30" customHeight="1" outlineLevel="2" x14ac:dyDescent="0.35">
      <c r="A100" s="93" t="s">
        <v>4</v>
      </c>
      <c r="B100" s="86" t="s">
        <v>114</v>
      </c>
      <c r="C100" s="85" t="s">
        <v>111</v>
      </c>
      <c r="D100" s="93">
        <v>258</v>
      </c>
      <c r="E100" s="121">
        <v>62743</v>
      </c>
      <c r="F100" s="121">
        <v>4325</v>
      </c>
      <c r="G100" s="413" t="s">
        <v>529</v>
      </c>
      <c r="H100" s="121">
        <v>58418</v>
      </c>
      <c r="I100" s="392">
        <v>0</v>
      </c>
      <c r="J100" s="392">
        <v>0</v>
      </c>
      <c r="K100" s="392">
        <v>0</v>
      </c>
      <c r="L100" s="121">
        <v>58418</v>
      </c>
      <c r="M100" s="413" t="s">
        <v>529</v>
      </c>
    </row>
    <row r="101" spans="1:13" ht="15" customHeight="1" outlineLevel="2" x14ac:dyDescent="0.35">
      <c r="A101" s="93" t="s">
        <v>4</v>
      </c>
      <c r="B101" s="86" t="s">
        <v>115</v>
      </c>
      <c r="C101" s="85" t="s">
        <v>93</v>
      </c>
      <c r="D101" s="93">
        <v>260</v>
      </c>
      <c r="E101" s="121">
        <v>220329</v>
      </c>
      <c r="F101" s="121">
        <v>38220</v>
      </c>
      <c r="G101" s="413" t="s">
        <v>529</v>
      </c>
      <c r="H101" s="121">
        <v>182109</v>
      </c>
      <c r="I101" s="392">
        <v>0</v>
      </c>
      <c r="J101" s="392">
        <v>0</v>
      </c>
      <c r="K101" s="392">
        <v>0</v>
      </c>
      <c r="L101" s="121">
        <v>182109</v>
      </c>
      <c r="M101" s="413" t="s">
        <v>529</v>
      </c>
    </row>
    <row r="102" spans="1:13" ht="31" customHeight="1" outlineLevel="2" x14ac:dyDescent="0.35">
      <c r="A102" s="93" t="s">
        <v>4</v>
      </c>
      <c r="B102" s="86" t="s">
        <v>116</v>
      </c>
      <c r="C102" s="85" t="s">
        <v>117</v>
      </c>
      <c r="D102" s="93">
        <v>367</v>
      </c>
      <c r="E102" s="121">
        <v>7856933</v>
      </c>
      <c r="F102" s="121">
        <v>4890918</v>
      </c>
      <c r="G102" s="413" t="s">
        <v>529</v>
      </c>
      <c r="H102" s="121">
        <v>2966015</v>
      </c>
      <c r="I102" s="392">
        <v>0</v>
      </c>
      <c r="J102" s="392">
        <v>0</v>
      </c>
      <c r="K102" s="392">
        <v>0</v>
      </c>
      <c r="L102" s="121">
        <v>2966015</v>
      </c>
      <c r="M102" s="413" t="s">
        <v>529</v>
      </c>
    </row>
    <row r="103" spans="1:13" ht="15.5" outlineLevel="1" x14ac:dyDescent="0.35">
      <c r="A103" s="93" t="s">
        <v>4</v>
      </c>
      <c r="B103" s="86" t="s">
        <v>118</v>
      </c>
      <c r="C103" s="85" t="s">
        <v>119</v>
      </c>
      <c r="D103" s="93">
        <v>346</v>
      </c>
      <c r="E103" s="121">
        <v>17010</v>
      </c>
      <c r="F103" s="121">
        <v>1000</v>
      </c>
      <c r="G103" s="413" t="s">
        <v>529</v>
      </c>
      <c r="H103" s="121">
        <v>16010</v>
      </c>
      <c r="I103" s="392">
        <v>0</v>
      </c>
      <c r="J103" s="392">
        <v>0</v>
      </c>
      <c r="K103" s="392">
        <v>0</v>
      </c>
      <c r="L103" s="121">
        <v>16010</v>
      </c>
      <c r="M103" s="413" t="s">
        <v>529</v>
      </c>
    </row>
    <row r="104" spans="1:13" ht="15" customHeight="1" outlineLevel="2" x14ac:dyDescent="0.35">
      <c r="A104" s="93" t="s">
        <v>4</v>
      </c>
      <c r="B104" s="86" t="s">
        <v>120</v>
      </c>
      <c r="C104" s="85" t="s">
        <v>121</v>
      </c>
      <c r="D104" s="93">
        <v>351</v>
      </c>
      <c r="E104" s="121">
        <v>11236</v>
      </c>
      <c r="F104" s="121">
        <v>1000</v>
      </c>
      <c r="G104" s="413" t="s">
        <v>529</v>
      </c>
      <c r="H104" s="121">
        <v>10236</v>
      </c>
      <c r="I104" s="392">
        <v>0</v>
      </c>
      <c r="J104" s="392">
        <v>0</v>
      </c>
      <c r="K104" s="392">
        <v>0</v>
      </c>
      <c r="L104" s="121">
        <v>10236</v>
      </c>
      <c r="M104" s="413" t="s">
        <v>529</v>
      </c>
    </row>
    <row r="105" spans="1:13" ht="15.5" outlineLevel="2" x14ac:dyDescent="0.35">
      <c r="A105" s="137" t="s">
        <v>137</v>
      </c>
      <c r="B105" s="429" t="s">
        <v>529</v>
      </c>
      <c r="C105" s="430" t="s">
        <v>529</v>
      </c>
      <c r="D105" s="409" t="s">
        <v>529</v>
      </c>
      <c r="E105" s="138">
        <f>SUBTOTAL(109,school201617[Program
Costs])</f>
        <v>23599212</v>
      </c>
      <c r="F105" s="138">
        <f>SUBTOTAL(109,school201617[Less: Net Payments and Offsets 8])</f>
        <v>10967524</v>
      </c>
      <c r="G105" s="409" t="s">
        <v>529</v>
      </c>
      <c r="H105" s="138">
        <f>SUBTOTAL(109,school201617[Accounts Payable
Balance])</f>
        <v>12631688</v>
      </c>
      <c r="I105" s="456" t="s">
        <v>615</v>
      </c>
      <c r="J105" s="456" t="s">
        <v>615</v>
      </c>
      <c r="K105" s="456" t="s">
        <v>615</v>
      </c>
      <c r="L105" s="138">
        <f>SUBTOTAL(109,school201617[Net
Balance])</f>
        <v>12631688</v>
      </c>
      <c r="M105" s="409" t="s">
        <v>529</v>
      </c>
    </row>
    <row r="106" spans="1:13" ht="15.5" outlineLevel="2" x14ac:dyDescent="0.35">
      <c r="A106" s="386" t="s">
        <v>540</v>
      </c>
      <c r="B106" s="404"/>
      <c r="C106" s="135"/>
      <c r="D106" s="405"/>
      <c r="E106" s="406"/>
      <c r="F106" s="406"/>
      <c r="G106" s="406"/>
      <c r="H106" s="406"/>
      <c r="I106" s="406"/>
      <c r="J106" s="406"/>
      <c r="K106" s="406"/>
      <c r="L106" s="406"/>
      <c r="M106" s="406"/>
    </row>
    <row r="107" spans="1:13" ht="50" customHeight="1" outlineLevel="2" x14ac:dyDescent="0.35">
      <c r="A107" s="457" t="s">
        <v>11</v>
      </c>
      <c r="B107" s="300" t="s">
        <v>12</v>
      </c>
      <c r="C107" s="158" t="s">
        <v>0</v>
      </c>
      <c r="D107" s="300" t="s">
        <v>132</v>
      </c>
      <c r="E107" s="458" t="s">
        <v>125</v>
      </c>
      <c r="F107" s="423" t="s">
        <v>614</v>
      </c>
      <c r="G107" s="424" t="s">
        <v>531</v>
      </c>
      <c r="H107" s="422" t="s">
        <v>495</v>
      </c>
      <c r="I107" s="422" t="s">
        <v>496</v>
      </c>
      <c r="J107" s="458" t="s">
        <v>134</v>
      </c>
      <c r="K107" s="422" t="s">
        <v>497</v>
      </c>
      <c r="L107" s="458" t="s">
        <v>133</v>
      </c>
      <c r="M107" s="459" t="s">
        <v>532</v>
      </c>
    </row>
    <row r="108" spans="1:13" ht="15.5" outlineLevel="2" x14ac:dyDescent="0.35">
      <c r="A108" s="93" t="s">
        <v>2</v>
      </c>
      <c r="B108" s="86" t="s">
        <v>61</v>
      </c>
      <c r="C108" s="85" t="s">
        <v>62</v>
      </c>
      <c r="D108" s="93">
        <v>305</v>
      </c>
      <c r="E108" s="121">
        <v>1090</v>
      </c>
      <c r="F108" s="121">
        <v>1000</v>
      </c>
      <c r="G108" s="413" t="s">
        <v>529</v>
      </c>
      <c r="H108" s="121">
        <v>90</v>
      </c>
      <c r="I108" s="392">
        <v>0</v>
      </c>
      <c r="J108" s="392">
        <v>0</v>
      </c>
      <c r="K108" s="392">
        <v>0</v>
      </c>
      <c r="L108" s="121">
        <v>90</v>
      </c>
      <c r="M108" s="413" t="s">
        <v>529</v>
      </c>
    </row>
    <row r="109" spans="1:13" ht="33.5" customHeight="1" outlineLevel="2" x14ac:dyDescent="0.35">
      <c r="A109" s="93" t="s">
        <v>2</v>
      </c>
      <c r="B109" s="86" t="s">
        <v>63</v>
      </c>
      <c r="C109" s="85" t="s">
        <v>64</v>
      </c>
      <c r="D109" s="93">
        <v>250</v>
      </c>
      <c r="E109" s="121">
        <v>77440</v>
      </c>
      <c r="F109" s="121">
        <v>1000</v>
      </c>
      <c r="G109" s="413" t="s">
        <v>529</v>
      </c>
      <c r="H109" s="121">
        <v>76440</v>
      </c>
      <c r="I109" s="392">
        <v>0</v>
      </c>
      <c r="J109" s="392">
        <v>0</v>
      </c>
      <c r="K109" s="392">
        <v>0</v>
      </c>
      <c r="L109" s="121">
        <v>76440</v>
      </c>
      <c r="M109" s="413" t="s">
        <v>529</v>
      </c>
    </row>
    <row r="110" spans="1:13" ht="30" customHeight="1" outlineLevel="2" x14ac:dyDescent="0.35">
      <c r="A110" s="93" t="s">
        <v>2</v>
      </c>
      <c r="B110" s="86" t="s">
        <v>65</v>
      </c>
      <c r="C110" s="85" t="s">
        <v>66</v>
      </c>
      <c r="D110" s="93">
        <v>369</v>
      </c>
      <c r="E110" s="121">
        <v>28616458</v>
      </c>
      <c r="F110" s="121">
        <v>20251630</v>
      </c>
      <c r="G110" s="413" t="s">
        <v>529</v>
      </c>
      <c r="H110" s="121">
        <v>8364828</v>
      </c>
      <c r="I110" s="121">
        <v>1000</v>
      </c>
      <c r="J110" s="392">
        <v>0</v>
      </c>
      <c r="K110" s="121">
        <v>1000</v>
      </c>
      <c r="L110" s="121">
        <v>8363828</v>
      </c>
      <c r="M110" s="413" t="s">
        <v>529</v>
      </c>
    </row>
    <row r="111" spans="1:13" ht="33" customHeight="1" outlineLevel="2" x14ac:dyDescent="0.35">
      <c r="A111" s="93" t="s">
        <v>2</v>
      </c>
      <c r="B111" s="86" t="s">
        <v>69</v>
      </c>
      <c r="C111" s="85" t="s">
        <v>70</v>
      </c>
      <c r="D111" s="93">
        <v>172</v>
      </c>
      <c r="E111" s="121">
        <v>8527</v>
      </c>
      <c r="F111" s="121">
        <v>1000</v>
      </c>
      <c r="G111" s="413" t="s">
        <v>529</v>
      </c>
      <c r="H111" s="121">
        <v>7527</v>
      </c>
      <c r="I111" s="392">
        <v>0</v>
      </c>
      <c r="J111" s="392">
        <v>0</v>
      </c>
      <c r="K111" s="392">
        <v>0</v>
      </c>
      <c r="L111" s="121">
        <v>7527</v>
      </c>
      <c r="M111" s="413" t="s">
        <v>529</v>
      </c>
    </row>
    <row r="112" spans="1:13" ht="15.5" outlineLevel="2" x14ac:dyDescent="0.35">
      <c r="A112" s="93" t="s">
        <v>2</v>
      </c>
      <c r="B112" s="86" t="s">
        <v>242</v>
      </c>
      <c r="C112" s="85" t="s">
        <v>243</v>
      </c>
      <c r="D112" s="93">
        <v>309</v>
      </c>
      <c r="E112" s="121">
        <v>1289</v>
      </c>
      <c r="F112" s="121">
        <v>1000</v>
      </c>
      <c r="G112" s="413" t="s">
        <v>529</v>
      </c>
      <c r="H112" s="121">
        <v>289</v>
      </c>
      <c r="I112" s="392">
        <v>0</v>
      </c>
      <c r="J112" s="392">
        <v>0</v>
      </c>
      <c r="K112" s="392">
        <v>0</v>
      </c>
      <c r="L112" s="121">
        <v>289</v>
      </c>
      <c r="M112" s="413" t="s">
        <v>529</v>
      </c>
    </row>
    <row r="113" spans="1:13" ht="31" outlineLevel="2" x14ac:dyDescent="0.35">
      <c r="A113" s="93" t="s">
        <v>2</v>
      </c>
      <c r="B113" s="86" t="s">
        <v>72</v>
      </c>
      <c r="C113" s="85" t="s">
        <v>73</v>
      </c>
      <c r="D113" s="93">
        <v>11</v>
      </c>
      <c r="E113" s="121">
        <v>327239</v>
      </c>
      <c r="F113" s="121">
        <v>76959</v>
      </c>
      <c r="G113" s="413" t="s">
        <v>529</v>
      </c>
      <c r="H113" s="121">
        <v>250280</v>
      </c>
      <c r="I113" s="392">
        <v>0</v>
      </c>
      <c r="J113" s="392">
        <v>0</v>
      </c>
      <c r="K113" s="392">
        <v>0</v>
      </c>
      <c r="L113" s="121">
        <v>250280</v>
      </c>
      <c r="M113" s="413" t="s">
        <v>529</v>
      </c>
    </row>
    <row r="114" spans="1:13" ht="31" outlineLevel="2" x14ac:dyDescent="0.35">
      <c r="A114" s="93" t="s">
        <v>2</v>
      </c>
      <c r="B114" s="86" t="s">
        <v>74</v>
      </c>
      <c r="C114" s="85" t="s">
        <v>75</v>
      </c>
      <c r="D114" s="93">
        <v>313</v>
      </c>
      <c r="E114" s="121">
        <v>39319</v>
      </c>
      <c r="F114" s="121">
        <v>7612</v>
      </c>
      <c r="G114" s="413" t="s">
        <v>529</v>
      </c>
      <c r="H114" s="121">
        <v>31707</v>
      </c>
      <c r="I114" s="392">
        <v>0</v>
      </c>
      <c r="J114" s="392">
        <v>0</v>
      </c>
      <c r="K114" s="392">
        <v>0</v>
      </c>
      <c r="L114" s="121">
        <v>31707</v>
      </c>
      <c r="M114" s="413" t="s">
        <v>529</v>
      </c>
    </row>
    <row r="115" spans="1:13" ht="31" outlineLevel="2" x14ac:dyDescent="0.35">
      <c r="A115" s="93" t="s">
        <v>2</v>
      </c>
      <c r="B115" s="86" t="s">
        <v>76</v>
      </c>
      <c r="C115" s="85" t="s">
        <v>77</v>
      </c>
      <c r="D115" s="93">
        <v>330</v>
      </c>
      <c r="E115" s="121">
        <v>69675</v>
      </c>
      <c r="F115" s="121">
        <v>9406</v>
      </c>
      <c r="G115" s="413" t="s">
        <v>529</v>
      </c>
      <c r="H115" s="121">
        <v>60269</v>
      </c>
      <c r="I115" s="392">
        <v>0</v>
      </c>
      <c r="J115" s="392">
        <v>0</v>
      </c>
      <c r="K115" s="392">
        <v>0</v>
      </c>
      <c r="L115" s="121">
        <v>60269</v>
      </c>
      <c r="M115" s="413" t="s">
        <v>529</v>
      </c>
    </row>
    <row r="116" spans="1:13" ht="30" customHeight="1" outlineLevel="2" x14ac:dyDescent="0.35">
      <c r="A116" s="93" t="s">
        <v>2</v>
      </c>
      <c r="B116" s="86" t="s">
        <v>78</v>
      </c>
      <c r="C116" s="85" t="s">
        <v>79</v>
      </c>
      <c r="D116" s="93">
        <v>272</v>
      </c>
      <c r="E116" s="121">
        <v>39610</v>
      </c>
      <c r="F116" s="121">
        <v>2379</v>
      </c>
      <c r="G116" s="413" t="s">
        <v>529</v>
      </c>
      <c r="H116" s="121">
        <v>37231</v>
      </c>
      <c r="I116" s="392">
        <v>0</v>
      </c>
      <c r="J116" s="392">
        <v>0</v>
      </c>
      <c r="K116" s="392">
        <v>0</v>
      </c>
      <c r="L116" s="121">
        <v>37231</v>
      </c>
      <c r="M116" s="413" t="s">
        <v>529</v>
      </c>
    </row>
    <row r="117" spans="1:13" ht="50" customHeight="1" outlineLevel="2" x14ac:dyDescent="0.35">
      <c r="A117" s="93" t="s">
        <v>2</v>
      </c>
      <c r="B117" s="86" t="s">
        <v>80</v>
      </c>
      <c r="C117" s="85" t="s">
        <v>81</v>
      </c>
      <c r="D117" s="93">
        <v>276</v>
      </c>
      <c r="E117" s="121">
        <v>8772</v>
      </c>
      <c r="F117" s="121">
        <v>2009</v>
      </c>
      <c r="G117" s="413" t="s">
        <v>529</v>
      </c>
      <c r="H117" s="121">
        <v>6763</v>
      </c>
      <c r="I117" s="392">
        <v>0</v>
      </c>
      <c r="J117" s="392">
        <v>0</v>
      </c>
      <c r="K117" s="392">
        <v>0</v>
      </c>
      <c r="L117" s="121">
        <v>6763</v>
      </c>
      <c r="M117" s="413" t="s">
        <v>529</v>
      </c>
    </row>
    <row r="118" spans="1:13" ht="78.5" customHeight="1" outlineLevel="2" x14ac:dyDescent="0.35">
      <c r="A118" s="93" t="s">
        <v>2</v>
      </c>
      <c r="B118" s="86" t="s">
        <v>82</v>
      </c>
      <c r="C118" s="85" t="s">
        <v>83</v>
      </c>
      <c r="D118" s="93">
        <v>292</v>
      </c>
      <c r="E118" s="121">
        <v>84568</v>
      </c>
      <c r="F118" s="121">
        <v>18907</v>
      </c>
      <c r="G118" s="413" t="s">
        <v>529</v>
      </c>
      <c r="H118" s="121">
        <v>65661</v>
      </c>
      <c r="I118" s="392">
        <v>0</v>
      </c>
      <c r="J118" s="392">
        <v>0</v>
      </c>
      <c r="K118" s="392">
        <v>0</v>
      </c>
      <c r="L118" s="121">
        <v>65661</v>
      </c>
      <c r="M118" s="413" t="s">
        <v>529</v>
      </c>
    </row>
    <row r="119" spans="1:13" ht="34" customHeight="1" outlineLevel="2" x14ac:dyDescent="0.35">
      <c r="A119" s="93" t="s">
        <v>2</v>
      </c>
      <c r="B119" s="86" t="s">
        <v>84</v>
      </c>
      <c r="C119" s="85" t="s">
        <v>85</v>
      </c>
      <c r="D119" s="93">
        <v>209</v>
      </c>
      <c r="E119" s="121">
        <v>46239</v>
      </c>
      <c r="F119" s="121">
        <v>1000</v>
      </c>
      <c r="G119" s="413" t="s">
        <v>529</v>
      </c>
      <c r="H119" s="121">
        <v>45239</v>
      </c>
      <c r="I119" s="392">
        <v>0</v>
      </c>
      <c r="J119" s="392">
        <v>0</v>
      </c>
      <c r="K119" s="392">
        <v>0</v>
      </c>
      <c r="L119" s="121">
        <v>45239</v>
      </c>
      <c r="M119" s="413" t="s">
        <v>529</v>
      </c>
    </row>
    <row r="120" spans="1:13" ht="15.5" outlineLevel="2" x14ac:dyDescent="0.35">
      <c r="A120" s="93" t="s">
        <v>2</v>
      </c>
      <c r="B120" s="86" t="s">
        <v>86</v>
      </c>
      <c r="C120" s="85" t="s">
        <v>87</v>
      </c>
      <c r="D120" s="93">
        <v>183</v>
      </c>
      <c r="E120" s="121">
        <v>8422</v>
      </c>
      <c r="F120" s="121">
        <v>1000</v>
      </c>
      <c r="G120" s="413" t="s">
        <v>529</v>
      </c>
      <c r="H120" s="121">
        <v>7422</v>
      </c>
      <c r="I120" s="392">
        <v>0</v>
      </c>
      <c r="J120" s="392">
        <v>0</v>
      </c>
      <c r="K120" s="392">
        <v>0</v>
      </c>
      <c r="L120" s="121">
        <v>7422</v>
      </c>
      <c r="M120" s="413" t="s">
        <v>529</v>
      </c>
    </row>
    <row r="121" spans="1:13" ht="15" customHeight="1" outlineLevel="2" x14ac:dyDescent="0.35">
      <c r="A121" s="93" t="s">
        <v>2</v>
      </c>
      <c r="B121" s="86" t="s">
        <v>88</v>
      </c>
      <c r="C121" s="85" t="s">
        <v>89</v>
      </c>
      <c r="D121" s="93">
        <v>251</v>
      </c>
      <c r="E121" s="121">
        <v>4049</v>
      </c>
      <c r="F121" s="121">
        <v>2448</v>
      </c>
      <c r="G121" s="413" t="s">
        <v>529</v>
      </c>
      <c r="H121" s="121">
        <v>1601</v>
      </c>
      <c r="I121" s="392">
        <v>0</v>
      </c>
      <c r="J121" s="392">
        <v>0</v>
      </c>
      <c r="K121" s="392">
        <v>0</v>
      </c>
      <c r="L121" s="121">
        <v>1601</v>
      </c>
      <c r="M121" s="413" t="s">
        <v>529</v>
      </c>
    </row>
    <row r="122" spans="1:13" ht="15" customHeight="1" outlineLevel="2" x14ac:dyDescent="0.35">
      <c r="A122" s="93" t="s">
        <v>2</v>
      </c>
      <c r="B122" s="86" t="s">
        <v>90</v>
      </c>
      <c r="C122" s="85" t="s">
        <v>91</v>
      </c>
      <c r="D122" s="93">
        <v>192</v>
      </c>
      <c r="E122" s="121">
        <v>13092</v>
      </c>
      <c r="F122" s="121">
        <v>1000</v>
      </c>
      <c r="G122" s="413" t="s">
        <v>529</v>
      </c>
      <c r="H122" s="121">
        <v>12092</v>
      </c>
      <c r="I122" s="392">
        <v>0</v>
      </c>
      <c r="J122" s="392">
        <v>0</v>
      </c>
      <c r="K122" s="392">
        <v>0</v>
      </c>
      <c r="L122" s="121">
        <v>12092</v>
      </c>
      <c r="M122" s="413" t="s">
        <v>529</v>
      </c>
    </row>
    <row r="123" spans="1:13" ht="30" customHeight="1" outlineLevel="2" x14ac:dyDescent="0.35">
      <c r="A123" s="93" t="s">
        <v>2</v>
      </c>
      <c r="B123" s="86" t="s">
        <v>92</v>
      </c>
      <c r="C123" s="85" t="s">
        <v>93</v>
      </c>
      <c r="D123" s="93">
        <v>297</v>
      </c>
      <c r="E123" s="121">
        <v>6628149</v>
      </c>
      <c r="F123" s="121">
        <v>434927</v>
      </c>
      <c r="G123" s="413" t="s">
        <v>529</v>
      </c>
      <c r="H123" s="121">
        <v>6193222</v>
      </c>
      <c r="I123" s="392">
        <v>0</v>
      </c>
      <c r="J123" s="392">
        <v>0</v>
      </c>
      <c r="K123" s="392">
        <v>0</v>
      </c>
      <c r="L123" s="121">
        <v>6193222</v>
      </c>
      <c r="M123" s="413" t="s">
        <v>529</v>
      </c>
    </row>
    <row r="124" spans="1:13" ht="15" customHeight="1" outlineLevel="2" x14ac:dyDescent="0.35">
      <c r="A124" s="93" t="s">
        <v>2</v>
      </c>
      <c r="B124" s="86" t="s">
        <v>94</v>
      </c>
      <c r="C124" s="85" t="s">
        <v>95</v>
      </c>
      <c r="D124" s="93">
        <v>166</v>
      </c>
      <c r="E124" s="121">
        <v>174115</v>
      </c>
      <c r="F124" s="121">
        <v>26866</v>
      </c>
      <c r="G124" s="413" t="s">
        <v>529</v>
      </c>
      <c r="H124" s="121">
        <v>147249</v>
      </c>
      <c r="I124" s="392">
        <v>0</v>
      </c>
      <c r="J124" s="392">
        <v>0</v>
      </c>
      <c r="K124" s="392">
        <v>0</v>
      </c>
      <c r="L124" s="121">
        <v>147249</v>
      </c>
      <c r="M124" s="413" t="s">
        <v>529</v>
      </c>
    </row>
    <row r="125" spans="1:13" ht="15" customHeight="1" outlineLevel="2" x14ac:dyDescent="0.35">
      <c r="A125" s="93" t="s">
        <v>2</v>
      </c>
      <c r="B125" s="86" t="s">
        <v>96</v>
      </c>
      <c r="C125" s="85" t="s">
        <v>97</v>
      </c>
      <c r="D125" s="93">
        <v>32</v>
      </c>
      <c r="E125" s="121">
        <v>33423</v>
      </c>
      <c r="F125" s="121">
        <v>6448</v>
      </c>
      <c r="G125" s="413" t="s">
        <v>529</v>
      </c>
      <c r="H125" s="121">
        <v>26975</v>
      </c>
      <c r="I125" s="392">
        <v>0</v>
      </c>
      <c r="J125" s="392">
        <v>0</v>
      </c>
      <c r="K125" s="392">
        <v>0</v>
      </c>
      <c r="L125" s="121">
        <v>26975</v>
      </c>
      <c r="M125" s="413" t="s">
        <v>529</v>
      </c>
    </row>
    <row r="126" spans="1:13" ht="37" customHeight="1" outlineLevel="2" x14ac:dyDescent="0.35">
      <c r="A126" s="93" t="s">
        <v>2</v>
      </c>
      <c r="B126" s="86" t="s">
        <v>98</v>
      </c>
      <c r="C126" s="85" t="s">
        <v>99</v>
      </c>
      <c r="D126" s="93">
        <v>368</v>
      </c>
      <c r="E126" s="121">
        <v>27847</v>
      </c>
      <c r="F126" s="121">
        <v>9502</v>
      </c>
      <c r="G126" s="413" t="s">
        <v>529</v>
      </c>
      <c r="H126" s="121">
        <v>18345</v>
      </c>
      <c r="I126" s="392">
        <v>0</v>
      </c>
      <c r="J126" s="392">
        <v>0</v>
      </c>
      <c r="K126" s="392">
        <v>0</v>
      </c>
      <c r="L126" s="121">
        <v>18345</v>
      </c>
      <c r="M126" s="413" t="s">
        <v>529</v>
      </c>
    </row>
    <row r="127" spans="1:13" ht="15" customHeight="1" outlineLevel="2" x14ac:dyDescent="0.35">
      <c r="A127" s="93" t="s">
        <v>2</v>
      </c>
      <c r="B127" s="86" t="s">
        <v>419</v>
      </c>
      <c r="C127" s="85" t="s">
        <v>100</v>
      </c>
      <c r="D127" s="93">
        <v>357</v>
      </c>
      <c r="E127" s="121">
        <v>16167</v>
      </c>
      <c r="F127" s="121">
        <v>7325</v>
      </c>
      <c r="G127" s="413" t="s">
        <v>529</v>
      </c>
      <c r="H127" s="121">
        <v>8842</v>
      </c>
      <c r="I127" s="392">
        <v>0</v>
      </c>
      <c r="J127" s="392">
        <v>0</v>
      </c>
      <c r="K127" s="392">
        <v>0</v>
      </c>
      <c r="L127" s="121">
        <v>8842</v>
      </c>
      <c r="M127" s="413" t="s">
        <v>529</v>
      </c>
    </row>
    <row r="128" spans="1:13" ht="15" customHeight="1" outlineLevel="2" x14ac:dyDescent="0.35">
      <c r="A128" s="93" t="s">
        <v>2</v>
      </c>
      <c r="B128" s="86" t="s">
        <v>101</v>
      </c>
      <c r="C128" s="85" t="s">
        <v>102</v>
      </c>
      <c r="D128" s="93">
        <v>153</v>
      </c>
      <c r="E128" s="121">
        <v>13759</v>
      </c>
      <c r="F128" s="121">
        <v>1000</v>
      </c>
      <c r="G128" s="413" t="s">
        <v>529</v>
      </c>
      <c r="H128" s="121">
        <v>12759</v>
      </c>
      <c r="I128" s="392">
        <v>0</v>
      </c>
      <c r="J128" s="392">
        <v>0</v>
      </c>
      <c r="K128" s="392">
        <v>0</v>
      </c>
      <c r="L128" s="121">
        <v>12759</v>
      </c>
      <c r="M128" s="413" t="s">
        <v>529</v>
      </c>
    </row>
    <row r="129" spans="1:13" ht="15" customHeight="1" outlineLevel="2" x14ac:dyDescent="0.35">
      <c r="A129" s="93" t="s">
        <v>2</v>
      </c>
      <c r="B129" s="86" t="s">
        <v>246</v>
      </c>
      <c r="C129" s="85" t="s">
        <v>247</v>
      </c>
      <c r="D129" s="93">
        <v>155</v>
      </c>
      <c r="E129" s="121">
        <v>3353</v>
      </c>
      <c r="F129" s="121">
        <v>1000</v>
      </c>
      <c r="G129" s="413" t="s">
        <v>529</v>
      </c>
      <c r="H129" s="121">
        <v>2353</v>
      </c>
      <c r="I129" s="392">
        <v>0</v>
      </c>
      <c r="J129" s="392">
        <v>0</v>
      </c>
      <c r="K129" s="392">
        <v>0</v>
      </c>
      <c r="L129" s="121">
        <v>2353</v>
      </c>
      <c r="M129" s="413" t="s">
        <v>529</v>
      </c>
    </row>
    <row r="130" spans="1:13" ht="15.5" outlineLevel="2" x14ac:dyDescent="0.35">
      <c r="A130" s="93" t="s">
        <v>2</v>
      </c>
      <c r="B130" s="86" t="s">
        <v>103</v>
      </c>
      <c r="C130" s="85" t="s">
        <v>93</v>
      </c>
      <c r="D130" s="93">
        <v>48</v>
      </c>
      <c r="E130" s="121">
        <v>231284</v>
      </c>
      <c r="F130" s="121">
        <v>38472</v>
      </c>
      <c r="G130" s="413" t="s">
        <v>529</v>
      </c>
      <c r="H130" s="121">
        <v>192812</v>
      </c>
      <c r="I130" s="392">
        <v>0</v>
      </c>
      <c r="J130" s="392">
        <v>0</v>
      </c>
      <c r="K130" s="392">
        <v>0</v>
      </c>
      <c r="L130" s="121">
        <v>192812</v>
      </c>
      <c r="M130" s="413" t="s">
        <v>529</v>
      </c>
    </row>
    <row r="131" spans="1:13" ht="15" customHeight="1" outlineLevel="2" x14ac:dyDescent="0.35">
      <c r="A131" s="93" t="s">
        <v>2</v>
      </c>
      <c r="B131" s="86" t="s">
        <v>104</v>
      </c>
      <c r="C131" s="85" t="s">
        <v>105</v>
      </c>
      <c r="D131" s="93">
        <v>350</v>
      </c>
      <c r="E131" s="121">
        <v>1371</v>
      </c>
      <c r="F131" s="121">
        <v>1000</v>
      </c>
      <c r="G131" s="413" t="s">
        <v>529</v>
      </c>
      <c r="H131" s="121">
        <v>371</v>
      </c>
      <c r="I131" s="392">
        <v>0</v>
      </c>
      <c r="J131" s="392">
        <v>0</v>
      </c>
      <c r="K131" s="392">
        <v>0</v>
      </c>
      <c r="L131" s="121">
        <v>371</v>
      </c>
      <c r="M131" s="413" t="s">
        <v>529</v>
      </c>
    </row>
    <row r="132" spans="1:13" ht="15" customHeight="1" outlineLevel="2" x14ac:dyDescent="0.35">
      <c r="A132" s="93" t="s">
        <v>2</v>
      </c>
      <c r="B132" s="86" t="s">
        <v>106</v>
      </c>
      <c r="C132" s="85" t="s">
        <v>107</v>
      </c>
      <c r="D132" s="93">
        <v>173</v>
      </c>
      <c r="E132" s="121">
        <v>28430</v>
      </c>
      <c r="F132" s="121">
        <v>6232</v>
      </c>
      <c r="G132" s="413" t="s">
        <v>529</v>
      </c>
      <c r="H132" s="121">
        <v>22198</v>
      </c>
      <c r="I132" s="392">
        <v>0</v>
      </c>
      <c r="J132" s="392">
        <v>0</v>
      </c>
      <c r="K132" s="392">
        <v>0</v>
      </c>
      <c r="L132" s="121">
        <v>22198</v>
      </c>
      <c r="M132" s="413" t="s">
        <v>529</v>
      </c>
    </row>
    <row r="133" spans="1:13" ht="30" customHeight="1" outlineLevel="2" x14ac:dyDescent="0.35">
      <c r="A133" s="93" t="s">
        <v>2</v>
      </c>
      <c r="B133" s="86" t="s">
        <v>108</v>
      </c>
      <c r="C133" s="85" t="s">
        <v>109</v>
      </c>
      <c r="D133" s="93">
        <v>261</v>
      </c>
      <c r="E133" s="121">
        <v>3728</v>
      </c>
      <c r="F133" s="121">
        <v>2385</v>
      </c>
      <c r="G133" s="413" t="s">
        <v>529</v>
      </c>
      <c r="H133" s="121">
        <v>1343</v>
      </c>
      <c r="I133" s="392">
        <v>0</v>
      </c>
      <c r="J133" s="392">
        <v>0</v>
      </c>
      <c r="K133" s="392">
        <v>0</v>
      </c>
      <c r="L133" s="121">
        <v>1343</v>
      </c>
      <c r="M133" s="413" t="s">
        <v>529</v>
      </c>
    </row>
    <row r="134" spans="1:13" ht="15" customHeight="1" outlineLevel="2" x14ac:dyDescent="0.35">
      <c r="A134" s="93" t="s">
        <v>2</v>
      </c>
      <c r="B134" s="86" t="s">
        <v>110</v>
      </c>
      <c r="C134" s="85" t="s">
        <v>111</v>
      </c>
      <c r="D134" s="93">
        <v>244</v>
      </c>
      <c r="E134" s="121">
        <v>21352</v>
      </c>
      <c r="F134" s="121">
        <v>2021</v>
      </c>
      <c r="G134" s="413" t="s">
        <v>529</v>
      </c>
      <c r="H134" s="121">
        <v>19331</v>
      </c>
      <c r="I134" s="392">
        <v>0</v>
      </c>
      <c r="J134" s="392">
        <v>0</v>
      </c>
      <c r="K134" s="392">
        <v>0</v>
      </c>
      <c r="L134" s="121">
        <v>19331</v>
      </c>
      <c r="M134" s="413" t="s">
        <v>529</v>
      </c>
    </row>
    <row r="135" spans="1:13" ht="15.5" outlineLevel="2" x14ac:dyDescent="0.35">
      <c r="A135" s="93" t="s">
        <v>2</v>
      </c>
      <c r="B135" s="86" t="s">
        <v>112</v>
      </c>
      <c r="C135" s="85" t="s">
        <v>113</v>
      </c>
      <c r="D135" s="93">
        <v>171</v>
      </c>
      <c r="E135" s="121">
        <v>32325</v>
      </c>
      <c r="F135" s="121">
        <v>7778</v>
      </c>
      <c r="G135" s="413" t="s">
        <v>529</v>
      </c>
      <c r="H135" s="121">
        <v>24547</v>
      </c>
      <c r="I135" s="392">
        <v>0</v>
      </c>
      <c r="J135" s="392">
        <v>0</v>
      </c>
      <c r="K135" s="392">
        <v>0</v>
      </c>
      <c r="L135" s="121">
        <v>24547</v>
      </c>
      <c r="M135" s="413" t="s">
        <v>529</v>
      </c>
    </row>
    <row r="136" spans="1:13" ht="38.5" customHeight="1" outlineLevel="2" x14ac:dyDescent="0.35">
      <c r="A136" s="93" t="s">
        <v>2</v>
      </c>
      <c r="B136" s="86" t="s">
        <v>114</v>
      </c>
      <c r="C136" s="85" t="s">
        <v>111</v>
      </c>
      <c r="D136" s="93">
        <v>258</v>
      </c>
      <c r="E136" s="121">
        <v>67141</v>
      </c>
      <c r="F136" s="121">
        <v>7407</v>
      </c>
      <c r="G136" s="413" t="s">
        <v>529</v>
      </c>
      <c r="H136" s="121">
        <v>59734</v>
      </c>
      <c r="I136" s="392">
        <v>0</v>
      </c>
      <c r="J136" s="392">
        <v>0</v>
      </c>
      <c r="K136" s="392">
        <v>0</v>
      </c>
      <c r="L136" s="121">
        <v>59734</v>
      </c>
      <c r="M136" s="413" t="s">
        <v>529</v>
      </c>
    </row>
    <row r="137" spans="1:13" ht="15.5" outlineLevel="1" x14ac:dyDescent="0.35">
      <c r="A137" s="93" t="s">
        <v>2</v>
      </c>
      <c r="B137" s="86" t="s">
        <v>115</v>
      </c>
      <c r="C137" s="85" t="s">
        <v>93</v>
      </c>
      <c r="D137" s="93">
        <v>260</v>
      </c>
      <c r="E137" s="121">
        <v>256675</v>
      </c>
      <c r="F137" s="121">
        <v>39867</v>
      </c>
      <c r="G137" s="413" t="s">
        <v>529</v>
      </c>
      <c r="H137" s="121">
        <v>216808</v>
      </c>
      <c r="I137" s="392">
        <v>0</v>
      </c>
      <c r="J137" s="392">
        <v>0</v>
      </c>
      <c r="K137" s="392">
        <v>0</v>
      </c>
      <c r="L137" s="121">
        <v>216808</v>
      </c>
      <c r="M137" s="413" t="s">
        <v>529</v>
      </c>
    </row>
    <row r="138" spans="1:13" ht="31.5" customHeight="1" outlineLevel="2" x14ac:dyDescent="0.35">
      <c r="A138" s="93" t="s">
        <v>2</v>
      </c>
      <c r="B138" s="86" t="s">
        <v>116</v>
      </c>
      <c r="C138" s="85" t="s">
        <v>117</v>
      </c>
      <c r="D138" s="93">
        <v>367</v>
      </c>
      <c r="E138" s="121">
        <v>10538915</v>
      </c>
      <c r="F138" s="121">
        <v>7484936</v>
      </c>
      <c r="G138" s="413" t="s">
        <v>529</v>
      </c>
      <c r="H138" s="121">
        <v>3053979</v>
      </c>
      <c r="I138" s="392">
        <v>0</v>
      </c>
      <c r="J138" s="392">
        <v>0</v>
      </c>
      <c r="K138" s="392">
        <v>0</v>
      </c>
      <c r="L138" s="121">
        <v>3053979</v>
      </c>
      <c r="M138" s="413" t="s">
        <v>529</v>
      </c>
    </row>
    <row r="139" spans="1:13" ht="15.5" outlineLevel="2" x14ac:dyDescent="0.35">
      <c r="A139" s="93" t="s">
        <v>2</v>
      </c>
      <c r="B139" s="86" t="s">
        <v>120</v>
      </c>
      <c r="C139" s="85" t="s">
        <v>121</v>
      </c>
      <c r="D139" s="93">
        <v>351</v>
      </c>
      <c r="E139" s="121">
        <v>18910</v>
      </c>
      <c r="F139" s="121">
        <v>8205</v>
      </c>
      <c r="G139" s="413" t="s">
        <v>529</v>
      </c>
      <c r="H139" s="121">
        <v>10705</v>
      </c>
      <c r="I139" s="392">
        <v>0</v>
      </c>
      <c r="J139" s="392">
        <v>0</v>
      </c>
      <c r="K139" s="392">
        <v>0</v>
      </c>
      <c r="L139" s="121">
        <v>10705</v>
      </c>
      <c r="M139" s="413" t="s">
        <v>529</v>
      </c>
    </row>
    <row r="140" spans="1:13" ht="15.5" outlineLevel="2" x14ac:dyDescent="0.35">
      <c r="A140" s="137" t="s">
        <v>138</v>
      </c>
      <c r="B140" s="429" t="s">
        <v>529</v>
      </c>
      <c r="C140" s="430" t="s">
        <v>529</v>
      </c>
      <c r="D140" s="409" t="s">
        <v>529</v>
      </c>
      <c r="E140" s="138">
        <f>SUBTOTAL(109,school201516[Program
Costs])</f>
        <v>47442733</v>
      </c>
      <c r="F140" s="138">
        <f>SUBTOTAL(109,school201516[Less: Net Payments and Offsets 8])</f>
        <v>28463721</v>
      </c>
      <c r="G140" s="414" t="s">
        <v>552</v>
      </c>
      <c r="H140" s="138">
        <f>SUBTOTAL(109,school201516[Accounts Payable
Balance])</f>
        <v>18979012</v>
      </c>
      <c r="I140" s="138">
        <f>SUBTOTAL(109,school201516[Established
Accounts Receivable])</f>
        <v>1000</v>
      </c>
      <c r="J140" s="456" t="s">
        <v>615</v>
      </c>
      <c r="K140" s="138">
        <f>SUBTOTAL(109,school201516[Accounts Receivable
Balance])</f>
        <v>1000</v>
      </c>
      <c r="L140" s="138">
        <f>SUBTOTAL(109,school201516[Net
Balance])</f>
        <v>18978012</v>
      </c>
      <c r="M140" s="414" t="s">
        <v>552</v>
      </c>
    </row>
    <row r="141" spans="1:13" ht="15.5" outlineLevel="2" x14ac:dyDescent="0.35">
      <c r="A141" s="386" t="s">
        <v>540</v>
      </c>
      <c r="B141" s="139"/>
      <c r="C141" s="139"/>
      <c r="D141" s="139"/>
      <c r="E141" s="140"/>
      <c r="F141" s="140"/>
      <c r="G141" s="140"/>
      <c r="H141" s="140"/>
      <c r="I141" s="140"/>
      <c r="J141" s="140"/>
      <c r="K141" s="140"/>
      <c r="L141" s="140"/>
      <c r="M141" s="476"/>
    </row>
    <row r="142" spans="1:13" ht="50" customHeight="1" outlineLevel="2" x14ac:dyDescent="0.35">
      <c r="A142" s="457" t="s">
        <v>11</v>
      </c>
      <c r="B142" s="300" t="s">
        <v>12</v>
      </c>
      <c r="C142" s="158" t="s">
        <v>0</v>
      </c>
      <c r="D142" s="300" t="s">
        <v>132</v>
      </c>
      <c r="E142" s="458" t="s">
        <v>125</v>
      </c>
      <c r="F142" s="423" t="s">
        <v>614</v>
      </c>
      <c r="G142" s="424" t="s">
        <v>531</v>
      </c>
      <c r="H142" s="422" t="s">
        <v>495</v>
      </c>
      <c r="I142" s="422" t="s">
        <v>496</v>
      </c>
      <c r="J142" s="458" t="s">
        <v>134</v>
      </c>
      <c r="K142" s="422" t="s">
        <v>497</v>
      </c>
      <c r="L142" s="458" t="s">
        <v>133</v>
      </c>
      <c r="M142" s="459" t="s">
        <v>532</v>
      </c>
    </row>
    <row r="143" spans="1:13" ht="15" customHeight="1" outlineLevel="2" x14ac:dyDescent="0.35">
      <c r="A143" s="93" t="s">
        <v>5</v>
      </c>
      <c r="B143" s="86" t="s">
        <v>61</v>
      </c>
      <c r="C143" s="85" t="s">
        <v>62</v>
      </c>
      <c r="D143" s="93">
        <v>305</v>
      </c>
      <c r="E143" s="121">
        <v>1182</v>
      </c>
      <c r="F143" s="121">
        <v>1000</v>
      </c>
      <c r="G143" s="413" t="s">
        <v>529</v>
      </c>
      <c r="H143" s="121">
        <v>182</v>
      </c>
      <c r="I143" s="392">
        <v>0</v>
      </c>
      <c r="J143" s="392">
        <v>0</v>
      </c>
      <c r="K143" s="392">
        <v>0</v>
      </c>
      <c r="L143" s="121">
        <v>182</v>
      </c>
      <c r="M143" s="450" t="s">
        <v>529</v>
      </c>
    </row>
    <row r="144" spans="1:13" ht="37" customHeight="1" outlineLevel="2" x14ac:dyDescent="0.35">
      <c r="A144" s="93" t="s">
        <v>5</v>
      </c>
      <c r="B144" s="86" t="s">
        <v>63</v>
      </c>
      <c r="C144" s="85" t="s">
        <v>64</v>
      </c>
      <c r="D144" s="93">
        <v>250</v>
      </c>
      <c r="E144" s="121">
        <v>70758</v>
      </c>
      <c r="F144" s="121">
        <v>4554</v>
      </c>
      <c r="G144" s="413" t="s">
        <v>529</v>
      </c>
      <c r="H144" s="121">
        <v>66204</v>
      </c>
      <c r="I144" s="392">
        <v>0</v>
      </c>
      <c r="J144" s="392">
        <v>0</v>
      </c>
      <c r="K144" s="392">
        <v>0</v>
      </c>
      <c r="L144" s="121">
        <v>66204</v>
      </c>
      <c r="M144" s="450" t="s">
        <v>529</v>
      </c>
    </row>
    <row r="145" spans="1:13" ht="30" customHeight="1" outlineLevel="2" x14ac:dyDescent="0.35">
      <c r="A145" s="93" t="s">
        <v>5</v>
      </c>
      <c r="B145" s="86" t="s">
        <v>65</v>
      </c>
      <c r="C145" s="85" t="s">
        <v>66</v>
      </c>
      <c r="D145" s="93">
        <v>369</v>
      </c>
      <c r="E145" s="121">
        <v>57238241</v>
      </c>
      <c r="F145" s="121">
        <v>45612504</v>
      </c>
      <c r="G145" s="413" t="s">
        <v>529</v>
      </c>
      <c r="H145" s="121">
        <v>11625737</v>
      </c>
      <c r="I145" s="392">
        <v>0</v>
      </c>
      <c r="J145" s="392">
        <v>0</v>
      </c>
      <c r="K145" s="392">
        <v>0</v>
      </c>
      <c r="L145" s="121">
        <v>11625737</v>
      </c>
      <c r="M145" s="450" t="s">
        <v>529</v>
      </c>
    </row>
    <row r="146" spans="1:13" ht="33" customHeight="1" outlineLevel="2" x14ac:dyDescent="0.35">
      <c r="A146" s="93" t="s">
        <v>5</v>
      </c>
      <c r="B146" s="86" t="s">
        <v>69</v>
      </c>
      <c r="C146" s="85" t="s">
        <v>70</v>
      </c>
      <c r="D146" s="93">
        <v>172</v>
      </c>
      <c r="E146" s="121">
        <v>51776</v>
      </c>
      <c r="F146" s="121">
        <v>21615</v>
      </c>
      <c r="G146" s="413" t="s">
        <v>529</v>
      </c>
      <c r="H146" s="121">
        <v>30161</v>
      </c>
      <c r="I146" s="392">
        <v>0</v>
      </c>
      <c r="J146" s="392">
        <v>0</v>
      </c>
      <c r="K146" s="392">
        <v>0</v>
      </c>
      <c r="L146" s="121">
        <v>30161</v>
      </c>
      <c r="M146" s="450" t="s">
        <v>529</v>
      </c>
    </row>
    <row r="147" spans="1:13" ht="15.5" outlineLevel="2" x14ac:dyDescent="0.35">
      <c r="A147" s="93" t="s">
        <v>5</v>
      </c>
      <c r="B147" s="86" t="s">
        <v>420</v>
      </c>
      <c r="C147" s="85" t="s">
        <v>71</v>
      </c>
      <c r="D147" s="93">
        <v>278</v>
      </c>
      <c r="E147" s="121">
        <v>80581</v>
      </c>
      <c r="F147" s="121">
        <v>1000</v>
      </c>
      <c r="G147" s="413" t="s">
        <v>529</v>
      </c>
      <c r="H147" s="121">
        <v>79581</v>
      </c>
      <c r="I147" s="392">
        <v>0</v>
      </c>
      <c r="J147" s="392">
        <v>0</v>
      </c>
      <c r="K147" s="392">
        <v>0</v>
      </c>
      <c r="L147" s="121">
        <v>79581</v>
      </c>
      <c r="M147" s="450" t="s">
        <v>529</v>
      </c>
    </row>
    <row r="148" spans="1:13" ht="15.5" outlineLevel="2" x14ac:dyDescent="0.35">
      <c r="A148" s="93" t="s">
        <v>5</v>
      </c>
      <c r="B148" s="86" t="s">
        <v>242</v>
      </c>
      <c r="C148" s="85" t="s">
        <v>243</v>
      </c>
      <c r="D148" s="93">
        <v>309</v>
      </c>
      <c r="E148" s="121">
        <v>1367</v>
      </c>
      <c r="F148" s="121">
        <v>1000</v>
      </c>
      <c r="G148" s="413" t="s">
        <v>529</v>
      </c>
      <c r="H148" s="121">
        <v>367</v>
      </c>
      <c r="I148" s="392">
        <v>0</v>
      </c>
      <c r="J148" s="392">
        <v>0</v>
      </c>
      <c r="K148" s="392">
        <v>0</v>
      </c>
      <c r="L148" s="121">
        <v>367</v>
      </c>
      <c r="M148" s="450" t="s">
        <v>529</v>
      </c>
    </row>
    <row r="149" spans="1:13" ht="45" customHeight="1" outlineLevel="2" x14ac:dyDescent="0.35">
      <c r="A149" s="93" t="s">
        <v>5</v>
      </c>
      <c r="B149" s="86" t="s">
        <v>72</v>
      </c>
      <c r="C149" s="85" t="s">
        <v>73</v>
      </c>
      <c r="D149" s="93">
        <v>11</v>
      </c>
      <c r="E149" s="121">
        <v>1012760</v>
      </c>
      <c r="F149" s="121">
        <v>356650</v>
      </c>
      <c r="G149" s="413" t="s">
        <v>529</v>
      </c>
      <c r="H149" s="121">
        <v>656110</v>
      </c>
      <c r="I149" s="392">
        <v>0</v>
      </c>
      <c r="J149" s="392">
        <v>0</v>
      </c>
      <c r="K149" s="392">
        <v>0</v>
      </c>
      <c r="L149" s="121">
        <v>656110</v>
      </c>
      <c r="M149" s="450" t="s">
        <v>529</v>
      </c>
    </row>
    <row r="150" spans="1:13" ht="31" outlineLevel="2" x14ac:dyDescent="0.35">
      <c r="A150" s="93" t="s">
        <v>5</v>
      </c>
      <c r="B150" s="86" t="s">
        <v>74</v>
      </c>
      <c r="C150" s="85" t="s">
        <v>75</v>
      </c>
      <c r="D150" s="93">
        <v>313</v>
      </c>
      <c r="E150" s="121">
        <v>192966</v>
      </c>
      <c r="F150" s="121">
        <v>38911</v>
      </c>
      <c r="G150" s="413" t="s">
        <v>529</v>
      </c>
      <c r="H150" s="121">
        <v>154055</v>
      </c>
      <c r="I150" s="392">
        <v>0</v>
      </c>
      <c r="J150" s="392">
        <v>0</v>
      </c>
      <c r="K150" s="392">
        <v>0</v>
      </c>
      <c r="L150" s="121">
        <v>154055</v>
      </c>
      <c r="M150" s="450" t="s">
        <v>529</v>
      </c>
    </row>
    <row r="151" spans="1:13" ht="30" customHeight="1" outlineLevel="2" x14ac:dyDescent="0.35">
      <c r="A151" s="93" t="s">
        <v>5</v>
      </c>
      <c r="B151" s="86" t="s">
        <v>76</v>
      </c>
      <c r="C151" s="85" t="s">
        <v>77</v>
      </c>
      <c r="D151" s="93">
        <v>330</v>
      </c>
      <c r="E151" s="121">
        <v>163009</v>
      </c>
      <c r="F151" s="121">
        <v>36297</v>
      </c>
      <c r="G151" s="413" t="s">
        <v>529</v>
      </c>
      <c r="H151" s="121">
        <v>126712</v>
      </c>
      <c r="I151" s="392">
        <v>0</v>
      </c>
      <c r="J151" s="392">
        <v>0</v>
      </c>
      <c r="K151" s="392">
        <v>0</v>
      </c>
      <c r="L151" s="121">
        <v>126712</v>
      </c>
      <c r="M151" s="450" t="s">
        <v>529</v>
      </c>
    </row>
    <row r="152" spans="1:13" ht="51" customHeight="1" outlineLevel="2" x14ac:dyDescent="0.35">
      <c r="A152" s="93" t="s">
        <v>5</v>
      </c>
      <c r="B152" s="86" t="s">
        <v>78</v>
      </c>
      <c r="C152" s="85" t="s">
        <v>79</v>
      </c>
      <c r="D152" s="93">
        <v>272</v>
      </c>
      <c r="E152" s="121">
        <v>219338</v>
      </c>
      <c r="F152" s="121">
        <v>34030</v>
      </c>
      <c r="G152" s="413" t="s">
        <v>529</v>
      </c>
      <c r="H152" s="121">
        <v>185308</v>
      </c>
      <c r="I152" s="392">
        <v>0</v>
      </c>
      <c r="J152" s="392">
        <v>0</v>
      </c>
      <c r="K152" s="392">
        <v>0</v>
      </c>
      <c r="L152" s="121">
        <v>185308</v>
      </c>
      <c r="M152" s="450" t="s">
        <v>529</v>
      </c>
    </row>
    <row r="153" spans="1:13" ht="50" customHeight="1" outlineLevel="2" x14ac:dyDescent="0.35">
      <c r="A153" s="93" t="s">
        <v>5</v>
      </c>
      <c r="B153" s="86" t="s">
        <v>80</v>
      </c>
      <c r="C153" s="85" t="s">
        <v>81</v>
      </c>
      <c r="D153" s="93">
        <v>276</v>
      </c>
      <c r="E153" s="121">
        <v>84258</v>
      </c>
      <c r="F153" s="121">
        <v>2880</v>
      </c>
      <c r="G153" s="413" t="s">
        <v>529</v>
      </c>
      <c r="H153" s="121">
        <v>81378</v>
      </c>
      <c r="I153" s="392">
        <v>0</v>
      </c>
      <c r="J153" s="392">
        <v>0</v>
      </c>
      <c r="K153" s="392">
        <v>0</v>
      </c>
      <c r="L153" s="121">
        <v>81378</v>
      </c>
      <c r="M153" s="450" t="s">
        <v>529</v>
      </c>
    </row>
    <row r="154" spans="1:13" ht="78" customHeight="1" outlineLevel="2" x14ac:dyDescent="0.35">
      <c r="A154" s="93" t="s">
        <v>5</v>
      </c>
      <c r="B154" s="86" t="s">
        <v>82</v>
      </c>
      <c r="C154" s="85" t="s">
        <v>83</v>
      </c>
      <c r="D154" s="93">
        <v>292</v>
      </c>
      <c r="E154" s="121">
        <v>571714</v>
      </c>
      <c r="F154" s="121">
        <v>49899</v>
      </c>
      <c r="G154" s="413" t="s">
        <v>529</v>
      </c>
      <c r="H154" s="121">
        <v>521815</v>
      </c>
      <c r="I154" s="392">
        <v>0</v>
      </c>
      <c r="J154" s="392">
        <v>0</v>
      </c>
      <c r="K154" s="392">
        <v>0</v>
      </c>
      <c r="L154" s="121">
        <v>521815</v>
      </c>
      <c r="M154" s="450" t="s">
        <v>529</v>
      </c>
    </row>
    <row r="155" spans="1:13" ht="34" customHeight="1" outlineLevel="2" x14ac:dyDescent="0.35">
      <c r="A155" s="93" t="s">
        <v>5</v>
      </c>
      <c r="B155" s="86" t="s">
        <v>84</v>
      </c>
      <c r="C155" s="85" t="s">
        <v>85</v>
      </c>
      <c r="D155" s="93">
        <v>209</v>
      </c>
      <c r="E155" s="121">
        <v>93729</v>
      </c>
      <c r="F155" s="121">
        <v>1000</v>
      </c>
      <c r="G155" s="413" t="s">
        <v>529</v>
      </c>
      <c r="H155" s="121">
        <v>92729</v>
      </c>
      <c r="I155" s="392">
        <v>0</v>
      </c>
      <c r="J155" s="392">
        <v>0</v>
      </c>
      <c r="K155" s="392">
        <v>0</v>
      </c>
      <c r="L155" s="121">
        <v>92729</v>
      </c>
      <c r="M155" s="450" t="s">
        <v>529</v>
      </c>
    </row>
    <row r="156" spans="1:13" ht="15.5" outlineLevel="2" x14ac:dyDescent="0.35">
      <c r="A156" s="93" t="s">
        <v>5</v>
      </c>
      <c r="B156" s="86" t="s">
        <v>86</v>
      </c>
      <c r="C156" s="85" t="s">
        <v>87</v>
      </c>
      <c r="D156" s="93">
        <v>183</v>
      </c>
      <c r="E156" s="121">
        <v>53366</v>
      </c>
      <c r="F156" s="121">
        <v>15888</v>
      </c>
      <c r="G156" s="413" t="s">
        <v>529</v>
      </c>
      <c r="H156" s="121">
        <v>37478</v>
      </c>
      <c r="I156" s="392">
        <v>0</v>
      </c>
      <c r="J156" s="392">
        <v>0</v>
      </c>
      <c r="K156" s="392">
        <v>0</v>
      </c>
      <c r="L156" s="121">
        <v>37478</v>
      </c>
      <c r="M156" s="450" t="s">
        <v>529</v>
      </c>
    </row>
    <row r="157" spans="1:13" ht="15" customHeight="1" outlineLevel="2" x14ac:dyDescent="0.35">
      <c r="A157" s="93" t="s">
        <v>5</v>
      </c>
      <c r="B157" s="86" t="s">
        <v>88</v>
      </c>
      <c r="C157" s="85" t="s">
        <v>89</v>
      </c>
      <c r="D157" s="93">
        <v>251</v>
      </c>
      <c r="E157" s="121">
        <v>12287</v>
      </c>
      <c r="F157" s="121">
        <v>5287</v>
      </c>
      <c r="G157" s="413" t="s">
        <v>529</v>
      </c>
      <c r="H157" s="121">
        <v>7000</v>
      </c>
      <c r="I157" s="392">
        <v>0</v>
      </c>
      <c r="J157" s="392">
        <v>0</v>
      </c>
      <c r="K157" s="392">
        <v>0</v>
      </c>
      <c r="L157" s="121">
        <v>7000</v>
      </c>
      <c r="M157" s="450" t="s">
        <v>529</v>
      </c>
    </row>
    <row r="158" spans="1:13" ht="29" customHeight="1" outlineLevel="2" x14ac:dyDescent="0.35">
      <c r="A158" s="93" t="s">
        <v>5</v>
      </c>
      <c r="B158" s="86" t="s">
        <v>248</v>
      </c>
      <c r="C158" s="85" t="s">
        <v>77</v>
      </c>
      <c r="D158" s="93">
        <v>91</v>
      </c>
      <c r="E158" s="121">
        <v>2373</v>
      </c>
      <c r="F158" s="121">
        <v>1321</v>
      </c>
      <c r="G158" s="413" t="s">
        <v>529</v>
      </c>
      <c r="H158" s="121">
        <v>1052</v>
      </c>
      <c r="I158" s="392">
        <v>0</v>
      </c>
      <c r="J158" s="392">
        <v>0</v>
      </c>
      <c r="K158" s="392">
        <v>0</v>
      </c>
      <c r="L158" s="121">
        <v>1052</v>
      </c>
      <c r="M158" s="450" t="s">
        <v>529</v>
      </c>
    </row>
    <row r="159" spans="1:13" ht="15" customHeight="1" outlineLevel="2" x14ac:dyDescent="0.35">
      <c r="A159" s="93" t="s">
        <v>5</v>
      </c>
      <c r="B159" s="86" t="s">
        <v>90</v>
      </c>
      <c r="C159" s="85" t="s">
        <v>91</v>
      </c>
      <c r="D159" s="93">
        <v>192</v>
      </c>
      <c r="E159" s="121">
        <v>30144</v>
      </c>
      <c r="F159" s="121">
        <v>9017</v>
      </c>
      <c r="G159" s="413" t="s">
        <v>529</v>
      </c>
      <c r="H159" s="121">
        <v>21127</v>
      </c>
      <c r="I159" s="392">
        <v>0</v>
      </c>
      <c r="J159" s="392">
        <v>0</v>
      </c>
      <c r="K159" s="392">
        <v>0</v>
      </c>
      <c r="L159" s="121">
        <v>21127</v>
      </c>
      <c r="M159" s="450" t="s">
        <v>529</v>
      </c>
    </row>
    <row r="160" spans="1:13" ht="30" customHeight="1" outlineLevel="2" x14ac:dyDescent="0.35">
      <c r="A160" s="93" t="s">
        <v>5</v>
      </c>
      <c r="B160" s="86" t="s">
        <v>92</v>
      </c>
      <c r="C160" s="85" t="s">
        <v>93</v>
      </c>
      <c r="D160" s="93">
        <v>297</v>
      </c>
      <c r="E160" s="121">
        <v>16676742</v>
      </c>
      <c r="F160" s="121">
        <v>3216044</v>
      </c>
      <c r="G160" s="413" t="s">
        <v>529</v>
      </c>
      <c r="H160" s="121">
        <v>13460698</v>
      </c>
      <c r="I160" s="392">
        <v>0</v>
      </c>
      <c r="J160" s="392">
        <v>0</v>
      </c>
      <c r="K160" s="392">
        <v>0</v>
      </c>
      <c r="L160" s="121">
        <v>13460698</v>
      </c>
      <c r="M160" s="450" t="s">
        <v>529</v>
      </c>
    </row>
    <row r="161" spans="1:13" ht="15" customHeight="1" outlineLevel="2" x14ac:dyDescent="0.35">
      <c r="A161" s="93" t="s">
        <v>5</v>
      </c>
      <c r="B161" s="86" t="s">
        <v>94</v>
      </c>
      <c r="C161" s="85" t="s">
        <v>95</v>
      </c>
      <c r="D161" s="93">
        <v>166</v>
      </c>
      <c r="E161" s="121">
        <v>1058395</v>
      </c>
      <c r="F161" s="121">
        <v>447482</v>
      </c>
      <c r="G161" s="413" t="s">
        <v>529</v>
      </c>
      <c r="H161" s="121">
        <v>610913</v>
      </c>
      <c r="I161" s="392">
        <v>0</v>
      </c>
      <c r="J161" s="392">
        <v>0</v>
      </c>
      <c r="K161" s="392">
        <v>0</v>
      </c>
      <c r="L161" s="121">
        <v>610913</v>
      </c>
      <c r="M161" s="450" t="s">
        <v>529</v>
      </c>
    </row>
    <row r="162" spans="1:13" ht="15" customHeight="1" outlineLevel="2" x14ac:dyDescent="0.35">
      <c r="A162" s="93" t="s">
        <v>5</v>
      </c>
      <c r="B162" s="86" t="s">
        <v>244</v>
      </c>
      <c r="C162" s="85" t="s">
        <v>245</v>
      </c>
      <c r="D162" s="93">
        <v>268</v>
      </c>
      <c r="E162" s="121">
        <v>621912</v>
      </c>
      <c r="F162" s="121">
        <v>14822</v>
      </c>
      <c r="G162" s="413" t="s">
        <v>529</v>
      </c>
      <c r="H162" s="121">
        <v>607090</v>
      </c>
      <c r="I162" s="392">
        <v>0</v>
      </c>
      <c r="J162" s="392">
        <v>0</v>
      </c>
      <c r="K162" s="392">
        <v>0</v>
      </c>
      <c r="L162" s="121">
        <v>607090</v>
      </c>
      <c r="M162" s="450" t="s">
        <v>529</v>
      </c>
    </row>
    <row r="163" spans="1:13" ht="15" customHeight="1" outlineLevel="2" x14ac:dyDescent="0.35">
      <c r="A163" s="93" t="s">
        <v>5</v>
      </c>
      <c r="B163" s="86" t="s">
        <v>96</v>
      </c>
      <c r="C163" s="85" t="s">
        <v>97</v>
      </c>
      <c r="D163" s="93">
        <v>32</v>
      </c>
      <c r="E163" s="121">
        <v>227731</v>
      </c>
      <c r="F163" s="121">
        <v>87827</v>
      </c>
      <c r="G163" s="413" t="s">
        <v>529</v>
      </c>
      <c r="H163" s="121">
        <v>139904</v>
      </c>
      <c r="I163" s="392">
        <v>0</v>
      </c>
      <c r="J163" s="392">
        <v>0</v>
      </c>
      <c r="K163" s="392">
        <v>0</v>
      </c>
      <c r="L163" s="121">
        <v>139904</v>
      </c>
      <c r="M163" s="450" t="s">
        <v>529</v>
      </c>
    </row>
    <row r="164" spans="1:13" ht="39" customHeight="1" outlineLevel="2" x14ac:dyDescent="0.35">
      <c r="A164" s="93" t="s">
        <v>5</v>
      </c>
      <c r="B164" s="86" t="s">
        <v>98</v>
      </c>
      <c r="C164" s="85" t="s">
        <v>99</v>
      </c>
      <c r="D164" s="93">
        <v>368</v>
      </c>
      <c r="E164" s="121">
        <v>203466</v>
      </c>
      <c r="F164" s="121">
        <v>95748</v>
      </c>
      <c r="G164" s="413" t="s">
        <v>529</v>
      </c>
      <c r="H164" s="121">
        <v>107718</v>
      </c>
      <c r="I164" s="392">
        <v>0</v>
      </c>
      <c r="J164" s="392">
        <v>0</v>
      </c>
      <c r="K164" s="392">
        <v>0</v>
      </c>
      <c r="L164" s="121">
        <v>107718</v>
      </c>
      <c r="M164" s="450" t="s">
        <v>529</v>
      </c>
    </row>
    <row r="165" spans="1:13" ht="15" customHeight="1" outlineLevel="2" x14ac:dyDescent="0.35">
      <c r="A165" s="93" t="s">
        <v>5</v>
      </c>
      <c r="B165" s="86" t="s">
        <v>419</v>
      </c>
      <c r="C165" s="85" t="s">
        <v>100</v>
      </c>
      <c r="D165" s="93">
        <v>357</v>
      </c>
      <c r="E165" s="121">
        <v>2663014</v>
      </c>
      <c r="F165" s="121">
        <v>2175080</v>
      </c>
      <c r="G165" s="413" t="s">
        <v>529</v>
      </c>
      <c r="H165" s="121">
        <v>487934</v>
      </c>
      <c r="I165" s="392">
        <v>0</v>
      </c>
      <c r="J165" s="392">
        <v>0</v>
      </c>
      <c r="K165" s="392">
        <v>0</v>
      </c>
      <c r="L165" s="121">
        <v>487934</v>
      </c>
      <c r="M165" s="450" t="s">
        <v>529</v>
      </c>
    </row>
    <row r="166" spans="1:13" ht="15" customHeight="1" outlineLevel="2" x14ac:dyDescent="0.35">
      <c r="A166" s="93" t="s">
        <v>5</v>
      </c>
      <c r="B166" s="86" t="s">
        <v>249</v>
      </c>
      <c r="C166" s="85" t="s">
        <v>250</v>
      </c>
      <c r="D166" s="93">
        <v>148</v>
      </c>
      <c r="E166" s="121">
        <v>8713</v>
      </c>
      <c r="F166" s="121">
        <v>1000</v>
      </c>
      <c r="G166" s="413" t="s">
        <v>529</v>
      </c>
      <c r="H166" s="121">
        <v>7713</v>
      </c>
      <c r="I166" s="392">
        <v>0</v>
      </c>
      <c r="J166" s="392">
        <v>0</v>
      </c>
      <c r="K166" s="392">
        <v>0</v>
      </c>
      <c r="L166" s="121">
        <v>7713</v>
      </c>
      <c r="M166" s="450" t="s">
        <v>529</v>
      </c>
    </row>
    <row r="167" spans="1:13" ht="15" customHeight="1" outlineLevel="2" x14ac:dyDescent="0.35">
      <c r="A167" s="93" t="s">
        <v>5</v>
      </c>
      <c r="B167" s="86" t="s">
        <v>101</v>
      </c>
      <c r="C167" s="85" t="s">
        <v>102</v>
      </c>
      <c r="D167" s="93">
        <v>153</v>
      </c>
      <c r="E167" s="121">
        <v>137810</v>
      </c>
      <c r="F167" s="121">
        <v>36419</v>
      </c>
      <c r="G167" s="413" t="s">
        <v>529</v>
      </c>
      <c r="H167" s="121">
        <v>101391</v>
      </c>
      <c r="I167" s="392">
        <v>0</v>
      </c>
      <c r="J167" s="392">
        <v>0</v>
      </c>
      <c r="K167" s="392">
        <v>0</v>
      </c>
      <c r="L167" s="121">
        <v>101391</v>
      </c>
      <c r="M167" s="450" t="s">
        <v>529</v>
      </c>
    </row>
    <row r="168" spans="1:13" ht="15.5" outlineLevel="2" x14ac:dyDescent="0.35">
      <c r="A168" s="93" t="s">
        <v>5</v>
      </c>
      <c r="B168" s="86" t="s">
        <v>246</v>
      </c>
      <c r="C168" s="85" t="s">
        <v>247</v>
      </c>
      <c r="D168" s="93">
        <v>155</v>
      </c>
      <c r="E168" s="121">
        <v>222555</v>
      </c>
      <c r="F168" s="121">
        <v>2931</v>
      </c>
      <c r="G168" s="413" t="s">
        <v>529</v>
      </c>
      <c r="H168" s="121">
        <v>219624</v>
      </c>
      <c r="I168" s="392">
        <v>0</v>
      </c>
      <c r="J168" s="392">
        <v>0</v>
      </c>
      <c r="K168" s="392">
        <v>0</v>
      </c>
      <c r="L168" s="121">
        <v>219624</v>
      </c>
      <c r="M168" s="450" t="s">
        <v>529</v>
      </c>
    </row>
    <row r="169" spans="1:13" ht="15" customHeight="1" outlineLevel="2" x14ac:dyDescent="0.35">
      <c r="A169" s="93" t="s">
        <v>5</v>
      </c>
      <c r="B169" s="86" t="s">
        <v>103</v>
      </c>
      <c r="C169" s="85" t="s">
        <v>93</v>
      </c>
      <c r="D169" s="93">
        <v>48</v>
      </c>
      <c r="E169" s="121">
        <v>1623854</v>
      </c>
      <c r="F169" s="121">
        <v>835468</v>
      </c>
      <c r="G169" s="413" t="s">
        <v>529</v>
      </c>
      <c r="H169" s="121">
        <v>788386</v>
      </c>
      <c r="I169" s="392">
        <v>0</v>
      </c>
      <c r="J169" s="392">
        <v>0</v>
      </c>
      <c r="K169" s="392">
        <v>0</v>
      </c>
      <c r="L169" s="121">
        <v>788386</v>
      </c>
      <c r="M169" s="450" t="s">
        <v>529</v>
      </c>
    </row>
    <row r="170" spans="1:13" ht="15" customHeight="1" outlineLevel="2" x14ac:dyDescent="0.35">
      <c r="A170" s="93" t="s">
        <v>5</v>
      </c>
      <c r="B170" s="86" t="s">
        <v>104</v>
      </c>
      <c r="C170" s="85" t="s">
        <v>105</v>
      </c>
      <c r="D170" s="93">
        <v>350</v>
      </c>
      <c r="E170" s="121">
        <v>34239</v>
      </c>
      <c r="F170" s="121">
        <v>9495</v>
      </c>
      <c r="G170" s="413" t="s">
        <v>529</v>
      </c>
      <c r="H170" s="121">
        <v>24744</v>
      </c>
      <c r="I170" s="392">
        <v>0</v>
      </c>
      <c r="J170" s="392">
        <v>0</v>
      </c>
      <c r="K170" s="392">
        <v>0</v>
      </c>
      <c r="L170" s="121">
        <v>24744</v>
      </c>
      <c r="M170" s="450" t="s">
        <v>529</v>
      </c>
    </row>
    <row r="171" spans="1:13" ht="15" customHeight="1" outlineLevel="2" x14ac:dyDescent="0.35">
      <c r="A171" s="93" t="s">
        <v>5</v>
      </c>
      <c r="B171" s="86" t="s">
        <v>106</v>
      </c>
      <c r="C171" s="85" t="s">
        <v>107</v>
      </c>
      <c r="D171" s="93">
        <v>173</v>
      </c>
      <c r="E171" s="121">
        <v>63225</v>
      </c>
      <c r="F171" s="121">
        <v>18060</v>
      </c>
      <c r="G171" s="413" t="s">
        <v>529</v>
      </c>
      <c r="H171" s="121">
        <v>45165</v>
      </c>
      <c r="I171" s="392">
        <v>0</v>
      </c>
      <c r="J171" s="392">
        <v>0</v>
      </c>
      <c r="K171" s="392">
        <v>0</v>
      </c>
      <c r="L171" s="121">
        <v>45165</v>
      </c>
      <c r="M171" s="450" t="s">
        <v>529</v>
      </c>
    </row>
    <row r="172" spans="1:13" ht="30" customHeight="1" outlineLevel="2" x14ac:dyDescent="0.35">
      <c r="A172" s="93" t="s">
        <v>5</v>
      </c>
      <c r="B172" s="86" t="s">
        <v>108</v>
      </c>
      <c r="C172" s="85" t="s">
        <v>109</v>
      </c>
      <c r="D172" s="93">
        <v>261</v>
      </c>
      <c r="E172" s="121">
        <v>42331</v>
      </c>
      <c r="F172" s="121">
        <v>15186</v>
      </c>
      <c r="G172" s="413" t="s">
        <v>529</v>
      </c>
      <c r="H172" s="121">
        <v>27145</v>
      </c>
      <c r="I172" s="392">
        <v>0</v>
      </c>
      <c r="J172" s="392">
        <v>0</v>
      </c>
      <c r="K172" s="392">
        <v>0</v>
      </c>
      <c r="L172" s="121">
        <v>27145</v>
      </c>
      <c r="M172" s="450" t="s">
        <v>529</v>
      </c>
    </row>
    <row r="173" spans="1:13" ht="15" customHeight="1" outlineLevel="2" x14ac:dyDescent="0.35">
      <c r="A173" s="93" t="s">
        <v>5</v>
      </c>
      <c r="B173" s="86" t="s">
        <v>110</v>
      </c>
      <c r="C173" s="85" t="s">
        <v>111</v>
      </c>
      <c r="D173" s="93">
        <v>244</v>
      </c>
      <c r="E173" s="121">
        <v>99722</v>
      </c>
      <c r="F173" s="121">
        <v>34676</v>
      </c>
      <c r="G173" s="413" t="s">
        <v>529</v>
      </c>
      <c r="H173" s="121">
        <v>65046</v>
      </c>
      <c r="I173" s="392">
        <v>0</v>
      </c>
      <c r="J173" s="392">
        <v>0</v>
      </c>
      <c r="K173" s="392">
        <v>0</v>
      </c>
      <c r="L173" s="121">
        <v>65046</v>
      </c>
      <c r="M173" s="450" t="s">
        <v>529</v>
      </c>
    </row>
    <row r="174" spans="1:13" ht="15" customHeight="1" outlineLevel="2" x14ac:dyDescent="0.35">
      <c r="A174" s="93" t="s">
        <v>5</v>
      </c>
      <c r="B174" s="86" t="s">
        <v>251</v>
      </c>
      <c r="C174" s="85" t="s">
        <v>93</v>
      </c>
      <c r="D174" s="93">
        <v>280</v>
      </c>
      <c r="E174" s="121">
        <v>6219</v>
      </c>
      <c r="F174" s="121">
        <v>1000</v>
      </c>
      <c r="G174" s="413" t="s">
        <v>529</v>
      </c>
      <c r="H174" s="121">
        <v>5219</v>
      </c>
      <c r="I174" s="392">
        <v>0</v>
      </c>
      <c r="J174" s="392">
        <v>0</v>
      </c>
      <c r="K174" s="392">
        <v>0</v>
      </c>
      <c r="L174" s="121">
        <v>5219</v>
      </c>
      <c r="M174" s="450" t="s">
        <v>529</v>
      </c>
    </row>
    <row r="175" spans="1:13" ht="15" customHeight="1" outlineLevel="2" x14ac:dyDescent="0.35">
      <c r="A175" s="93" t="s">
        <v>5</v>
      </c>
      <c r="B175" s="86" t="s">
        <v>112</v>
      </c>
      <c r="C175" s="85" t="s">
        <v>113</v>
      </c>
      <c r="D175" s="93">
        <v>171</v>
      </c>
      <c r="E175" s="121">
        <v>109844</v>
      </c>
      <c r="F175" s="121">
        <v>28148</v>
      </c>
      <c r="G175" s="413" t="s">
        <v>529</v>
      </c>
      <c r="H175" s="121">
        <v>81696</v>
      </c>
      <c r="I175" s="392">
        <v>0</v>
      </c>
      <c r="J175" s="392">
        <v>0</v>
      </c>
      <c r="K175" s="392">
        <v>0</v>
      </c>
      <c r="L175" s="121">
        <v>81696</v>
      </c>
      <c r="M175" s="450" t="s">
        <v>529</v>
      </c>
    </row>
    <row r="176" spans="1:13" ht="30" customHeight="1" outlineLevel="2" x14ac:dyDescent="0.35">
      <c r="A176" s="93" t="s">
        <v>5</v>
      </c>
      <c r="B176" s="86" t="s">
        <v>114</v>
      </c>
      <c r="C176" s="85" t="s">
        <v>111</v>
      </c>
      <c r="D176" s="93">
        <v>258</v>
      </c>
      <c r="E176" s="121">
        <v>396513</v>
      </c>
      <c r="F176" s="121">
        <v>31957</v>
      </c>
      <c r="G176" s="413" t="s">
        <v>529</v>
      </c>
      <c r="H176" s="121">
        <v>364556</v>
      </c>
      <c r="I176" s="392">
        <v>0</v>
      </c>
      <c r="J176" s="392">
        <v>0</v>
      </c>
      <c r="K176" s="392">
        <v>0</v>
      </c>
      <c r="L176" s="121">
        <v>364556</v>
      </c>
      <c r="M176" s="450" t="s">
        <v>529</v>
      </c>
    </row>
    <row r="177" spans="1:13" ht="15" customHeight="1" outlineLevel="2" x14ac:dyDescent="0.35">
      <c r="A177" s="93" t="s">
        <v>5</v>
      </c>
      <c r="B177" s="86" t="s">
        <v>254</v>
      </c>
      <c r="C177" s="85" t="s">
        <v>255</v>
      </c>
      <c r="D177" s="93">
        <v>228</v>
      </c>
      <c r="E177" s="121">
        <v>17098</v>
      </c>
      <c r="F177" s="121">
        <v>1000</v>
      </c>
      <c r="G177" s="413" t="s">
        <v>529</v>
      </c>
      <c r="H177" s="121">
        <v>16098</v>
      </c>
      <c r="I177" s="392">
        <v>0</v>
      </c>
      <c r="J177" s="392">
        <v>0</v>
      </c>
      <c r="K177" s="392">
        <v>0</v>
      </c>
      <c r="L177" s="121">
        <v>16098</v>
      </c>
      <c r="M177" s="450" t="s">
        <v>529</v>
      </c>
    </row>
    <row r="178" spans="1:13" ht="15" customHeight="1" outlineLevel="2" x14ac:dyDescent="0.35">
      <c r="A178" s="93" t="s">
        <v>5</v>
      </c>
      <c r="B178" s="86" t="s">
        <v>256</v>
      </c>
      <c r="C178" s="85" t="s">
        <v>257</v>
      </c>
      <c r="D178" s="93">
        <v>308</v>
      </c>
      <c r="E178" s="121">
        <v>2805</v>
      </c>
      <c r="F178" s="121">
        <v>1000</v>
      </c>
      <c r="G178" s="413" t="s">
        <v>529</v>
      </c>
      <c r="H178" s="121">
        <v>1805</v>
      </c>
      <c r="I178" s="392">
        <v>0</v>
      </c>
      <c r="J178" s="392">
        <v>0</v>
      </c>
      <c r="K178" s="392">
        <v>0</v>
      </c>
      <c r="L178" s="121">
        <v>1805</v>
      </c>
      <c r="M178" s="450" t="s">
        <v>529</v>
      </c>
    </row>
    <row r="179" spans="1:13" ht="15.5" outlineLevel="1" x14ac:dyDescent="0.35">
      <c r="A179" s="93" t="s">
        <v>5</v>
      </c>
      <c r="B179" s="86" t="s">
        <v>115</v>
      </c>
      <c r="C179" s="85" t="s">
        <v>93</v>
      </c>
      <c r="D179" s="93">
        <v>260</v>
      </c>
      <c r="E179" s="121">
        <v>1316339</v>
      </c>
      <c r="F179" s="121">
        <v>736708</v>
      </c>
      <c r="G179" s="413" t="s">
        <v>529</v>
      </c>
      <c r="H179" s="121">
        <v>579631</v>
      </c>
      <c r="I179" s="392">
        <v>0</v>
      </c>
      <c r="J179" s="392">
        <v>0</v>
      </c>
      <c r="K179" s="392">
        <v>0</v>
      </c>
      <c r="L179" s="121">
        <v>579631</v>
      </c>
      <c r="M179" s="450" t="s">
        <v>529</v>
      </c>
    </row>
    <row r="180" spans="1:13" ht="30.5" customHeight="1" outlineLevel="2" x14ac:dyDescent="0.35">
      <c r="A180" s="93" t="s">
        <v>5</v>
      </c>
      <c r="B180" s="86" t="s">
        <v>116</v>
      </c>
      <c r="C180" s="85" t="s">
        <v>117</v>
      </c>
      <c r="D180" s="93">
        <v>367</v>
      </c>
      <c r="E180" s="121">
        <v>147181</v>
      </c>
      <c r="F180" s="121">
        <v>133599</v>
      </c>
      <c r="G180" s="413" t="s">
        <v>529</v>
      </c>
      <c r="H180" s="121">
        <v>13582</v>
      </c>
      <c r="I180" s="392">
        <v>0</v>
      </c>
      <c r="J180" s="392">
        <v>0</v>
      </c>
      <c r="K180" s="392">
        <v>0</v>
      </c>
      <c r="L180" s="121">
        <v>13582</v>
      </c>
      <c r="M180" s="450" t="s">
        <v>529</v>
      </c>
    </row>
    <row r="181" spans="1:13" ht="15.5" outlineLevel="2" x14ac:dyDescent="0.35">
      <c r="A181" s="93" t="s">
        <v>5</v>
      </c>
      <c r="B181" s="86" t="s">
        <v>118</v>
      </c>
      <c r="C181" s="85" t="s">
        <v>119</v>
      </c>
      <c r="D181" s="93">
        <v>346</v>
      </c>
      <c r="E181" s="121">
        <v>5540</v>
      </c>
      <c r="F181" s="121">
        <v>1000</v>
      </c>
      <c r="G181" s="413" t="s">
        <v>529</v>
      </c>
      <c r="H181" s="121">
        <v>4540</v>
      </c>
      <c r="I181" s="392">
        <v>0</v>
      </c>
      <c r="J181" s="392">
        <v>0</v>
      </c>
      <c r="K181" s="392">
        <v>0</v>
      </c>
      <c r="L181" s="121">
        <v>4540</v>
      </c>
      <c r="M181" s="450" t="s">
        <v>529</v>
      </c>
    </row>
    <row r="182" spans="1:13" ht="15.5" outlineLevel="2" x14ac:dyDescent="0.35">
      <c r="A182" s="93" t="s">
        <v>5</v>
      </c>
      <c r="B182" s="86" t="s">
        <v>120</v>
      </c>
      <c r="C182" s="85" t="s">
        <v>121</v>
      </c>
      <c r="D182" s="93">
        <v>351</v>
      </c>
      <c r="E182" s="121">
        <v>31192</v>
      </c>
      <c r="F182" s="121">
        <v>6108</v>
      </c>
      <c r="G182" s="413" t="s">
        <v>529</v>
      </c>
      <c r="H182" s="121">
        <v>25084</v>
      </c>
      <c r="I182" s="392">
        <v>0</v>
      </c>
      <c r="J182" s="392">
        <v>0</v>
      </c>
      <c r="K182" s="392">
        <v>0</v>
      </c>
      <c r="L182" s="121">
        <v>25084</v>
      </c>
      <c r="M182" s="450" t="s">
        <v>529</v>
      </c>
    </row>
    <row r="183" spans="1:13" ht="15" customHeight="1" outlineLevel="2" x14ac:dyDescent="0.35">
      <c r="A183" s="137" t="s">
        <v>139</v>
      </c>
      <c r="B183" s="429" t="s">
        <v>529</v>
      </c>
      <c r="C183" s="430" t="s">
        <v>529</v>
      </c>
      <c r="D183" s="409" t="s">
        <v>529</v>
      </c>
      <c r="E183" s="138">
        <f>SUBTOTAL(109,school201415[Program
Costs])</f>
        <v>85596289</v>
      </c>
      <c r="F183" s="138">
        <f>SUBTOTAL(109,school201415[Less: Net Payments and Offsets 8])</f>
        <v>54123611</v>
      </c>
      <c r="G183" s="414" t="s">
        <v>552</v>
      </c>
      <c r="H183" s="138">
        <f>SUBTOTAL(109,school201415[Accounts Payable
Balance])</f>
        <v>31472678</v>
      </c>
      <c r="I183" s="456" t="s">
        <v>615</v>
      </c>
      <c r="J183" s="456" t="s">
        <v>615</v>
      </c>
      <c r="K183" s="456" t="s">
        <v>615</v>
      </c>
      <c r="L183" s="138">
        <f>SUBTOTAL(109,school201415[Net
Balance])</f>
        <v>31472678</v>
      </c>
      <c r="M183" s="414" t="s">
        <v>552</v>
      </c>
    </row>
    <row r="184" spans="1:13" ht="15" customHeight="1" outlineLevel="2" x14ac:dyDescent="0.35">
      <c r="A184" s="386" t="s">
        <v>540</v>
      </c>
      <c r="B184" s="139"/>
      <c r="C184" s="139"/>
      <c r="D184" s="139"/>
      <c r="E184" s="140"/>
      <c r="F184" s="140"/>
      <c r="G184" s="140"/>
      <c r="H184" s="140"/>
      <c r="I184" s="140"/>
      <c r="J184" s="140"/>
      <c r="K184" s="140"/>
      <c r="L184" s="140"/>
      <c r="M184" s="476"/>
    </row>
    <row r="185" spans="1:13" ht="50" customHeight="1" outlineLevel="2" x14ac:dyDescent="0.35">
      <c r="A185" s="457" t="s">
        <v>11</v>
      </c>
      <c r="B185" s="300" t="s">
        <v>12</v>
      </c>
      <c r="C185" s="158" t="s">
        <v>0</v>
      </c>
      <c r="D185" s="300" t="s">
        <v>132</v>
      </c>
      <c r="E185" s="458" t="s">
        <v>125</v>
      </c>
      <c r="F185" s="423" t="s">
        <v>614</v>
      </c>
      <c r="G185" s="424" t="s">
        <v>531</v>
      </c>
      <c r="H185" s="422" t="s">
        <v>495</v>
      </c>
      <c r="I185" s="422" t="s">
        <v>496</v>
      </c>
      <c r="J185" s="458" t="s">
        <v>134</v>
      </c>
      <c r="K185" s="422" t="s">
        <v>497</v>
      </c>
      <c r="L185" s="458" t="s">
        <v>133</v>
      </c>
      <c r="M185" s="459" t="s">
        <v>532</v>
      </c>
    </row>
    <row r="186" spans="1:13" ht="15.5" outlineLevel="2" x14ac:dyDescent="0.35">
      <c r="A186" s="93" t="s">
        <v>140</v>
      </c>
      <c r="B186" s="86" t="s">
        <v>61</v>
      </c>
      <c r="C186" s="85" t="s">
        <v>62</v>
      </c>
      <c r="D186" s="93">
        <v>305</v>
      </c>
      <c r="E186" s="121">
        <v>11320</v>
      </c>
      <c r="F186" s="121">
        <v>5205</v>
      </c>
      <c r="G186" s="413" t="s">
        <v>529</v>
      </c>
      <c r="H186" s="121">
        <v>6115</v>
      </c>
      <c r="I186" s="392">
        <v>0</v>
      </c>
      <c r="J186" s="392">
        <v>0</v>
      </c>
      <c r="K186" s="392">
        <v>0</v>
      </c>
      <c r="L186" s="121">
        <v>6115</v>
      </c>
      <c r="M186" s="450" t="s">
        <v>529</v>
      </c>
    </row>
    <row r="187" spans="1:13" ht="34" customHeight="1" outlineLevel="2" x14ac:dyDescent="0.35">
      <c r="A187" s="93" t="s">
        <v>140</v>
      </c>
      <c r="B187" s="86" t="s">
        <v>63</v>
      </c>
      <c r="C187" s="85" t="s">
        <v>64</v>
      </c>
      <c r="D187" s="93">
        <v>250</v>
      </c>
      <c r="E187" s="121">
        <v>84439</v>
      </c>
      <c r="F187" s="121">
        <v>13627</v>
      </c>
      <c r="G187" s="413" t="s">
        <v>529</v>
      </c>
      <c r="H187" s="121">
        <v>70812</v>
      </c>
      <c r="I187" s="392">
        <v>0</v>
      </c>
      <c r="J187" s="392">
        <v>0</v>
      </c>
      <c r="K187" s="392">
        <v>0</v>
      </c>
      <c r="L187" s="121">
        <v>70812</v>
      </c>
      <c r="M187" s="450" t="s">
        <v>529</v>
      </c>
    </row>
    <row r="188" spans="1:13" ht="40" customHeight="1" outlineLevel="2" x14ac:dyDescent="0.35">
      <c r="A188" s="93" t="s">
        <v>140</v>
      </c>
      <c r="B188" s="86" t="s">
        <v>65</v>
      </c>
      <c r="C188" s="85" t="s">
        <v>66</v>
      </c>
      <c r="D188" s="93">
        <v>369</v>
      </c>
      <c r="E188" s="121">
        <v>73163197</v>
      </c>
      <c r="F188" s="121">
        <v>71316108</v>
      </c>
      <c r="G188" s="413" t="s">
        <v>529</v>
      </c>
      <c r="H188" s="121">
        <v>1847089</v>
      </c>
      <c r="I188" s="392">
        <v>0</v>
      </c>
      <c r="J188" s="392">
        <v>0</v>
      </c>
      <c r="K188" s="392">
        <v>0</v>
      </c>
      <c r="L188" s="121">
        <v>1847089</v>
      </c>
      <c r="M188" s="450" t="s">
        <v>529</v>
      </c>
    </row>
    <row r="189" spans="1:13" ht="15.5" outlineLevel="2" x14ac:dyDescent="0.35">
      <c r="A189" s="93" t="s">
        <v>140</v>
      </c>
      <c r="B189" s="86" t="s">
        <v>258</v>
      </c>
      <c r="C189" s="85" t="s">
        <v>152</v>
      </c>
      <c r="D189" s="93">
        <v>354</v>
      </c>
      <c r="E189" s="121">
        <v>160491</v>
      </c>
      <c r="F189" s="121">
        <v>80368</v>
      </c>
      <c r="G189" s="413" t="s">
        <v>529</v>
      </c>
      <c r="H189" s="121">
        <v>80123</v>
      </c>
      <c r="I189" s="392">
        <v>0</v>
      </c>
      <c r="J189" s="392">
        <v>0</v>
      </c>
      <c r="K189" s="392">
        <v>0</v>
      </c>
      <c r="L189" s="121">
        <v>80123</v>
      </c>
      <c r="M189" s="450" t="s">
        <v>529</v>
      </c>
    </row>
    <row r="190" spans="1:13" ht="36.5" customHeight="1" outlineLevel="2" x14ac:dyDescent="0.35">
      <c r="A190" s="93" t="s">
        <v>140</v>
      </c>
      <c r="B190" s="86" t="s">
        <v>67</v>
      </c>
      <c r="C190" s="85" t="s">
        <v>68</v>
      </c>
      <c r="D190" s="93">
        <v>286</v>
      </c>
      <c r="E190" s="121">
        <v>3934</v>
      </c>
      <c r="F190" s="121">
        <v>1000</v>
      </c>
      <c r="G190" s="413" t="s">
        <v>529</v>
      </c>
      <c r="H190" s="121">
        <v>2934</v>
      </c>
      <c r="I190" s="392">
        <v>0</v>
      </c>
      <c r="J190" s="392">
        <v>0</v>
      </c>
      <c r="K190" s="392">
        <v>0</v>
      </c>
      <c r="L190" s="121">
        <v>2934</v>
      </c>
      <c r="M190" s="450" t="s">
        <v>529</v>
      </c>
    </row>
    <row r="191" spans="1:13" ht="30" customHeight="1" outlineLevel="2" x14ac:dyDescent="0.35">
      <c r="A191" s="93" t="s">
        <v>140</v>
      </c>
      <c r="B191" s="86" t="s">
        <v>69</v>
      </c>
      <c r="C191" s="85" t="s">
        <v>70</v>
      </c>
      <c r="D191" s="93">
        <v>172</v>
      </c>
      <c r="E191" s="121">
        <v>39521</v>
      </c>
      <c r="F191" s="121">
        <v>18266</v>
      </c>
      <c r="G191" s="413" t="s">
        <v>529</v>
      </c>
      <c r="H191" s="121">
        <v>21255</v>
      </c>
      <c r="I191" s="392">
        <v>0</v>
      </c>
      <c r="J191" s="392">
        <v>0</v>
      </c>
      <c r="K191" s="392">
        <v>0</v>
      </c>
      <c r="L191" s="121">
        <v>21255</v>
      </c>
      <c r="M191" s="450" t="s">
        <v>529</v>
      </c>
    </row>
    <row r="192" spans="1:13" ht="15.5" outlineLevel="2" x14ac:dyDescent="0.35">
      <c r="A192" s="93" t="s">
        <v>140</v>
      </c>
      <c r="B192" s="86" t="s">
        <v>420</v>
      </c>
      <c r="C192" s="85" t="s">
        <v>71</v>
      </c>
      <c r="D192" s="93">
        <v>278</v>
      </c>
      <c r="E192" s="121">
        <v>68418</v>
      </c>
      <c r="F192" s="121">
        <v>5575</v>
      </c>
      <c r="G192" s="413" t="s">
        <v>529</v>
      </c>
      <c r="H192" s="121">
        <v>62843</v>
      </c>
      <c r="I192" s="392">
        <v>0</v>
      </c>
      <c r="J192" s="392">
        <v>0</v>
      </c>
      <c r="K192" s="392">
        <v>0</v>
      </c>
      <c r="L192" s="121">
        <v>62843</v>
      </c>
      <c r="M192" s="450" t="s">
        <v>529</v>
      </c>
    </row>
    <row r="193" spans="1:13" ht="15.5" outlineLevel="2" x14ac:dyDescent="0.35">
      <c r="A193" s="93" t="s">
        <v>140</v>
      </c>
      <c r="B193" s="86" t="s">
        <v>259</v>
      </c>
      <c r="C193" s="85" t="s">
        <v>260</v>
      </c>
      <c r="D193" s="93">
        <v>337</v>
      </c>
      <c r="E193" s="121">
        <v>56740</v>
      </c>
      <c r="F193" s="121">
        <v>55085</v>
      </c>
      <c r="G193" s="413" t="s">
        <v>529</v>
      </c>
      <c r="H193" s="121">
        <v>1655</v>
      </c>
      <c r="I193" s="392">
        <v>0</v>
      </c>
      <c r="J193" s="392">
        <v>0</v>
      </c>
      <c r="K193" s="392">
        <v>0</v>
      </c>
      <c r="L193" s="121">
        <v>1655</v>
      </c>
      <c r="M193" s="450" t="s">
        <v>529</v>
      </c>
    </row>
    <row r="194" spans="1:13" ht="31" outlineLevel="2" x14ac:dyDescent="0.35">
      <c r="A194" s="93" t="s">
        <v>140</v>
      </c>
      <c r="B194" s="86" t="s">
        <v>72</v>
      </c>
      <c r="C194" s="85" t="s">
        <v>73</v>
      </c>
      <c r="D194" s="93">
        <v>11</v>
      </c>
      <c r="E194" s="121">
        <v>2003690</v>
      </c>
      <c r="F194" s="121">
        <v>1183130</v>
      </c>
      <c r="G194" s="413" t="s">
        <v>529</v>
      </c>
      <c r="H194" s="121">
        <v>820560</v>
      </c>
      <c r="I194" s="392">
        <v>0</v>
      </c>
      <c r="J194" s="392">
        <v>0</v>
      </c>
      <c r="K194" s="392">
        <v>0</v>
      </c>
      <c r="L194" s="121">
        <v>820560</v>
      </c>
      <c r="M194" s="450" t="s">
        <v>529</v>
      </c>
    </row>
    <row r="195" spans="1:13" ht="31" outlineLevel="2" x14ac:dyDescent="0.35">
      <c r="A195" s="93" t="s">
        <v>140</v>
      </c>
      <c r="B195" s="86" t="s">
        <v>74</v>
      </c>
      <c r="C195" s="85" t="s">
        <v>75</v>
      </c>
      <c r="D195" s="93">
        <v>313</v>
      </c>
      <c r="E195" s="121">
        <v>257452</v>
      </c>
      <c r="F195" s="121">
        <v>89237</v>
      </c>
      <c r="G195" s="413" t="s">
        <v>529</v>
      </c>
      <c r="H195" s="121">
        <v>168215</v>
      </c>
      <c r="I195" s="392">
        <v>0</v>
      </c>
      <c r="J195" s="392">
        <v>0</v>
      </c>
      <c r="K195" s="392">
        <v>0</v>
      </c>
      <c r="L195" s="121">
        <v>168215</v>
      </c>
      <c r="M195" s="450" t="s">
        <v>529</v>
      </c>
    </row>
    <row r="196" spans="1:13" ht="38.5" customHeight="1" outlineLevel="2" x14ac:dyDescent="0.35">
      <c r="A196" s="93" t="s">
        <v>140</v>
      </c>
      <c r="B196" s="86" t="s">
        <v>76</v>
      </c>
      <c r="C196" s="85" t="s">
        <v>77</v>
      </c>
      <c r="D196" s="93">
        <v>330</v>
      </c>
      <c r="E196" s="121">
        <v>223094</v>
      </c>
      <c r="F196" s="121">
        <v>90234</v>
      </c>
      <c r="G196" s="413" t="s">
        <v>529</v>
      </c>
      <c r="H196" s="121">
        <v>132860</v>
      </c>
      <c r="I196" s="392">
        <v>0</v>
      </c>
      <c r="J196" s="392">
        <v>0</v>
      </c>
      <c r="K196" s="392">
        <v>0</v>
      </c>
      <c r="L196" s="121">
        <v>132860</v>
      </c>
      <c r="M196" s="450" t="s">
        <v>529</v>
      </c>
    </row>
    <row r="197" spans="1:13" ht="52.5" customHeight="1" outlineLevel="2" x14ac:dyDescent="0.35">
      <c r="A197" s="93" t="s">
        <v>140</v>
      </c>
      <c r="B197" s="86" t="s">
        <v>78</v>
      </c>
      <c r="C197" s="85" t="s">
        <v>79</v>
      </c>
      <c r="D197" s="93">
        <v>272</v>
      </c>
      <c r="E197" s="121">
        <v>314951</v>
      </c>
      <c r="F197" s="121">
        <v>107194</v>
      </c>
      <c r="G197" s="413" t="s">
        <v>529</v>
      </c>
      <c r="H197" s="121">
        <v>207757</v>
      </c>
      <c r="I197" s="392">
        <v>0</v>
      </c>
      <c r="J197" s="392">
        <v>0</v>
      </c>
      <c r="K197" s="392">
        <v>0</v>
      </c>
      <c r="L197" s="121">
        <v>207757</v>
      </c>
      <c r="M197" s="450" t="s">
        <v>529</v>
      </c>
    </row>
    <row r="198" spans="1:13" ht="46" customHeight="1" outlineLevel="2" x14ac:dyDescent="0.35">
      <c r="A198" s="93" t="s">
        <v>140</v>
      </c>
      <c r="B198" s="86" t="s">
        <v>80</v>
      </c>
      <c r="C198" s="85" t="s">
        <v>81</v>
      </c>
      <c r="D198" s="93">
        <v>276</v>
      </c>
      <c r="E198" s="121">
        <v>98097</v>
      </c>
      <c r="F198" s="121">
        <v>5803</v>
      </c>
      <c r="G198" s="413" t="s">
        <v>529</v>
      </c>
      <c r="H198" s="121">
        <v>92294</v>
      </c>
      <c r="I198" s="392">
        <v>0</v>
      </c>
      <c r="J198" s="392">
        <v>0</v>
      </c>
      <c r="K198" s="392">
        <v>0</v>
      </c>
      <c r="L198" s="121">
        <v>92294</v>
      </c>
      <c r="M198" s="450" t="s">
        <v>529</v>
      </c>
    </row>
    <row r="199" spans="1:13" ht="80.5" customHeight="1" outlineLevel="2" x14ac:dyDescent="0.35">
      <c r="A199" s="93" t="s">
        <v>140</v>
      </c>
      <c r="B199" s="86" t="s">
        <v>82</v>
      </c>
      <c r="C199" s="85" t="s">
        <v>83</v>
      </c>
      <c r="D199" s="93">
        <v>292</v>
      </c>
      <c r="E199" s="121">
        <v>605343</v>
      </c>
      <c r="F199" s="121">
        <v>154725</v>
      </c>
      <c r="G199" s="413" t="s">
        <v>529</v>
      </c>
      <c r="H199" s="121">
        <v>450618</v>
      </c>
      <c r="I199" s="392">
        <v>0</v>
      </c>
      <c r="J199" s="392">
        <v>0</v>
      </c>
      <c r="K199" s="392">
        <v>0</v>
      </c>
      <c r="L199" s="121">
        <v>450618</v>
      </c>
      <c r="M199" s="450" t="s">
        <v>529</v>
      </c>
    </row>
    <row r="200" spans="1:13" ht="30" customHeight="1" outlineLevel="2" x14ac:dyDescent="0.35">
      <c r="A200" s="93" t="s">
        <v>140</v>
      </c>
      <c r="B200" s="86" t="s">
        <v>84</v>
      </c>
      <c r="C200" s="85" t="s">
        <v>85</v>
      </c>
      <c r="D200" s="93">
        <v>209</v>
      </c>
      <c r="E200" s="121">
        <v>100210</v>
      </c>
      <c r="F200" s="121">
        <v>1000</v>
      </c>
      <c r="G200" s="413" t="s">
        <v>529</v>
      </c>
      <c r="H200" s="121">
        <v>99210</v>
      </c>
      <c r="I200" s="392">
        <v>0</v>
      </c>
      <c r="J200" s="392">
        <v>0</v>
      </c>
      <c r="K200" s="392">
        <v>0</v>
      </c>
      <c r="L200" s="121">
        <v>99210</v>
      </c>
      <c r="M200" s="450" t="s">
        <v>529</v>
      </c>
    </row>
    <row r="201" spans="1:13" ht="15" customHeight="1" outlineLevel="2" x14ac:dyDescent="0.35">
      <c r="A201" s="93" t="s">
        <v>140</v>
      </c>
      <c r="B201" s="86" t="s">
        <v>86</v>
      </c>
      <c r="C201" s="85" t="s">
        <v>87</v>
      </c>
      <c r="D201" s="93">
        <v>183</v>
      </c>
      <c r="E201" s="121">
        <v>24654</v>
      </c>
      <c r="F201" s="121">
        <v>6249</v>
      </c>
      <c r="G201" s="413" t="s">
        <v>529</v>
      </c>
      <c r="H201" s="121">
        <v>18405</v>
      </c>
      <c r="I201" s="392">
        <v>0</v>
      </c>
      <c r="J201" s="392">
        <v>0</v>
      </c>
      <c r="K201" s="392">
        <v>0</v>
      </c>
      <c r="L201" s="121">
        <v>18405</v>
      </c>
      <c r="M201" s="450" t="s">
        <v>529</v>
      </c>
    </row>
    <row r="202" spans="1:13" ht="15" customHeight="1" outlineLevel="2" x14ac:dyDescent="0.35">
      <c r="A202" s="93" t="s">
        <v>140</v>
      </c>
      <c r="B202" s="86" t="s">
        <v>88</v>
      </c>
      <c r="C202" s="85" t="s">
        <v>89</v>
      </c>
      <c r="D202" s="93">
        <v>251</v>
      </c>
      <c r="E202" s="121">
        <v>33464</v>
      </c>
      <c r="F202" s="121">
        <v>8855</v>
      </c>
      <c r="G202" s="413" t="s">
        <v>529</v>
      </c>
      <c r="H202" s="121">
        <v>24609</v>
      </c>
      <c r="I202" s="392">
        <v>0</v>
      </c>
      <c r="J202" s="392">
        <v>0</v>
      </c>
      <c r="K202" s="392">
        <v>0</v>
      </c>
      <c r="L202" s="121">
        <v>24609</v>
      </c>
      <c r="M202" s="450" t="s">
        <v>529</v>
      </c>
    </row>
    <row r="203" spans="1:13" ht="29.5" customHeight="1" outlineLevel="2" x14ac:dyDescent="0.35">
      <c r="A203" s="93" t="s">
        <v>140</v>
      </c>
      <c r="B203" s="86" t="s">
        <v>248</v>
      </c>
      <c r="C203" s="85" t="s">
        <v>77</v>
      </c>
      <c r="D203" s="93">
        <v>91</v>
      </c>
      <c r="E203" s="121">
        <v>2373</v>
      </c>
      <c r="F203" s="121">
        <v>1275</v>
      </c>
      <c r="G203" s="413" t="s">
        <v>529</v>
      </c>
      <c r="H203" s="121">
        <v>1098</v>
      </c>
      <c r="I203" s="392">
        <v>0</v>
      </c>
      <c r="J203" s="392">
        <v>0</v>
      </c>
      <c r="K203" s="392">
        <v>0</v>
      </c>
      <c r="L203" s="121">
        <v>1098</v>
      </c>
      <c r="M203" s="450" t="s">
        <v>529</v>
      </c>
    </row>
    <row r="204" spans="1:13" ht="15.5" outlineLevel="2" x14ac:dyDescent="0.35">
      <c r="A204" s="93" t="s">
        <v>140</v>
      </c>
      <c r="B204" s="86" t="s">
        <v>90</v>
      </c>
      <c r="C204" s="85" t="s">
        <v>91</v>
      </c>
      <c r="D204" s="93">
        <v>192</v>
      </c>
      <c r="E204" s="121">
        <v>38653</v>
      </c>
      <c r="F204" s="121">
        <v>12345</v>
      </c>
      <c r="G204" s="413" t="s">
        <v>529</v>
      </c>
      <c r="H204" s="121">
        <v>26308</v>
      </c>
      <c r="I204" s="392">
        <v>0</v>
      </c>
      <c r="J204" s="392">
        <v>0</v>
      </c>
      <c r="K204" s="392">
        <v>0</v>
      </c>
      <c r="L204" s="121">
        <v>26308</v>
      </c>
      <c r="M204" s="450" t="s">
        <v>529</v>
      </c>
    </row>
    <row r="205" spans="1:13" ht="34" customHeight="1" outlineLevel="2" x14ac:dyDescent="0.35">
      <c r="A205" s="93" t="s">
        <v>140</v>
      </c>
      <c r="B205" s="86" t="s">
        <v>92</v>
      </c>
      <c r="C205" s="85" t="s">
        <v>93</v>
      </c>
      <c r="D205" s="93">
        <v>297</v>
      </c>
      <c r="E205" s="121">
        <v>18978442</v>
      </c>
      <c r="F205" s="121">
        <v>4405087</v>
      </c>
      <c r="G205" s="413" t="s">
        <v>529</v>
      </c>
      <c r="H205" s="121">
        <v>14573355</v>
      </c>
      <c r="I205" s="392">
        <v>0</v>
      </c>
      <c r="J205" s="392">
        <v>0</v>
      </c>
      <c r="K205" s="392">
        <v>0</v>
      </c>
      <c r="L205" s="121">
        <v>14573355</v>
      </c>
      <c r="M205" s="450" t="s">
        <v>529</v>
      </c>
    </row>
    <row r="206" spans="1:13" ht="15" customHeight="1" outlineLevel="2" x14ac:dyDescent="0.35">
      <c r="A206" s="93" t="s">
        <v>140</v>
      </c>
      <c r="B206" s="86" t="s">
        <v>94</v>
      </c>
      <c r="C206" s="85" t="s">
        <v>95</v>
      </c>
      <c r="D206" s="93">
        <v>166</v>
      </c>
      <c r="E206" s="121">
        <v>665217</v>
      </c>
      <c r="F206" s="121">
        <v>215541</v>
      </c>
      <c r="G206" s="413" t="s">
        <v>529</v>
      </c>
      <c r="H206" s="121">
        <v>449676</v>
      </c>
      <c r="I206" s="392">
        <v>0</v>
      </c>
      <c r="J206" s="392">
        <v>0</v>
      </c>
      <c r="K206" s="392">
        <v>0</v>
      </c>
      <c r="L206" s="121">
        <v>449676</v>
      </c>
      <c r="M206" s="450" t="s">
        <v>529</v>
      </c>
    </row>
    <row r="207" spans="1:13" ht="15" customHeight="1" outlineLevel="2" x14ac:dyDescent="0.35">
      <c r="A207" s="93" t="s">
        <v>140</v>
      </c>
      <c r="B207" s="86" t="s">
        <v>244</v>
      </c>
      <c r="C207" s="85" t="s">
        <v>245</v>
      </c>
      <c r="D207" s="93">
        <v>268</v>
      </c>
      <c r="E207" s="121">
        <v>564080</v>
      </c>
      <c r="F207" s="121">
        <v>74880</v>
      </c>
      <c r="G207" s="413" t="s">
        <v>529</v>
      </c>
      <c r="H207" s="121">
        <v>489200</v>
      </c>
      <c r="I207" s="392">
        <v>0</v>
      </c>
      <c r="J207" s="392">
        <v>0</v>
      </c>
      <c r="K207" s="392">
        <v>0</v>
      </c>
      <c r="L207" s="121">
        <v>489200</v>
      </c>
      <c r="M207" s="450" t="s">
        <v>529</v>
      </c>
    </row>
    <row r="208" spans="1:13" ht="15" customHeight="1" outlineLevel="2" x14ac:dyDescent="0.35">
      <c r="A208" s="93" t="s">
        <v>140</v>
      </c>
      <c r="B208" s="86" t="s">
        <v>96</v>
      </c>
      <c r="C208" s="85" t="s">
        <v>97</v>
      </c>
      <c r="D208" s="93">
        <v>32</v>
      </c>
      <c r="E208" s="121">
        <v>266637</v>
      </c>
      <c r="F208" s="121">
        <v>137331</v>
      </c>
      <c r="G208" s="413" t="s">
        <v>529</v>
      </c>
      <c r="H208" s="121">
        <v>129306</v>
      </c>
      <c r="I208" s="392">
        <v>0</v>
      </c>
      <c r="J208" s="392">
        <v>0</v>
      </c>
      <c r="K208" s="392">
        <v>0</v>
      </c>
      <c r="L208" s="121">
        <v>129306</v>
      </c>
      <c r="M208" s="450" t="s">
        <v>529</v>
      </c>
    </row>
    <row r="209" spans="1:13" ht="31.5" customHeight="1" outlineLevel="2" x14ac:dyDescent="0.35">
      <c r="A209" s="93" t="s">
        <v>140</v>
      </c>
      <c r="B209" s="86" t="s">
        <v>98</v>
      </c>
      <c r="C209" s="85" t="s">
        <v>99</v>
      </c>
      <c r="D209" s="93">
        <v>368</v>
      </c>
      <c r="E209" s="121">
        <v>243333</v>
      </c>
      <c r="F209" s="121">
        <v>139031</v>
      </c>
      <c r="G209" s="413" t="s">
        <v>529</v>
      </c>
      <c r="H209" s="121">
        <v>104302</v>
      </c>
      <c r="I209" s="392">
        <v>0</v>
      </c>
      <c r="J209" s="392">
        <v>0</v>
      </c>
      <c r="K209" s="392">
        <v>0</v>
      </c>
      <c r="L209" s="121">
        <v>104302</v>
      </c>
      <c r="M209" s="450" t="s">
        <v>529</v>
      </c>
    </row>
    <row r="210" spans="1:13" ht="15" customHeight="1" outlineLevel="2" x14ac:dyDescent="0.35">
      <c r="A210" s="93" t="s">
        <v>140</v>
      </c>
      <c r="B210" s="86" t="s">
        <v>419</v>
      </c>
      <c r="C210" s="85" t="s">
        <v>100</v>
      </c>
      <c r="D210" s="93">
        <v>357</v>
      </c>
      <c r="E210" s="121">
        <v>1204591</v>
      </c>
      <c r="F210" s="121">
        <v>971288</v>
      </c>
      <c r="G210" s="413" t="s">
        <v>529</v>
      </c>
      <c r="H210" s="121">
        <v>233303</v>
      </c>
      <c r="I210" s="392">
        <v>0</v>
      </c>
      <c r="J210" s="392">
        <v>0</v>
      </c>
      <c r="K210" s="392">
        <v>0</v>
      </c>
      <c r="L210" s="121">
        <v>233303</v>
      </c>
      <c r="M210" s="450" t="s">
        <v>529</v>
      </c>
    </row>
    <row r="211" spans="1:13" ht="15" customHeight="1" outlineLevel="2" x14ac:dyDescent="0.35">
      <c r="A211" s="93" t="s">
        <v>140</v>
      </c>
      <c r="B211" s="86" t="s">
        <v>249</v>
      </c>
      <c r="C211" s="85" t="s">
        <v>250</v>
      </c>
      <c r="D211" s="93">
        <v>148</v>
      </c>
      <c r="E211" s="121">
        <v>5963</v>
      </c>
      <c r="F211" s="121">
        <v>2158</v>
      </c>
      <c r="G211" s="413" t="s">
        <v>529</v>
      </c>
      <c r="H211" s="121">
        <v>3805</v>
      </c>
      <c r="I211" s="392">
        <v>0</v>
      </c>
      <c r="J211" s="392">
        <v>0</v>
      </c>
      <c r="K211" s="392">
        <v>0</v>
      </c>
      <c r="L211" s="121">
        <v>3805</v>
      </c>
      <c r="M211" s="450" t="s">
        <v>529</v>
      </c>
    </row>
    <row r="212" spans="1:13" ht="15.5" outlineLevel="2" x14ac:dyDescent="0.35">
      <c r="A212" s="93" t="s">
        <v>140</v>
      </c>
      <c r="B212" s="86" t="s">
        <v>101</v>
      </c>
      <c r="C212" s="85" t="s">
        <v>102</v>
      </c>
      <c r="D212" s="93">
        <v>153</v>
      </c>
      <c r="E212" s="121">
        <v>140532</v>
      </c>
      <c r="F212" s="121">
        <v>62155</v>
      </c>
      <c r="G212" s="413" t="s">
        <v>529</v>
      </c>
      <c r="H212" s="121">
        <v>78377</v>
      </c>
      <c r="I212" s="392">
        <v>0</v>
      </c>
      <c r="J212" s="392">
        <v>0</v>
      </c>
      <c r="K212" s="392">
        <v>0</v>
      </c>
      <c r="L212" s="121">
        <v>78377</v>
      </c>
      <c r="M212" s="450" t="s">
        <v>529</v>
      </c>
    </row>
    <row r="213" spans="1:13" ht="15" customHeight="1" outlineLevel="2" x14ac:dyDescent="0.35">
      <c r="A213" s="93" t="s">
        <v>140</v>
      </c>
      <c r="B213" s="86" t="s">
        <v>246</v>
      </c>
      <c r="C213" s="85" t="s">
        <v>247</v>
      </c>
      <c r="D213" s="93">
        <v>155</v>
      </c>
      <c r="E213" s="121">
        <v>247195</v>
      </c>
      <c r="F213" s="121">
        <v>2026</v>
      </c>
      <c r="G213" s="413" t="s">
        <v>529</v>
      </c>
      <c r="H213" s="121">
        <v>245169</v>
      </c>
      <c r="I213" s="392">
        <v>0</v>
      </c>
      <c r="J213" s="392">
        <v>0</v>
      </c>
      <c r="K213" s="392">
        <v>0</v>
      </c>
      <c r="L213" s="121">
        <v>245169</v>
      </c>
      <c r="M213" s="450" t="s">
        <v>529</v>
      </c>
    </row>
    <row r="214" spans="1:13" ht="15" customHeight="1" outlineLevel="2" x14ac:dyDescent="0.35">
      <c r="A214" s="93" t="s">
        <v>140</v>
      </c>
      <c r="B214" s="86" t="s">
        <v>103</v>
      </c>
      <c r="C214" s="85" t="s">
        <v>93</v>
      </c>
      <c r="D214" s="93">
        <v>48</v>
      </c>
      <c r="E214" s="121">
        <v>1846288</v>
      </c>
      <c r="F214" s="121">
        <v>1214783</v>
      </c>
      <c r="G214" s="413" t="s">
        <v>529</v>
      </c>
      <c r="H214" s="121">
        <v>631505</v>
      </c>
      <c r="I214" s="392">
        <v>0</v>
      </c>
      <c r="J214" s="392">
        <v>0</v>
      </c>
      <c r="K214" s="392">
        <v>0</v>
      </c>
      <c r="L214" s="121">
        <v>631505</v>
      </c>
      <c r="M214" s="450" t="s">
        <v>529</v>
      </c>
    </row>
    <row r="215" spans="1:13" ht="15" customHeight="1" outlineLevel="2" x14ac:dyDescent="0.35">
      <c r="A215" s="93" t="s">
        <v>140</v>
      </c>
      <c r="B215" s="86" t="s">
        <v>104</v>
      </c>
      <c r="C215" s="85" t="s">
        <v>105</v>
      </c>
      <c r="D215" s="93">
        <v>350</v>
      </c>
      <c r="E215" s="121">
        <v>139137</v>
      </c>
      <c r="F215" s="121">
        <v>54044</v>
      </c>
      <c r="G215" s="413" t="s">
        <v>529</v>
      </c>
      <c r="H215" s="121">
        <v>85093</v>
      </c>
      <c r="I215" s="392">
        <v>0</v>
      </c>
      <c r="J215" s="392">
        <v>0</v>
      </c>
      <c r="K215" s="392">
        <v>0</v>
      </c>
      <c r="L215" s="121">
        <v>85093</v>
      </c>
      <c r="M215" s="450" t="s">
        <v>529</v>
      </c>
    </row>
    <row r="216" spans="1:13" ht="15" customHeight="1" outlineLevel="2" x14ac:dyDescent="0.35">
      <c r="A216" s="93" t="s">
        <v>140</v>
      </c>
      <c r="B216" s="86" t="s">
        <v>106</v>
      </c>
      <c r="C216" s="85" t="s">
        <v>107</v>
      </c>
      <c r="D216" s="93">
        <v>173</v>
      </c>
      <c r="E216" s="121">
        <v>76582</v>
      </c>
      <c r="F216" s="121">
        <v>41508</v>
      </c>
      <c r="G216" s="413" t="s">
        <v>529</v>
      </c>
      <c r="H216" s="121">
        <v>35074</v>
      </c>
      <c r="I216" s="392">
        <v>0</v>
      </c>
      <c r="J216" s="392">
        <v>0</v>
      </c>
      <c r="K216" s="392">
        <v>0</v>
      </c>
      <c r="L216" s="121">
        <v>35074</v>
      </c>
      <c r="M216" s="450" t="s">
        <v>529</v>
      </c>
    </row>
    <row r="217" spans="1:13" ht="30" customHeight="1" outlineLevel="2" x14ac:dyDescent="0.35">
      <c r="A217" s="93" t="s">
        <v>140</v>
      </c>
      <c r="B217" s="86" t="s">
        <v>108</v>
      </c>
      <c r="C217" s="85" t="s">
        <v>109</v>
      </c>
      <c r="D217" s="93">
        <v>261</v>
      </c>
      <c r="E217" s="121">
        <v>44962</v>
      </c>
      <c r="F217" s="121">
        <v>22564</v>
      </c>
      <c r="G217" s="413" t="s">
        <v>529</v>
      </c>
      <c r="H217" s="121">
        <v>22398</v>
      </c>
      <c r="I217" s="392">
        <v>0</v>
      </c>
      <c r="J217" s="392">
        <v>0</v>
      </c>
      <c r="K217" s="392">
        <v>0</v>
      </c>
      <c r="L217" s="121">
        <v>22398</v>
      </c>
      <c r="M217" s="450" t="s">
        <v>529</v>
      </c>
    </row>
    <row r="218" spans="1:13" ht="15" customHeight="1" outlineLevel="2" x14ac:dyDescent="0.35">
      <c r="A218" s="93" t="s">
        <v>140</v>
      </c>
      <c r="B218" s="86" t="s">
        <v>110</v>
      </c>
      <c r="C218" s="85" t="s">
        <v>111</v>
      </c>
      <c r="D218" s="93">
        <v>244</v>
      </c>
      <c r="E218" s="121">
        <v>133508</v>
      </c>
      <c r="F218" s="121">
        <v>74816</v>
      </c>
      <c r="G218" s="413" t="s">
        <v>529</v>
      </c>
      <c r="H218" s="121">
        <v>58692</v>
      </c>
      <c r="I218" s="392">
        <v>0</v>
      </c>
      <c r="J218" s="392">
        <v>0</v>
      </c>
      <c r="K218" s="392">
        <v>0</v>
      </c>
      <c r="L218" s="121">
        <v>58692</v>
      </c>
      <c r="M218" s="450" t="s">
        <v>529</v>
      </c>
    </row>
    <row r="219" spans="1:13" ht="15" customHeight="1" outlineLevel="2" x14ac:dyDescent="0.35">
      <c r="A219" s="93" t="s">
        <v>140</v>
      </c>
      <c r="B219" s="86" t="s">
        <v>251</v>
      </c>
      <c r="C219" s="85" t="s">
        <v>93</v>
      </c>
      <c r="D219" s="93">
        <v>280</v>
      </c>
      <c r="E219" s="121">
        <v>7615</v>
      </c>
      <c r="F219" s="121">
        <v>1000</v>
      </c>
      <c r="G219" s="413" t="s">
        <v>529</v>
      </c>
      <c r="H219" s="121">
        <v>6615</v>
      </c>
      <c r="I219" s="392">
        <v>0</v>
      </c>
      <c r="J219" s="392">
        <v>0</v>
      </c>
      <c r="K219" s="392">
        <v>0</v>
      </c>
      <c r="L219" s="121">
        <v>6615</v>
      </c>
      <c r="M219" s="450" t="s">
        <v>529</v>
      </c>
    </row>
    <row r="220" spans="1:13" ht="15" customHeight="1" outlineLevel="2" x14ac:dyDescent="0.35">
      <c r="A220" s="93" t="s">
        <v>140</v>
      </c>
      <c r="B220" s="86" t="s">
        <v>252</v>
      </c>
      <c r="C220" s="85" t="s">
        <v>253</v>
      </c>
      <c r="D220" s="93">
        <v>362</v>
      </c>
      <c r="E220" s="121">
        <v>55547</v>
      </c>
      <c r="F220" s="121">
        <v>49268</v>
      </c>
      <c r="G220" s="413" t="s">
        <v>529</v>
      </c>
      <c r="H220" s="121">
        <v>6279</v>
      </c>
      <c r="I220" s="392">
        <v>0</v>
      </c>
      <c r="J220" s="392">
        <v>0</v>
      </c>
      <c r="K220" s="392">
        <v>0</v>
      </c>
      <c r="L220" s="121">
        <v>6279</v>
      </c>
      <c r="M220" s="450" t="s">
        <v>529</v>
      </c>
    </row>
    <row r="221" spans="1:13" ht="15" customHeight="1" outlineLevel="2" x14ac:dyDescent="0.35">
      <c r="A221" s="93" t="s">
        <v>140</v>
      </c>
      <c r="B221" s="86" t="s">
        <v>112</v>
      </c>
      <c r="C221" s="85" t="s">
        <v>113</v>
      </c>
      <c r="D221" s="93">
        <v>171</v>
      </c>
      <c r="E221" s="121">
        <v>160850</v>
      </c>
      <c r="F221" s="121">
        <v>55602</v>
      </c>
      <c r="G221" s="413" t="s">
        <v>529</v>
      </c>
      <c r="H221" s="121">
        <v>105248</v>
      </c>
      <c r="I221" s="392">
        <v>0</v>
      </c>
      <c r="J221" s="392">
        <v>0</v>
      </c>
      <c r="K221" s="392">
        <v>0</v>
      </c>
      <c r="L221" s="121">
        <v>105248</v>
      </c>
      <c r="M221" s="450" t="s">
        <v>529</v>
      </c>
    </row>
    <row r="222" spans="1:13" ht="39.5" customHeight="1" outlineLevel="2" x14ac:dyDescent="0.35">
      <c r="A222" s="93" t="s">
        <v>140</v>
      </c>
      <c r="B222" s="86" t="s">
        <v>114</v>
      </c>
      <c r="C222" s="85" t="s">
        <v>111</v>
      </c>
      <c r="D222" s="93">
        <v>258</v>
      </c>
      <c r="E222" s="121">
        <v>478898</v>
      </c>
      <c r="F222" s="121">
        <v>117893</v>
      </c>
      <c r="G222" s="413" t="s">
        <v>529</v>
      </c>
      <c r="H222" s="121">
        <v>361005</v>
      </c>
      <c r="I222" s="392">
        <v>0</v>
      </c>
      <c r="J222" s="392">
        <v>0</v>
      </c>
      <c r="K222" s="392">
        <v>0</v>
      </c>
      <c r="L222" s="121">
        <v>361005</v>
      </c>
      <c r="M222" s="450" t="s">
        <v>529</v>
      </c>
    </row>
    <row r="223" spans="1:13" ht="15.5" outlineLevel="1" x14ac:dyDescent="0.35">
      <c r="A223" s="93" t="s">
        <v>140</v>
      </c>
      <c r="B223" s="86" t="s">
        <v>254</v>
      </c>
      <c r="C223" s="85" t="s">
        <v>255</v>
      </c>
      <c r="D223" s="93">
        <v>228</v>
      </c>
      <c r="E223" s="121">
        <v>51918</v>
      </c>
      <c r="F223" s="121">
        <v>1000</v>
      </c>
      <c r="G223" s="413" t="s">
        <v>529</v>
      </c>
      <c r="H223" s="121">
        <v>50918</v>
      </c>
      <c r="I223" s="392">
        <v>0</v>
      </c>
      <c r="J223" s="392">
        <v>0</v>
      </c>
      <c r="K223" s="392">
        <v>0</v>
      </c>
      <c r="L223" s="121">
        <v>50918</v>
      </c>
      <c r="M223" s="450" t="s">
        <v>529</v>
      </c>
    </row>
    <row r="224" spans="1:13" ht="15" customHeight="1" outlineLevel="2" x14ac:dyDescent="0.35">
      <c r="A224" s="93" t="s">
        <v>140</v>
      </c>
      <c r="B224" s="86" t="s">
        <v>256</v>
      </c>
      <c r="C224" s="85" t="s">
        <v>257</v>
      </c>
      <c r="D224" s="93">
        <v>308</v>
      </c>
      <c r="E224" s="121">
        <v>1359</v>
      </c>
      <c r="F224" s="121">
        <v>1000</v>
      </c>
      <c r="G224" s="413" t="s">
        <v>529</v>
      </c>
      <c r="H224" s="121">
        <v>359</v>
      </c>
      <c r="I224" s="392">
        <v>0</v>
      </c>
      <c r="J224" s="392">
        <v>0</v>
      </c>
      <c r="K224" s="392">
        <v>0</v>
      </c>
      <c r="L224" s="121">
        <v>359</v>
      </c>
      <c r="M224" s="450" t="s">
        <v>529</v>
      </c>
    </row>
    <row r="225" spans="1:13" ht="15.5" outlineLevel="2" x14ac:dyDescent="0.35">
      <c r="A225" s="93" t="s">
        <v>140</v>
      </c>
      <c r="B225" s="86" t="s">
        <v>115</v>
      </c>
      <c r="C225" s="85" t="s">
        <v>93</v>
      </c>
      <c r="D225" s="93">
        <v>260</v>
      </c>
      <c r="E225" s="121">
        <v>1234226</v>
      </c>
      <c r="F225" s="121">
        <v>664042</v>
      </c>
      <c r="G225" s="413" t="s">
        <v>529</v>
      </c>
      <c r="H225" s="121">
        <v>570184</v>
      </c>
      <c r="I225" s="392">
        <v>0</v>
      </c>
      <c r="J225" s="392">
        <v>0</v>
      </c>
      <c r="K225" s="392">
        <v>0</v>
      </c>
      <c r="L225" s="121">
        <v>570184</v>
      </c>
      <c r="M225" s="450" t="s">
        <v>529</v>
      </c>
    </row>
    <row r="226" spans="1:13" ht="15.5" outlineLevel="2" x14ac:dyDescent="0.35">
      <c r="A226" s="93" t="s">
        <v>140</v>
      </c>
      <c r="B226" s="86" t="s">
        <v>118</v>
      </c>
      <c r="C226" s="85" t="s">
        <v>119</v>
      </c>
      <c r="D226" s="93">
        <v>346</v>
      </c>
      <c r="E226" s="121">
        <v>55556</v>
      </c>
      <c r="F226" s="121">
        <v>27581</v>
      </c>
      <c r="G226" s="413" t="s">
        <v>529</v>
      </c>
      <c r="H226" s="121">
        <v>27975</v>
      </c>
      <c r="I226" s="392">
        <v>0</v>
      </c>
      <c r="J226" s="392">
        <v>0</v>
      </c>
      <c r="K226" s="392">
        <v>0</v>
      </c>
      <c r="L226" s="121">
        <v>27975</v>
      </c>
      <c r="M226" s="450" t="s">
        <v>529</v>
      </c>
    </row>
    <row r="227" spans="1:13" ht="15" customHeight="1" outlineLevel="2" x14ac:dyDescent="0.35">
      <c r="A227" s="93" t="s">
        <v>140</v>
      </c>
      <c r="B227" s="86" t="s">
        <v>120</v>
      </c>
      <c r="C227" s="85" t="s">
        <v>121</v>
      </c>
      <c r="D227" s="93">
        <v>351</v>
      </c>
      <c r="E227" s="121">
        <v>141465</v>
      </c>
      <c r="F227" s="121">
        <v>72454</v>
      </c>
      <c r="G227" s="413" t="s">
        <v>529</v>
      </c>
      <c r="H227" s="121">
        <v>69011</v>
      </c>
      <c r="I227" s="392">
        <v>0</v>
      </c>
      <c r="J227" s="392">
        <v>0</v>
      </c>
      <c r="K227" s="392">
        <v>0</v>
      </c>
      <c r="L227" s="121">
        <v>69011</v>
      </c>
      <c r="M227" s="450" t="s">
        <v>529</v>
      </c>
    </row>
    <row r="228" spans="1:13" ht="15.5" outlineLevel="2" x14ac:dyDescent="0.35">
      <c r="A228" s="137" t="s">
        <v>141</v>
      </c>
      <c r="B228" s="429" t="s">
        <v>529</v>
      </c>
      <c r="C228" s="430" t="s">
        <v>529</v>
      </c>
      <c r="D228" s="409" t="s">
        <v>529</v>
      </c>
      <c r="E228" s="138">
        <f>SUBTOTAL(109,school201314[Program
Costs])</f>
        <v>104033942</v>
      </c>
      <c r="F228" s="138">
        <f>SUBTOTAL(109,school201314[Less: Net Payments and Offsets 8])</f>
        <v>81562333</v>
      </c>
      <c r="G228" s="414" t="s">
        <v>552</v>
      </c>
      <c r="H228" s="138">
        <f>SUBTOTAL(109,school201314[Accounts Payable
Balance])</f>
        <v>22471609</v>
      </c>
      <c r="I228" s="456" t="s">
        <v>615</v>
      </c>
      <c r="J228" s="456" t="s">
        <v>615</v>
      </c>
      <c r="K228" s="456" t="s">
        <v>615</v>
      </c>
      <c r="L228" s="138">
        <f>SUBTOTAL(109,school201314[Net
Balance])</f>
        <v>22471609</v>
      </c>
      <c r="M228" s="414" t="s">
        <v>552</v>
      </c>
    </row>
    <row r="229" spans="1:13" ht="15.5" outlineLevel="2" x14ac:dyDescent="0.35">
      <c r="A229" s="386" t="s">
        <v>540</v>
      </c>
      <c r="B229" s="139"/>
      <c r="C229" s="139"/>
      <c r="D229" s="139"/>
      <c r="E229" s="140"/>
      <c r="F229" s="140"/>
      <c r="G229" s="140"/>
      <c r="H229" s="140"/>
      <c r="I229" s="140"/>
      <c r="J229" s="140"/>
      <c r="K229" s="140"/>
      <c r="L229" s="140"/>
      <c r="M229" s="476"/>
    </row>
    <row r="230" spans="1:13" ht="50" customHeight="1" outlineLevel="2" x14ac:dyDescent="0.35">
      <c r="A230" s="457" t="s">
        <v>11</v>
      </c>
      <c r="B230" s="300" t="s">
        <v>12</v>
      </c>
      <c r="C230" s="158" t="s">
        <v>0</v>
      </c>
      <c r="D230" s="300" t="s">
        <v>132</v>
      </c>
      <c r="E230" s="458" t="s">
        <v>125</v>
      </c>
      <c r="F230" s="423" t="s">
        <v>614</v>
      </c>
      <c r="G230" s="424" t="s">
        <v>531</v>
      </c>
      <c r="H230" s="422" t="s">
        <v>495</v>
      </c>
      <c r="I230" s="422" t="s">
        <v>496</v>
      </c>
      <c r="J230" s="458" t="s">
        <v>134</v>
      </c>
      <c r="K230" s="422" t="s">
        <v>497</v>
      </c>
      <c r="L230" s="458" t="s">
        <v>133</v>
      </c>
      <c r="M230" s="459" t="s">
        <v>532</v>
      </c>
    </row>
    <row r="231" spans="1:13" ht="15" customHeight="1" outlineLevel="2" x14ac:dyDescent="0.35">
      <c r="A231" s="93" t="s">
        <v>3</v>
      </c>
      <c r="B231" s="86" t="s">
        <v>61</v>
      </c>
      <c r="C231" s="85" t="s">
        <v>62</v>
      </c>
      <c r="D231" s="93">
        <v>305</v>
      </c>
      <c r="E231" s="121">
        <v>75875</v>
      </c>
      <c r="F231" s="121">
        <v>21976</v>
      </c>
      <c r="G231" s="413" t="s">
        <v>529</v>
      </c>
      <c r="H231" s="121">
        <v>53899</v>
      </c>
      <c r="I231" s="392">
        <v>0</v>
      </c>
      <c r="J231" s="392">
        <v>0</v>
      </c>
      <c r="K231" s="392">
        <v>0</v>
      </c>
      <c r="L231" s="121">
        <v>53899</v>
      </c>
      <c r="M231" s="450" t="s">
        <v>529</v>
      </c>
    </row>
    <row r="232" spans="1:13" ht="30.5" customHeight="1" outlineLevel="2" x14ac:dyDescent="0.35">
      <c r="A232" s="93" t="s">
        <v>3</v>
      </c>
      <c r="B232" s="86" t="s">
        <v>63</v>
      </c>
      <c r="C232" s="85" t="s">
        <v>64</v>
      </c>
      <c r="D232" s="93">
        <v>250</v>
      </c>
      <c r="E232" s="121">
        <v>140238</v>
      </c>
      <c r="F232" s="121">
        <v>56175</v>
      </c>
      <c r="G232" s="413" t="s">
        <v>529</v>
      </c>
      <c r="H232" s="121">
        <v>84063</v>
      </c>
      <c r="I232" s="392">
        <v>0</v>
      </c>
      <c r="J232" s="392">
        <v>0</v>
      </c>
      <c r="K232" s="392">
        <v>0</v>
      </c>
      <c r="L232" s="121">
        <v>84063</v>
      </c>
      <c r="M232" s="450" t="s">
        <v>529</v>
      </c>
    </row>
    <row r="233" spans="1:13" ht="31" customHeight="1" outlineLevel="2" x14ac:dyDescent="0.35">
      <c r="A233" s="93" t="s">
        <v>3</v>
      </c>
      <c r="B233" s="86" t="s">
        <v>265</v>
      </c>
      <c r="C233" s="85" t="s">
        <v>266</v>
      </c>
      <c r="D233" s="93">
        <v>349</v>
      </c>
      <c r="E233" s="121">
        <v>567515</v>
      </c>
      <c r="F233" s="121">
        <v>339292</v>
      </c>
      <c r="G233" s="413" t="s">
        <v>529</v>
      </c>
      <c r="H233" s="121">
        <v>228223</v>
      </c>
      <c r="I233" s="392">
        <v>0</v>
      </c>
      <c r="J233" s="392">
        <v>0</v>
      </c>
      <c r="K233" s="392">
        <v>0</v>
      </c>
      <c r="L233" s="121">
        <v>228223</v>
      </c>
      <c r="M233" s="450" t="s">
        <v>529</v>
      </c>
    </row>
    <row r="234" spans="1:13" ht="15.5" outlineLevel="2" x14ac:dyDescent="0.35">
      <c r="A234" s="93" t="s">
        <v>3</v>
      </c>
      <c r="B234" s="86" t="s">
        <v>258</v>
      </c>
      <c r="C234" s="85" t="s">
        <v>152</v>
      </c>
      <c r="D234" s="93">
        <v>354</v>
      </c>
      <c r="E234" s="121">
        <v>138826</v>
      </c>
      <c r="F234" s="121">
        <v>96195</v>
      </c>
      <c r="G234" s="413" t="s">
        <v>529</v>
      </c>
      <c r="H234" s="121">
        <v>42631</v>
      </c>
      <c r="I234" s="392">
        <v>0</v>
      </c>
      <c r="J234" s="392">
        <v>0</v>
      </c>
      <c r="K234" s="392">
        <v>0</v>
      </c>
      <c r="L234" s="121">
        <v>42631</v>
      </c>
      <c r="M234" s="450" t="s">
        <v>529</v>
      </c>
    </row>
    <row r="235" spans="1:13" ht="31.5" customHeight="1" outlineLevel="2" x14ac:dyDescent="0.35">
      <c r="A235" s="93" t="s">
        <v>3</v>
      </c>
      <c r="B235" s="86" t="s">
        <v>67</v>
      </c>
      <c r="C235" s="85" t="s">
        <v>68</v>
      </c>
      <c r="D235" s="93">
        <v>286</v>
      </c>
      <c r="E235" s="121">
        <v>3927</v>
      </c>
      <c r="F235" s="121">
        <v>2888</v>
      </c>
      <c r="G235" s="413" t="s">
        <v>529</v>
      </c>
      <c r="H235" s="121">
        <v>1039</v>
      </c>
      <c r="I235" s="392">
        <v>0</v>
      </c>
      <c r="J235" s="392">
        <v>0</v>
      </c>
      <c r="K235" s="392">
        <v>0</v>
      </c>
      <c r="L235" s="121">
        <v>1039</v>
      </c>
      <c r="M235" s="450" t="s">
        <v>529</v>
      </c>
    </row>
    <row r="236" spans="1:13" ht="30" customHeight="1" outlineLevel="2" x14ac:dyDescent="0.35">
      <c r="A236" s="93" t="s">
        <v>3</v>
      </c>
      <c r="B236" s="86" t="s">
        <v>69</v>
      </c>
      <c r="C236" s="85" t="s">
        <v>70</v>
      </c>
      <c r="D236" s="93">
        <v>172</v>
      </c>
      <c r="E236" s="121">
        <v>112635</v>
      </c>
      <c r="F236" s="121">
        <v>61328</v>
      </c>
      <c r="G236" s="413" t="s">
        <v>529</v>
      </c>
      <c r="H236" s="121">
        <v>51307</v>
      </c>
      <c r="I236" s="392">
        <v>0</v>
      </c>
      <c r="J236" s="392">
        <v>0</v>
      </c>
      <c r="K236" s="392">
        <v>0</v>
      </c>
      <c r="L236" s="121">
        <v>51307</v>
      </c>
      <c r="M236" s="450" t="s">
        <v>529</v>
      </c>
    </row>
    <row r="237" spans="1:13" ht="15.5" outlineLevel="2" x14ac:dyDescent="0.35">
      <c r="A237" s="93" t="s">
        <v>3</v>
      </c>
      <c r="B237" s="86" t="s">
        <v>420</v>
      </c>
      <c r="C237" s="85" t="s">
        <v>71</v>
      </c>
      <c r="D237" s="93">
        <v>278</v>
      </c>
      <c r="E237" s="121">
        <v>125147</v>
      </c>
      <c r="F237" s="121">
        <v>88618</v>
      </c>
      <c r="G237" s="413" t="s">
        <v>529</v>
      </c>
      <c r="H237" s="121">
        <v>36529</v>
      </c>
      <c r="I237" s="392">
        <v>0</v>
      </c>
      <c r="J237" s="392">
        <v>0</v>
      </c>
      <c r="K237" s="392">
        <v>0</v>
      </c>
      <c r="L237" s="121">
        <v>36529</v>
      </c>
      <c r="M237" s="450" t="s">
        <v>529</v>
      </c>
    </row>
    <row r="238" spans="1:13" ht="15.5" outlineLevel="2" x14ac:dyDescent="0.35">
      <c r="A238" s="93" t="s">
        <v>3</v>
      </c>
      <c r="B238" s="86" t="s">
        <v>259</v>
      </c>
      <c r="C238" s="85" t="s">
        <v>260</v>
      </c>
      <c r="D238" s="93">
        <v>337</v>
      </c>
      <c r="E238" s="121">
        <v>25128</v>
      </c>
      <c r="F238" s="121">
        <v>9606</v>
      </c>
      <c r="G238" s="413" t="s">
        <v>529</v>
      </c>
      <c r="H238" s="121">
        <v>15522</v>
      </c>
      <c r="I238" s="392">
        <v>0</v>
      </c>
      <c r="J238" s="392">
        <v>0</v>
      </c>
      <c r="K238" s="392">
        <v>0</v>
      </c>
      <c r="L238" s="121">
        <v>15522</v>
      </c>
      <c r="M238" s="450" t="s">
        <v>529</v>
      </c>
    </row>
    <row r="239" spans="1:13" ht="15.5" outlineLevel="2" x14ac:dyDescent="0.35">
      <c r="A239" s="93" t="s">
        <v>3</v>
      </c>
      <c r="B239" s="86" t="s">
        <v>242</v>
      </c>
      <c r="C239" s="85" t="s">
        <v>243</v>
      </c>
      <c r="D239" s="93">
        <v>309</v>
      </c>
      <c r="E239" s="121">
        <v>1813</v>
      </c>
      <c r="F239" s="121">
        <v>1000</v>
      </c>
      <c r="G239" s="413" t="s">
        <v>529</v>
      </c>
      <c r="H239" s="121">
        <v>813</v>
      </c>
      <c r="I239" s="392">
        <v>0</v>
      </c>
      <c r="J239" s="392">
        <v>0</v>
      </c>
      <c r="K239" s="392">
        <v>0</v>
      </c>
      <c r="L239" s="121">
        <v>813</v>
      </c>
      <c r="M239" s="450" t="s">
        <v>529</v>
      </c>
    </row>
    <row r="240" spans="1:13" ht="30" customHeight="1" outlineLevel="2" x14ac:dyDescent="0.35">
      <c r="A240" s="93" t="s">
        <v>3</v>
      </c>
      <c r="B240" s="86" t="s">
        <v>72</v>
      </c>
      <c r="C240" s="85" t="s">
        <v>73</v>
      </c>
      <c r="D240" s="93">
        <v>11</v>
      </c>
      <c r="E240" s="121">
        <v>3499394</v>
      </c>
      <c r="F240" s="121">
        <v>2246286</v>
      </c>
      <c r="G240" s="413" t="s">
        <v>529</v>
      </c>
      <c r="H240" s="121">
        <v>1253108</v>
      </c>
      <c r="I240" s="392">
        <v>0</v>
      </c>
      <c r="J240" s="392">
        <v>0</v>
      </c>
      <c r="K240" s="392">
        <v>0</v>
      </c>
      <c r="L240" s="121">
        <v>1253108</v>
      </c>
      <c r="M240" s="450" t="s">
        <v>529</v>
      </c>
    </row>
    <row r="241" spans="1:13" ht="15" customHeight="1" outlineLevel="2" x14ac:dyDescent="0.35">
      <c r="A241" s="93" t="s">
        <v>3</v>
      </c>
      <c r="B241" s="86" t="s">
        <v>74</v>
      </c>
      <c r="C241" s="85" t="s">
        <v>75</v>
      </c>
      <c r="D241" s="93">
        <v>313</v>
      </c>
      <c r="E241" s="121">
        <v>635945</v>
      </c>
      <c r="F241" s="121">
        <v>302976</v>
      </c>
      <c r="G241" s="413" t="s">
        <v>529</v>
      </c>
      <c r="H241" s="121">
        <v>332969</v>
      </c>
      <c r="I241" s="392">
        <v>0</v>
      </c>
      <c r="J241" s="392">
        <v>0</v>
      </c>
      <c r="K241" s="392">
        <v>0</v>
      </c>
      <c r="L241" s="121">
        <v>332969</v>
      </c>
      <c r="M241" s="450" t="s">
        <v>529</v>
      </c>
    </row>
    <row r="242" spans="1:13" ht="37" customHeight="1" outlineLevel="2" x14ac:dyDescent="0.35">
      <c r="A242" s="93" t="s">
        <v>3</v>
      </c>
      <c r="B242" s="86" t="s">
        <v>76</v>
      </c>
      <c r="C242" s="85" t="s">
        <v>77</v>
      </c>
      <c r="D242" s="93">
        <v>330</v>
      </c>
      <c r="E242" s="121">
        <v>796292</v>
      </c>
      <c r="F242" s="121">
        <v>385103</v>
      </c>
      <c r="G242" s="413" t="s">
        <v>529</v>
      </c>
      <c r="H242" s="121">
        <v>411189</v>
      </c>
      <c r="I242" s="392">
        <v>0</v>
      </c>
      <c r="J242" s="392">
        <v>0</v>
      </c>
      <c r="K242" s="392">
        <v>0</v>
      </c>
      <c r="L242" s="121">
        <v>411189</v>
      </c>
      <c r="M242" s="450" t="s">
        <v>529</v>
      </c>
    </row>
    <row r="243" spans="1:13" ht="49" customHeight="1" outlineLevel="2" x14ac:dyDescent="0.35">
      <c r="A243" s="93" t="s">
        <v>3</v>
      </c>
      <c r="B243" s="86" t="s">
        <v>78</v>
      </c>
      <c r="C243" s="85" t="s">
        <v>79</v>
      </c>
      <c r="D243" s="93">
        <v>272</v>
      </c>
      <c r="E243" s="121">
        <v>998437</v>
      </c>
      <c r="F243" s="121">
        <v>714840</v>
      </c>
      <c r="G243" s="413" t="s">
        <v>529</v>
      </c>
      <c r="H243" s="121">
        <v>283597</v>
      </c>
      <c r="I243" s="392">
        <v>0</v>
      </c>
      <c r="J243" s="392">
        <v>0</v>
      </c>
      <c r="K243" s="392">
        <v>0</v>
      </c>
      <c r="L243" s="121">
        <v>283597</v>
      </c>
      <c r="M243" s="450" t="s">
        <v>529</v>
      </c>
    </row>
    <row r="244" spans="1:13" ht="48.5" customHeight="1" outlineLevel="2" x14ac:dyDescent="0.35">
      <c r="A244" s="93" t="s">
        <v>3</v>
      </c>
      <c r="B244" s="86" t="s">
        <v>80</v>
      </c>
      <c r="C244" s="85" t="s">
        <v>81</v>
      </c>
      <c r="D244" s="93">
        <v>276</v>
      </c>
      <c r="E244" s="121">
        <v>107115</v>
      </c>
      <c r="F244" s="121">
        <v>46927</v>
      </c>
      <c r="G244" s="413" t="s">
        <v>529</v>
      </c>
      <c r="H244" s="121">
        <v>60188</v>
      </c>
      <c r="I244" s="392">
        <v>0</v>
      </c>
      <c r="J244" s="392">
        <v>0</v>
      </c>
      <c r="K244" s="392">
        <v>0</v>
      </c>
      <c r="L244" s="121">
        <v>60188</v>
      </c>
      <c r="M244" s="450" t="s">
        <v>529</v>
      </c>
    </row>
    <row r="245" spans="1:13" ht="81.5" customHeight="1" outlineLevel="2" x14ac:dyDescent="0.35">
      <c r="A245" s="93" t="s">
        <v>3</v>
      </c>
      <c r="B245" s="86" t="s">
        <v>82</v>
      </c>
      <c r="C245" s="85" t="s">
        <v>83</v>
      </c>
      <c r="D245" s="93">
        <v>292</v>
      </c>
      <c r="E245" s="121">
        <v>1238142</v>
      </c>
      <c r="F245" s="121">
        <v>557867</v>
      </c>
      <c r="G245" s="413" t="s">
        <v>529</v>
      </c>
      <c r="H245" s="121">
        <v>680275</v>
      </c>
      <c r="I245" s="392">
        <v>0</v>
      </c>
      <c r="J245" s="392">
        <v>0</v>
      </c>
      <c r="K245" s="392">
        <v>0</v>
      </c>
      <c r="L245" s="121">
        <v>680275</v>
      </c>
      <c r="M245" s="450" t="s">
        <v>529</v>
      </c>
    </row>
    <row r="246" spans="1:13" ht="33.5" customHeight="1" outlineLevel="2" x14ac:dyDescent="0.35">
      <c r="A246" s="93" t="s">
        <v>3</v>
      </c>
      <c r="B246" s="86" t="s">
        <v>84</v>
      </c>
      <c r="C246" s="85" t="s">
        <v>85</v>
      </c>
      <c r="D246" s="93">
        <v>209</v>
      </c>
      <c r="E246" s="121">
        <v>169611</v>
      </c>
      <c r="F246" s="121">
        <v>1000</v>
      </c>
      <c r="G246" s="413" t="s">
        <v>529</v>
      </c>
      <c r="H246" s="121">
        <v>168611</v>
      </c>
      <c r="I246" s="392">
        <v>0</v>
      </c>
      <c r="J246" s="392">
        <v>0</v>
      </c>
      <c r="K246" s="392">
        <v>0</v>
      </c>
      <c r="L246" s="121">
        <v>168611</v>
      </c>
      <c r="M246" s="450" t="s">
        <v>529</v>
      </c>
    </row>
    <row r="247" spans="1:13" ht="15" customHeight="1" outlineLevel="2" x14ac:dyDescent="0.35">
      <c r="A247" s="93" t="s">
        <v>3</v>
      </c>
      <c r="B247" s="86" t="s">
        <v>86</v>
      </c>
      <c r="C247" s="85" t="s">
        <v>87</v>
      </c>
      <c r="D247" s="93">
        <v>183</v>
      </c>
      <c r="E247" s="121">
        <v>85755</v>
      </c>
      <c r="F247" s="121">
        <v>48045</v>
      </c>
      <c r="G247" s="413" t="s">
        <v>529</v>
      </c>
      <c r="H247" s="121">
        <v>37710</v>
      </c>
      <c r="I247" s="392">
        <v>0</v>
      </c>
      <c r="J247" s="392">
        <v>0</v>
      </c>
      <c r="K247" s="392">
        <v>0</v>
      </c>
      <c r="L247" s="121">
        <v>37710</v>
      </c>
      <c r="M247" s="450" t="s">
        <v>529</v>
      </c>
    </row>
    <row r="248" spans="1:13" ht="15" customHeight="1" outlineLevel="2" x14ac:dyDescent="0.35">
      <c r="A248" s="93" t="s">
        <v>3</v>
      </c>
      <c r="B248" s="86" t="s">
        <v>88</v>
      </c>
      <c r="C248" s="85" t="s">
        <v>89</v>
      </c>
      <c r="D248" s="93">
        <v>251</v>
      </c>
      <c r="E248" s="121">
        <v>81057</v>
      </c>
      <c r="F248" s="121">
        <v>30477</v>
      </c>
      <c r="G248" s="413" t="s">
        <v>529</v>
      </c>
      <c r="H248" s="121">
        <v>50580</v>
      </c>
      <c r="I248" s="392">
        <v>0</v>
      </c>
      <c r="J248" s="392">
        <v>0</v>
      </c>
      <c r="K248" s="392">
        <v>0</v>
      </c>
      <c r="L248" s="121">
        <v>50580</v>
      </c>
      <c r="M248" s="450" t="s">
        <v>529</v>
      </c>
    </row>
    <row r="249" spans="1:13" ht="33" customHeight="1" outlineLevel="2" x14ac:dyDescent="0.35">
      <c r="A249" s="93" t="s">
        <v>3</v>
      </c>
      <c r="B249" s="86" t="s">
        <v>248</v>
      </c>
      <c r="C249" s="85" t="s">
        <v>77</v>
      </c>
      <c r="D249" s="93">
        <v>91</v>
      </c>
      <c r="E249" s="121">
        <v>2506</v>
      </c>
      <c r="F249" s="121">
        <v>2074</v>
      </c>
      <c r="G249" s="413" t="s">
        <v>529</v>
      </c>
      <c r="H249" s="121">
        <v>432</v>
      </c>
      <c r="I249" s="392">
        <v>0</v>
      </c>
      <c r="J249" s="392">
        <v>0</v>
      </c>
      <c r="K249" s="392">
        <v>0</v>
      </c>
      <c r="L249" s="121">
        <v>432</v>
      </c>
      <c r="M249" s="450" t="s">
        <v>529</v>
      </c>
    </row>
    <row r="250" spans="1:13" ht="15" customHeight="1" outlineLevel="2" x14ac:dyDescent="0.35">
      <c r="A250" s="93" t="s">
        <v>3</v>
      </c>
      <c r="B250" s="86" t="s">
        <v>90</v>
      </c>
      <c r="C250" s="85" t="s">
        <v>91</v>
      </c>
      <c r="D250" s="93">
        <v>192</v>
      </c>
      <c r="E250" s="121">
        <v>81021</v>
      </c>
      <c r="F250" s="121">
        <v>44621</v>
      </c>
      <c r="G250" s="413" t="s">
        <v>529</v>
      </c>
      <c r="H250" s="121">
        <v>36400</v>
      </c>
      <c r="I250" s="392">
        <v>0</v>
      </c>
      <c r="J250" s="392">
        <v>0</v>
      </c>
      <c r="K250" s="392">
        <v>0</v>
      </c>
      <c r="L250" s="121">
        <v>36400</v>
      </c>
      <c r="M250" s="450" t="s">
        <v>529</v>
      </c>
    </row>
    <row r="251" spans="1:13" ht="29.5" customHeight="1" outlineLevel="2" x14ac:dyDescent="0.35">
      <c r="A251" s="93" t="s">
        <v>3</v>
      </c>
      <c r="B251" s="86" t="s">
        <v>92</v>
      </c>
      <c r="C251" s="85" t="s">
        <v>93</v>
      </c>
      <c r="D251" s="93">
        <v>297</v>
      </c>
      <c r="E251" s="121">
        <v>228196763</v>
      </c>
      <c r="F251" s="121">
        <v>126160381</v>
      </c>
      <c r="G251" s="413" t="s">
        <v>529</v>
      </c>
      <c r="H251" s="121">
        <v>102036382</v>
      </c>
      <c r="I251" s="392">
        <v>0</v>
      </c>
      <c r="J251" s="392">
        <v>0</v>
      </c>
      <c r="K251" s="392">
        <v>0</v>
      </c>
      <c r="L251" s="121">
        <v>102036382</v>
      </c>
      <c r="M251" s="450" t="s">
        <v>529</v>
      </c>
    </row>
    <row r="252" spans="1:13" ht="15" customHeight="1" outlineLevel="2" x14ac:dyDescent="0.35">
      <c r="A252" s="93" t="s">
        <v>3</v>
      </c>
      <c r="B252" s="86" t="s">
        <v>94</v>
      </c>
      <c r="C252" s="85" t="s">
        <v>95</v>
      </c>
      <c r="D252" s="93">
        <v>166</v>
      </c>
      <c r="E252" s="121">
        <v>1479696</v>
      </c>
      <c r="F252" s="121">
        <v>867256</v>
      </c>
      <c r="G252" s="413" t="s">
        <v>529</v>
      </c>
      <c r="H252" s="121">
        <v>612440</v>
      </c>
      <c r="I252" s="392">
        <v>0</v>
      </c>
      <c r="J252" s="392">
        <v>0</v>
      </c>
      <c r="K252" s="392">
        <v>0</v>
      </c>
      <c r="L252" s="121">
        <v>612440</v>
      </c>
      <c r="M252" s="450" t="s">
        <v>529</v>
      </c>
    </row>
    <row r="253" spans="1:13" ht="15" customHeight="1" outlineLevel="2" x14ac:dyDescent="0.35">
      <c r="A253" s="93" t="s">
        <v>3</v>
      </c>
      <c r="B253" s="86" t="s">
        <v>244</v>
      </c>
      <c r="C253" s="85" t="s">
        <v>245</v>
      </c>
      <c r="D253" s="93">
        <v>268</v>
      </c>
      <c r="E253" s="121">
        <v>1374928</v>
      </c>
      <c r="F253" s="121">
        <v>476655</v>
      </c>
      <c r="G253" s="413" t="s">
        <v>529</v>
      </c>
      <c r="H253" s="121">
        <v>898273</v>
      </c>
      <c r="I253" s="392">
        <v>0</v>
      </c>
      <c r="J253" s="392">
        <v>0</v>
      </c>
      <c r="K253" s="392">
        <v>0</v>
      </c>
      <c r="L253" s="121">
        <v>898273</v>
      </c>
      <c r="M253" s="450" t="s">
        <v>529</v>
      </c>
    </row>
    <row r="254" spans="1:13" ht="15" customHeight="1" outlineLevel="2" x14ac:dyDescent="0.35">
      <c r="A254" s="93" t="s">
        <v>3</v>
      </c>
      <c r="B254" s="86" t="s">
        <v>96</v>
      </c>
      <c r="C254" s="85" t="s">
        <v>97</v>
      </c>
      <c r="D254" s="93">
        <v>32</v>
      </c>
      <c r="E254" s="121">
        <v>754201</v>
      </c>
      <c r="F254" s="121">
        <v>594151</v>
      </c>
      <c r="G254" s="413" t="s">
        <v>529</v>
      </c>
      <c r="H254" s="121">
        <v>160050</v>
      </c>
      <c r="I254" s="392">
        <v>0</v>
      </c>
      <c r="J254" s="392">
        <v>0</v>
      </c>
      <c r="K254" s="392">
        <v>0</v>
      </c>
      <c r="L254" s="121">
        <v>160050</v>
      </c>
      <c r="M254" s="450" t="s">
        <v>529</v>
      </c>
    </row>
    <row r="255" spans="1:13" ht="15" customHeight="1" outlineLevel="2" x14ac:dyDescent="0.35">
      <c r="A255" s="93" t="s">
        <v>3</v>
      </c>
      <c r="B255" s="86" t="s">
        <v>421</v>
      </c>
      <c r="C255" s="85" t="s">
        <v>99</v>
      </c>
      <c r="D255" s="93">
        <v>230</v>
      </c>
      <c r="E255" s="121">
        <v>851669</v>
      </c>
      <c r="F255" s="121">
        <v>696961</v>
      </c>
      <c r="G255" s="413" t="s">
        <v>529</v>
      </c>
      <c r="H255" s="121">
        <v>154708</v>
      </c>
      <c r="I255" s="392">
        <v>0</v>
      </c>
      <c r="J255" s="392">
        <v>0</v>
      </c>
      <c r="K255" s="392">
        <v>0</v>
      </c>
      <c r="L255" s="121">
        <v>154708</v>
      </c>
      <c r="M255" s="450" t="s">
        <v>529</v>
      </c>
    </row>
    <row r="256" spans="1:13" ht="15" customHeight="1" outlineLevel="2" x14ac:dyDescent="0.35">
      <c r="A256" s="93" t="s">
        <v>3</v>
      </c>
      <c r="B256" s="86" t="s">
        <v>419</v>
      </c>
      <c r="C256" s="85" t="s">
        <v>100</v>
      </c>
      <c r="D256" s="93">
        <v>357</v>
      </c>
      <c r="E256" s="121">
        <v>1834289</v>
      </c>
      <c r="F256" s="121">
        <v>1568232</v>
      </c>
      <c r="G256" s="413" t="s">
        <v>529</v>
      </c>
      <c r="H256" s="121">
        <v>266057</v>
      </c>
      <c r="I256" s="392">
        <v>0</v>
      </c>
      <c r="J256" s="392">
        <v>0</v>
      </c>
      <c r="K256" s="392">
        <v>0</v>
      </c>
      <c r="L256" s="121">
        <v>266057</v>
      </c>
      <c r="M256" s="450" t="s">
        <v>529</v>
      </c>
    </row>
    <row r="257" spans="1:13" ht="15" customHeight="1" outlineLevel="2" x14ac:dyDescent="0.35">
      <c r="A257" s="93" t="s">
        <v>3</v>
      </c>
      <c r="B257" s="86" t="s">
        <v>249</v>
      </c>
      <c r="C257" s="85" t="s">
        <v>250</v>
      </c>
      <c r="D257" s="93">
        <v>148</v>
      </c>
      <c r="E257" s="121">
        <v>14148</v>
      </c>
      <c r="F257" s="121">
        <v>3224</v>
      </c>
      <c r="G257" s="413" t="s">
        <v>529</v>
      </c>
      <c r="H257" s="121">
        <v>10924</v>
      </c>
      <c r="I257" s="392">
        <v>0</v>
      </c>
      <c r="J257" s="392">
        <v>0</v>
      </c>
      <c r="K257" s="392">
        <v>0</v>
      </c>
      <c r="L257" s="121">
        <v>10924</v>
      </c>
      <c r="M257" s="450" t="s">
        <v>529</v>
      </c>
    </row>
    <row r="258" spans="1:13" ht="15" customHeight="1" outlineLevel="2" x14ac:dyDescent="0.35">
      <c r="A258" s="93" t="s">
        <v>3</v>
      </c>
      <c r="B258" s="86" t="s">
        <v>101</v>
      </c>
      <c r="C258" s="85" t="s">
        <v>102</v>
      </c>
      <c r="D258" s="93">
        <v>153</v>
      </c>
      <c r="E258" s="121">
        <v>655319</v>
      </c>
      <c r="F258" s="121">
        <v>407291</v>
      </c>
      <c r="G258" s="413" t="s">
        <v>529</v>
      </c>
      <c r="H258" s="121">
        <v>248028</v>
      </c>
      <c r="I258" s="392">
        <v>0</v>
      </c>
      <c r="J258" s="392">
        <v>0</v>
      </c>
      <c r="K258" s="392">
        <v>0</v>
      </c>
      <c r="L258" s="121">
        <v>248028</v>
      </c>
      <c r="M258" s="450" t="s">
        <v>529</v>
      </c>
    </row>
    <row r="259" spans="1:13" ht="15" customHeight="1" outlineLevel="2" x14ac:dyDescent="0.35">
      <c r="A259" s="93" t="s">
        <v>3</v>
      </c>
      <c r="B259" s="86" t="s">
        <v>246</v>
      </c>
      <c r="C259" s="85" t="s">
        <v>247</v>
      </c>
      <c r="D259" s="93">
        <v>155</v>
      </c>
      <c r="E259" s="121">
        <v>491903</v>
      </c>
      <c r="F259" s="121">
        <v>7255</v>
      </c>
      <c r="G259" s="413" t="s">
        <v>529</v>
      </c>
      <c r="H259" s="121">
        <v>484648</v>
      </c>
      <c r="I259" s="392">
        <v>0</v>
      </c>
      <c r="J259" s="392">
        <v>0</v>
      </c>
      <c r="K259" s="392">
        <v>0</v>
      </c>
      <c r="L259" s="121">
        <v>484648</v>
      </c>
      <c r="M259" s="450" t="s">
        <v>529</v>
      </c>
    </row>
    <row r="260" spans="1:13" ht="15.5" outlineLevel="2" x14ac:dyDescent="0.35">
      <c r="A260" s="93" t="s">
        <v>3</v>
      </c>
      <c r="B260" s="86" t="s">
        <v>267</v>
      </c>
      <c r="C260" s="85" t="s">
        <v>156</v>
      </c>
      <c r="D260" s="93">
        <v>319</v>
      </c>
      <c r="E260" s="121">
        <v>3798622</v>
      </c>
      <c r="F260" s="121">
        <v>1953055</v>
      </c>
      <c r="G260" s="413" t="s">
        <v>529</v>
      </c>
      <c r="H260" s="121">
        <v>1845567</v>
      </c>
      <c r="I260" s="392">
        <v>0</v>
      </c>
      <c r="J260" s="392">
        <v>0</v>
      </c>
      <c r="K260" s="392">
        <v>0</v>
      </c>
      <c r="L260" s="121">
        <v>1845567</v>
      </c>
      <c r="M260" s="450" t="s">
        <v>529</v>
      </c>
    </row>
    <row r="261" spans="1:13" ht="15" customHeight="1" outlineLevel="2" x14ac:dyDescent="0.35">
      <c r="A261" s="93" t="s">
        <v>3</v>
      </c>
      <c r="B261" s="86" t="s">
        <v>103</v>
      </c>
      <c r="C261" s="85" t="s">
        <v>93</v>
      </c>
      <c r="D261" s="93">
        <v>48</v>
      </c>
      <c r="E261" s="121">
        <v>2738890</v>
      </c>
      <c r="F261" s="121">
        <v>1912990</v>
      </c>
      <c r="G261" s="413" t="s">
        <v>529</v>
      </c>
      <c r="H261" s="121">
        <v>825900</v>
      </c>
      <c r="I261" s="392">
        <v>0</v>
      </c>
      <c r="J261" s="392">
        <v>0</v>
      </c>
      <c r="K261" s="392">
        <v>0</v>
      </c>
      <c r="L261" s="121">
        <v>825900</v>
      </c>
      <c r="M261" s="450" t="s">
        <v>529</v>
      </c>
    </row>
    <row r="262" spans="1:13" ht="15" customHeight="1" outlineLevel="2" x14ac:dyDescent="0.35">
      <c r="A262" s="93" t="s">
        <v>3</v>
      </c>
      <c r="B262" s="86" t="s">
        <v>144</v>
      </c>
      <c r="C262" s="85" t="s">
        <v>145</v>
      </c>
      <c r="D262" s="93">
        <v>218</v>
      </c>
      <c r="E262" s="121">
        <v>212932</v>
      </c>
      <c r="F262" s="121">
        <v>98885</v>
      </c>
      <c r="G262" s="413" t="s">
        <v>529</v>
      </c>
      <c r="H262" s="121">
        <v>114047</v>
      </c>
      <c r="I262" s="392">
        <v>0</v>
      </c>
      <c r="J262" s="392">
        <v>0</v>
      </c>
      <c r="K262" s="392">
        <v>0</v>
      </c>
      <c r="L262" s="121">
        <v>114047</v>
      </c>
      <c r="M262" s="450" t="s">
        <v>529</v>
      </c>
    </row>
    <row r="263" spans="1:13" ht="15" customHeight="1" outlineLevel="2" x14ac:dyDescent="0.35">
      <c r="A263" s="93" t="s">
        <v>3</v>
      </c>
      <c r="B263" s="86" t="s">
        <v>104</v>
      </c>
      <c r="C263" s="85" t="s">
        <v>105</v>
      </c>
      <c r="D263" s="93">
        <v>350</v>
      </c>
      <c r="E263" s="121">
        <v>204331</v>
      </c>
      <c r="F263" s="121">
        <v>92283</v>
      </c>
      <c r="G263" s="413" t="s">
        <v>529</v>
      </c>
      <c r="H263" s="121">
        <v>112048</v>
      </c>
      <c r="I263" s="121">
        <v>1000</v>
      </c>
      <c r="J263" s="121">
        <v>1000</v>
      </c>
      <c r="K263" s="392">
        <v>0</v>
      </c>
      <c r="L263" s="121">
        <v>112048</v>
      </c>
      <c r="M263" s="450" t="s">
        <v>529</v>
      </c>
    </row>
    <row r="264" spans="1:13" ht="15.5" outlineLevel="2" x14ac:dyDescent="0.35">
      <c r="A264" s="93" t="s">
        <v>3</v>
      </c>
      <c r="B264" s="86" t="s">
        <v>106</v>
      </c>
      <c r="C264" s="85" t="s">
        <v>107</v>
      </c>
      <c r="D264" s="93">
        <v>173</v>
      </c>
      <c r="E264" s="121">
        <v>269560</v>
      </c>
      <c r="F264" s="121">
        <v>180691</v>
      </c>
      <c r="G264" s="413" t="s">
        <v>529</v>
      </c>
      <c r="H264" s="121">
        <v>88869</v>
      </c>
      <c r="I264" s="392">
        <v>0</v>
      </c>
      <c r="J264" s="392">
        <v>0</v>
      </c>
      <c r="K264" s="392">
        <v>0</v>
      </c>
      <c r="L264" s="121">
        <v>88869</v>
      </c>
      <c r="M264" s="450" t="s">
        <v>529</v>
      </c>
    </row>
    <row r="265" spans="1:13" ht="15" customHeight="1" outlineLevel="2" x14ac:dyDescent="0.35">
      <c r="A265" s="93" t="s">
        <v>3</v>
      </c>
      <c r="B265" s="86" t="s">
        <v>263</v>
      </c>
      <c r="C265" s="85" t="s">
        <v>264</v>
      </c>
      <c r="D265" s="93">
        <v>335</v>
      </c>
      <c r="E265" s="121">
        <v>3331</v>
      </c>
      <c r="F265" s="121">
        <v>1000</v>
      </c>
      <c r="G265" s="413" t="s">
        <v>529</v>
      </c>
      <c r="H265" s="121">
        <v>2331</v>
      </c>
      <c r="I265" s="392">
        <v>0</v>
      </c>
      <c r="J265" s="392">
        <v>0</v>
      </c>
      <c r="K265" s="392">
        <v>0</v>
      </c>
      <c r="L265" s="121">
        <v>2331</v>
      </c>
      <c r="M265" s="450" t="s">
        <v>529</v>
      </c>
    </row>
    <row r="266" spans="1:13" ht="36.5" customHeight="1" outlineLevel="2" x14ac:dyDescent="0.35">
      <c r="A266" s="93" t="s">
        <v>3</v>
      </c>
      <c r="B266" s="86" t="s">
        <v>108</v>
      </c>
      <c r="C266" s="85" t="s">
        <v>109</v>
      </c>
      <c r="D266" s="93">
        <v>261</v>
      </c>
      <c r="E266" s="121">
        <v>120472</v>
      </c>
      <c r="F266" s="121">
        <v>88845</v>
      </c>
      <c r="G266" s="413" t="s">
        <v>529</v>
      </c>
      <c r="H266" s="121">
        <v>31627</v>
      </c>
      <c r="I266" s="392">
        <v>0</v>
      </c>
      <c r="J266" s="392">
        <v>0</v>
      </c>
      <c r="K266" s="392">
        <v>0</v>
      </c>
      <c r="L266" s="121">
        <v>31627</v>
      </c>
      <c r="M266" s="450" t="s">
        <v>529</v>
      </c>
    </row>
    <row r="267" spans="1:13" ht="15" customHeight="1" outlineLevel="2" x14ac:dyDescent="0.35">
      <c r="A267" s="93" t="s">
        <v>3</v>
      </c>
      <c r="B267" s="86" t="s">
        <v>110</v>
      </c>
      <c r="C267" s="85" t="s">
        <v>111</v>
      </c>
      <c r="D267" s="93">
        <v>244</v>
      </c>
      <c r="E267" s="121">
        <v>302754</v>
      </c>
      <c r="F267" s="121">
        <v>210002</v>
      </c>
      <c r="G267" s="413" t="s">
        <v>529</v>
      </c>
      <c r="H267" s="121">
        <v>92752</v>
      </c>
      <c r="I267" s="392">
        <v>0</v>
      </c>
      <c r="J267" s="392">
        <v>0</v>
      </c>
      <c r="K267" s="392">
        <v>0</v>
      </c>
      <c r="L267" s="121">
        <v>92752</v>
      </c>
      <c r="M267" s="450" t="s">
        <v>529</v>
      </c>
    </row>
    <row r="268" spans="1:13" ht="15" customHeight="1" outlineLevel="2" x14ac:dyDescent="0.35">
      <c r="A268" s="93" t="s">
        <v>3</v>
      </c>
      <c r="B268" s="86" t="s">
        <v>251</v>
      </c>
      <c r="C268" s="85" t="s">
        <v>93</v>
      </c>
      <c r="D268" s="93">
        <v>280</v>
      </c>
      <c r="E268" s="121">
        <v>11550</v>
      </c>
      <c r="F268" s="121">
        <v>1000</v>
      </c>
      <c r="G268" s="413" t="s">
        <v>529</v>
      </c>
      <c r="H268" s="121">
        <v>10550</v>
      </c>
      <c r="I268" s="392">
        <v>0</v>
      </c>
      <c r="J268" s="392">
        <v>0</v>
      </c>
      <c r="K268" s="392">
        <v>0</v>
      </c>
      <c r="L268" s="121">
        <v>10550</v>
      </c>
      <c r="M268" s="450" t="s">
        <v>529</v>
      </c>
    </row>
    <row r="269" spans="1:13" ht="15.5" outlineLevel="1" x14ac:dyDescent="0.35">
      <c r="A269" s="93" t="s">
        <v>3</v>
      </c>
      <c r="B269" s="86" t="s">
        <v>112</v>
      </c>
      <c r="C269" s="85" t="s">
        <v>113</v>
      </c>
      <c r="D269" s="93">
        <v>171</v>
      </c>
      <c r="E269" s="121">
        <v>484225</v>
      </c>
      <c r="F269" s="121">
        <v>297786</v>
      </c>
      <c r="G269" s="413" t="s">
        <v>529</v>
      </c>
      <c r="H269" s="121">
        <v>186439</v>
      </c>
      <c r="I269" s="392">
        <v>0</v>
      </c>
      <c r="J269" s="392">
        <v>0</v>
      </c>
      <c r="K269" s="392">
        <v>0</v>
      </c>
      <c r="L269" s="121">
        <v>186439</v>
      </c>
      <c r="M269" s="450" t="s">
        <v>529</v>
      </c>
    </row>
    <row r="270" spans="1:13" ht="34.5" customHeight="1" outlineLevel="2" x14ac:dyDescent="0.35">
      <c r="A270" s="93" t="s">
        <v>3</v>
      </c>
      <c r="B270" s="86" t="s">
        <v>114</v>
      </c>
      <c r="C270" s="85" t="s">
        <v>111</v>
      </c>
      <c r="D270" s="93">
        <v>258</v>
      </c>
      <c r="E270" s="121">
        <v>901863</v>
      </c>
      <c r="F270" s="121">
        <v>389941</v>
      </c>
      <c r="G270" s="413" t="s">
        <v>529</v>
      </c>
      <c r="H270" s="121">
        <v>511922</v>
      </c>
      <c r="I270" s="392">
        <v>0</v>
      </c>
      <c r="J270" s="392">
        <v>0</v>
      </c>
      <c r="K270" s="392">
        <v>0</v>
      </c>
      <c r="L270" s="121">
        <v>511922</v>
      </c>
      <c r="M270" s="450" t="s">
        <v>529</v>
      </c>
    </row>
    <row r="271" spans="1:13" ht="15.5" outlineLevel="2" x14ac:dyDescent="0.35">
      <c r="A271" s="93" t="s">
        <v>3</v>
      </c>
      <c r="B271" s="86" t="s">
        <v>256</v>
      </c>
      <c r="C271" s="85" t="s">
        <v>257</v>
      </c>
      <c r="D271" s="93">
        <v>308</v>
      </c>
      <c r="E271" s="121">
        <v>2483</v>
      </c>
      <c r="F271" s="121">
        <v>1000</v>
      </c>
      <c r="G271" s="413" t="s">
        <v>529</v>
      </c>
      <c r="H271" s="121">
        <v>1483</v>
      </c>
      <c r="I271" s="392">
        <v>0</v>
      </c>
      <c r="J271" s="392">
        <v>0</v>
      </c>
      <c r="K271" s="392">
        <v>0</v>
      </c>
      <c r="L271" s="121">
        <v>1483</v>
      </c>
      <c r="M271" s="450" t="s">
        <v>529</v>
      </c>
    </row>
    <row r="272" spans="1:13" ht="15.5" outlineLevel="2" x14ac:dyDescent="0.35">
      <c r="A272" s="93" t="s">
        <v>3</v>
      </c>
      <c r="B272" s="86" t="s">
        <v>115</v>
      </c>
      <c r="C272" s="85" t="s">
        <v>93</v>
      </c>
      <c r="D272" s="93">
        <v>260</v>
      </c>
      <c r="E272" s="121">
        <v>3340272</v>
      </c>
      <c r="F272" s="121">
        <v>2110826</v>
      </c>
      <c r="G272" s="413" t="s">
        <v>529</v>
      </c>
      <c r="H272" s="121">
        <v>1229446</v>
      </c>
      <c r="I272" s="392">
        <v>0</v>
      </c>
      <c r="J272" s="392">
        <v>0</v>
      </c>
      <c r="K272" s="392">
        <v>0</v>
      </c>
      <c r="L272" s="121">
        <v>1229446</v>
      </c>
      <c r="M272" s="450" t="s">
        <v>529</v>
      </c>
    </row>
    <row r="273" spans="1:13" ht="15" customHeight="1" outlineLevel="2" x14ac:dyDescent="0.35">
      <c r="A273" s="93" t="s">
        <v>3</v>
      </c>
      <c r="B273" s="86" t="s">
        <v>118</v>
      </c>
      <c r="C273" s="85" t="s">
        <v>119</v>
      </c>
      <c r="D273" s="93">
        <v>346</v>
      </c>
      <c r="E273" s="121">
        <v>80974</v>
      </c>
      <c r="F273" s="121">
        <v>41603</v>
      </c>
      <c r="G273" s="413" t="s">
        <v>529</v>
      </c>
      <c r="H273" s="121">
        <v>39371</v>
      </c>
      <c r="I273" s="392">
        <v>0</v>
      </c>
      <c r="J273" s="392">
        <v>0</v>
      </c>
      <c r="K273" s="392">
        <v>0</v>
      </c>
      <c r="L273" s="121">
        <v>39371</v>
      </c>
      <c r="M273" s="450" t="s">
        <v>529</v>
      </c>
    </row>
    <row r="274" spans="1:13" ht="15.5" outlineLevel="2" x14ac:dyDescent="0.35">
      <c r="A274" s="93" t="s">
        <v>3</v>
      </c>
      <c r="B274" s="86" t="s">
        <v>120</v>
      </c>
      <c r="C274" s="85" t="s">
        <v>121</v>
      </c>
      <c r="D274" s="93">
        <v>351</v>
      </c>
      <c r="E274" s="121">
        <v>169594</v>
      </c>
      <c r="F274" s="121">
        <v>126335</v>
      </c>
      <c r="G274" s="413" t="s">
        <v>529</v>
      </c>
      <c r="H274" s="121">
        <v>43259</v>
      </c>
      <c r="I274" s="392">
        <v>0</v>
      </c>
      <c r="J274" s="392">
        <v>0</v>
      </c>
      <c r="K274" s="392">
        <v>0</v>
      </c>
      <c r="L274" s="121">
        <v>43259</v>
      </c>
      <c r="M274" s="450" t="s">
        <v>529</v>
      </c>
    </row>
    <row r="275" spans="1:13" ht="15.5" outlineLevel="2" x14ac:dyDescent="0.35">
      <c r="A275" s="137" t="s">
        <v>142</v>
      </c>
      <c r="B275" s="429" t="s">
        <v>529</v>
      </c>
      <c r="C275" s="430" t="s">
        <v>529</v>
      </c>
      <c r="D275" s="409" t="s">
        <v>529</v>
      </c>
      <c r="E275" s="138">
        <f>SUBTOTAL(109,school201213[Program
Costs])</f>
        <v>257181148</v>
      </c>
      <c r="F275" s="138">
        <f>SUBTOTAL(109,school201213[Less: Net Payments and Offsets 8])</f>
        <v>143344942</v>
      </c>
      <c r="G275" s="414" t="s">
        <v>552</v>
      </c>
      <c r="H275" s="138">
        <f>SUBTOTAL(109,school201213[Accounts Payable
Balance])</f>
        <v>113836206</v>
      </c>
      <c r="I275" s="138">
        <f>SUBTOTAL(109,school201213[Established
Accounts Receivable])</f>
        <v>1000</v>
      </c>
      <c r="J275" s="138">
        <f>SUBTOTAL(109,school201213[Less: Recovered Amount])</f>
        <v>1000</v>
      </c>
      <c r="K275" s="456" t="s">
        <v>615</v>
      </c>
      <c r="L275" s="138">
        <f>SUBTOTAL(109,school201213[Net
Balance])</f>
        <v>113836206</v>
      </c>
      <c r="M275" s="414" t="s">
        <v>552</v>
      </c>
    </row>
    <row r="276" spans="1:13" ht="15" customHeight="1" outlineLevel="2" x14ac:dyDescent="0.35">
      <c r="A276" s="386" t="s">
        <v>540</v>
      </c>
      <c r="B276" s="139"/>
      <c r="C276" s="139"/>
      <c r="D276" s="139"/>
      <c r="E276" s="140"/>
      <c r="F276" s="140"/>
      <c r="G276" s="140"/>
      <c r="H276" s="140"/>
      <c r="I276" s="140"/>
      <c r="J276" s="140"/>
      <c r="K276" s="140"/>
      <c r="L276" s="140"/>
      <c r="M276" s="476"/>
    </row>
    <row r="277" spans="1:13" ht="50" customHeight="1" outlineLevel="2" x14ac:dyDescent="0.35">
      <c r="A277" s="457" t="s">
        <v>11</v>
      </c>
      <c r="B277" s="300" t="s">
        <v>12</v>
      </c>
      <c r="C277" s="158" t="s">
        <v>0</v>
      </c>
      <c r="D277" s="300" t="s">
        <v>132</v>
      </c>
      <c r="E277" s="458" t="s">
        <v>125</v>
      </c>
      <c r="F277" s="423" t="s">
        <v>614</v>
      </c>
      <c r="G277" s="424" t="s">
        <v>531</v>
      </c>
      <c r="H277" s="422" t="s">
        <v>495</v>
      </c>
      <c r="I277" s="422" t="s">
        <v>496</v>
      </c>
      <c r="J277" s="458" t="s">
        <v>134</v>
      </c>
      <c r="K277" s="422" t="s">
        <v>497</v>
      </c>
      <c r="L277" s="458" t="s">
        <v>133</v>
      </c>
      <c r="M277" s="459" t="s">
        <v>532</v>
      </c>
    </row>
    <row r="278" spans="1:13" ht="15" customHeight="1" outlineLevel="2" x14ac:dyDescent="0.35">
      <c r="A278" s="93" t="s">
        <v>143</v>
      </c>
      <c r="B278" s="86" t="s">
        <v>61</v>
      </c>
      <c r="C278" s="85" t="s">
        <v>62</v>
      </c>
      <c r="D278" s="93">
        <v>305</v>
      </c>
      <c r="E278" s="121">
        <v>506059</v>
      </c>
      <c r="F278" s="121">
        <v>343920</v>
      </c>
      <c r="G278" s="413" t="s">
        <v>529</v>
      </c>
      <c r="H278" s="121">
        <v>162139</v>
      </c>
      <c r="I278" s="392">
        <v>0</v>
      </c>
      <c r="J278" s="392">
        <v>0</v>
      </c>
      <c r="K278" s="392">
        <v>0</v>
      </c>
      <c r="L278" s="121">
        <v>162139</v>
      </c>
      <c r="M278" s="450" t="s">
        <v>529</v>
      </c>
    </row>
    <row r="279" spans="1:13" ht="30" customHeight="1" outlineLevel="2" x14ac:dyDescent="0.35">
      <c r="A279" s="93" t="s">
        <v>143</v>
      </c>
      <c r="B279" s="86" t="s">
        <v>63</v>
      </c>
      <c r="C279" s="85" t="s">
        <v>64</v>
      </c>
      <c r="D279" s="93">
        <v>250</v>
      </c>
      <c r="E279" s="121">
        <v>1366092</v>
      </c>
      <c r="F279" s="121">
        <v>680526</v>
      </c>
      <c r="G279" s="413" t="s">
        <v>529</v>
      </c>
      <c r="H279" s="121">
        <v>685566</v>
      </c>
      <c r="I279" s="392">
        <v>0</v>
      </c>
      <c r="J279" s="392">
        <v>0</v>
      </c>
      <c r="K279" s="392">
        <v>0</v>
      </c>
      <c r="L279" s="121">
        <v>685566</v>
      </c>
      <c r="M279" s="450" t="s">
        <v>529</v>
      </c>
    </row>
    <row r="280" spans="1:13" ht="40.5" customHeight="1" outlineLevel="2" x14ac:dyDescent="0.35">
      <c r="A280" s="93" t="s">
        <v>143</v>
      </c>
      <c r="B280" s="86" t="s">
        <v>268</v>
      </c>
      <c r="C280" s="85" t="s">
        <v>266</v>
      </c>
      <c r="D280" s="93">
        <v>348</v>
      </c>
      <c r="E280" s="121">
        <v>1482185</v>
      </c>
      <c r="F280" s="121">
        <v>1046875</v>
      </c>
      <c r="G280" s="413" t="s">
        <v>529</v>
      </c>
      <c r="H280" s="121">
        <v>435310</v>
      </c>
      <c r="I280" s="392">
        <v>0</v>
      </c>
      <c r="J280" s="392">
        <v>0</v>
      </c>
      <c r="K280" s="392">
        <v>0</v>
      </c>
      <c r="L280" s="121">
        <v>435310</v>
      </c>
      <c r="M280" s="450" t="s">
        <v>529</v>
      </c>
    </row>
    <row r="281" spans="1:13" ht="15.5" outlineLevel="2" x14ac:dyDescent="0.35">
      <c r="A281" s="93" t="s">
        <v>143</v>
      </c>
      <c r="B281" s="86" t="s">
        <v>258</v>
      </c>
      <c r="C281" s="85" t="s">
        <v>152</v>
      </c>
      <c r="D281" s="93">
        <v>354</v>
      </c>
      <c r="E281" s="121">
        <v>119930</v>
      </c>
      <c r="F281" s="121">
        <v>91042</v>
      </c>
      <c r="G281" s="413" t="s">
        <v>529</v>
      </c>
      <c r="H281" s="121">
        <v>28888</v>
      </c>
      <c r="I281" s="392">
        <v>0</v>
      </c>
      <c r="J281" s="392">
        <v>0</v>
      </c>
      <c r="K281" s="392">
        <v>0</v>
      </c>
      <c r="L281" s="121">
        <v>28888</v>
      </c>
      <c r="M281" s="450" t="s">
        <v>529</v>
      </c>
    </row>
    <row r="282" spans="1:13" ht="31" outlineLevel="2" x14ac:dyDescent="0.35">
      <c r="A282" s="93" t="s">
        <v>143</v>
      </c>
      <c r="B282" s="86" t="s">
        <v>67</v>
      </c>
      <c r="C282" s="85" t="s">
        <v>68</v>
      </c>
      <c r="D282" s="93">
        <v>286</v>
      </c>
      <c r="E282" s="121">
        <v>45817</v>
      </c>
      <c r="F282" s="121">
        <v>39849</v>
      </c>
      <c r="G282" s="413" t="s">
        <v>529</v>
      </c>
      <c r="H282" s="121">
        <v>5968</v>
      </c>
      <c r="I282" s="392">
        <v>0</v>
      </c>
      <c r="J282" s="392">
        <v>0</v>
      </c>
      <c r="K282" s="392">
        <v>0</v>
      </c>
      <c r="L282" s="121">
        <v>5968</v>
      </c>
      <c r="M282" s="450" t="s">
        <v>529</v>
      </c>
    </row>
    <row r="283" spans="1:13" ht="31" outlineLevel="2" x14ac:dyDescent="0.35">
      <c r="A283" s="93" t="s">
        <v>143</v>
      </c>
      <c r="B283" s="86" t="s">
        <v>69</v>
      </c>
      <c r="C283" s="85" t="s">
        <v>70</v>
      </c>
      <c r="D283" s="93">
        <v>172</v>
      </c>
      <c r="E283" s="121">
        <v>434043</v>
      </c>
      <c r="F283" s="121">
        <v>297644</v>
      </c>
      <c r="G283" s="413" t="s">
        <v>529</v>
      </c>
      <c r="H283" s="121">
        <v>136399</v>
      </c>
      <c r="I283" s="392">
        <v>0</v>
      </c>
      <c r="J283" s="392">
        <v>0</v>
      </c>
      <c r="K283" s="392">
        <v>0</v>
      </c>
      <c r="L283" s="121">
        <v>136399</v>
      </c>
      <c r="M283" s="450" t="s">
        <v>529</v>
      </c>
    </row>
    <row r="284" spans="1:13" ht="15.5" outlineLevel="2" x14ac:dyDescent="0.35">
      <c r="A284" s="93" t="s">
        <v>143</v>
      </c>
      <c r="B284" s="86" t="s">
        <v>420</v>
      </c>
      <c r="C284" s="85" t="s">
        <v>71</v>
      </c>
      <c r="D284" s="93">
        <v>278</v>
      </c>
      <c r="E284" s="121">
        <v>1612674</v>
      </c>
      <c r="F284" s="121">
        <v>1156102</v>
      </c>
      <c r="G284" s="413" t="s">
        <v>529</v>
      </c>
      <c r="H284" s="121">
        <v>456572</v>
      </c>
      <c r="I284" s="392">
        <v>0</v>
      </c>
      <c r="J284" s="392">
        <v>0</v>
      </c>
      <c r="K284" s="392">
        <v>0</v>
      </c>
      <c r="L284" s="121">
        <v>456572</v>
      </c>
      <c r="M284" s="450" t="s">
        <v>529</v>
      </c>
    </row>
    <row r="285" spans="1:13" ht="15" customHeight="1" outlineLevel="2" x14ac:dyDescent="0.35">
      <c r="A285" s="93" t="s">
        <v>143</v>
      </c>
      <c r="B285" s="86" t="s">
        <v>242</v>
      </c>
      <c r="C285" s="85" t="s">
        <v>243</v>
      </c>
      <c r="D285" s="93">
        <v>309</v>
      </c>
      <c r="E285" s="121">
        <v>19576</v>
      </c>
      <c r="F285" s="121">
        <v>13333</v>
      </c>
      <c r="G285" s="413" t="s">
        <v>529</v>
      </c>
      <c r="H285" s="121">
        <v>6243</v>
      </c>
      <c r="I285" s="392">
        <v>0</v>
      </c>
      <c r="J285" s="392">
        <v>0</v>
      </c>
      <c r="K285" s="392">
        <v>0</v>
      </c>
      <c r="L285" s="121">
        <v>6243</v>
      </c>
      <c r="M285" s="450" t="s">
        <v>529</v>
      </c>
    </row>
    <row r="286" spans="1:13" ht="32" customHeight="1" outlineLevel="2" x14ac:dyDescent="0.35">
      <c r="A286" s="93" t="s">
        <v>143</v>
      </c>
      <c r="B286" s="86" t="s">
        <v>72</v>
      </c>
      <c r="C286" s="85" t="s">
        <v>73</v>
      </c>
      <c r="D286" s="93">
        <v>11</v>
      </c>
      <c r="E286" s="121">
        <v>16883834</v>
      </c>
      <c r="F286" s="121">
        <v>12873998</v>
      </c>
      <c r="G286" s="413" t="s">
        <v>529</v>
      </c>
      <c r="H286" s="121">
        <v>4009836</v>
      </c>
      <c r="I286" s="392">
        <v>0</v>
      </c>
      <c r="J286" s="392">
        <v>0</v>
      </c>
      <c r="K286" s="392">
        <v>0</v>
      </c>
      <c r="L286" s="121">
        <v>4009836</v>
      </c>
      <c r="M286" s="450" t="s">
        <v>529</v>
      </c>
    </row>
    <row r="287" spans="1:13" ht="31" outlineLevel="2" x14ac:dyDescent="0.35">
      <c r="A287" s="93" t="s">
        <v>143</v>
      </c>
      <c r="B287" s="86" t="s">
        <v>74</v>
      </c>
      <c r="C287" s="85" t="s">
        <v>75</v>
      </c>
      <c r="D287" s="93">
        <v>313</v>
      </c>
      <c r="E287" s="121">
        <v>3380219</v>
      </c>
      <c r="F287" s="121">
        <v>2665902</v>
      </c>
      <c r="G287" s="413" t="s">
        <v>529</v>
      </c>
      <c r="H287" s="121">
        <v>714317</v>
      </c>
      <c r="I287" s="392">
        <v>0</v>
      </c>
      <c r="J287" s="392">
        <v>0</v>
      </c>
      <c r="K287" s="392">
        <v>0</v>
      </c>
      <c r="L287" s="121">
        <v>714317</v>
      </c>
      <c r="M287" s="450" t="s">
        <v>529</v>
      </c>
    </row>
    <row r="288" spans="1:13" ht="48.5" customHeight="1" outlineLevel="2" x14ac:dyDescent="0.35">
      <c r="A288" s="93" t="s">
        <v>143</v>
      </c>
      <c r="B288" s="86" t="s">
        <v>78</v>
      </c>
      <c r="C288" s="85" t="s">
        <v>79</v>
      </c>
      <c r="D288" s="93">
        <v>272</v>
      </c>
      <c r="E288" s="121">
        <v>5752397</v>
      </c>
      <c r="F288" s="121">
        <v>4834791</v>
      </c>
      <c r="G288" s="413" t="s">
        <v>529</v>
      </c>
      <c r="H288" s="121">
        <v>917606</v>
      </c>
      <c r="I288" s="392">
        <v>0</v>
      </c>
      <c r="J288" s="392">
        <v>0</v>
      </c>
      <c r="K288" s="392">
        <v>0</v>
      </c>
      <c r="L288" s="121">
        <v>917606</v>
      </c>
      <c r="M288" s="450" t="s">
        <v>529</v>
      </c>
    </row>
    <row r="289" spans="1:13" ht="46" customHeight="1" outlineLevel="2" x14ac:dyDescent="0.35">
      <c r="A289" s="93" t="s">
        <v>143</v>
      </c>
      <c r="B289" s="86" t="s">
        <v>80</v>
      </c>
      <c r="C289" s="85" t="s">
        <v>81</v>
      </c>
      <c r="D289" s="93">
        <v>276</v>
      </c>
      <c r="E289" s="121">
        <v>730369</v>
      </c>
      <c r="F289" s="121">
        <v>500095</v>
      </c>
      <c r="G289" s="413" t="s">
        <v>529</v>
      </c>
      <c r="H289" s="121">
        <v>230274</v>
      </c>
      <c r="I289" s="392">
        <v>0</v>
      </c>
      <c r="J289" s="392">
        <v>0</v>
      </c>
      <c r="K289" s="392">
        <v>0</v>
      </c>
      <c r="L289" s="121">
        <v>230274</v>
      </c>
      <c r="M289" s="450" t="s">
        <v>529</v>
      </c>
    </row>
    <row r="290" spans="1:13" ht="76" customHeight="1" outlineLevel="2" x14ac:dyDescent="0.35">
      <c r="A290" s="93" t="s">
        <v>143</v>
      </c>
      <c r="B290" s="86" t="s">
        <v>82</v>
      </c>
      <c r="C290" s="85" t="s">
        <v>83</v>
      </c>
      <c r="D290" s="93">
        <v>292</v>
      </c>
      <c r="E290" s="121">
        <v>6498748</v>
      </c>
      <c r="F290" s="121">
        <v>4834944</v>
      </c>
      <c r="G290" s="413" t="s">
        <v>529</v>
      </c>
      <c r="H290" s="121">
        <v>1663804</v>
      </c>
      <c r="I290" s="392">
        <v>0</v>
      </c>
      <c r="J290" s="392">
        <v>0</v>
      </c>
      <c r="K290" s="392">
        <v>0</v>
      </c>
      <c r="L290" s="121">
        <v>1663804</v>
      </c>
      <c r="M290" s="450" t="s">
        <v>529</v>
      </c>
    </row>
    <row r="291" spans="1:13" ht="31" customHeight="1" outlineLevel="2" x14ac:dyDescent="0.35">
      <c r="A291" s="93" t="s">
        <v>143</v>
      </c>
      <c r="B291" s="86" t="s">
        <v>84</v>
      </c>
      <c r="C291" s="85" t="s">
        <v>85</v>
      </c>
      <c r="D291" s="93">
        <v>209</v>
      </c>
      <c r="E291" s="121">
        <v>268885</v>
      </c>
      <c r="F291" s="121">
        <v>31975</v>
      </c>
      <c r="G291" s="413" t="s">
        <v>529</v>
      </c>
      <c r="H291" s="121">
        <v>236910</v>
      </c>
      <c r="I291" s="392">
        <v>0</v>
      </c>
      <c r="J291" s="392">
        <v>0</v>
      </c>
      <c r="K291" s="392">
        <v>0</v>
      </c>
      <c r="L291" s="121">
        <v>236910</v>
      </c>
      <c r="M291" s="450" t="s">
        <v>529</v>
      </c>
    </row>
    <row r="292" spans="1:13" ht="15" customHeight="1" outlineLevel="2" x14ac:dyDescent="0.35">
      <c r="A292" s="93" t="s">
        <v>143</v>
      </c>
      <c r="B292" s="86" t="s">
        <v>86</v>
      </c>
      <c r="C292" s="85" t="s">
        <v>87</v>
      </c>
      <c r="D292" s="93">
        <v>183</v>
      </c>
      <c r="E292" s="121">
        <v>402570</v>
      </c>
      <c r="F292" s="121">
        <v>289308</v>
      </c>
      <c r="G292" s="413" t="s">
        <v>529</v>
      </c>
      <c r="H292" s="121">
        <v>113262</v>
      </c>
      <c r="I292" s="392">
        <v>0</v>
      </c>
      <c r="J292" s="392">
        <v>0</v>
      </c>
      <c r="K292" s="392">
        <v>0</v>
      </c>
      <c r="L292" s="121">
        <v>113262</v>
      </c>
      <c r="M292" s="450" t="s">
        <v>529</v>
      </c>
    </row>
    <row r="293" spans="1:13" ht="15" customHeight="1" outlineLevel="2" x14ac:dyDescent="0.35">
      <c r="A293" s="93" t="s">
        <v>143</v>
      </c>
      <c r="B293" s="86" t="s">
        <v>88</v>
      </c>
      <c r="C293" s="85" t="s">
        <v>89</v>
      </c>
      <c r="D293" s="93">
        <v>251</v>
      </c>
      <c r="E293" s="121">
        <v>499410</v>
      </c>
      <c r="F293" s="121">
        <v>262998</v>
      </c>
      <c r="G293" s="413" t="s">
        <v>529</v>
      </c>
      <c r="H293" s="121">
        <v>236412</v>
      </c>
      <c r="I293" s="392">
        <v>0</v>
      </c>
      <c r="J293" s="392">
        <v>0</v>
      </c>
      <c r="K293" s="392">
        <v>0</v>
      </c>
      <c r="L293" s="121">
        <v>236412</v>
      </c>
      <c r="M293" s="450" t="s">
        <v>529</v>
      </c>
    </row>
    <row r="294" spans="1:13" ht="34" customHeight="1" outlineLevel="2" x14ac:dyDescent="0.35">
      <c r="A294" s="93" t="s">
        <v>143</v>
      </c>
      <c r="B294" s="86" t="s">
        <v>248</v>
      </c>
      <c r="C294" s="85" t="s">
        <v>77</v>
      </c>
      <c r="D294" s="93">
        <v>91</v>
      </c>
      <c r="E294" s="121">
        <v>14415</v>
      </c>
      <c r="F294" s="121">
        <v>12228</v>
      </c>
      <c r="G294" s="413" t="s">
        <v>529</v>
      </c>
      <c r="H294" s="121">
        <v>2187</v>
      </c>
      <c r="I294" s="392">
        <v>0</v>
      </c>
      <c r="J294" s="392">
        <v>0</v>
      </c>
      <c r="K294" s="392">
        <v>0</v>
      </c>
      <c r="L294" s="121">
        <v>2187</v>
      </c>
      <c r="M294" s="450" t="s">
        <v>529</v>
      </c>
    </row>
    <row r="295" spans="1:13" ht="15" customHeight="1" outlineLevel="2" x14ac:dyDescent="0.35">
      <c r="A295" s="93" t="s">
        <v>143</v>
      </c>
      <c r="B295" s="86" t="s">
        <v>90</v>
      </c>
      <c r="C295" s="85" t="s">
        <v>91</v>
      </c>
      <c r="D295" s="93">
        <v>192</v>
      </c>
      <c r="E295" s="121">
        <v>253379</v>
      </c>
      <c r="F295" s="121">
        <v>167612</v>
      </c>
      <c r="G295" s="413" t="s">
        <v>529</v>
      </c>
      <c r="H295" s="121">
        <v>85767</v>
      </c>
      <c r="I295" s="392">
        <v>0</v>
      </c>
      <c r="J295" s="392">
        <v>0</v>
      </c>
      <c r="K295" s="392">
        <v>0</v>
      </c>
      <c r="L295" s="121">
        <v>85767</v>
      </c>
      <c r="M295" s="450" t="s">
        <v>529</v>
      </c>
    </row>
    <row r="296" spans="1:13" ht="34" customHeight="1" outlineLevel="2" x14ac:dyDescent="0.35">
      <c r="A296" s="93" t="s">
        <v>143</v>
      </c>
      <c r="B296" s="86" t="s">
        <v>92</v>
      </c>
      <c r="C296" s="85" t="s">
        <v>93</v>
      </c>
      <c r="D296" s="93">
        <v>297</v>
      </c>
      <c r="E296" s="121">
        <v>265688269</v>
      </c>
      <c r="F296" s="121">
        <v>162398696</v>
      </c>
      <c r="G296" s="413" t="s">
        <v>529</v>
      </c>
      <c r="H296" s="121">
        <v>103289573</v>
      </c>
      <c r="I296" s="392">
        <v>0</v>
      </c>
      <c r="J296" s="392">
        <v>0</v>
      </c>
      <c r="K296" s="392">
        <v>0</v>
      </c>
      <c r="L296" s="121">
        <v>103289573</v>
      </c>
      <c r="M296" s="450" t="s">
        <v>529</v>
      </c>
    </row>
    <row r="297" spans="1:13" ht="15" customHeight="1" outlineLevel="2" x14ac:dyDescent="0.35">
      <c r="A297" s="93" t="s">
        <v>143</v>
      </c>
      <c r="B297" s="86" t="s">
        <v>94</v>
      </c>
      <c r="C297" s="85" t="s">
        <v>95</v>
      </c>
      <c r="D297" s="93">
        <v>166</v>
      </c>
      <c r="E297" s="121">
        <v>6625087</v>
      </c>
      <c r="F297" s="121">
        <v>4973496</v>
      </c>
      <c r="G297" s="413" t="s">
        <v>529</v>
      </c>
      <c r="H297" s="121">
        <v>1651591</v>
      </c>
      <c r="I297" s="392">
        <v>0</v>
      </c>
      <c r="J297" s="392">
        <v>0</v>
      </c>
      <c r="K297" s="392">
        <v>0</v>
      </c>
      <c r="L297" s="121">
        <v>1651591</v>
      </c>
      <c r="M297" s="450" t="s">
        <v>529</v>
      </c>
    </row>
    <row r="298" spans="1:13" ht="15" customHeight="1" outlineLevel="2" x14ac:dyDescent="0.35">
      <c r="A298" s="93" t="s">
        <v>143</v>
      </c>
      <c r="B298" s="86" t="s">
        <v>244</v>
      </c>
      <c r="C298" s="85" t="s">
        <v>245</v>
      </c>
      <c r="D298" s="93">
        <v>268</v>
      </c>
      <c r="E298" s="121">
        <v>6272368</v>
      </c>
      <c r="F298" s="121">
        <v>3349640</v>
      </c>
      <c r="G298" s="413" t="s">
        <v>529</v>
      </c>
      <c r="H298" s="121">
        <v>2922728</v>
      </c>
      <c r="I298" s="392">
        <v>0</v>
      </c>
      <c r="J298" s="392">
        <v>0</v>
      </c>
      <c r="K298" s="392">
        <v>0</v>
      </c>
      <c r="L298" s="121">
        <v>2922728</v>
      </c>
      <c r="M298" s="450" t="s">
        <v>529</v>
      </c>
    </row>
    <row r="299" spans="1:13" ht="15" customHeight="1" outlineLevel="2" x14ac:dyDescent="0.35">
      <c r="A299" s="93" t="s">
        <v>143</v>
      </c>
      <c r="B299" s="86" t="s">
        <v>96</v>
      </c>
      <c r="C299" s="85" t="s">
        <v>97</v>
      </c>
      <c r="D299" s="93">
        <v>32</v>
      </c>
      <c r="E299" s="121">
        <v>4557408</v>
      </c>
      <c r="F299" s="121">
        <v>4089648</v>
      </c>
      <c r="G299" s="413" t="s">
        <v>529</v>
      </c>
      <c r="H299" s="121">
        <v>467760</v>
      </c>
      <c r="I299" s="392">
        <v>0</v>
      </c>
      <c r="J299" s="392">
        <v>0</v>
      </c>
      <c r="K299" s="392">
        <v>0</v>
      </c>
      <c r="L299" s="121">
        <v>467760</v>
      </c>
      <c r="M299" s="450" t="s">
        <v>529</v>
      </c>
    </row>
    <row r="300" spans="1:13" ht="15" customHeight="1" outlineLevel="2" x14ac:dyDescent="0.35">
      <c r="A300" s="93" t="s">
        <v>143</v>
      </c>
      <c r="B300" s="86" t="s">
        <v>421</v>
      </c>
      <c r="C300" s="85" t="s">
        <v>99</v>
      </c>
      <c r="D300" s="93">
        <v>230</v>
      </c>
      <c r="E300" s="121">
        <v>5679366</v>
      </c>
      <c r="F300" s="121">
        <v>5265644</v>
      </c>
      <c r="G300" s="413" t="s">
        <v>529</v>
      </c>
      <c r="H300" s="121">
        <v>413722</v>
      </c>
      <c r="I300" s="392">
        <v>0</v>
      </c>
      <c r="J300" s="392">
        <v>0</v>
      </c>
      <c r="K300" s="392">
        <v>0</v>
      </c>
      <c r="L300" s="121">
        <v>413722</v>
      </c>
      <c r="M300" s="450" t="s">
        <v>529</v>
      </c>
    </row>
    <row r="301" spans="1:13" ht="15" customHeight="1" outlineLevel="2" x14ac:dyDescent="0.35">
      <c r="A301" s="93" t="s">
        <v>143</v>
      </c>
      <c r="B301" s="86" t="s">
        <v>419</v>
      </c>
      <c r="C301" s="85" t="s">
        <v>100</v>
      </c>
      <c r="D301" s="93">
        <v>357</v>
      </c>
      <c r="E301" s="121">
        <v>7134515</v>
      </c>
      <c r="F301" s="121">
        <v>5397077</v>
      </c>
      <c r="G301" s="413" t="s">
        <v>529</v>
      </c>
      <c r="H301" s="121">
        <v>1737438</v>
      </c>
      <c r="I301" s="392">
        <v>0</v>
      </c>
      <c r="J301" s="392">
        <v>0</v>
      </c>
      <c r="K301" s="392">
        <v>0</v>
      </c>
      <c r="L301" s="121">
        <v>1737438</v>
      </c>
      <c r="M301" s="450" t="s">
        <v>529</v>
      </c>
    </row>
    <row r="302" spans="1:13" ht="15" customHeight="1" outlineLevel="2" x14ac:dyDescent="0.35">
      <c r="A302" s="93" t="s">
        <v>143</v>
      </c>
      <c r="B302" s="86" t="s">
        <v>249</v>
      </c>
      <c r="C302" s="85" t="s">
        <v>250</v>
      </c>
      <c r="D302" s="93">
        <v>148</v>
      </c>
      <c r="E302" s="121">
        <v>218554</v>
      </c>
      <c r="F302" s="121">
        <v>3127</v>
      </c>
      <c r="G302" s="413" t="s">
        <v>529</v>
      </c>
      <c r="H302" s="121">
        <v>215427</v>
      </c>
      <c r="I302" s="392">
        <v>0</v>
      </c>
      <c r="J302" s="392">
        <v>0</v>
      </c>
      <c r="K302" s="392">
        <v>0</v>
      </c>
      <c r="L302" s="121">
        <v>215427</v>
      </c>
      <c r="M302" s="450" t="s">
        <v>529</v>
      </c>
    </row>
    <row r="303" spans="1:13" ht="15" customHeight="1" outlineLevel="2" x14ac:dyDescent="0.35">
      <c r="A303" s="93" t="s">
        <v>143</v>
      </c>
      <c r="B303" s="86" t="s">
        <v>101</v>
      </c>
      <c r="C303" s="85" t="s">
        <v>102</v>
      </c>
      <c r="D303" s="93">
        <v>153</v>
      </c>
      <c r="E303" s="121">
        <v>3685492</v>
      </c>
      <c r="F303" s="121">
        <v>3016024</v>
      </c>
      <c r="G303" s="413" t="s">
        <v>529</v>
      </c>
      <c r="H303" s="121">
        <v>669468</v>
      </c>
      <c r="I303" s="392">
        <v>0</v>
      </c>
      <c r="J303" s="392">
        <v>0</v>
      </c>
      <c r="K303" s="392">
        <v>0</v>
      </c>
      <c r="L303" s="121">
        <v>669468</v>
      </c>
      <c r="M303" s="450" t="s">
        <v>529</v>
      </c>
    </row>
    <row r="304" spans="1:13" ht="15" customHeight="1" outlineLevel="2" x14ac:dyDescent="0.35">
      <c r="A304" s="93" t="s">
        <v>143</v>
      </c>
      <c r="B304" s="86" t="s">
        <v>246</v>
      </c>
      <c r="C304" s="85" t="s">
        <v>247</v>
      </c>
      <c r="D304" s="93">
        <v>155</v>
      </c>
      <c r="E304" s="121">
        <v>845595</v>
      </c>
      <c r="F304" s="121">
        <v>217384</v>
      </c>
      <c r="G304" s="413" t="s">
        <v>529</v>
      </c>
      <c r="H304" s="121">
        <v>628211</v>
      </c>
      <c r="I304" s="392">
        <v>0</v>
      </c>
      <c r="J304" s="392">
        <v>0</v>
      </c>
      <c r="K304" s="392">
        <v>0</v>
      </c>
      <c r="L304" s="121">
        <v>628211</v>
      </c>
      <c r="M304" s="450" t="s">
        <v>529</v>
      </c>
    </row>
    <row r="305" spans="1:13" ht="15.5" outlineLevel="2" x14ac:dyDescent="0.35">
      <c r="A305" s="93" t="s">
        <v>143</v>
      </c>
      <c r="B305" s="86" t="s">
        <v>267</v>
      </c>
      <c r="C305" s="85" t="s">
        <v>156</v>
      </c>
      <c r="D305" s="93">
        <v>319</v>
      </c>
      <c r="E305" s="121">
        <v>16457471</v>
      </c>
      <c r="F305" s="121">
        <v>12354318</v>
      </c>
      <c r="G305" s="413" t="s">
        <v>529</v>
      </c>
      <c r="H305" s="121">
        <v>4103153</v>
      </c>
      <c r="I305" s="392">
        <v>0</v>
      </c>
      <c r="J305" s="392">
        <v>0</v>
      </c>
      <c r="K305" s="392">
        <v>0</v>
      </c>
      <c r="L305" s="121">
        <v>4103153</v>
      </c>
      <c r="M305" s="450" t="s">
        <v>529</v>
      </c>
    </row>
    <row r="306" spans="1:13" ht="15.5" outlineLevel="2" x14ac:dyDescent="0.35">
      <c r="A306" s="93" t="s">
        <v>143</v>
      </c>
      <c r="B306" s="86" t="s">
        <v>103</v>
      </c>
      <c r="C306" s="85" t="s">
        <v>93</v>
      </c>
      <c r="D306" s="93">
        <v>48</v>
      </c>
      <c r="E306" s="121">
        <v>25192893</v>
      </c>
      <c r="F306" s="121">
        <v>21266482</v>
      </c>
      <c r="G306" s="413" t="s">
        <v>529</v>
      </c>
      <c r="H306" s="121">
        <v>3926411</v>
      </c>
      <c r="I306" s="392">
        <v>0</v>
      </c>
      <c r="J306" s="392">
        <v>0</v>
      </c>
      <c r="K306" s="392">
        <v>0</v>
      </c>
      <c r="L306" s="121">
        <v>3926411</v>
      </c>
      <c r="M306" s="450" t="s">
        <v>529</v>
      </c>
    </row>
    <row r="307" spans="1:13" ht="15" customHeight="1" outlineLevel="2" x14ac:dyDescent="0.35">
      <c r="A307" s="93" t="s">
        <v>143</v>
      </c>
      <c r="B307" s="86" t="s">
        <v>144</v>
      </c>
      <c r="C307" s="85" t="s">
        <v>145</v>
      </c>
      <c r="D307" s="93">
        <v>218</v>
      </c>
      <c r="E307" s="121">
        <v>3252432</v>
      </c>
      <c r="F307" s="121">
        <v>2176378</v>
      </c>
      <c r="G307" s="413" t="s">
        <v>529</v>
      </c>
      <c r="H307" s="121">
        <v>1076054</v>
      </c>
      <c r="I307" s="392">
        <v>0</v>
      </c>
      <c r="J307" s="392">
        <v>0</v>
      </c>
      <c r="K307" s="392">
        <v>0</v>
      </c>
      <c r="L307" s="121">
        <v>1076054</v>
      </c>
      <c r="M307" s="450" t="s">
        <v>529</v>
      </c>
    </row>
    <row r="308" spans="1:13" ht="15" customHeight="1" outlineLevel="2" x14ac:dyDescent="0.35">
      <c r="A308" s="93" t="s">
        <v>143</v>
      </c>
      <c r="B308" s="86" t="s">
        <v>104</v>
      </c>
      <c r="C308" s="85" t="s">
        <v>105</v>
      </c>
      <c r="D308" s="93">
        <v>350</v>
      </c>
      <c r="E308" s="121">
        <v>77113</v>
      </c>
      <c r="F308" s="121">
        <v>40229</v>
      </c>
      <c r="G308" s="413" t="s">
        <v>529</v>
      </c>
      <c r="H308" s="121">
        <v>36884</v>
      </c>
      <c r="I308" s="392">
        <v>0</v>
      </c>
      <c r="J308" s="392">
        <v>0</v>
      </c>
      <c r="K308" s="392">
        <v>0</v>
      </c>
      <c r="L308" s="121">
        <v>36884</v>
      </c>
      <c r="M308" s="450" t="s">
        <v>529</v>
      </c>
    </row>
    <row r="309" spans="1:13" ht="15.5" outlineLevel="2" x14ac:dyDescent="0.35">
      <c r="A309" s="93" t="s">
        <v>143</v>
      </c>
      <c r="B309" s="86" t="s">
        <v>106</v>
      </c>
      <c r="C309" s="85" t="s">
        <v>107</v>
      </c>
      <c r="D309" s="93">
        <v>173</v>
      </c>
      <c r="E309" s="121">
        <v>1475090</v>
      </c>
      <c r="F309" s="121">
        <v>1254514</v>
      </c>
      <c r="G309" s="413" t="s">
        <v>529</v>
      </c>
      <c r="H309" s="121">
        <v>220576</v>
      </c>
      <c r="I309" s="392">
        <v>0</v>
      </c>
      <c r="J309" s="392">
        <v>0</v>
      </c>
      <c r="K309" s="392">
        <v>0</v>
      </c>
      <c r="L309" s="121">
        <v>220576</v>
      </c>
      <c r="M309" s="450" t="s">
        <v>529</v>
      </c>
    </row>
    <row r="310" spans="1:13" ht="15" customHeight="1" outlineLevel="2" x14ac:dyDescent="0.35">
      <c r="A310" s="93" t="s">
        <v>143</v>
      </c>
      <c r="B310" s="86" t="s">
        <v>271</v>
      </c>
      <c r="C310" s="85" t="s">
        <v>272</v>
      </c>
      <c r="D310" s="93">
        <v>304</v>
      </c>
      <c r="E310" s="121">
        <v>159665</v>
      </c>
      <c r="F310" s="121">
        <v>26698</v>
      </c>
      <c r="G310" s="413" t="s">
        <v>529</v>
      </c>
      <c r="H310" s="121">
        <v>132967</v>
      </c>
      <c r="I310" s="392">
        <v>0</v>
      </c>
      <c r="J310" s="392">
        <v>0</v>
      </c>
      <c r="K310" s="392">
        <v>0</v>
      </c>
      <c r="L310" s="121">
        <v>132967</v>
      </c>
      <c r="M310" s="450" t="s">
        <v>529</v>
      </c>
    </row>
    <row r="311" spans="1:13" ht="15.5" outlineLevel="2" x14ac:dyDescent="0.35">
      <c r="A311" s="93" t="s">
        <v>143</v>
      </c>
      <c r="B311" s="86" t="s">
        <v>263</v>
      </c>
      <c r="C311" s="85" t="s">
        <v>264</v>
      </c>
      <c r="D311" s="93">
        <v>335</v>
      </c>
      <c r="E311" s="121">
        <v>30695</v>
      </c>
      <c r="F311" s="121">
        <v>27192</v>
      </c>
      <c r="G311" s="413" t="s">
        <v>529</v>
      </c>
      <c r="H311" s="121">
        <v>3503</v>
      </c>
      <c r="I311" s="392">
        <v>0</v>
      </c>
      <c r="J311" s="392">
        <v>0</v>
      </c>
      <c r="K311" s="392">
        <v>0</v>
      </c>
      <c r="L311" s="121">
        <v>3503</v>
      </c>
      <c r="M311" s="450" t="s">
        <v>529</v>
      </c>
    </row>
    <row r="312" spans="1:13" ht="48" customHeight="1" outlineLevel="2" x14ac:dyDescent="0.35">
      <c r="A312" s="93" t="s">
        <v>143</v>
      </c>
      <c r="B312" s="86" t="s">
        <v>273</v>
      </c>
      <c r="C312" s="85" t="s">
        <v>274</v>
      </c>
      <c r="D312" s="93">
        <v>329</v>
      </c>
      <c r="E312" s="121">
        <v>1391500</v>
      </c>
      <c r="F312" s="121">
        <v>1019340</v>
      </c>
      <c r="G312" s="413" t="s">
        <v>529</v>
      </c>
      <c r="H312" s="121">
        <v>372160</v>
      </c>
      <c r="I312" s="392">
        <v>0</v>
      </c>
      <c r="J312" s="392">
        <v>0</v>
      </c>
      <c r="K312" s="392">
        <v>0</v>
      </c>
      <c r="L312" s="121">
        <v>372160</v>
      </c>
      <c r="M312" s="450" t="s">
        <v>529</v>
      </c>
    </row>
    <row r="313" spans="1:13" ht="36.5" customHeight="1" outlineLevel="2" x14ac:dyDescent="0.35">
      <c r="A313" s="93" t="s">
        <v>143</v>
      </c>
      <c r="B313" s="86" t="s">
        <v>108</v>
      </c>
      <c r="C313" s="85" t="s">
        <v>109</v>
      </c>
      <c r="D313" s="93">
        <v>261</v>
      </c>
      <c r="E313" s="121">
        <v>905756</v>
      </c>
      <c r="F313" s="121">
        <v>827559</v>
      </c>
      <c r="G313" s="413" t="s">
        <v>529</v>
      </c>
      <c r="H313" s="121">
        <v>78197</v>
      </c>
      <c r="I313" s="392">
        <v>0</v>
      </c>
      <c r="J313" s="392">
        <v>0</v>
      </c>
      <c r="K313" s="392">
        <v>0</v>
      </c>
      <c r="L313" s="121">
        <v>78197</v>
      </c>
      <c r="M313" s="450" t="s">
        <v>529</v>
      </c>
    </row>
    <row r="314" spans="1:13" ht="15" customHeight="1" outlineLevel="2" x14ac:dyDescent="0.35">
      <c r="A314" s="93" t="s">
        <v>143</v>
      </c>
      <c r="B314" s="86" t="s">
        <v>110</v>
      </c>
      <c r="C314" s="85" t="s">
        <v>111</v>
      </c>
      <c r="D314" s="93">
        <v>244</v>
      </c>
      <c r="E314" s="121">
        <v>1880327</v>
      </c>
      <c r="F314" s="121">
        <v>1751540</v>
      </c>
      <c r="G314" s="413" t="s">
        <v>529</v>
      </c>
      <c r="H314" s="121">
        <v>128787</v>
      </c>
      <c r="I314" s="392">
        <v>0</v>
      </c>
      <c r="J314" s="392">
        <v>0</v>
      </c>
      <c r="K314" s="392">
        <v>0</v>
      </c>
      <c r="L314" s="121">
        <v>128787</v>
      </c>
      <c r="M314" s="450" t="s">
        <v>529</v>
      </c>
    </row>
    <row r="315" spans="1:13" ht="15.5" outlineLevel="1" x14ac:dyDescent="0.35">
      <c r="A315" s="93" t="s">
        <v>143</v>
      </c>
      <c r="B315" s="86" t="s">
        <v>251</v>
      </c>
      <c r="C315" s="85" t="s">
        <v>93</v>
      </c>
      <c r="D315" s="93">
        <v>280</v>
      </c>
      <c r="E315" s="121">
        <v>88241</v>
      </c>
      <c r="F315" s="121">
        <v>32642</v>
      </c>
      <c r="G315" s="413" t="s">
        <v>529</v>
      </c>
      <c r="H315" s="121">
        <v>55599</v>
      </c>
      <c r="I315" s="392">
        <v>0</v>
      </c>
      <c r="J315" s="392">
        <v>0</v>
      </c>
      <c r="K315" s="392">
        <v>0</v>
      </c>
      <c r="L315" s="121">
        <v>55599</v>
      </c>
      <c r="M315" s="450" t="s">
        <v>529</v>
      </c>
    </row>
    <row r="316" spans="1:13" ht="33" customHeight="1" outlineLevel="2" x14ac:dyDescent="0.35">
      <c r="A316" s="93" t="s">
        <v>143</v>
      </c>
      <c r="B316" s="86" t="s">
        <v>275</v>
      </c>
      <c r="C316" s="85" t="s">
        <v>77</v>
      </c>
      <c r="D316" s="93">
        <v>176</v>
      </c>
      <c r="E316" s="121">
        <v>3640971</v>
      </c>
      <c r="F316" s="121">
        <v>2824667</v>
      </c>
      <c r="G316" s="413" t="s">
        <v>529</v>
      </c>
      <c r="H316" s="121">
        <v>816304</v>
      </c>
      <c r="I316" s="392">
        <v>0</v>
      </c>
      <c r="J316" s="392">
        <v>0</v>
      </c>
      <c r="K316" s="392">
        <v>0</v>
      </c>
      <c r="L316" s="121">
        <v>816304</v>
      </c>
      <c r="M316" s="450" t="s">
        <v>529</v>
      </c>
    </row>
    <row r="317" spans="1:13" ht="15" customHeight="1" outlineLevel="2" x14ac:dyDescent="0.35">
      <c r="A317" s="93" t="s">
        <v>143</v>
      </c>
      <c r="B317" s="86" t="s">
        <v>112</v>
      </c>
      <c r="C317" s="85" t="s">
        <v>113</v>
      </c>
      <c r="D317" s="93">
        <v>171</v>
      </c>
      <c r="E317" s="121">
        <v>2306300</v>
      </c>
      <c r="F317" s="121">
        <v>1836916</v>
      </c>
      <c r="G317" s="413" t="s">
        <v>529</v>
      </c>
      <c r="H317" s="121">
        <v>469384</v>
      </c>
      <c r="I317" s="392">
        <v>0</v>
      </c>
      <c r="J317" s="392">
        <v>0</v>
      </c>
      <c r="K317" s="392">
        <v>0</v>
      </c>
      <c r="L317" s="121">
        <v>469384</v>
      </c>
      <c r="M317" s="450" t="s">
        <v>529</v>
      </c>
    </row>
    <row r="318" spans="1:13" ht="30" customHeight="1" outlineLevel="2" x14ac:dyDescent="0.35">
      <c r="A318" s="93" t="s">
        <v>143</v>
      </c>
      <c r="B318" s="86" t="s">
        <v>114</v>
      </c>
      <c r="C318" s="85" t="s">
        <v>111</v>
      </c>
      <c r="D318" s="93">
        <v>258</v>
      </c>
      <c r="E318" s="121">
        <v>2683188</v>
      </c>
      <c r="F318" s="121">
        <v>1665935</v>
      </c>
      <c r="G318" s="413" t="s">
        <v>529</v>
      </c>
      <c r="H318" s="121">
        <v>1017253</v>
      </c>
      <c r="I318" s="392">
        <v>0</v>
      </c>
      <c r="J318" s="392">
        <v>0</v>
      </c>
      <c r="K318" s="392">
        <v>0</v>
      </c>
      <c r="L318" s="121">
        <v>1017253</v>
      </c>
      <c r="M318" s="450" t="s">
        <v>529</v>
      </c>
    </row>
    <row r="319" spans="1:13" ht="15.5" outlineLevel="2" x14ac:dyDescent="0.35">
      <c r="A319" s="93" t="s">
        <v>143</v>
      </c>
      <c r="B319" s="86" t="s">
        <v>115</v>
      </c>
      <c r="C319" s="85" t="s">
        <v>93</v>
      </c>
      <c r="D319" s="93">
        <v>260</v>
      </c>
      <c r="E319" s="121">
        <v>16543606</v>
      </c>
      <c r="F319" s="121">
        <v>13454196</v>
      </c>
      <c r="G319" s="413" t="s">
        <v>529</v>
      </c>
      <c r="H319" s="121">
        <v>3089410</v>
      </c>
      <c r="I319" s="392">
        <v>0</v>
      </c>
      <c r="J319" s="392">
        <v>0</v>
      </c>
      <c r="K319" s="392">
        <v>0</v>
      </c>
      <c r="L319" s="121">
        <v>3089410</v>
      </c>
      <c r="M319" s="450" t="s">
        <v>529</v>
      </c>
    </row>
    <row r="320" spans="1:13" ht="15" customHeight="1" outlineLevel="2" x14ac:dyDescent="0.35">
      <c r="A320" s="93" t="s">
        <v>143</v>
      </c>
      <c r="B320" s="86" t="s">
        <v>118</v>
      </c>
      <c r="C320" s="85" t="s">
        <v>119</v>
      </c>
      <c r="D320" s="93">
        <v>346</v>
      </c>
      <c r="E320" s="121">
        <v>28428</v>
      </c>
      <c r="F320" s="121">
        <v>12805</v>
      </c>
      <c r="G320" s="413" t="s">
        <v>529</v>
      </c>
      <c r="H320" s="121">
        <v>15623</v>
      </c>
      <c r="I320" s="392">
        <v>0</v>
      </c>
      <c r="J320" s="392">
        <v>0</v>
      </c>
      <c r="K320" s="392">
        <v>0</v>
      </c>
      <c r="L320" s="121">
        <v>15623</v>
      </c>
      <c r="M320" s="450" t="s">
        <v>529</v>
      </c>
    </row>
    <row r="321" spans="1:13" ht="15.5" outlineLevel="2" x14ac:dyDescent="0.35">
      <c r="A321" s="93" t="s">
        <v>143</v>
      </c>
      <c r="B321" s="86" t="s">
        <v>120</v>
      </c>
      <c r="C321" s="85" t="s">
        <v>121</v>
      </c>
      <c r="D321" s="93">
        <v>351</v>
      </c>
      <c r="E321" s="121">
        <v>123494</v>
      </c>
      <c r="F321" s="121">
        <v>102022</v>
      </c>
      <c r="G321" s="413" t="s">
        <v>529</v>
      </c>
      <c r="H321" s="121">
        <v>21472</v>
      </c>
      <c r="I321" s="392">
        <v>0</v>
      </c>
      <c r="J321" s="392">
        <v>0</v>
      </c>
      <c r="K321" s="392">
        <v>0</v>
      </c>
      <c r="L321" s="121">
        <v>21472</v>
      </c>
      <c r="M321" s="450" t="s">
        <v>529</v>
      </c>
    </row>
    <row r="322" spans="1:13" ht="15.5" outlineLevel="2" x14ac:dyDescent="0.35">
      <c r="A322" s="137" t="s">
        <v>146</v>
      </c>
      <c r="B322" s="429" t="s">
        <v>529</v>
      </c>
      <c r="C322" s="430" t="s">
        <v>529</v>
      </c>
      <c r="D322" s="409" t="s">
        <v>529</v>
      </c>
      <c r="E322" s="138">
        <f>SUBTOTAL(109,school201112[Program
Costs])</f>
        <v>417214426</v>
      </c>
      <c r="F322" s="138">
        <f>SUBTOTAL(109,school201112[Less: Net Payments and Offsets 8])</f>
        <v>279527311</v>
      </c>
      <c r="G322" s="414" t="s">
        <v>552</v>
      </c>
      <c r="H322" s="138">
        <f>SUBTOTAL(109,school201112[Accounts Payable
Balance])</f>
        <v>137687115</v>
      </c>
      <c r="I322" s="456" t="s">
        <v>615</v>
      </c>
      <c r="J322" s="456" t="s">
        <v>615</v>
      </c>
      <c r="K322" s="456" t="s">
        <v>615</v>
      </c>
      <c r="L322" s="138">
        <f>SUBTOTAL(109,school201112[Net
Balance])</f>
        <v>137687115</v>
      </c>
      <c r="M322" s="414" t="s">
        <v>552</v>
      </c>
    </row>
    <row r="323" spans="1:13" ht="15.5" outlineLevel="2" x14ac:dyDescent="0.35">
      <c r="A323" s="386" t="s">
        <v>540</v>
      </c>
      <c r="B323" s="139"/>
      <c r="C323" s="139"/>
      <c r="D323" s="139"/>
      <c r="E323" s="140"/>
      <c r="F323" s="140"/>
      <c r="G323" s="140"/>
      <c r="H323" s="140"/>
      <c r="I323" s="140"/>
      <c r="J323" s="140"/>
      <c r="K323" s="140"/>
      <c r="L323" s="140"/>
      <c r="M323" s="476"/>
    </row>
    <row r="324" spans="1:13" ht="50" customHeight="1" outlineLevel="2" x14ac:dyDescent="0.35">
      <c r="A324" s="457" t="s">
        <v>11</v>
      </c>
      <c r="B324" s="300" t="s">
        <v>12</v>
      </c>
      <c r="C324" s="158" t="s">
        <v>0</v>
      </c>
      <c r="D324" s="300" t="s">
        <v>132</v>
      </c>
      <c r="E324" s="458" t="s">
        <v>125</v>
      </c>
      <c r="F324" s="423" t="s">
        <v>614</v>
      </c>
      <c r="G324" s="424" t="s">
        <v>531</v>
      </c>
      <c r="H324" s="422" t="s">
        <v>495</v>
      </c>
      <c r="I324" s="422" t="s">
        <v>496</v>
      </c>
      <c r="J324" s="458" t="s">
        <v>134</v>
      </c>
      <c r="K324" s="422" t="s">
        <v>497</v>
      </c>
      <c r="L324" s="458" t="s">
        <v>133</v>
      </c>
      <c r="M324" s="459" t="s">
        <v>532</v>
      </c>
    </row>
    <row r="325" spans="1:13" ht="15" customHeight="1" outlineLevel="2" x14ac:dyDescent="0.35">
      <c r="A325" s="93" t="s">
        <v>41</v>
      </c>
      <c r="B325" s="86" t="s">
        <v>61</v>
      </c>
      <c r="C325" s="85" t="s">
        <v>62</v>
      </c>
      <c r="D325" s="93">
        <v>305</v>
      </c>
      <c r="E325" s="121">
        <v>404335</v>
      </c>
      <c r="F325" s="121">
        <v>284067</v>
      </c>
      <c r="G325" s="413" t="s">
        <v>529</v>
      </c>
      <c r="H325" s="121">
        <v>120268</v>
      </c>
      <c r="I325" s="392">
        <v>0</v>
      </c>
      <c r="J325" s="392">
        <v>0</v>
      </c>
      <c r="K325" s="392">
        <v>0</v>
      </c>
      <c r="L325" s="121">
        <v>120268</v>
      </c>
      <c r="M325" s="450" t="s">
        <v>529</v>
      </c>
    </row>
    <row r="326" spans="1:13" ht="15.5" outlineLevel="2" x14ac:dyDescent="0.35">
      <c r="A326" s="93" t="s">
        <v>41</v>
      </c>
      <c r="B326" s="86" t="s">
        <v>276</v>
      </c>
      <c r="C326" s="85" t="s">
        <v>277</v>
      </c>
      <c r="D326" s="93">
        <v>269</v>
      </c>
      <c r="E326" s="121">
        <v>8679</v>
      </c>
      <c r="F326" s="121">
        <v>6144</v>
      </c>
      <c r="G326" s="413" t="s">
        <v>529</v>
      </c>
      <c r="H326" s="121">
        <v>2535</v>
      </c>
      <c r="I326" s="392">
        <v>0</v>
      </c>
      <c r="J326" s="392">
        <v>0</v>
      </c>
      <c r="K326" s="392">
        <v>0</v>
      </c>
      <c r="L326" s="121">
        <v>2535</v>
      </c>
      <c r="M326" s="450" t="s">
        <v>529</v>
      </c>
    </row>
    <row r="327" spans="1:13" ht="30" customHeight="1" outlineLevel="2" x14ac:dyDescent="0.35">
      <c r="A327" s="93" t="s">
        <v>41</v>
      </c>
      <c r="B327" s="86" t="s">
        <v>63</v>
      </c>
      <c r="C327" s="85" t="s">
        <v>64</v>
      </c>
      <c r="D327" s="93">
        <v>250</v>
      </c>
      <c r="E327" s="121">
        <v>1284869</v>
      </c>
      <c r="F327" s="121">
        <v>670698</v>
      </c>
      <c r="G327" s="413" t="s">
        <v>529</v>
      </c>
      <c r="H327" s="121">
        <v>614171</v>
      </c>
      <c r="I327" s="392">
        <v>0</v>
      </c>
      <c r="J327" s="392">
        <v>0</v>
      </c>
      <c r="K327" s="392">
        <v>0</v>
      </c>
      <c r="L327" s="121">
        <v>614171</v>
      </c>
      <c r="M327" s="450" t="s">
        <v>529</v>
      </c>
    </row>
    <row r="328" spans="1:13" ht="31" outlineLevel="2" x14ac:dyDescent="0.35">
      <c r="A328" s="93" t="s">
        <v>41</v>
      </c>
      <c r="B328" s="86" t="s">
        <v>268</v>
      </c>
      <c r="C328" s="85" t="s">
        <v>266</v>
      </c>
      <c r="D328" s="93">
        <v>348</v>
      </c>
      <c r="E328" s="121">
        <v>1223752</v>
      </c>
      <c r="F328" s="121">
        <v>860241</v>
      </c>
      <c r="G328" s="413" t="s">
        <v>529</v>
      </c>
      <c r="H328" s="121">
        <v>363511</v>
      </c>
      <c r="I328" s="392">
        <v>0</v>
      </c>
      <c r="J328" s="392">
        <v>0</v>
      </c>
      <c r="K328" s="392">
        <v>0</v>
      </c>
      <c r="L328" s="121">
        <v>363511</v>
      </c>
      <c r="M328" s="450" t="s">
        <v>529</v>
      </c>
    </row>
    <row r="329" spans="1:13" ht="15.5" outlineLevel="2" x14ac:dyDescent="0.35">
      <c r="A329" s="93" t="s">
        <v>41</v>
      </c>
      <c r="B329" s="86" t="s">
        <v>258</v>
      </c>
      <c r="C329" s="85" t="s">
        <v>152</v>
      </c>
      <c r="D329" s="93">
        <v>354</v>
      </c>
      <c r="E329" s="121">
        <v>86685</v>
      </c>
      <c r="F329" s="121">
        <v>72103</v>
      </c>
      <c r="G329" s="413" t="s">
        <v>529</v>
      </c>
      <c r="H329" s="121">
        <v>14582</v>
      </c>
      <c r="I329" s="392">
        <v>0</v>
      </c>
      <c r="J329" s="392">
        <v>0</v>
      </c>
      <c r="K329" s="392">
        <v>0</v>
      </c>
      <c r="L329" s="121">
        <v>14582</v>
      </c>
      <c r="M329" s="450" t="s">
        <v>529</v>
      </c>
    </row>
    <row r="330" spans="1:13" ht="31" outlineLevel="2" x14ac:dyDescent="0.35">
      <c r="A330" s="93" t="s">
        <v>41</v>
      </c>
      <c r="B330" s="86" t="s">
        <v>67</v>
      </c>
      <c r="C330" s="85" t="s">
        <v>68</v>
      </c>
      <c r="D330" s="93">
        <v>286</v>
      </c>
      <c r="E330" s="121">
        <v>48564</v>
      </c>
      <c r="F330" s="121">
        <v>38573</v>
      </c>
      <c r="G330" s="413" t="s">
        <v>529</v>
      </c>
      <c r="H330" s="121">
        <v>9991</v>
      </c>
      <c r="I330" s="392">
        <v>0</v>
      </c>
      <c r="J330" s="392">
        <v>0</v>
      </c>
      <c r="K330" s="392">
        <v>0</v>
      </c>
      <c r="L330" s="121">
        <v>9991</v>
      </c>
      <c r="M330" s="450" t="s">
        <v>529</v>
      </c>
    </row>
    <row r="331" spans="1:13" ht="30" customHeight="1" outlineLevel="2" x14ac:dyDescent="0.35">
      <c r="A331" s="93" t="s">
        <v>41</v>
      </c>
      <c r="B331" s="86" t="s">
        <v>69</v>
      </c>
      <c r="C331" s="85" t="s">
        <v>70</v>
      </c>
      <c r="D331" s="93">
        <v>172</v>
      </c>
      <c r="E331" s="121">
        <v>509912</v>
      </c>
      <c r="F331" s="121">
        <v>359546</v>
      </c>
      <c r="G331" s="413" t="s">
        <v>529</v>
      </c>
      <c r="H331" s="121">
        <v>150366</v>
      </c>
      <c r="I331" s="392">
        <v>0</v>
      </c>
      <c r="J331" s="392">
        <v>0</v>
      </c>
      <c r="K331" s="392">
        <v>0</v>
      </c>
      <c r="L331" s="121">
        <v>150366</v>
      </c>
      <c r="M331" s="450" t="s">
        <v>529</v>
      </c>
    </row>
    <row r="332" spans="1:13" ht="15" customHeight="1" outlineLevel="2" x14ac:dyDescent="0.35">
      <c r="A332" s="93" t="s">
        <v>41</v>
      </c>
      <c r="B332" s="86" t="s">
        <v>420</v>
      </c>
      <c r="C332" s="85" t="s">
        <v>71</v>
      </c>
      <c r="D332" s="93">
        <v>278</v>
      </c>
      <c r="E332" s="121">
        <v>1935990</v>
      </c>
      <c r="F332" s="121">
        <v>1331459</v>
      </c>
      <c r="G332" s="413" t="s">
        <v>529</v>
      </c>
      <c r="H332" s="121">
        <v>604531</v>
      </c>
      <c r="I332" s="392">
        <v>0</v>
      </c>
      <c r="J332" s="392">
        <v>0</v>
      </c>
      <c r="K332" s="392">
        <v>0</v>
      </c>
      <c r="L332" s="121">
        <v>604531</v>
      </c>
      <c r="M332" s="450" t="s">
        <v>529</v>
      </c>
    </row>
    <row r="333" spans="1:13" ht="15" customHeight="1" outlineLevel="2" x14ac:dyDescent="0.35">
      <c r="A333" s="93" t="s">
        <v>41</v>
      </c>
      <c r="B333" s="86" t="s">
        <v>242</v>
      </c>
      <c r="C333" s="85" t="s">
        <v>243</v>
      </c>
      <c r="D333" s="93">
        <v>309</v>
      </c>
      <c r="E333" s="121">
        <v>13640</v>
      </c>
      <c r="F333" s="121">
        <v>7429</v>
      </c>
      <c r="G333" s="413" t="s">
        <v>529</v>
      </c>
      <c r="H333" s="121">
        <v>6211</v>
      </c>
      <c r="I333" s="392">
        <v>0</v>
      </c>
      <c r="J333" s="392">
        <v>0</v>
      </c>
      <c r="K333" s="392">
        <v>0</v>
      </c>
      <c r="L333" s="121">
        <v>6211</v>
      </c>
      <c r="M333" s="450" t="s">
        <v>529</v>
      </c>
    </row>
    <row r="334" spans="1:13" ht="32.5" customHeight="1" outlineLevel="2" x14ac:dyDescent="0.35">
      <c r="A334" s="93" t="s">
        <v>41</v>
      </c>
      <c r="B334" s="86" t="s">
        <v>72</v>
      </c>
      <c r="C334" s="85" t="s">
        <v>73</v>
      </c>
      <c r="D334" s="93">
        <v>11</v>
      </c>
      <c r="E334" s="121">
        <v>17982853</v>
      </c>
      <c r="F334" s="121">
        <v>14351227</v>
      </c>
      <c r="G334" s="413" t="s">
        <v>529</v>
      </c>
      <c r="H334" s="121">
        <v>3631626</v>
      </c>
      <c r="I334" s="392">
        <v>0</v>
      </c>
      <c r="J334" s="392">
        <v>0</v>
      </c>
      <c r="K334" s="392">
        <v>0</v>
      </c>
      <c r="L334" s="121">
        <v>3631626</v>
      </c>
      <c r="M334" s="450" t="s">
        <v>529</v>
      </c>
    </row>
    <row r="335" spans="1:13" ht="31" outlineLevel="2" x14ac:dyDescent="0.35">
      <c r="A335" s="93" t="s">
        <v>41</v>
      </c>
      <c r="B335" s="86" t="s">
        <v>74</v>
      </c>
      <c r="C335" s="85" t="s">
        <v>75</v>
      </c>
      <c r="D335" s="93">
        <v>313</v>
      </c>
      <c r="E335" s="121">
        <v>3242473</v>
      </c>
      <c r="F335" s="121">
        <v>2671236</v>
      </c>
      <c r="G335" s="413" t="s">
        <v>529</v>
      </c>
      <c r="H335" s="121">
        <v>571237</v>
      </c>
      <c r="I335" s="392">
        <v>0</v>
      </c>
      <c r="J335" s="392">
        <v>0</v>
      </c>
      <c r="K335" s="392">
        <v>0</v>
      </c>
      <c r="L335" s="121">
        <v>571237</v>
      </c>
      <c r="M335" s="450" t="s">
        <v>529</v>
      </c>
    </row>
    <row r="336" spans="1:13" ht="48.5" customHeight="1" outlineLevel="2" x14ac:dyDescent="0.35">
      <c r="A336" s="93" t="s">
        <v>41</v>
      </c>
      <c r="B336" s="86" t="s">
        <v>78</v>
      </c>
      <c r="C336" s="85" t="s">
        <v>79</v>
      </c>
      <c r="D336" s="93">
        <v>272</v>
      </c>
      <c r="E336" s="121">
        <v>9390921</v>
      </c>
      <c r="F336" s="121">
        <v>7958284</v>
      </c>
      <c r="G336" s="413" t="s">
        <v>529</v>
      </c>
      <c r="H336" s="121">
        <v>1432637</v>
      </c>
      <c r="I336" s="392">
        <v>0</v>
      </c>
      <c r="J336" s="392">
        <v>0</v>
      </c>
      <c r="K336" s="392">
        <v>0</v>
      </c>
      <c r="L336" s="121">
        <v>1432637</v>
      </c>
      <c r="M336" s="450" t="s">
        <v>529</v>
      </c>
    </row>
    <row r="337" spans="1:13" ht="51.5" customHeight="1" outlineLevel="2" x14ac:dyDescent="0.35">
      <c r="A337" s="93" t="s">
        <v>41</v>
      </c>
      <c r="B337" s="86" t="s">
        <v>80</v>
      </c>
      <c r="C337" s="85" t="s">
        <v>81</v>
      </c>
      <c r="D337" s="93">
        <v>276</v>
      </c>
      <c r="E337" s="121">
        <v>938353</v>
      </c>
      <c r="F337" s="121">
        <v>629984</v>
      </c>
      <c r="G337" s="413" t="s">
        <v>529</v>
      </c>
      <c r="H337" s="121">
        <v>308369</v>
      </c>
      <c r="I337" s="392">
        <v>0</v>
      </c>
      <c r="J337" s="392">
        <v>0</v>
      </c>
      <c r="K337" s="392">
        <v>0</v>
      </c>
      <c r="L337" s="121">
        <v>308369</v>
      </c>
      <c r="M337" s="450" t="s">
        <v>529</v>
      </c>
    </row>
    <row r="338" spans="1:13" ht="80.5" customHeight="1" outlineLevel="2" x14ac:dyDescent="0.35">
      <c r="A338" s="93" t="s">
        <v>41</v>
      </c>
      <c r="B338" s="86" t="s">
        <v>82</v>
      </c>
      <c r="C338" s="85" t="s">
        <v>83</v>
      </c>
      <c r="D338" s="93">
        <v>292</v>
      </c>
      <c r="E338" s="121">
        <v>7856369</v>
      </c>
      <c r="F338" s="121">
        <v>6178623</v>
      </c>
      <c r="G338" s="413" t="s">
        <v>529</v>
      </c>
      <c r="H338" s="121">
        <v>1677746</v>
      </c>
      <c r="I338" s="392">
        <v>0</v>
      </c>
      <c r="J338" s="392">
        <v>0</v>
      </c>
      <c r="K338" s="392">
        <v>0</v>
      </c>
      <c r="L338" s="121">
        <v>1677746</v>
      </c>
      <c r="M338" s="450" t="s">
        <v>529</v>
      </c>
    </row>
    <row r="339" spans="1:13" ht="29" customHeight="1" outlineLevel="2" x14ac:dyDescent="0.35">
      <c r="A339" s="93" t="s">
        <v>41</v>
      </c>
      <c r="B339" s="86" t="s">
        <v>84</v>
      </c>
      <c r="C339" s="85" t="s">
        <v>85</v>
      </c>
      <c r="D339" s="93">
        <v>209</v>
      </c>
      <c r="E339" s="121">
        <v>297042</v>
      </c>
      <c r="F339" s="121">
        <v>29832</v>
      </c>
      <c r="G339" s="413" t="s">
        <v>529</v>
      </c>
      <c r="H339" s="121">
        <v>267210</v>
      </c>
      <c r="I339" s="392">
        <v>0</v>
      </c>
      <c r="J339" s="392">
        <v>0</v>
      </c>
      <c r="K339" s="392">
        <v>0</v>
      </c>
      <c r="L339" s="121">
        <v>267210</v>
      </c>
      <c r="M339" s="450" t="s">
        <v>529</v>
      </c>
    </row>
    <row r="340" spans="1:13" ht="15" customHeight="1" outlineLevel="2" x14ac:dyDescent="0.35">
      <c r="A340" s="93" t="s">
        <v>41</v>
      </c>
      <c r="B340" s="86" t="s">
        <v>86</v>
      </c>
      <c r="C340" s="85" t="s">
        <v>87</v>
      </c>
      <c r="D340" s="93">
        <v>183</v>
      </c>
      <c r="E340" s="121">
        <v>472674</v>
      </c>
      <c r="F340" s="121">
        <v>391438</v>
      </c>
      <c r="G340" s="413" t="s">
        <v>529</v>
      </c>
      <c r="H340" s="121">
        <v>81236</v>
      </c>
      <c r="I340" s="392">
        <v>0</v>
      </c>
      <c r="J340" s="392">
        <v>0</v>
      </c>
      <c r="K340" s="392">
        <v>0</v>
      </c>
      <c r="L340" s="121">
        <v>81236</v>
      </c>
      <c r="M340" s="450" t="s">
        <v>529</v>
      </c>
    </row>
    <row r="341" spans="1:13" ht="15" customHeight="1" outlineLevel="2" x14ac:dyDescent="0.35">
      <c r="A341" s="93" t="s">
        <v>41</v>
      </c>
      <c r="B341" s="86" t="s">
        <v>88</v>
      </c>
      <c r="C341" s="85" t="s">
        <v>89</v>
      </c>
      <c r="D341" s="93">
        <v>251</v>
      </c>
      <c r="E341" s="121">
        <v>438643</v>
      </c>
      <c r="F341" s="121">
        <v>278771</v>
      </c>
      <c r="G341" s="413" t="s">
        <v>529</v>
      </c>
      <c r="H341" s="121">
        <v>159872</v>
      </c>
      <c r="I341" s="392">
        <v>0</v>
      </c>
      <c r="J341" s="392">
        <v>0</v>
      </c>
      <c r="K341" s="392">
        <v>0</v>
      </c>
      <c r="L341" s="121">
        <v>159872</v>
      </c>
      <c r="M341" s="450" t="s">
        <v>529</v>
      </c>
    </row>
    <row r="342" spans="1:13" ht="15" customHeight="1" outlineLevel="2" x14ac:dyDescent="0.35">
      <c r="A342" s="93" t="s">
        <v>41</v>
      </c>
      <c r="B342" s="86" t="s">
        <v>261</v>
      </c>
      <c r="C342" s="85" t="s">
        <v>262</v>
      </c>
      <c r="D342" s="93">
        <v>333</v>
      </c>
      <c r="E342" s="121">
        <v>51096</v>
      </c>
      <c r="F342" s="121">
        <v>24635</v>
      </c>
      <c r="G342" s="413" t="s">
        <v>529</v>
      </c>
      <c r="H342" s="121">
        <v>26461</v>
      </c>
      <c r="I342" s="392">
        <v>0</v>
      </c>
      <c r="J342" s="392">
        <v>0</v>
      </c>
      <c r="K342" s="392">
        <v>0</v>
      </c>
      <c r="L342" s="121">
        <v>26461</v>
      </c>
      <c r="M342" s="450" t="s">
        <v>529</v>
      </c>
    </row>
    <row r="343" spans="1:13" ht="35" customHeight="1" outlineLevel="2" x14ac:dyDescent="0.35">
      <c r="A343" s="93" t="s">
        <v>41</v>
      </c>
      <c r="B343" s="86" t="s">
        <v>248</v>
      </c>
      <c r="C343" s="85" t="s">
        <v>77</v>
      </c>
      <c r="D343" s="93">
        <v>91</v>
      </c>
      <c r="E343" s="121">
        <v>15135</v>
      </c>
      <c r="F343" s="121">
        <v>10746</v>
      </c>
      <c r="G343" s="413" t="s">
        <v>529</v>
      </c>
      <c r="H343" s="121">
        <v>4389</v>
      </c>
      <c r="I343" s="392">
        <v>0</v>
      </c>
      <c r="J343" s="392">
        <v>0</v>
      </c>
      <c r="K343" s="392">
        <v>0</v>
      </c>
      <c r="L343" s="121">
        <v>4389</v>
      </c>
      <c r="M343" s="450" t="s">
        <v>529</v>
      </c>
    </row>
    <row r="344" spans="1:13" ht="15" customHeight="1" outlineLevel="2" x14ac:dyDescent="0.35">
      <c r="A344" s="93" t="s">
        <v>41</v>
      </c>
      <c r="B344" s="86" t="s">
        <v>90</v>
      </c>
      <c r="C344" s="85" t="s">
        <v>91</v>
      </c>
      <c r="D344" s="93">
        <v>192</v>
      </c>
      <c r="E344" s="121">
        <v>281654</v>
      </c>
      <c r="F344" s="121">
        <v>169043</v>
      </c>
      <c r="G344" s="413" t="s">
        <v>529</v>
      </c>
      <c r="H344" s="121">
        <v>112611</v>
      </c>
      <c r="I344" s="392">
        <v>0</v>
      </c>
      <c r="J344" s="392">
        <v>0</v>
      </c>
      <c r="K344" s="392">
        <v>0</v>
      </c>
      <c r="L344" s="121">
        <v>112611</v>
      </c>
      <c r="M344" s="450" t="s">
        <v>529</v>
      </c>
    </row>
    <row r="345" spans="1:13" ht="32.5" customHeight="1" outlineLevel="2" x14ac:dyDescent="0.35">
      <c r="A345" s="93" t="s">
        <v>41</v>
      </c>
      <c r="B345" s="86" t="s">
        <v>92</v>
      </c>
      <c r="C345" s="85" t="s">
        <v>93</v>
      </c>
      <c r="D345" s="93">
        <v>297</v>
      </c>
      <c r="E345" s="121">
        <v>271208498</v>
      </c>
      <c r="F345" s="121">
        <v>177075406</v>
      </c>
      <c r="G345" s="413" t="s">
        <v>529</v>
      </c>
      <c r="H345" s="121">
        <v>94133092</v>
      </c>
      <c r="I345" s="392">
        <v>0</v>
      </c>
      <c r="J345" s="392">
        <v>0</v>
      </c>
      <c r="K345" s="392">
        <v>0</v>
      </c>
      <c r="L345" s="121">
        <v>94133092</v>
      </c>
      <c r="M345" s="450" t="s">
        <v>529</v>
      </c>
    </row>
    <row r="346" spans="1:13" ht="15" customHeight="1" outlineLevel="2" x14ac:dyDescent="0.35">
      <c r="A346" s="93" t="s">
        <v>41</v>
      </c>
      <c r="B346" s="86" t="s">
        <v>94</v>
      </c>
      <c r="C346" s="85" t="s">
        <v>95</v>
      </c>
      <c r="D346" s="93">
        <v>166</v>
      </c>
      <c r="E346" s="121">
        <v>7441492</v>
      </c>
      <c r="F346" s="121">
        <v>5709338</v>
      </c>
      <c r="G346" s="413" t="s">
        <v>529</v>
      </c>
      <c r="H346" s="121">
        <v>1732154</v>
      </c>
      <c r="I346" s="392">
        <v>0</v>
      </c>
      <c r="J346" s="392">
        <v>0</v>
      </c>
      <c r="K346" s="392">
        <v>0</v>
      </c>
      <c r="L346" s="121">
        <v>1732154</v>
      </c>
      <c r="M346" s="450" t="s">
        <v>529</v>
      </c>
    </row>
    <row r="347" spans="1:13" ht="15" customHeight="1" outlineLevel="2" x14ac:dyDescent="0.35">
      <c r="A347" s="93" t="s">
        <v>41</v>
      </c>
      <c r="B347" s="86" t="s">
        <v>244</v>
      </c>
      <c r="C347" s="85" t="s">
        <v>245</v>
      </c>
      <c r="D347" s="93">
        <v>268</v>
      </c>
      <c r="E347" s="121">
        <v>6645364</v>
      </c>
      <c r="F347" s="121">
        <v>4043416</v>
      </c>
      <c r="G347" s="413" t="s">
        <v>529</v>
      </c>
      <c r="H347" s="121">
        <v>2601948</v>
      </c>
      <c r="I347" s="392">
        <v>0</v>
      </c>
      <c r="J347" s="392">
        <v>0</v>
      </c>
      <c r="K347" s="392">
        <v>0</v>
      </c>
      <c r="L347" s="121">
        <v>2601948</v>
      </c>
      <c r="M347" s="450" t="s">
        <v>529</v>
      </c>
    </row>
    <row r="348" spans="1:13" ht="15" customHeight="1" outlineLevel="2" x14ac:dyDescent="0.35">
      <c r="A348" s="93" t="s">
        <v>41</v>
      </c>
      <c r="B348" s="86" t="s">
        <v>96</v>
      </c>
      <c r="C348" s="85" t="s">
        <v>97</v>
      </c>
      <c r="D348" s="93">
        <v>32</v>
      </c>
      <c r="E348" s="121">
        <v>4523685</v>
      </c>
      <c r="F348" s="121">
        <v>4169933</v>
      </c>
      <c r="G348" s="413" t="s">
        <v>529</v>
      </c>
      <c r="H348" s="121">
        <v>353752</v>
      </c>
      <c r="I348" s="392">
        <v>0</v>
      </c>
      <c r="J348" s="392">
        <v>0</v>
      </c>
      <c r="K348" s="392">
        <v>0</v>
      </c>
      <c r="L348" s="121">
        <v>353752</v>
      </c>
      <c r="M348" s="450" t="s">
        <v>529</v>
      </c>
    </row>
    <row r="349" spans="1:13" ht="15.5" outlineLevel="2" x14ac:dyDescent="0.35">
      <c r="A349" s="93" t="s">
        <v>41</v>
      </c>
      <c r="B349" s="86" t="s">
        <v>421</v>
      </c>
      <c r="C349" s="85" t="s">
        <v>99</v>
      </c>
      <c r="D349" s="93">
        <v>230</v>
      </c>
      <c r="E349" s="121">
        <v>5839873</v>
      </c>
      <c r="F349" s="121">
        <v>5536750</v>
      </c>
      <c r="G349" s="413" t="s">
        <v>529</v>
      </c>
      <c r="H349" s="121">
        <v>303123</v>
      </c>
      <c r="I349" s="392">
        <v>0</v>
      </c>
      <c r="J349" s="392">
        <v>0</v>
      </c>
      <c r="K349" s="392">
        <v>0</v>
      </c>
      <c r="L349" s="121">
        <v>303123</v>
      </c>
      <c r="M349" s="450" t="s">
        <v>529</v>
      </c>
    </row>
    <row r="350" spans="1:13" ht="15" customHeight="1" outlineLevel="2" x14ac:dyDescent="0.35">
      <c r="A350" s="93" t="s">
        <v>41</v>
      </c>
      <c r="B350" s="86" t="s">
        <v>249</v>
      </c>
      <c r="C350" s="85" t="s">
        <v>250</v>
      </c>
      <c r="D350" s="93">
        <v>148</v>
      </c>
      <c r="E350" s="121">
        <v>190413</v>
      </c>
      <c r="F350" s="121">
        <v>5416</v>
      </c>
      <c r="G350" s="413" t="s">
        <v>529</v>
      </c>
      <c r="H350" s="121">
        <v>184997</v>
      </c>
      <c r="I350" s="392">
        <v>0</v>
      </c>
      <c r="J350" s="392">
        <v>0</v>
      </c>
      <c r="K350" s="392">
        <v>0</v>
      </c>
      <c r="L350" s="121">
        <v>184997</v>
      </c>
      <c r="M350" s="450" t="s">
        <v>529</v>
      </c>
    </row>
    <row r="351" spans="1:13" ht="15" customHeight="1" outlineLevel="2" x14ac:dyDescent="0.35">
      <c r="A351" s="93" t="s">
        <v>41</v>
      </c>
      <c r="B351" s="86" t="s">
        <v>101</v>
      </c>
      <c r="C351" s="85" t="s">
        <v>102</v>
      </c>
      <c r="D351" s="93">
        <v>153</v>
      </c>
      <c r="E351" s="121">
        <v>4617785</v>
      </c>
      <c r="F351" s="121">
        <v>3861580</v>
      </c>
      <c r="G351" s="413" t="s">
        <v>529</v>
      </c>
      <c r="H351" s="121">
        <v>756205</v>
      </c>
      <c r="I351" s="392">
        <v>0</v>
      </c>
      <c r="J351" s="392">
        <v>0</v>
      </c>
      <c r="K351" s="392">
        <v>0</v>
      </c>
      <c r="L351" s="121">
        <v>756205</v>
      </c>
      <c r="M351" s="450" t="s">
        <v>529</v>
      </c>
    </row>
    <row r="352" spans="1:13" ht="15.5" outlineLevel="2" x14ac:dyDescent="0.35">
      <c r="A352" s="93" t="s">
        <v>41</v>
      </c>
      <c r="B352" s="86" t="s">
        <v>246</v>
      </c>
      <c r="C352" s="85" t="s">
        <v>247</v>
      </c>
      <c r="D352" s="93">
        <v>155</v>
      </c>
      <c r="E352" s="121">
        <v>987871</v>
      </c>
      <c r="F352" s="121">
        <v>268064</v>
      </c>
      <c r="G352" s="413" t="s">
        <v>529</v>
      </c>
      <c r="H352" s="121">
        <v>719807</v>
      </c>
      <c r="I352" s="392">
        <v>0</v>
      </c>
      <c r="J352" s="392">
        <v>0</v>
      </c>
      <c r="K352" s="392">
        <v>0</v>
      </c>
      <c r="L352" s="121">
        <v>719807</v>
      </c>
      <c r="M352" s="450" t="s">
        <v>529</v>
      </c>
    </row>
    <row r="353" spans="1:13" ht="15.5" outlineLevel="2" x14ac:dyDescent="0.35">
      <c r="A353" s="93" t="s">
        <v>41</v>
      </c>
      <c r="B353" s="86" t="s">
        <v>155</v>
      </c>
      <c r="C353" s="85" t="s">
        <v>156</v>
      </c>
      <c r="D353" s="93">
        <v>42</v>
      </c>
      <c r="E353" s="121">
        <v>16152484</v>
      </c>
      <c r="F353" s="121">
        <v>13025656</v>
      </c>
      <c r="G353" s="413" t="s">
        <v>529</v>
      </c>
      <c r="H353" s="121">
        <v>3126828</v>
      </c>
      <c r="I353" s="392">
        <v>0</v>
      </c>
      <c r="J353" s="392">
        <v>0</v>
      </c>
      <c r="K353" s="392">
        <v>0</v>
      </c>
      <c r="L353" s="121">
        <v>3126828</v>
      </c>
      <c r="M353" s="450" t="s">
        <v>529</v>
      </c>
    </row>
    <row r="354" spans="1:13" ht="15" customHeight="1" outlineLevel="2" x14ac:dyDescent="0.35">
      <c r="A354" s="93" t="s">
        <v>41</v>
      </c>
      <c r="B354" s="86" t="s">
        <v>103</v>
      </c>
      <c r="C354" s="85" t="s">
        <v>93</v>
      </c>
      <c r="D354" s="93">
        <v>48</v>
      </c>
      <c r="E354" s="121">
        <v>23711552</v>
      </c>
      <c r="F354" s="121">
        <v>20724878</v>
      </c>
      <c r="G354" s="413" t="s">
        <v>529</v>
      </c>
      <c r="H354" s="121">
        <v>2986674</v>
      </c>
      <c r="I354" s="392">
        <v>0</v>
      </c>
      <c r="J354" s="392">
        <v>0</v>
      </c>
      <c r="K354" s="392">
        <v>0</v>
      </c>
      <c r="L354" s="121">
        <v>2986674</v>
      </c>
      <c r="M354" s="450" t="s">
        <v>529</v>
      </c>
    </row>
    <row r="355" spans="1:13" ht="15" customHeight="1" outlineLevel="2" x14ac:dyDescent="0.35">
      <c r="A355" s="93" t="s">
        <v>41</v>
      </c>
      <c r="B355" s="86" t="s">
        <v>144</v>
      </c>
      <c r="C355" s="85" t="s">
        <v>145</v>
      </c>
      <c r="D355" s="93">
        <v>218</v>
      </c>
      <c r="E355" s="121">
        <v>3581330</v>
      </c>
      <c r="F355" s="121">
        <v>2599910</v>
      </c>
      <c r="G355" s="413" t="s">
        <v>529</v>
      </c>
      <c r="H355" s="121">
        <v>981420</v>
      </c>
      <c r="I355" s="392">
        <v>0</v>
      </c>
      <c r="J355" s="392">
        <v>0</v>
      </c>
      <c r="K355" s="392">
        <v>0</v>
      </c>
      <c r="L355" s="121">
        <v>981420</v>
      </c>
      <c r="M355" s="450" t="s">
        <v>529</v>
      </c>
    </row>
    <row r="356" spans="1:13" ht="15.5" outlineLevel="2" x14ac:dyDescent="0.35">
      <c r="A356" s="93" t="s">
        <v>41</v>
      </c>
      <c r="B356" s="86" t="s">
        <v>104</v>
      </c>
      <c r="C356" s="85" t="s">
        <v>105</v>
      </c>
      <c r="D356" s="93">
        <v>350</v>
      </c>
      <c r="E356" s="121">
        <v>75583</v>
      </c>
      <c r="F356" s="121">
        <v>67957</v>
      </c>
      <c r="G356" s="413" t="s">
        <v>529</v>
      </c>
      <c r="H356" s="121">
        <v>7626</v>
      </c>
      <c r="I356" s="392">
        <v>0</v>
      </c>
      <c r="J356" s="392">
        <v>0</v>
      </c>
      <c r="K356" s="392">
        <v>0</v>
      </c>
      <c r="L356" s="121">
        <v>7626</v>
      </c>
      <c r="M356" s="450" t="s">
        <v>529</v>
      </c>
    </row>
    <row r="357" spans="1:13" ht="15" customHeight="1" outlineLevel="2" x14ac:dyDescent="0.35">
      <c r="A357" s="93" t="s">
        <v>41</v>
      </c>
      <c r="B357" s="86" t="s">
        <v>278</v>
      </c>
      <c r="C357" s="85" t="s">
        <v>279</v>
      </c>
      <c r="D357" s="93">
        <v>195</v>
      </c>
      <c r="E357" s="121">
        <v>9000</v>
      </c>
      <c r="F357" s="121">
        <v>4735</v>
      </c>
      <c r="G357" s="413" t="s">
        <v>529</v>
      </c>
      <c r="H357" s="121">
        <v>4265</v>
      </c>
      <c r="I357" s="392">
        <v>0</v>
      </c>
      <c r="J357" s="392">
        <v>0</v>
      </c>
      <c r="K357" s="392">
        <v>0</v>
      </c>
      <c r="L357" s="121">
        <v>4265</v>
      </c>
      <c r="M357" s="450" t="s">
        <v>529</v>
      </c>
    </row>
    <row r="358" spans="1:13" ht="15" customHeight="1" outlineLevel="2" x14ac:dyDescent="0.35">
      <c r="A358" s="93" t="s">
        <v>41</v>
      </c>
      <c r="B358" s="86" t="s">
        <v>106</v>
      </c>
      <c r="C358" s="85" t="s">
        <v>107</v>
      </c>
      <c r="D358" s="93">
        <v>173</v>
      </c>
      <c r="E358" s="121">
        <v>1547323</v>
      </c>
      <c r="F358" s="121">
        <v>1294523</v>
      </c>
      <c r="G358" s="413" t="s">
        <v>529</v>
      </c>
      <c r="H358" s="121">
        <v>252800</v>
      </c>
      <c r="I358" s="392">
        <v>0</v>
      </c>
      <c r="J358" s="392">
        <v>0</v>
      </c>
      <c r="K358" s="392">
        <v>0</v>
      </c>
      <c r="L358" s="121">
        <v>252800</v>
      </c>
      <c r="M358" s="450" t="s">
        <v>529</v>
      </c>
    </row>
    <row r="359" spans="1:13" ht="15.5" outlineLevel="2" x14ac:dyDescent="0.35">
      <c r="A359" s="93" t="s">
        <v>41</v>
      </c>
      <c r="B359" s="86" t="s">
        <v>271</v>
      </c>
      <c r="C359" s="85" t="s">
        <v>272</v>
      </c>
      <c r="D359" s="93">
        <v>304</v>
      </c>
      <c r="E359" s="121">
        <v>201323</v>
      </c>
      <c r="F359" s="121">
        <v>12323</v>
      </c>
      <c r="G359" s="413" t="s">
        <v>529</v>
      </c>
      <c r="H359" s="121">
        <v>189000</v>
      </c>
      <c r="I359" s="392">
        <v>0</v>
      </c>
      <c r="J359" s="392">
        <v>0</v>
      </c>
      <c r="K359" s="392">
        <v>0</v>
      </c>
      <c r="L359" s="121">
        <v>189000</v>
      </c>
      <c r="M359" s="450" t="s">
        <v>529</v>
      </c>
    </row>
    <row r="360" spans="1:13" ht="46.5" outlineLevel="2" x14ac:dyDescent="0.35">
      <c r="A360" s="93" t="s">
        <v>41</v>
      </c>
      <c r="B360" s="86" t="s">
        <v>273</v>
      </c>
      <c r="C360" s="85" t="s">
        <v>274</v>
      </c>
      <c r="D360" s="93">
        <v>329</v>
      </c>
      <c r="E360" s="121">
        <v>1485859</v>
      </c>
      <c r="F360" s="121">
        <v>1185110</v>
      </c>
      <c r="G360" s="413" t="s">
        <v>529</v>
      </c>
      <c r="H360" s="121">
        <v>300749</v>
      </c>
      <c r="I360" s="392">
        <v>0</v>
      </c>
      <c r="J360" s="392">
        <v>0</v>
      </c>
      <c r="K360" s="392">
        <v>0</v>
      </c>
      <c r="L360" s="121">
        <v>300749</v>
      </c>
      <c r="M360" s="450" t="s">
        <v>529</v>
      </c>
    </row>
    <row r="361" spans="1:13" ht="30" customHeight="1" outlineLevel="2" x14ac:dyDescent="0.35">
      <c r="A361" s="93" t="s">
        <v>41</v>
      </c>
      <c r="B361" s="86" t="s">
        <v>108</v>
      </c>
      <c r="C361" s="85" t="s">
        <v>109</v>
      </c>
      <c r="D361" s="93">
        <v>261</v>
      </c>
      <c r="E361" s="121">
        <v>790823</v>
      </c>
      <c r="F361" s="121">
        <v>738103</v>
      </c>
      <c r="G361" s="413" t="s">
        <v>529</v>
      </c>
      <c r="H361" s="121">
        <v>52720</v>
      </c>
      <c r="I361" s="392">
        <v>0</v>
      </c>
      <c r="J361" s="392">
        <v>0</v>
      </c>
      <c r="K361" s="392">
        <v>0</v>
      </c>
      <c r="L361" s="121">
        <v>52720</v>
      </c>
      <c r="M361" s="450" t="s">
        <v>529</v>
      </c>
    </row>
    <row r="362" spans="1:13" ht="15" customHeight="1" outlineLevel="2" x14ac:dyDescent="0.35">
      <c r="A362" s="93" t="s">
        <v>41</v>
      </c>
      <c r="B362" s="86" t="s">
        <v>110</v>
      </c>
      <c r="C362" s="85" t="s">
        <v>111</v>
      </c>
      <c r="D362" s="93">
        <v>244</v>
      </c>
      <c r="E362" s="121">
        <v>1888836</v>
      </c>
      <c r="F362" s="121">
        <v>1773230</v>
      </c>
      <c r="G362" s="413" t="s">
        <v>529</v>
      </c>
      <c r="H362" s="121">
        <v>115606</v>
      </c>
      <c r="I362" s="392">
        <v>0</v>
      </c>
      <c r="J362" s="392">
        <v>0</v>
      </c>
      <c r="K362" s="392">
        <v>0</v>
      </c>
      <c r="L362" s="121">
        <v>115606</v>
      </c>
      <c r="M362" s="450" t="s">
        <v>529</v>
      </c>
    </row>
    <row r="363" spans="1:13" ht="15" customHeight="1" outlineLevel="2" x14ac:dyDescent="0.35">
      <c r="A363" s="93" t="s">
        <v>41</v>
      </c>
      <c r="B363" s="86" t="s">
        <v>251</v>
      </c>
      <c r="C363" s="85" t="s">
        <v>93</v>
      </c>
      <c r="D363" s="93">
        <v>280</v>
      </c>
      <c r="E363" s="121">
        <v>119811</v>
      </c>
      <c r="F363" s="121">
        <v>29250</v>
      </c>
      <c r="G363" s="413" t="s">
        <v>529</v>
      </c>
      <c r="H363" s="121">
        <v>90561</v>
      </c>
      <c r="I363" s="392">
        <v>0</v>
      </c>
      <c r="J363" s="392">
        <v>0</v>
      </c>
      <c r="K363" s="392">
        <v>0</v>
      </c>
      <c r="L363" s="121">
        <v>90561</v>
      </c>
      <c r="M363" s="450" t="s">
        <v>529</v>
      </c>
    </row>
    <row r="364" spans="1:13" ht="32" customHeight="1" outlineLevel="2" x14ac:dyDescent="0.35">
      <c r="A364" s="93" t="s">
        <v>41</v>
      </c>
      <c r="B364" s="86" t="s">
        <v>275</v>
      </c>
      <c r="C364" s="85" t="s">
        <v>77</v>
      </c>
      <c r="D364" s="93">
        <v>176</v>
      </c>
      <c r="E364" s="121">
        <v>4838148</v>
      </c>
      <c r="F364" s="121">
        <v>3627093</v>
      </c>
      <c r="G364" s="413" t="s">
        <v>529</v>
      </c>
      <c r="H364" s="121">
        <v>1211055</v>
      </c>
      <c r="I364" s="392">
        <v>0</v>
      </c>
      <c r="J364" s="392">
        <v>0</v>
      </c>
      <c r="K364" s="392">
        <v>0</v>
      </c>
      <c r="L364" s="121">
        <v>1211055</v>
      </c>
      <c r="M364" s="450" t="s">
        <v>529</v>
      </c>
    </row>
    <row r="365" spans="1:13" ht="15" customHeight="1" outlineLevel="2" x14ac:dyDescent="0.35">
      <c r="A365" s="93" t="s">
        <v>41</v>
      </c>
      <c r="B365" s="86" t="s">
        <v>280</v>
      </c>
      <c r="C365" s="85" t="s">
        <v>281</v>
      </c>
      <c r="D365" s="93">
        <v>57</v>
      </c>
      <c r="E365" s="121">
        <v>108771</v>
      </c>
      <c r="F365" s="121">
        <v>62375</v>
      </c>
      <c r="G365" s="413" t="s">
        <v>529</v>
      </c>
      <c r="H365" s="121">
        <v>46396</v>
      </c>
      <c r="I365" s="392">
        <v>0</v>
      </c>
      <c r="J365" s="392">
        <v>0</v>
      </c>
      <c r="K365" s="392">
        <v>0</v>
      </c>
      <c r="L365" s="121">
        <v>46396</v>
      </c>
      <c r="M365" s="450" t="s">
        <v>529</v>
      </c>
    </row>
    <row r="366" spans="1:13" ht="15.5" outlineLevel="1" x14ac:dyDescent="0.35">
      <c r="A366" s="93" t="s">
        <v>41</v>
      </c>
      <c r="B366" s="86" t="s">
        <v>112</v>
      </c>
      <c r="C366" s="85" t="s">
        <v>113</v>
      </c>
      <c r="D366" s="93">
        <v>171</v>
      </c>
      <c r="E366" s="121">
        <v>2690215</v>
      </c>
      <c r="F366" s="121">
        <v>2201763</v>
      </c>
      <c r="G366" s="413" t="s">
        <v>529</v>
      </c>
      <c r="H366" s="121">
        <v>488452</v>
      </c>
      <c r="I366" s="392">
        <v>0</v>
      </c>
      <c r="J366" s="392">
        <v>0</v>
      </c>
      <c r="K366" s="392">
        <v>0</v>
      </c>
      <c r="L366" s="121">
        <v>488452</v>
      </c>
      <c r="M366" s="450" t="s">
        <v>529</v>
      </c>
    </row>
    <row r="367" spans="1:13" ht="36" customHeight="1" outlineLevel="2" x14ac:dyDescent="0.35">
      <c r="A367" s="93" t="s">
        <v>41</v>
      </c>
      <c r="B367" s="86" t="s">
        <v>114</v>
      </c>
      <c r="C367" s="85" t="s">
        <v>111</v>
      </c>
      <c r="D367" s="93">
        <v>258</v>
      </c>
      <c r="E367" s="121">
        <v>3264325</v>
      </c>
      <c r="F367" s="121">
        <v>2074791</v>
      </c>
      <c r="G367" s="413" t="s">
        <v>529</v>
      </c>
      <c r="H367" s="121">
        <v>1189534</v>
      </c>
      <c r="I367" s="392">
        <v>0</v>
      </c>
      <c r="J367" s="392">
        <v>0</v>
      </c>
      <c r="K367" s="392">
        <v>0</v>
      </c>
      <c r="L367" s="121">
        <v>1189534</v>
      </c>
      <c r="M367" s="450" t="s">
        <v>529</v>
      </c>
    </row>
    <row r="368" spans="1:13" ht="15" customHeight="1" outlineLevel="2" x14ac:dyDescent="0.35">
      <c r="A368" s="93" t="s">
        <v>41</v>
      </c>
      <c r="B368" s="86" t="s">
        <v>254</v>
      </c>
      <c r="C368" s="85" t="s">
        <v>255</v>
      </c>
      <c r="D368" s="93">
        <v>228</v>
      </c>
      <c r="E368" s="121">
        <v>7405</v>
      </c>
      <c r="F368" s="121">
        <v>3652</v>
      </c>
      <c r="G368" s="413" t="s">
        <v>529</v>
      </c>
      <c r="H368" s="121">
        <v>3753</v>
      </c>
      <c r="I368" s="392">
        <v>0</v>
      </c>
      <c r="J368" s="392">
        <v>0</v>
      </c>
      <c r="K368" s="392">
        <v>0</v>
      </c>
      <c r="L368" s="121">
        <v>3753</v>
      </c>
      <c r="M368" s="450" t="s">
        <v>529</v>
      </c>
    </row>
    <row r="369" spans="1:13" ht="15.5" outlineLevel="2" x14ac:dyDescent="0.35">
      <c r="A369" s="93" t="s">
        <v>41</v>
      </c>
      <c r="B369" s="86" t="s">
        <v>282</v>
      </c>
      <c r="C369" s="85" t="s">
        <v>283</v>
      </c>
      <c r="D369" s="93">
        <v>58</v>
      </c>
      <c r="E369" s="121">
        <v>205106</v>
      </c>
      <c r="F369" s="121">
        <v>197875</v>
      </c>
      <c r="G369" s="413" t="s">
        <v>529</v>
      </c>
      <c r="H369" s="121">
        <v>7231</v>
      </c>
      <c r="I369" s="392">
        <v>0</v>
      </c>
      <c r="J369" s="392">
        <v>0</v>
      </c>
      <c r="K369" s="392">
        <v>0</v>
      </c>
      <c r="L369" s="121">
        <v>7231</v>
      </c>
      <c r="M369" s="450" t="s">
        <v>529</v>
      </c>
    </row>
    <row r="370" spans="1:13" ht="15.5" outlineLevel="2" x14ac:dyDescent="0.35">
      <c r="A370" s="93" t="s">
        <v>41</v>
      </c>
      <c r="B370" s="86" t="s">
        <v>256</v>
      </c>
      <c r="C370" s="85" t="s">
        <v>257</v>
      </c>
      <c r="D370" s="93">
        <v>308</v>
      </c>
      <c r="E370" s="121">
        <v>242733</v>
      </c>
      <c r="F370" s="121">
        <v>87061</v>
      </c>
      <c r="G370" s="413" t="s">
        <v>529</v>
      </c>
      <c r="H370" s="121">
        <v>155672</v>
      </c>
      <c r="I370" s="392">
        <v>0</v>
      </c>
      <c r="J370" s="392">
        <v>0</v>
      </c>
      <c r="K370" s="392">
        <v>0</v>
      </c>
      <c r="L370" s="121">
        <v>155672</v>
      </c>
      <c r="M370" s="450" t="s">
        <v>529</v>
      </c>
    </row>
    <row r="371" spans="1:13" ht="15" customHeight="1" outlineLevel="2" x14ac:dyDescent="0.35">
      <c r="A371" s="93" t="s">
        <v>41</v>
      </c>
      <c r="B371" s="86" t="s">
        <v>115</v>
      </c>
      <c r="C371" s="85" t="s">
        <v>93</v>
      </c>
      <c r="D371" s="93">
        <v>260</v>
      </c>
      <c r="E371" s="121">
        <v>17524560</v>
      </c>
      <c r="F371" s="121">
        <v>14643538</v>
      </c>
      <c r="G371" s="413" t="s">
        <v>529</v>
      </c>
      <c r="H371" s="121">
        <v>2881022</v>
      </c>
      <c r="I371" s="392">
        <v>0</v>
      </c>
      <c r="J371" s="392">
        <v>0</v>
      </c>
      <c r="K371" s="392">
        <v>0</v>
      </c>
      <c r="L371" s="121">
        <v>2881022</v>
      </c>
      <c r="M371" s="450" t="s">
        <v>529</v>
      </c>
    </row>
    <row r="372" spans="1:13" ht="15" customHeight="1" outlineLevel="2" x14ac:dyDescent="0.35">
      <c r="A372" s="93" t="s">
        <v>41</v>
      </c>
      <c r="B372" s="86" t="s">
        <v>118</v>
      </c>
      <c r="C372" s="85" t="s">
        <v>119</v>
      </c>
      <c r="D372" s="93">
        <v>346</v>
      </c>
      <c r="E372" s="121">
        <v>32108</v>
      </c>
      <c r="F372" s="121">
        <v>16987</v>
      </c>
      <c r="G372" s="413" t="s">
        <v>529</v>
      </c>
      <c r="H372" s="121">
        <v>15121</v>
      </c>
      <c r="I372" s="392">
        <v>0</v>
      </c>
      <c r="J372" s="392">
        <v>0</v>
      </c>
      <c r="K372" s="392">
        <v>0</v>
      </c>
      <c r="L372" s="121">
        <v>15121</v>
      </c>
      <c r="M372" s="450" t="s">
        <v>529</v>
      </c>
    </row>
    <row r="373" spans="1:13" ht="15" customHeight="1" outlineLevel="2" x14ac:dyDescent="0.35">
      <c r="A373" s="93" t="s">
        <v>41</v>
      </c>
      <c r="B373" s="86" t="s">
        <v>120</v>
      </c>
      <c r="C373" s="85" t="s">
        <v>121</v>
      </c>
      <c r="D373" s="93">
        <v>351</v>
      </c>
      <c r="E373" s="121">
        <v>122036</v>
      </c>
      <c r="F373" s="121">
        <v>112462</v>
      </c>
      <c r="G373" s="413" t="s">
        <v>529</v>
      </c>
      <c r="H373" s="121">
        <v>9574</v>
      </c>
      <c r="I373" s="392">
        <v>0</v>
      </c>
      <c r="J373" s="392">
        <v>0</v>
      </c>
      <c r="K373" s="392">
        <v>0</v>
      </c>
      <c r="L373" s="121">
        <v>9574</v>
      </c>
      <c r="M373" s="450" t="s">
        <v>529</v>
      </c>
    </row>
    <row r="374" spans="1:13" ht="15.5" outlineLevel="2" x14ac:dyDescent="0.35">
      <c r="A374" s="137" t="s">
        <v>159</v>
      </c>
      <c r="B374" s="429" t="s">
        <v>529</v>
      </c>
      <c r="C374" s="430" t="s">
        <v>529</v>
      </c>
      <c r="D374" s="409" t="s">
        <v>529</v>
      </c>
      <c r="E374" s="138">
        <f>SUBTOTAL(109,school201011[Program
Costs])</f>
        <v>426537951</v>
      </c>
      <c r="F374" s="138">
        <f>SUBTOTAL(109,school201011[Less: Net Payments and Offsets 8])</f>
        <v>301477254</v>
      </c>
      <c r="G374" s="414" t="s">
        <v>552</v>
      </c>
      <c r="H374" s="138">
        <f>SUBTOTAL(109,school201011[Accounts Payable
Balance])</f>
        <v>125060697</v>
      </c>
      <c r="I374" s="456" t="s">
        <v>615</v>
      </c>
      <c r="J374" s="456" t="s">
        <v>615</v>
      </c>
      <c r="K374" s="456" t="s">
        <v>615</v>
      </c>
      <c r="L374" s="138">
        <f>SUBTOTAL(109,school201011[Net
Balance])</f>
        <v>125060697</v>
      </c>
      <c r="M374" s="414" t="s">
        <v>552</v>
      </c>
    </row>
    <row r="375" spans="1:13" ht="15" customHeight="1" outlineLevel="2" x14ac:dyDescent="0.35">
      <c r="A375" s="386" t="s">
        <v>540</v>
      </c>
      <c r="B375" s="139"/>
      <c r="C375" s="139"/>
      <c r="D375" s="139"/>
      <c r="E375" s="140"/>
      <c r="F375" s="140"/>
      <c r="G375" s="140"/>
      <c r="H375" s="140"/>
      <c r="I375" s="140"/>
      <c r="J375" s="140"/>
      <c r="K375" s="140"/>
      <c r="L375" s="140"/>
      <c r="M375" s="476"/>
    </row>
    <row r="376" spans="1:13" ht="50" customHeight="1" outlineLevel="2" x14ac:dyDescent="0.35">
      <c r="A376" s="457" t="s">
        <v>11</v>
      </c>
      <c r="B376" s="300" t="s">
        <v>12</v>
      </c>
      <c r="C376" s="158" t="s">
        <v>0</v>
      </c>
      <c r="D376" s="300" t="s">
        <v>132</v>
      </c>
      <c r="E376" s="458" t="s">
        <v>125</v>
      </c>
      <c r="F376" s="423" t="s">
        <v>614</v>
      </c>
      <c r="G376" s="424" t="s">
        <v>531</v>
      </c>
      <c r="H376" s="422" t="s">
        <v>495</v>
      </c>
      <c r="I376" s="422" t="s">
        <v>496</v>
      </c>
      <c r="J376" s="458" t="s">
        <v>134</v>
      </c>
      <c r="K376" s="422" t="s">
        <v>497</v>
      </c>
      <c r="L376" s="458" t="s">
        <v>133</v>
      </c>
      <c r="M376" s="459" t="s">
        <v>532</v>
      </c>
    </row>
    <row r="377" spans="1:13" ht="15.5" outlineLevel="2" x14ac:dyDescent="0.35">
      <c r="A377" s="93" t="s">
        <v>44</v>
      </c>
      <c r="B377" s="86" t="s">
        <v>61</v>
      </c>
      <c r="C377" s="85" t="s">
        <v>62</v>
      </c>
      <c r="D377" s="93">
        <v>305</v>
      </c>
      <c r="E377" s="121">
        <v>163684</v>
      </c>
      <c r="F377" s="121">
        <v>121828</v>
      </c>
      <c r="G377" s="413" t="s">
        <v>529</v>
      </c>
      <c r="H377" s="121">
        <v>41856</v>
      </c>
      <c r="I377" s="392">
        <v>0</v>
      </c>
      <c r="J377" s="392">
        <v>0</v>
      </c>
      <c r="K377" s="392">
        <v>0</v>
      </c>
      <c r="L377" s="121">
        <v>41856</v>
      </c>
      <c r="M377" s="450" t="s">
        <v>529</v>
      </c>
    </row>
    <row r="378" spans="1:13" ht="15.5" outlineLevel="2" x14ac:dyDescent="0.35">
      <c r="A378" s="93" t="s">
        <v>44</v>
      </c>
      <c r="B378" s="86" t="s">
        <v>276</v>
      </c>
      <c r="C378" s="85" t="s">
        <v>277</v>
      </c>
      <c r="D378" s="93">
        <v>269</v>
      </c>
      <c r="E378" s="121">
        <v>12470</v>
      </c>
      <c r="F378" s="121">
        <v>9355</v>
      </c>
      <c r="G378" s="413" t="s">
        <v>529</v>
      </c>
      <c r="H378" s="121">
        <v>3115</v>
      </c>
      <c r="I378" s="392">
        <v>0</v>
      </c>
      <c r="J378" s="392">
        <v>0</v>
      </c>
      <c r="K378" s="392">
        <v>0</v>
      </c>
      <c r="L378" s="121">
        <v>3115</v>
      </c>
      <c r="M378" s="450" t="s">
        <v>529</v>
      </c>
    </row>
    <row r="379" spans="1:13" ht="31" outlineLevel="2" x14ac:dyDescent="0.35">
      <c r="A379" s="93" t="s">
        <v>44</v>
      </c>
      <c r="B379" s="86" t="s">
        <v>63</v>
      </c>
      <c r="C379" s="85" t="s">
        <v>64</v>
      </c>
      <c r="D379" s="93">
        <v>250</v>
      </c>
      <c r="E379" s="121">
        <v>1382752</v>
      </c>
      <c r="F379" s="121">
        <v>1354624</v>
      </c>
      <c r="G379" s="413" t="s">
        <v>529</v>
      </c>
      <c r="H379" s="121">
        <v>28128</v>
      </c>
      <c r="I379" s="392">
        <v>0</v>
      </c>
      <c r="J379" s="392">
        <v>0</v>
      </c>
      <c r="K379" s="392">
        <v>0</v>
      </c>
      <c r="L379" s="121">
        <v>28128</v>
      </c>
      <c r="M379" s="450" t="s">
        <v>529</v>
      </c>
    </row>
    <row r="380" spans="1:13" ht="30" customHeight="1" outlineLevel="2" x14ac:dyDescent="0.35">
      <c r="A380" s="93" t="s">
        <v>44</v>
      </c>
      <c r="B380" s="86" t="s">
        <v>268</v>
      </c>
      <c r="C380" s="85" t="s">
        <v>266</v>
      </c>
      <c r="D380" s="93">
        <v>348</v>
      </c>
      <c r="E380" s="121">
        <v>54274890</v>
      </c>
      <c r="F380" s="121">
        <v>43186728</v>
      </c>
      <c r="G380" s="413" t="s">
        <v>529</v>
      </c>
      <c r="H380" s="121">
        <v>11088162</v>
      </c>
      <c r="I380" s="392">
        <v>0</v>
      </c>
      <c r="J380" s="392">
        <v>0</v>
      </c>
      <c r="K380" s="392">
        <v>0</v>
      </c>
      <c r="L380" s="121">
        <v>11088162</v>
      </c>
      <c r="M380" s="450" t="s">
        <v>529</v>
      </c>
    </row>
    <row r="381" spans="1:13" ht="15" customHeight="1" outlineLevel="2" x14ac:dyDescent="0.35">
      <c r="A381" s="93" t="s">
        <v>44</v>
      </c>
      <c r="B381" s="86" t="s">
        <v>258</v>
      </c>
      <c r="C381" s="85" t="s">
        <v>152</v>
      </c>
      <c r="D381" s="93">
        <v>354</v>
      </c>
      <c r="E381" s="121">
        <v>49027</v>
      </c>
      <c r="F381" s="121">
        <v>43176</v>
      </c>
      <c r="G381" s="413" t="s">
        <v>529</v>
      </c>
      <c r="H381" s="121">
        <v>5851</v>
      </c>
      <c r="I381" s="392">
        <v>0</v>
      </c>
      <c r="J381" s="392">
        <v>0</v>
      </c>
      <c r="K381" s="392">
        <v>0</v>
      </c>
      <c r="L381" s="121">
        <v>5851</v>
      </c>
      <c r="M381" s="450" t="s">
        <v>529</v>
      </c>
    </row>
    <row r="382" spans="1:13" ht="15" customHeight="1" outlineLevel="2" x14ac:dyDescent="0.35">
      <c r="A382" s="93" t="s">
        <v>44</v>
      </c>
      <c r="B382" s="86" t="s">
        <v>420</v>
      </c>
      <c r="C382" s="85" t="s">
        <v>71</v>
      </c>
      <c r="D382" s="93">
        <v>278</v>
      </c>
      <c r="E382" s="121">
        <v>1945612</v>
      </c>
      <c r="F382" s="121">
        <v>1771159</v>
      </c>
      <c r="G382" s="413" t="s">
        <v>529</v>
      </c>
      <c r="H382" s="121">
        <v>174453</v>
      </c>
      <c r="I382" s="392">
        <v>0</v>
      </c>
      <c r="J382" s="392">
        <v>0</v>
      </c>
      <c r="K382" s="392">
        <v>0</v>
      </c>
      <c r="L382" s="121">
        <v>174453</v>
      </c>
      <c r="M382" s="450" t="s">
        <v>529</v>
      </c>
    </row>
    <row r="383" spans="1:13" ht="15" customHeight="1" outlineLevel="2" x14ac:dyDescent="0.35">
      <c r="A383" s="93" t="s">
        <v>44</v>
      </c>
      <c r="B383" s="86" t="s">
        <v>242</v>
      </c>
      <c r="C383" s="85" t="s">
        <v>243</v>
      </c>
      <c r="D383" s="93">
        <v>309</v>
      </c>
      <c r="E383" s="121">
        <v>10638</v>
      </c>
      <c r="F383" s="121">
        <v>1061</v>
      </c>
      <c r="G383" s="413" t="s">
        <v>529</v>
      </c>
      <c r="H383" s="121">
        <v>9577</v>
      </c>
      <c r="I383" s="392">
        <v>0</v>
      </c>
      <c r="J383" s="392">
        <v>0</v>
      </c>
      <c r="K383" s="392">
        <v>0</v>
      </c>
      <c r="L383" s="121">
        <v>9577</v>
      </c>
      <c r="M383" s="450" t="s">
        <v>529</v>
      </c>
    </row>
    <row r="384" spans="1:13" ht="30" customHeight="1" outlineLevel="2" x14ac:dyDescent="0.35">
      <c r="A384" s="93" t="s">
        <v>44</v>
      </c>
      <c r="B384" s="86" t="s">
        <v>72</v>
      </c>
      <c r="C384" s="85" t="s">
        <v>73</v>
      </c>
      <c r="D384" s="93">
        <v>11</v>
      </c>
      <c r="E384" s="121">
        <v>21146549</v>
      </c>
      <c r="F384" s="121">
        <v>17942274</v>
      </c>
      <c r="G384" s="413" t="s">
        <v>529</v>
      </c>
      <c r="H384" s="121">
        <v>3204275</v>
      </c>
      <c r="I384" s="121">
        <v>6116</v>
      </c>
      <c r="J384" s="121">
        <v>2133</v>
      </c>
      <c r="K384" s="121">
        <v>3983</v>
      </c>
      <c r="L384" s="121">
        <v>3200292</v>
      </c>
      <c r="M384" s="450" t="s">
        <v>529</v>
      </c>
    </row>
    <row r="385" spans="1:13" ht="31" outlineLevel="2" x14ac:dyDescent="0.35">
      <c r="A385" s="93" t="s">
        <v>44</v>
      </c>
      <c r="B385" s="86" t="s">
        <v>74</v>
      </c>
      <c r="C385" s="85" t="s">
        <v>75</v>
      </c>
      <c r="D385" s="93">
        <v>313</v>
      </c>
      <c r="E385" s="121">
        <v>3339644</v>
      </c>
      <c r="F385" s="121">
        <v>3296121</v>
      </c>
      <c r="G385" s="413" t="s">
        <v>529</v>
      </c>
      <c r="H385" s="121">
        <v>43523</v>
      </c>
      <c r="I385" s="392">
        <v>0</v>
      </c>
      <c r="J385" s="392">
        <v>0</v>
      </c>
      <c r="K385" s="392">
        <v>0</v>
      </c>
      <c r="L385" s="121">
        <v>43523</v>
      </c>
      <c r="M385" s="450" t="s">
        <v>529</v>
      </c>
    </row>
    <row r="386" spans="1:13" ht="49.5" customHeight="1" outlineLevel="2" x14ac:dyDescent="0.35">
      <c r="A386" s="93" t="s">
        <v>44</v>
      </c>
      <c r="B386" s="86" t="s">
        <v>78</v>
      </c>
      <c r="C386" s="85" t="s">
        <v>79</v>
      </c>
      <c r="D386" s="93">
        <v>272</v>
      </c>
      <c r="E386" s="121">
        <v>9245785</v>
      </c>
      <c r="F386" s="121">
        <v>9214618</v>
      </c>
      <c r="G386" s="413" t="s">
        <v>529</v>
      </c>
      <c r="H386" s="121">
        <v>31167</v>
      </c>
      <c r="I386" s="392">
        <v>0</v>
      </c>
      <c r="J386" s="392">
        <v>0</v>
      </c>
      <c r="K386" s="392">
        <v>0</v>
      </c>
      <c r="L386" s="121">
        <v>31167</v>
      </c>
      <c r="M386" s="450" t="s">
        <v>529</v>
      </c>
    </row>
    <row r="387" spans="1:13" ht="54" customHeight="1" outlineLevel="2" x14ac:dyDescent="0.35">
      <c r="A387" s="93" t="s">
        <v>44</v>
      </c>
      <c r="B387" s="86" t="s">
        <v>80</v>
      </c>
      <c r="C387" s="85" t="s">
        <v>81</v>
      </c>
      <c r="D387" s="93">
        <v>276</v>
      </c>
      <c r="E387" s="121">
        <v>824608</v>
      </c>
      <c r="F387" s="121">
        <v>616600</v>
      </c>
      <c r="G387" s="413" t="s">
        <v>529</v>
      </c>
      <c r="H387" s="121">
        <v>208008</v>
      </c>
      <c r="I387" s="392">
        <v>0</v>
      </c>
      <c r="J387" s="392">
        <v>0</v>
      </c>
      <c r="K387" s="392">
        <v>0</v>
      </c>
      <c r="L387" s="121">
        <v>208008</v>
      </c>
      <c r="M387" s="450" t="s">
        <v>529</v>
      </c>
    </row>
    <row r="388" spans="1:13" ht="78" customHeight="1" outlineLevel="2" x14ac:dyDescent="0.35">
      <c r="A388" s="93" t="s">
        <v>44</v>
      </c>
      <c r="B388" s="86" t="s">
        <v>82</v>
      </c>
      <c r="C388" s="85" t="s">
        <v>83</v>
      </c>
      <c r="D388" s="93">
        <v>292</v>
      </c>
      <c r="E388" s="121">
        <v>8776032</v>
      </c>
      <c r="F388" s="121">
        <v>8520670</v>
      </c>
      <c r="G388" s="413" t="s">
        <v>529</v>
      </c>
      <c r="H388" s="121">
        <v>255362</v>
      </c>
      <c r="I388" s="121">
        <v>33477</v>
      </c>
      <c r="J388" s="121">
        <v>11081</v>
      </c>
      <c r="K388" s="121">
        <v>22396</v>
      </c>
      <c r="L388" s="121">
        <v>232966</v>
      </c>
      <c r="M388" s="450" t="s">
        <v>529</v>
      </c>
    </row>
    <row r="389" spans="1:13" ht="30" customHeight="1" outlineLevel="2" x14ac:dyDescent="0.35">
      <c r="A389" s="93" t="s">
        <v>44</v>
      </c>
      <c r="B389" s="86" t="s">
        <v>84</v>
      </c>
      <c r="C389" s="85" t="s">
        <v>85</v>
      </c>
      <c r="D389" s="93">
        <v>209</v>
      </c>
      <c r="E389" s="121">
        <v>337987</v>
      </c>
      <c r="F389" s="121">
        <v>316188</v>
      </c>
      <c r="G389" s="413" t="s">
        <v>529</v>
      </c>
      <c r="H389" s="121">
        <v>21799</v>
      </c>
      <c r="I389" s="392">
        <v>0</v>
      </c>
      <c r="J389" s="392">
        <v>0</v>
      </c>
      <c r="K389" s="392">
        <v>0</v>
      </c>
      <c r="L389" s="121">
        <v>21799</v>
      </c>
      <c r="M389" s="450" t="s">
        <v>529</v>
      </c>
    </row>
    <row r="390" spans="1:13" ht="15" customHeight="1" outlineLevel="2" x14ac:dyDescent="0.35">
      <c r="A390" s="93" t="s">
        <v>44</v>
      </c>
      <c r="B390" s="86" t="s">
        <v>86</v>
      </c>
      <c r="C390" s="85" t="s">
        <v>87</v>
      </c>
      <c r="D390" s="93">
        <v>183</v>
      </c>
      <c r="E390" s="121">
        <v>444298</v>
      </c>
      <c r="F390" s="121">
        <v>442546</v>
      </c>
      <c r="G390" s="413" t="s">
        <v>529</v>
      </c>
      <c r="H390" s="121">
        <v>1752</v>
      </c>
      <c r="I390" s="392">
        <v>0</v>
      </c>
      <c r="J390" s="392">
        <v>0</v>
      </c>
      <c r="K390" s="392">
        <v>0</v>
      </c>
      <c r="L390" s="121">
        <v>1752</v>
      </c>
      <c r="M390" s="450" t="s">
        <v>529</v>
      </c>
    </row>
    <row r="391" spans="1:13" ht="15" customHeight="1" outlineLevel="2" x14ac:dyDescent="0.35">
      <c r="A391" s="93" t="s">
        <v>44</v>
      </c>
      <c r="B391" s="86" t="s">
        <v>88</v>
      </c>
      <c r="C391" s="85" t="s">
        <v>89</v>
      </c>
      <c r="D391" s="93">
        <v>251</v>
      </c>
      <c r="E391" s="121">
        <v>382165</v>
      </c>
      <c r="F391" s="121">
        <v>323806</v>
      </c>
      <c r="G391" s="413" t="s">
        <v>529</v>
      </c>
      <c r="H391" s="121">
        <v>58359</v>
      </c>
      <c r="I391" s="392">
        <v>0</v>
      </c>
      <c r="J391" s="392">
        <v>0</v>
      </c>
      <c r="K391" s="392">
        <v>0</v>
      </c>
      <c r="L391" s="121">
        <v>58359</v>
      </c>
      <c r="M391" s="450" t="s">
        <v>529</v>
      </c>
    </row>
    <row r="392" spans="1:13" ht="15" customHeight="1" outlineLevel="2" x14ac:dyDescent="0.35">
      <c r="A392" s="93" t="s">
        <v>44</v>
      </c>
      <c r="B392" s="86" t="s">
        <v>261</v>
      </c>
      <c r="C392" s="85" t="s">
        <v>262</v>
      </c>
      <c r="D392" s="93">
        <v>333</v>
      </c>
      <c r="E392" s="121">
        <v>65793</v>
      </c>
      <c r="F392" s="121">
        <v>47649</v>
      </c>
      <c r="G392" s="413" t="s">
        <v>529</v>
      </c>
      <c r="H392" s="121">
        <v>18144</v>
      </c>
      <c r="I392" s="392">
        <v>0</v>
      </c>
      <c r="J392" s="392">
        <v>0</v>
      </c>
      <c r="K392" s="392">
        <v>0</v>
      </c>
      <c r="L392" s="121">
        <v>18144</v>
      </c>
      <c r="M392" s="450" t="s">
        <v>529</v>
      </c>
    </row>
    <row r="393" spans="1:13" ht="31" customHeight="1" outlineLevel="2" x14ac:dyDescent="0.35">
      <c r="A393" s="93" t="s">
        <v>44</v>
      </c>
      <c r="B393" s="86" t="s">
        <v>248</v>
      </c>
      <c r="C393" s="85" t="s">
        <v>77</v>
      </c>
      <c r="D393" s="93">
        <v>91</v>
      </c>
      <c r="E393" s="121">
        <v>12754</v>
      </c>
      <c r="F393" s="121">
        <v>10819</v>
      </c>
      <c r="G393" s="413" t="s">
        <v>529</v>
      </c>
      <c r="H393" s="121">
        <v>1935</v>
      </c>
      <c r="I393" s="392">
        <v>0</v>
      </c>
      <c r="J393" s="392">
        <v>0</v>
      </c>
      <c r="K393" s="392">
        <v>0</v>
      </c>
      <c r="L393" s="121">
        <v>1935</v>
      </c>
      <c r="M393" s="450" t="s">
        <v>529</v>
      </c>
    </row>
    <row r="394" spans="1:13" ht="31" customHeight="1" outlineLevel="2" x14ac:dyDescent="0.35">
      <c r="A394" s="93" t="s">
        <v>44</v>
      </c>
      <c r="B394" s="86" t="s">
        <v>92</v>
      </c>
      <c r="C394" s="85" t="s">
        <v>93</v>
      </c>
      <c r="D394" s="93">
        <v>297</v>
      </c>
      <c r="E394" s="121">
        <v>256893924</v>
      </c>
      <c r="F394" s="121">
        <v>175216847</v>
      </c>
      <c r="G394" s="413" t="s">
        <v>529</v>
      </c>
      <c r="H394" s="121">
        <v>81677077</v>
      </c>
      <c r="I394" s="392">
        <v>0</v>
      </c>
      <c r="J394" s="392">
        <v>0</v>
      </c>
      <c r="K394" s="392">
        <v>0</v>
      </c>
      <c r="L394" s="121">
        <v>81677077</v>
      </c>
      <c r="M394" s="450" t="s">
        <v>529</v>
      </c>
    </row>
    <row r="395" spans="1:13" ht="15" customHeight="1" outlineLevel="2" x14ac:dyDescent="0.35">
      <c r="A395" s="93" t="s">
        <v>44</v>
      </c>
      <c r="B395" s="86" t="s">
        <v>94</v>
      </c>
      <c r="C395" s="85" t="s">
        <v>95</v>
      </c>
      <c r="D395" s="93">
        <v>166</v>
      </c>
      <c r="E395" s="121">
        <v>8133459</v>
      </c>
      <c r="F395" s="121">
        <v>7007725</v>
      </c>
      <c r="G395" s="413" t="s">
        <v>529</v>
      </c>
      <c r="H395" s="121">
        <v>1125734</v>
      </c>
      <c r="I395" s="392">
        <v>0</v>
      </c>
      <c r="J395" s="392">
        <v>0</v>
      </c>
      <c r="K395" s="392">
        <v>0</v>
      </c>
      <c r="L395" s="121">
        <v>1125734</v>
      </c>
      <c r="M395" s="450" t="s">
        <v>529</v>
      </c>
    </row>
    <row r="396" spans="1:13" ht="15" customHeight="1" outlineLevel="2" x14ac:dyDescent="0.35">
      <c r="A396" s="93" t="s">
        <v>44</v>
      </c>
      <c r="B396" s="86" t="s">
        <v>244</v>
      </c>
      <c r="C396" s="85" t="s">
        <v>245</v>
      </c>
      <c r="D396" s="93">
        <v>268</v>
      </c>
      <c r="E396" s="121">
        <v>7419164</v>
      </c>
      <c r="F396" s="121">
        <v>6754707</v>
      </c>
      <c r="G396" s="413" t="s">
        <v>529</v>
      </c>
      <c r="H396" s="121">
        <v>664457</v>
      </c>
      <c r="I396" s="392">
        <v>0</v>
      </c>
      <c r="J396" s="392">
        <v>0</v>
      </c>
      <c r="K396" s="392">
        <v>0</v>
      </c>
      <c r="L396" s="121">
        <v>664457</v>
      </c>
      <c r="M396" s="450" t="s">
        <v>529</v>
      </c>
    </row>
    <row r="397" spans="1:13" ht="15" customHeight="1" outlineLevel="2" x14ac:dyDescent="0.35">
      <c r="A397" s="93" t="s">
        <v>44</v>
      </c>
      <c r="B397" s="86" t="s">
        <v>96</v>
      </c>
      <c r="C397" s="85" t="s">
        <v>97</v>
      </c>
      <c r="D397" s="93">
        <v>32</v>
      </c>
      <c r="E397" s="121">
        <v>4671453</v>
      </c>
      <c r="F397" s="121">
        <v>4619165</v>
      </c>
      <c r="G397" s="413" t="s">
        <v>529</v>
      </c>
      <c r="H397" s="121">
        <v>52288</v>
      </c>
      <c r="I397" s="392">
        <v>0</v>
      </c>
      <c r="J397" s="392">
        <v>0</v>
      </c>
      <c r="K397" s="392">
        <v>0</v>
      </c>
      <c r="L397" s="121">
        <v>52288</v>
      </c>
      <c r="M397" s="450" t="s">
        <v>529</v>
      </c>
    </row>
    <row r="398" spans="1:13" ht="15.5" outlineLevel="2" x14ac:dyDescent="0.35">
      <c r="A398" s="93" t="s">
        <v>44</v>
      </c>
      <c r="B398" s="86" t="s">
        <v>421</v>
      </c>
      <c r="C398" s="85" t="s">
        <v>99</v>
      </c>
      <c r="D398" s="93">
        <v>230</v>
      </c>
      <c r="E398" s="121">
        <v>5705616</v>
      </c>
      <c r="F398" s="121">
        <v>5667416</v>
      </c>
      <c r="G398" s="413" t="s">
        <v>529</v>
      </c>
      <c r="H398" s="121">
        <v>38200</v>
      </c>
      <c r="I398" s="121">
        <v>173</v>
      </c>
      <c r="J398" s="121">
        <v>173</v>
      </c>
      <c r="K398" s="392">
        <v>0</v>
      </c>
      <c r="L398" s="121">
        <v>38200</v>
      </c>
      <c r="M398" s="450" t="s">
        <v>529</v>
      </c>
    </row>
    <row r="399" spans="1:13" ht="15.5" outlineLevel="2" x14ac:dyDescent="0.35">
      <c r="A399" s="93" t="s">
        <v>44</v>
      </c>
      <c r="B399" s="86" t="s">
        <v>249</v>
      </c>
      <c r="C399" s="85" t="s">
        <v>250</v>
      </c>
      <c r="D399" s="93">
        <v>148</v>
      </c>
      <c r="E399" s="121">
        <v>199869</v>
      </c>
      <c r="F399" s="121">
        <v>7800</v>
      </c>
      <c r="G399" s="413" t="s">
        <v>529</v>
      </c>
      <c r="H399" s="121">
        <v>192069</v>
      </c>
      <c r="I399" s="392">
        <v>0</v>
      </c>
      <c r="J399" s="392">
        <v>0</v>
      </c>
      <c r="K399" s="392">
        <v>0</v>
      </c>
      <c r="L399" s="121">
        <v>192069</v>
      </c>
      <c r="M399" s="450" t="s">
        <v>529</v>
      </c>
    </row>
    <row r="400" spans="1:13" ht="15" customHeight="1" outlineLevel="2" x14ac:dyDescent="0.35">
      <c r="A400" s="93" t="s">
        <v>44</v>
      </c>
      <c r="B400" s="86" t="s">
        <v>101</v>
      </c>
      <c r="C400" s="85" t="s">
        <v>102</v>
      </c>
      <c r="D400" s="93">
        <v>153</v>
      </c>
      <c r="E400" s="121">
        <v>4394453</v>
      </c>
      <c r="F400" s="121">
        <v>4276983</v>
      </c>
      <c r="G400" s="413" t="s">
        <v>529</v>
      </c>
      <c r="H400" s="121">
        <v>117470</v>
      </c>
      <c r="I400" s="392">
        <v>0</v>
      </c>
      <c r="J400" s="392">
        <v>0</v>
      </c>
      <c r="K400" s="392">
        <v>0</v>
      </c>
      <c r="L400" s="121">
        <v>117470</v>
      </c>
      <c r="M400" s="450" t="s">
        <v>529</v>
      </c>
    </row>
    <row r="401" spans="1:13" ht="15" customHeight="1" outlineLevel="2" x14ac:dyDescent="0.35">
      <c r="A401" s="93" t="s">
        <v>44</v>
      </c>
      <c r="B401" s="86" t="s">
        <v>246</v>
      </c>
      <c r="C401" s="85" t="s">
        <v>247</v>
      </c>
      <c r="D401" s="93">
        <v>155</v>
      </c>
      <c r="E401" s="121">
        <v>1071881</v>
      </c>
      <c r="F401" s="121">
        <v>1019256</v>
      </c>
      <c r="G401" s="413" t="s">
        <v>529</v>
      </c>
      <c r="H401" s="121">
        <v>52625</v>
      </c>
      <c r="I401" s="392">
        <v>0</v>
      </c>
      <c r="J401" s="392">
        <v>0</v>
      </c>
      <c r="K401" s="392">
        <v>0</v>
      </c>
      <c r="L401" s="121">
        <v>52625</v>
      </c>
      <c r="M401" s="450" t="s">
        <v>529</v>
      </c>
    </row>
    <row r="402" spans="1:13" ht="15" customHeight="1" outlineLevel="2" x14ac:dyDescent="0.35">
      <c r="A402" s="93" t="s">
        <v>44</v>
      </c>
      <c r="B402" s="86" t="s">
        <v>155</v>
      </c>
      <c r="C402" s="85" t="s">
        <v>156</v>
      </c>
      <c r="D402" s="93">
        <v>42</v>
      </c>
      <c r="E402" s="121">
        <v>16547869</v>
      </c>
      <c r="F402" s="121">
        <v>13812414</v>
      </c>
      <c r="G402" s="413" t="s">
        <v>529</v>
      </c>
      <c r="H402" s="121">
        <v>2735455</v>
      </c>
      <c r="I402" s="121">
        <v>5</v>
      </c>
      <c r="J402" s="121">
        <v>1</v>
      </c>
      <c r="K402" s="121">
        <v>4</v>
      </c>
      <c r="L402" s="121">
        <v>2735451</v>
      </c>
      <c r="M402" s="450" t="s">
        <v>529</v>
      </c>
    </row>
    <row r="403" spans="1:13" ht="15.5" outlineLevel="2" x14ac:dyDescent="0.35">
      <c r="A403" s="93" t="s">
        <v>44</v>
      </c>
      <c r="B403" s="86" t="s">
        <v>103</v>
      </c>
      <c r="C403" s="85" t="s">
        <v>93</v>
      </c>
      <c r="D403" s="93">
        <v>48</v>
      </c>
      <c r="E403" s="121">
        <v>18493781</v>
      </c>
      <c r="F403" s="121">
        <v>16223313</v>
      </c>
      <c r="G403" s="413" t="s">
        <v>529</v>
      </c>
      <c r="H403" s="121">
        <v>2270468</v>
      </c>
      <c r="I403" s="392">
        <v>0</v>
      </c>
      <c r="J403" s="392">
        <v>0</v>
      </c>
      <c r="K403" s="392">
        <v>0</v>
      </c>
      <c r="L403" s="121">
        <v>2270468</v>
      </c>
      <c r="M403" s="450" t="s">
        <v>529</v>
      </c>
    </row>
    <row r="404" spans="1:13" ht="15" customHeight="1" outlineLevel="2" x14ac:dyDescent="0.35">
      <c r="A404" s="93" t="s">
        <v>44</v>
      </c>
      <c r="B404" s="86" t="s">
        <v>144</v>
      </c>
      <c r="C404" s="85" t="s">
        <v>145</v>
      </c>
      <c r="D404" s="93">
        <v>218</v>
      </c>
      <c r="E404" s="121">
        <v>3729137</v>
      </c>
      <c r="F404" s="121">
        <v>2850496</v>
      </c>
      <c r="G404" s="413" t="s">
        <v>529</v>
      </c>
      <c r="H404" s="121">
        <v>878641</v>
      </c>
      <c r="I404" s="392">
        <v>0</v>
      </c>
      <c r="J404" s="392">
        <v>0</v>
      </c>
      <c r="K404" s="392">
        <v>0</v>
      </c>
      <c r="L404" s="121">
        <v>878641</v>
      </c>
      <c r="M404" s="450" t="s">
        <v>529</v>
      </c>
    </row>
    <row r="405" spans="1:13" ht="15" customHeight="1" outlineLevel="2" x14ac:dyDescent="0.35">
      <c r="A405" s="93" t="s">
        <v>44</v>
      </c>
      <c r="B405" s="86" t="s">
        <v>104</v>
      </c>
      <c r="C405" s="85" t="s">
        <v>105</v>
      </c>
      <c r="D405" s="93">
        <v>350</v>
      </c>
      <c r="E405" s="121">
        <v>66447</v>
      </c>
      <c r="F405" s="121">
        <v>54751</v>
      </c>
      <c r="G405" s="413" t="s">
        <v>529</v>
      </c>
      <c r="H405" s="121">
        <v>11696</v>
      </c>
      <c r="I405" s="392">
        <v>0</v>
      </c>
      <c r="J405" s="392">
        <v>0</v>
      </c>
      <c r="K405" s="392">
        <v>0</v>
      </c>
      <c r="L405" s="121">
        <v>11696</v>
      </c>
      <c r="M405" s="450" t="s">
        <v>529</v>
      </c>
    </row>
    <row r="406" spans="1:13" ht="15.5" outlineLevel="2" x14ac:dyDescent="0.35">
      <c r="A406" s="93" t="s">
        <v>44</v>
      </c>
      <c r="B406" s="86" t="s">
        <v>271</v>
      </c>
      <c r="C406" s="85" t="s">
        <v>272</v>
      </c>
      <c r="D406" s="93">
        <v>304</v>
      </c>
      <c r="E406" s="121">
        <v>22223</v>
      </c>
      <c r="F406" s="121">
        <v>5219</v>
      </c>
      <c r="G406" s="413" t="s">
        <v>529</v>
      </c>
      <c r="H406" s="121">
        <v>17004</v>
      </c>
      <c r="I406" s="392">
        <v>0</v>
      </c>
      <c r="J406" s="392">
        <v>0</v>
      </c>
      <c r="K406" s="392">
        <v>0</v>
      </c>
      <c r="L406" s="121">
        <v>17004</v>
      </c>
      <c r="M406" s="450" t="s">
        <v>529</v>
      </c>
    </row>
    <row r="407" spans="1:13" ht="53" customHeight="1" outlineLevel="2" x14ac:dyDescent="0.35">
      <c r="A407" s="93" t="s">
        <v>44</v>
      </c>
      <c r="B407" s="86" t="s">
        <v>273</v>
      </c>
      <c r="C407" s="85" t="s">
        <v>274</v>
      </c>
      <c r="D407" s="93">
        <v>329</v>
      </c>
      <c r="E407" s="121">
        <v>1446214</v>
      </c>
      <c r="F407" s="121">
        <v>1118940</v>
      </c>
      <c r="G407" s="413" t="s">
        <v>529</v>
      </c>
      <c r="H407" s="121">
        <v>327274</v>
      </c>
      <c r="I407" s="392">
        <v>0</v>
      </c>
      <c r="J407" s="392">
        <v>0</v>
      </c>
      <c r="K407" s="392">
        <v>0</v>
      </c>
      <c r="L407" s="121">
        <v>327274</v>
      </c>
      <c r="M407" s="450" t="s">
        <v>529</v>
      </c>
    </row>
    <row r="408" spans="1:13" ht="34.5" customHeight="1" outlineLevel="2" x14ac:dyDescent="0.35">
      <c r="A408" s="93" t="s">
        <v>44</v>
      </c>
      <c r="B408" s="86" t="s">
        <v>108</v>
      </c>
      <c r="C408" s="85" t="s">
        <v>109</v>
      </c>
      <c r="D408" s="93">
        <v>261</v>
      </c>
      <c r="E408" s="121">
        <v>906604</v>
      </c>
      <c r="F408" s="121">
        <v>899722</v>
      </c>
      <c r="G408" s="413" t="s">
        <v>529</v>
      </c>
      <c r="H408" s="121">
        <v>6882</v>
      </c>
      <c r="I408" s="392">
        <v>0</v>
      </c>
      <c r="J408" s="392">
        <v>0</v>
      </c>
      <c r="K408" s="392">
        <v>0</v>
      </c>
      <c r="L408" s="121">
        <v>6882</v>
      </c>
      <c r="M408" s="450" t="s">
        <v>529</v>
      </c>
    </row>
    <row r="409" spans="1:13" ht="15" customHeight="1" outlineLevel="2" x14ac:dyDescent="0.35">
      <c r="A409" s="93" t="s">
        <v>44</v>
      </c>
      <c r="B409" s="86" t="s">
        <v>110</v>
      </c>
      <c r="C409" s="85" t="s">
        <v>111</v>
      </c>
      <c r="D409" s="93">
        <v>244</v>
      </c>
      <c r="E409" s="121">
        <v>2764503</v>
      </c>
      <c r="F409" s="121">
        <v>2710687</v>
      </c>
      <c r="G409" s="413" t="s">
        <v>529</v>
      </c>
      <c r="H409" s="121">
        <v>53816</v>
      </c>
      <c r="I409" s="392">
        <v>0</v>
      </c>
      <c r="J409" s="392">
        <v>0</v>
      </c>
      <c r="K409" s="392">
        <v>0</v>
      </c>
      <c r="L409" s="121">
        <v>53816</v>
      </c>
      <c r="M409" s="450" t="s">
        <v>529</v>
      </c>
    </row>
    <row r="410" spans="1:13" ht="15" customHeight="1" outlineLevel="2" x14ac:dyDescent="0.35">
      <c r="A410" s="93" t="s">
        <v>44</v>
      </c>
      <c r="B410" s="86" t="s">
        <v>284</v>
      </c>
      <c r="C410" s="85" t="s">
        <v>285</v>
      </c>
      <c r="D410" s="93">
        <v>182</v>
      </c>
      <c r="E410" s="121">
        <v>113910</v>
      </c>
      <c r="F410" s="121">
        <v>97651</v>
      </c>
      <c r="G410" s="413" t="s">
        <v>529</v>
      </c>
      <c r="H410" s="121">
        <v>16259</v>
      </c>
      <c r="I410" s="121">
        <v>19</v>
      </c>
      <c r="J410" s="121">
        <v>19</v>
      </c>
      <c r="K410" s="392">
        <v>0</v>
      </c>
      <c r="L410" s="121">
        <v>16259</v>
      </c>
      <c r="M410" s="450" t="s">
        <v>529</v>
      </c>
    </row>
    <row r="411" spans="1:13" ht="15" customHeight="1" outlineLevel="2" x14ac:dyDescent="0.35">
      <c r="A411" s="93" t="s">
        <v>44</v>
      </c>
      <c r="B411" s="86" t="s">
        <v>251</v>
      </c>
      <c r="C411" s="85" t="s">
        <v>93</v>
      </c>
      <c r="D411" s="93">
        <v>280</v>
      </c>
      <c r="E411" s="121">
        <v>118719</v>
      </c>
      <c r="F411" s="121">
        <v>82734</v>
      </c>
      <c r="G411" s="413" t="s">
        <v>529</v>
      </c>
      <c r="H411" s="121">
        <v>35985</v>
      </c>
      <c r="I411" s="392">
        <v>0</v>
      </c>
      <c r="J411" s="392">
        <v>0</v>
      </c>
      <c r="K411" s="392">
        <v>0</v>
      </c>
      <c r="L411" s="121">
        <v>35985</v>
      </c>
      <c r="M411" s="450" t="s">
        <v>529</v>
      </c>
    </row>
    <row r="412" spans="1:13" ht="31" outlineLevel="1" x14ac:dyDescent="0.35">
      <c r="A412" s="93" t="s">
        <v>44</v>
      </c>
      <c r="B412" s="86" t="s">
        <v>275</v>
      </c>
      <c r="C412" s="85" t="s">
        <v>77</v>
      </c>
      <c r="D412" s="93">
        <v>176</v>
      </c>
      <c r="E412" s="121">
        <v>5591939</v>
      </c>
      <c r="F412" s="121">
        <v>5576654</v>
      </c>
      <c r="G412" s="413" t="s">
        <v>529</v>
      </c>
      <c r="H412" s="121">
        <v>15285</v>
      </c>
      <c r="I412" s="121">
        <v>30395</v>
      </c>
      <c r="J412" s="392">
        <v>0</v>
      </c>
      <c r="K412" s="121">
        <v>30395</v>
      </c>
      <c r="L412" s="121">
        <v>-15110</v>
      </c>
      <c r="M412" s="450" t="s">
        <v>529</v>
      </c>
    </row>
    <row r="413" spans="1:13" ht="15" customHeight="1" outlineLevel="2" x14ac:dyDescent="0.35">
      <c r="A413" s="93" t="s">
        <v>44</v>
      </c>
      <c r="B413" s="86" t="s">
        <v>280</v>
      </c>
      <c r="C413" s="85" t="s">
        <v>281</v>
      </c>
      <c r="D413" s="93">
        <v>57</v>
      </c>
      <c r="E413" s="121">
        <v>973526</v>
      </c>
      <c r="F413" s="121">
        <v>729055</v>
      </c>
      <c r="G413" s="413" t="s">
        <v>529</v>
      </c>
      <c r="H413" s="121">
        <v>244471</v>
      </c>
      <c r="I413" s="392">
        <v>0</v>
      </c>
      <c r="J413" s="392">
        <v>0</v>
      </c>
      <c r="K413" s="392">
        <v>0</v>
      </c>
      <c r="L413" s="121">
        <v>244471</v>
      </c>
      <c r="M413" s="450" t="s">
        <v>529</v>
      </c>
    </row>
    <row r="414" spans="1:13" ht="15.5" outlineLevel="2" x14ac:dyDescent="0.35">
      <c r="A414" s="93" t="s">
        <v>44</v>
      </c>
      <c r="B414" s="86" t="s">
        <v>112</v>
      </c>
      <c r="C414" s="85" t="s">
        <v>113</v>
      </c>
      <c r="D414" s="93">
        <v>171</v>
      </c>
      <c r="E414" s="121">
        <v>2358194</v>
      </c>
      <c r="F414" s="121">
        <v>2024268</v>
      </c>
      <c r="G414" s="413" t="s">
        <v>529</v>
      </c>
      <c r="H414" s="121">
        <v>333926</v>
      </c>
      <c r="I414" s="392">
        <v>0</v>
      </c>
      <c r="J414" s="392">
        <v>0</v>
      </c>
      <c r="K414" s="392">
        <v>0</v>
      </c>
      <c r="L414" s="121">
        <v>333926</v>
      </c>
      <c r="M414" s="450" t="s">
        <v>529</v>
      </c>
    </row>
    <row r="415" spans="1:13" ht="30" customHeight="1" outlineLevel="2" x14ac:dyDescent="0.35">
      <c r="A415" s="93" t="s">
        <v>44</v>
      </c>
      <c r="B415" s="86" t="s">
        <v>114</v>
      </c>
      <c r="C415" s="85" t="s">
        <v>111</v>
      </c>
      <c r="D415" s="93">
        <v>258</v>
      </c>
      <c r="E415" s="121">
        <v>3461835</v>
      </c>
      <c r="F415" s="121">
        <v>3265219</v>
      </c>
      <c r="G415" s="413" t="s">
        <v>529</v>
      </c>
      <c r="H415" s="121">
        <v>196616</v>
      </c>
      <c r="I415" s="392">
        <v>0</v>
      </c>
      <c r="J415" s="392">
        <v>0</v>
      </c>
      <c r="K415" s="392">
        <v>0</v>
      </c>
      <c r="L415" s="121">
        <v>196616</v>
      </c>
      <c r="M415" s="450" t="s">
        <v>529</v>
      </c>
    </row>
    <row r="416" spans="1:13" ht="15" customHeight="1" outlineLevel="2" x14ac:dyDescent="0.35">
      <c r="A416" s="93" t="s">
        <v>44</v>
      </c>
      <c r="B416" s="86" t="s">
        <v>282</v>
      </c>
      <c r="C416" s="85" t="s">
        <v>283</v>
      </c>
      <c r="D416" s="93">
        <v>58</v>
      </c>
      <c r="E416" s="121">
        <v>3292644</v>
      </c>
      <c r="F416" s="121">
        <v>3008770</v>
      </c>
      <c r="G416" s="413" t="s">
        <v>529</v>
      </c>
      <c r="H416" s="121">
        <v>283874</v>
      </c>
      <c r="I416" s="392">
        <v>0</v>
      </c>
      <c r="J416" s="392">
        <v>0</v>
      </c>
      <c r="K416" s="392">
        <v>0</v>
      </c>
      <c r="L416" s="121">
        <v>283874</v>
      </c>
      <c r="M416" s="450" t="s">
        <v>529</v>
      </c>
    </row>
    <row r="417" spans="1:13" ht="15.5" outlineLevel="2" x14ac:dyDescent="0.35">
      <c r="A417" s="93" t="s">
        <v>44</v>
      </c>
      <c r="B417" s="86" t="s">
        <v>256</v>
      </c>
      <c r="C417" s="85" t="s">
        <v>257</v>
      </c>
      <c r="D417" s="93">
        <v>308</v>
      </c>
      <c r="E417" s="121">
        <v>224162</v>
      </c>
      <c r="F417" s="121">
        <v>116098</v>
      </c>
      <c r="G417" s="413" t="s">
        <v>529</v>
      </c>
      <c r="H417" s="121">
        <v>108064</v>
      </c>
      <c r="I417" s="392">
        <v>0</v>
      </c>
      <c r="J417" s="392">
        <v>0</v>
      </c>
      <c r="K417" s="392">
        <v>0</v>
      </c>
      <c r="L417" s="121">
        <v>108064</v>
      </c>
      <c r="M417" s="450" t="s">
        <v>529</v>
      </c>
    </row>
    <row r="418" spans="1:13" ht="15.5" outlineLevel="2" x14ac:dyDescent="0.35">
      <c r="A418" s="93" t="s">
        <v>44</v>
      </c>
      <c r="B418" s="86" t="s">
        <v>115</v>
      </c>
      <c r="C418" s="85" t="s">
        <v>93</v>
      </c>
      <c r="D418" s="93">
        <v>260</v>
      </c>
      <c r="E418" s="121">
        <v>19111083</v>
      </c>
      <c r="F418" s="121">
        <v>18993790</v>
      </c>
      <c r="G418" s="413" t="s">
        <v>529</v>
      </c>
      <c r="H418" s="121">
        <v>117293</v>
      </c>
      <c r="I418" s="121">
        <v>670053</v>
      </c>
      <c r="J418" s="121">
        <v>20116</v>
      </c>
      <c r="K418" s="121">
        <v>649937</v>
      </c>
      <c r="L418" s="121">
        <v>-532644</v>
      </c>
      <c r="M418" s="450" t="s">
        <v>529</v>
      </c>
    </row>
    <row r="419" spans="1:13" ht="15" customHeight="1" outlineLevel="2" x14ac:dyDescent="0.35">
      <c r="A419" s="93" t="s">
        <v>44</v>
      </c>
      <c r="B419" s="86" t="s">
        <v>118</v>
      </c>
      <c r="C419" s="85" t="s">
        <v>119</v>
      </c>
      <c r="D419" s="93">
        <v>346</v>
      </c>
      <c r="E419" s="121">
        <v>49140</v>
      </c>
      <c r="F419" s="121">
        <v>42386</v>
      </c>
      <c r="G419" s="413" t="s">
        <v>529</v>
      </c>
      <c r="H419" s="121">
        <v>6754</v>
      </c>
      <c r="I419" s="392">
        <v>0</v>
      </c>
      <c r="J419" s="392">
        <v>0</v>
      </c>
      <c r="K419" s="392">
        <v>0</v>
      </c>
      <c r="L419" s="121">
        <v>6754</v>
      </c>
      <c r="M419" s="450" t="s">
        <v>529</v>
      </c>
    </row>
    <row r="420" spans="1:13" ht="15.5" outlineLevel="2" x14ac:dyDescent="0.35">
      <c r="A420" s="93" t="s">
        <v>44</v>
      </c>
      <c r="B420" s="86" t="s">
        <v>120</v>
      </c>
      <c r="C420" s="85" t="s">
        <v>121</v>
      </c>
      <c r="D420" s="93">
        <v>351</v>
      </c>
      <c r="E420" s="121">
        <v>99653</v>
      </c>
      <c r="F420" s="121">
        <v>89104</v>
      </c>
      <c r="G420" s="413" t="s">
        <v>529</v>
      </c>
      <c r="H420" s="121">
        <v>10549</v>
      </c>
      <c r="I420" s="392">
        <v>0</v>
      </c>
      <c r="J420" s="392">
        <v>0</v>
      </c>
      <c r="K420" s="392">
        <v>0</v>
      </c>
      <c r="L420" s="121">
        <v>10549</v>
      </c>
      <c r="M420" s="450" t="s">
        <v>529</v>
      </c>
    </row>
    <row r="421" spans="1:13" ht="15" customHeight="1" outlineLevel="2" x14ac:dyDescent="0.35">
      <c r="A421" s="137" t="s">
        <v>192</v>
      </c>
      <c r="B421" s="429" t="s">
        <v>529</v>
      </c>
      <c r="C421" s="430" t="s">
        <v>529</v>
      </c>
      <c r="D421" s="409" t="s">
        <v>529</v>
      </c>
      <c r="E421" s="138">
        <f>SUBTOTAL(109,school200910[Program
Costs])</f>
        <v>470276090</v>
      </c>
      <c r="F421" s="138">
        <f>SUBTOTAL(109,school200910[Less: Net Payments and Offsets 8])</f>
        <v>363490392</v>
      </c>
      <c r="G421" s="414" t="s">
        <v>552</v>
      </c>
      <c r="H421" s="138">
        <f>SUBTOTAL(109,school200910[Accounts Payable
Balance])</f>
        <v>106785698</v>
      </c>
      <c r="I421" s="138">
        <f>SUBTOTAL(109,school200910[Established
Accounts Receivable])</f>
        <v>740238</v>
      </c>
      <c r="J421" s="138">
        <f>SUBTOTAL(109,school200910[Less: Recovered Amount])</f>
        <v>33523</v>
      </c>
      <c r="K421" s="138">
        <f>SUBTOTAL(109,school200910[Accounts Receivable
Balance])</f>
        <v>706715</v>
      </c>
      <c r="L421" s="138">
        <f>SUBTOTAL(109,school200910[Net
Balance])</f>
        <v>106078983</v>
      </c>
      <c r="M421" s="414" t="s">
        <v>552</v>
      </c>
    </row>
    <row r="422" spans="1:13" ht="15" customHeight="1" outlineLevel="2" x14ac:dyDescent="0.35">
      <c r="A422" s="386" t="s">
        <v>540</v>
      </c>
      <c r="B422" s="139"/>
      <c r="C422" s="139"/>
      <c r="D422" s="139"/>
      <c r="E422" s="140"/>
      <c r="F422" s="140"/>
      <c r="G422" s="140"/>
      <c r="H422" s="140"/>
      <c r="I422" s="140"/>
      <c r="J422" s="140"/>
      <c r="K422" s="140"/>
      <c r="L422" s="140"/>
      <c r="M422" s="476"/>
    </row>
    <row r="423" spans="1:13" ht="50" customHeight="1" outlineLevel="2" x14ac:dyDescent="0.35">
      <c r="A423" s="457" t="s">
        <v>11</v>
      </c>
      <c r="B423" s="300" t="s">
        <v>12</v>
      </c>
      <c r="C423" s="158" t="s">
        <v>0</v>
      </c>
      <c r="D423" s="300" t="s">
        <v>132</v>
      </c>
      <c r="E423" s="458" t="s">
        <v>125</v>
      </c>
      <c r="F423" s="423" t="s">
        <v>614</v>
      </c>
      <c r="G423" s="424" t="s">
        <v>531</v>
      </c>
      <c r="H423" s="422" t="s">
        <v>495</v>
      </c>
      <c r="I423" s="422" t="s">
        <v>496</v>
      </c>
      <c r="J423" s="458" t="s">
        <v>134</v>
      </c>
      <c r="K423" s="422" t="s">
        <v>497</v>
      </c>
      <c r="L423" s="458" t="s">
        <v>133</v>
      </c>
      <c r="M423" s="459" t="s">
        <v>532</v>
      </c>
    </row>
    <row r="424" spans="1:13" ht="15.5" outlineLevel="2" x14ac:dyDescent="0.35">
      <c r="A424" s="93" t="s">
        <v>45</v>
      </c>
      <c r="B424" s="86" t="s">
        <v>61</v>
      </c>
      <c r="C424" s="85" t="s">
        <v>62</v>
      </c>
      <c r="D424" s="93">
        <v>305</v>
      </c>
      <c r="E424" s="121">
        <v>125080</v>
      </c>
      <c r="F424" s="121">
        <v>102415</v>
      </c>
      <c r="G424" s="413" t="s">
        <v>529</v>
      </c>
      <c r="H424" s="121">
        <v>22665</v>
      </c>
      <c r="I424" s="392">
        <v>0</v>
      </c>
      <c r="J424" s="392">
        <v>0</v>
      </c>
      <c r="K424" s="392">
        <v>0</v>
      </c>
      <c r="L424" s="121">
        <v>22665</v>
      </c>
      <c r="M424" s="450" t="s">
        <v>529</v>
      </c>
    </row>
    <row r="425" spans="1:13" ht="31" outlineLevel="2" x14ac:dyDescent="0.35">
      <c r="A425" s="93" t="s">
        <v>45</v>
      </c>
      <c r="B425" s="86" t="s">
        <v>63</v>
      </c>
      <c r="C425" s="85" t="s">
        <v>64</v>
      </c>
      <c r="D425" s="93">
        <v>250</v>
      </c>
      <c r="E425" s="121">
        <v>1583086</v>
      </c>
      <c r="F425" s="121">
        <v>1583086</v>
      </c>
      <c r="G425" s="413" t="s">
        <v>529</v>
      </c>
      <c r="H425" s="392">
        <v>0</v>
      </c>
      <c r="I425" s="121">
        <v>5161</v>
      </c>
      <c r="J425" s="121">
        <v>4112</v>
      </c>
      <c r="K425" s="121">
        <v>1049</v>
      </c>
      <c r="L425" s="121">
        <v>-1049</v>
      </c>
      <c r="M425" s="450" t="s">
        <v>529</v>
      </c>
    </row>
    <row r="426" spans="1:13" ht="30" customHeight="1" outlineLevel="2" x14ac:dyDescent="0.35">
      <c r="A426" s="93" t="s">
        <v>45</v>
      </c>
      <c r="B426" s="86" t="s">
        <v>268</v>
      </c>
      <c r="C426" s="85" t="s">
        <v>266</v>
      </c>
      <c r="D426" s="93">
        <v>348</v>
      </c>
      <c r="E426" s="121">
        <v>54920146</v>
      </c>
      <c r="F426" s="121">
        <v>44829887</v>
      </c>
      <c r="G426" s="413" t="s">
        <v>529</v>
      </c>
      <c r="H426" s="121">
        <v>10090259</v>
      </c>
      <c r="I426" s="392">
        <v>0</v>
      </c>
      <c r="J426" s="392">
        <v>0</v>
      </c>
      <c r="K426" s="392">
        <v>0</v>
      </c>
      <c r="L426" s="121">
        <v>10090259</v>
      </c>
      <c r="M426" s="450" t="s">
        <v>529</v>
      </c>
    </row>
    <row r="427" spans="1:13" ht="15" customHeight="1" outlineLevel="2" x14ac:dyDescent="0.35">
      <c r="A427" s="93" t="s">
        <v>45</v>
      </c>
      <c r="B427" s="86" t="s">
        <v>258</v>
      </c>
      <c r="C427" s="85" t="s">
        <v>152</v>
      </c>
      <c r="D427" s="93">
        <v>354</v>
      </c>
      <c r="E427" s="121">
        <v>34650</v>
      </c>
      <c r="F427" s="121">
        <v>24641</v>
      </c>
      <c r="G427" s="413" t="s">
        <v>529</v>
      </c>
      <c r="H427" s="121">
        <v>10009</v>
      </c>
      <c r="I427" s="392">
        <v>0</v>
      </c>
      <c r="J427" s="392">
        <v>0</v>
      </c>
      <c r="K427" s="392">
        <v>0</v>
      </c>
      <c r="L427" s="121">
        <v>10009</v>
      </c>
      <c r="M427" s="450" t="s">
        <v>529</v>
      </c>
    </row>
    <row r="428" spans="1:13" ht="34" customHeight="1" outlineLevel="2" x14ac:dyDescent="0.35">
      <c r="A428" s="93" t="s">
        <v>45</v>
      </c>
      <c r="B428" s="86" t="s">
        <v>67</v>
      </c>
      <c r="C428" s="85" t="s">
        <v>68</v>
      </c>
      <c r="D428" s="93">
        <v>286</v>
      </c>
      <c r="E428" s="121">
        <v>103369</v>
      </c>
      <c r="F428" s="121">
        <v>99494</v>
      </c>
      <c r="G428" s="413" t="s">
        <v>529</v>
      </c>
      <c r="H428" s="121">
        <v>3875</v>
      </c>
      <c r="I428" s="392">
        <v>0</v>
      </c>
      <c r="J428" s="392">
        <v>0</v>
      </c>
      <c r="K428" s="392">
        <v>0</v>
      </c>
      <c r="L428" s="121">
        <v>3875</v>
      </c>
      <c r="M428" s="450" t="s">
        <v>529</v>
      </c>
    </row>
    <row r="429" spans="1:13" ht="31.5" customHeight="1" outlineLevel="2" x14ac:dyDescent="0.35">
      <c r="A429" s="93" t="s">
        <v>45</v>
      </c>
      <c r="B429" s="86" t="s">
        <v>69</v>
      </c>
      <c r="C429" s="85" t="s">
        <v>70</v>
      </c>
      <c r="D429" s="93">
        <v>172</v>
      </c>
      <c r="E429" s="121">
        <v>614283</v>
      </c>
      <c r="F429" s="121">
        <v>610927</v>
      </c>
      <c r="G429" s="413" t="s">
        <v>529</v>
      </c>
      <c r="H429" s="121">
        <v>3356</v>
      </c>
      <c r="I429" s="121">
        <v>1120</v>
      </c>
      <c r="J429" s="121">
        <v>1120</v>
      </c>
      <c r="K429" s="392">
        <v>0</v>
      </c>
      <c r="L429" s="121">
        <v>3356</v>
      </c>
      <c r="M429" s="450" t="s">
        <v>529</v>
      </c>
    </row>
    <row r="430" spans="1:13" ht="15.5" outlineLevel="2" x14ac:dyDescent="0.35">
      <c r="A430" s="93" t="s">
        <v>45</v>
      </c>
      <c r="B430" s="86" t="s">
        <v>420</v>
      </c>
      <c r="C430" s="85" t="s">
        <v>71</v>
      </c>
      <c r="D430" s="93">
        <v>278</v>
      </c>
      <c r="E430" s="121">
        <v>1771291</v>
      </c>
      <c r="F430" s="121">
        <v>1699854</v>
      </c>
      <c r="G430" s="413" t="s">
        <v>529</v>
      </c>
      <c r="H430" s="121">
        <v>71437</v>
      </c>
      <c r="I430" s="392">
        <v>0</v>
      </c>
      <c r="J430" s="392">
        <v>0</v>
      </c>
      <c r="K430" s="392">
        <v>0</v>
      </c>
      <c r="L430" s="121">
        <v>71437</v>
      </c>
      <c r="M430" s="450" t="s">
        <v>529</v>
      </c>
    </row>
    <row r="431" spans="1:13" ht="34" customHeight="1" outlineLevel="2" x14ac:dyDescent="0.35">
      <c r="A431" s="93" t="s">
        <v>45</v>
      </c>
      <c r="B431" s="86" t="s">
        <v>72</v>
      </c>
      <c r="C431" s="85" t="s">
        <v>73</v>
      </c>
      <c r="D431" s="93">
        <v>11</v>
      </c>
      <c r="E431" s="121">
        <v>20470340</v>
      </c>
      <c r="F431" s="121">
        <v>17977474</v>
      </c>
      <c r="G431" s="413" t="s">
        <v>529</v>
      </c>
      <c r="H431" s="121">
        <v>2492866</v>
      </c>
      <c r="I431" s="121">
        <v>26683</v>
      </c>
      <c r="J431" s="121">
        <v>12350</v>
      </c>
      <c r="K431" s="121">
        <v>14333</v>
      </c>
      <c r="L431" s="121">
        <v>2478533</v>
      </c>
      <c r="M431" s="450" t="s">
        <v>529</v>
      </c>
    </row>
    <row r="432" spans="1:13" ht="15.5" outlineLevel="2" x14ac:dyDescent="0.35">
      <c r="A432" s="93" t="s">
        <v>45</v>
      </c>
      <c r="B432" s="86" t="s">
        <v>286</v>
      </c>
      <c r="C432" s="85" t="s">
        <v>75</v>
      </c>
      <c r="D432" s="93">
        <v>223</v>
      </c>
      <c r="E432" s="121">
        <v>4144990</v>
      </c>
      <c r="F432" s="121">
        <v>4098250</v>
      </c>
      <c r="G432" s="413" t="s">
        <v>529</v>
      </c>
      <c r="H432" s="121">
        <v>46740</v>
      </c>
      <c r="I432" s="121">
        <v>7808</v>
      </c>
      <c r="J432" s="121">
        <v>5918</v>
      </c>
      <c r="K432" s="121">
        <v>1890</v>
      </c>
      <c r="L432" s="121">
        <v>44850</v>
      </c>
      <c r="M432" s="450" t="s">
        <v>529</v>
      </c>
    </row>
    <row r="433" spans="1:13" ht="32.5" customHeight="1" outlineLevel="2" x14ac:dyDescent="0.35">
      <c r="A433" s="93" t="s">
        <v>45</v>
      </c>
      <c r="B433" s="86" t="s">
        <v>78</v>
      </c>
      <c r="C433" s="85" t="s">
        <v>79</v>
      </c>
      <c r="D433" s="93">
        <v>272</v>
      </c>
      <c r="E433" s="121">
        <v>10105872</v>
      </c>
      <c r="F433" s="121">
        <v>10100035</v>
      </c>
      <c r="G433" s="413" t="s">
        <v>529</v>
      </c>
      <c r="H433" s="121">
        <v>5837</v>
      </c>
      <c r="I433" s="121">
        <v>865406</v>
      </c>
      <c r="J433" s="121">
        <v>11587</v>
      </c>
      <c r="K433" s="121">
        <v>853819</v>
      </c>
      <c r="L433" s="121">
        <v>-847982</v>
      </c>
      <c r="M433" s="450" t="s">
        <v>529</v>
      </c>
    </row>
    <row r="434" spans="1:13" ht="52.5" customHeight="1" outlineLevel="2" x14ac:dyDescent="0.35">
      <c r="A434" s="93" t="s">
        <v>45</v>
      </c>
      <c r="B434" s="86" t="s">
        <v>80</v>
      </c>
      <c r="C434" s="85" t="s">
        <v>81</v>
      </c>
      <c r="D434" s="93">
        <v>276</v>
      </c>
      <c r="E434" s="121">
        <v>891533</v>
      </c>
      <c r="F434" s="121">
        <v>649528</v>
      </c>
      <c r="G434" s="413" t="s">
        <v>529</v>
      </c>
      <c r="H434" s="121">
        <v>242005</v>
      </c>
      <c r="I434" s="392">
        <v>0</v>
      </c>
      <c r="J434" s="392">
        <v>0</v>
      </c>
      <c r="K434" s="392">
        <v>0</v>
      </c>
      <c r="L434" s="121">
        <v>242005</v>
      </c>
      <c r="M434" s="450" t="s">
        <v>529</v>
      </c>
    </row>
    <row r="435" spans="1:13" ht="81.5" customHeight="1" outlineLevel="2" x14ac:dyDescent="0.35">
      <c r="A435" s="93" t="s">
        <v>45</v>
      </c>
      <c r="B435" s="86" t="s">
        <v>82</v>
      </c>
      <c r="C435" s="85" t="s">
        <v>83</v>
      </c>
      <c r="D435" s="93">
        <v>292</v>
      </c>
      <c r="E435" s="121">
        <v>8511879</v>
      </c>
      <c r="F435" s="121">
        <v>8403076</v>
      </c>
      <c r="G435" s="413" t="s">
        <v>529</v>
      </c>
      <c r="H435" s="121">
        <v>108803</v>
      </c>
      <c r="I435" s="121">
        <v>2076</v>
      </c>
      <c r="J435" s="392">
        <v>0</v>
      </c>
      <c r="K435" s="121">
        <v>2076</v>
      </c>
      <c r="L435" s="121">
        <v>106727</v>
      </c>
      <c r="M435" s="450" t="s">
        <v>529</v>
      </c>
    </row>
    <row r="436" spans="1:13" ht="34" customHeight="1" outlineLevel="2" x14ac:dyDescent="0.35">
      <c r="A436" s="93" t="s">
        <v>45</v>
      </c>
      <c r="B436" s="86" t="s">
        <v>84</v>
      </c>
      <c r="C436" s="85" t="s">
        <v>85</v>
      </c>
      <c r="D436" s="93">
        <v>209</v>
      </c>
      <c r="E436" s="121">
        <v>346268</v>
      </c>
      <c r="F436" s="121">
        <v>326021</v>
      </c>
      <c r="G436" s="413" t="s">
        <v>529</v>
      </c>
      <c r="H436" s="121">
        <v>20247</v>
      </c>
      <c r="I436" s="392">
        <v>0</v>
      </c>
      <c r="J436" s="392">
        <v>0</v>
      </c>
      <c r="K436" s="392">
        <v>0</v>
      </c>
      <c r="L436" s="121">
        <v>20247</v>
      </c>
      <c r="M436" s="450" t="s">
        <v>529</v>
      </c>
    </row>
    <row r="437" spans="1:13" ht="15" customHeight="1" outlineLevel="2" x14ac:dyDescent="0.35">
      <c r="A437" s="93" t="s">
        <v>45</v>
      </c>
      <c r="B437" s="86" t="s">
        <v>86</v>
      </c>
      <c r="C437" s="85" t="s">
        <v>87</v>
      </c>
      <c r="D437" s="93">
        <v>183</v>
      </c>
      <c r="E437" s="121">
        <v>697267</v>
      </c>
      <c r="F437" s="121">
        <v>693095</v>
      </c>
      <c r="G437" s="413" t="s">
        <v>529</v>
      </c>
      <c r="H437" s="121">
        <v>4172</v>
      </c>
      <c r="I437" s="121">
        <v>825</v>
      </c>
      <c r="J437" s="121">
        <v>825</v>
      </c>
      <c r="K437" s="392">
        <v>0</v>
      </c>
      <c r="L437" s="121">
        <v>4172</v>
      </c>
      <c r="M437" s="450" t="s">
        <v>529</v>
      </c>
    </row>
    <row r="438" spans="1:13" ht="15" customHeight="1" outlineLevel="2" x14ac:dyDescent="0.35">
      <c r="A438" s="93" t="s">
        <v>45</v>
      </c>
      <c r="B438" s="86" t="s">
        <v>88</v>
      </c>
      <c r="C438" s="85" t="s">
        <v>89</v>
      </c>
      <c r="D438" s="93">
        <v>251</v>
      </c>
      <c r="E438" s="121">
        <v>368652</v>
      </c>
      <c r="F438" s="121">
        <v>365323</v>
      </c>
      <c r="G438" s="413" t="s">
        <v>529</v>
      </c>
      <c r="H438" s="121">
        <v>3329</v>
      </c>
      <c r="I438" s="121">
        <v>1055</v>
      </c>
      <c r="J438" s="392">
        <v>0</v>
      </c>
      <c r="K438" s="121">
        <v>1055</v>
      </c>
      <c r="L438" s="121">
        <v>2274</v>
      </c>
      <c r="M438" s="450" t="s">
        <v>529</v>
      </c>
    </row>
    <row r="439" spans="1:13" ht="15" customHeight="1" outlineLevel="2" x14ac:dyDescent="0.35">
      <c r="A439" s="93" t="s">
        <v>45</v>
      </c>
      <c r="B439" s="86" t="s">
        <v>261</v>
      </c>
      <c r="C439" s="85" t="s">
        <v>262</v>
      </c>
      <c r="D439" s="93">
        <v>333</v>
      </c>
      <c r="E439" s="121">
        <v>34380</v>
      </c>
      <c r="F439" s="121">
        <v>31472</v>
      </c>
      <c r="G439" s="413" t="s">
        <v>529</v>
      </c>
      <c r="H439" s="121">
        <v>2908</v>
      </c>
      <c r="I439" s="392">
        <v>0</v>
      </c>
      <c r="J439" s="392">
        <v>0</v>
      </c>
      <c r="K439" s="392">
        <v>0</v>
      </c>
      <c r="L439" s="121">
        <v>2908</v>
      </c>
      <c r="M439" s="450" t="s">
        <v>529</v>
      </c>
    </row>
    <row r="440" spans="1:13" ht="30.5" customHeight="1" outlineLevel="2" x14ac:dyDescent="0.35">
      <c r="A440" s="93" t="s">
        <v>45</v>
      </c>
      <c r="B440" s="86" t="s">
        <v>248</v>
      </c>
      <c r="C440" s="85" t="s">
        <v>77</v>
      </c>
      <c r="D440" s="93">
        <v>91</v>
      </c>
      <c r="E440" s="121">
        <v>13929</v>
      </c>
      <c r="F440" s="121">
        <v>10640</v>
      </c>
      <c r="G440" s="413" t="s">
        <v>529</v>
      </c>
      <c r="H440" s="121">
        <v>3289</v>
      </c>
      <c r="I440" s="392">
        <v>0</v>
      </c>
      <c r="J440" s="392">
        <v>0</v>
      </c>
      <c r="K440" s="392">
        <v>0</v>
      </c>
      <c r="L440" s="121">
        <v>3289</v>
      </c>
      <c r="M440" s="450" t="s">
        <v>529</v>
      </c>
    </row>
    <row r="441" spans="1:13" ht="15.5" outlineLevel="2" x14ac:dyDescent="0.35">
      <c r="A441" s="93" t="s">
        <v>45</v>
      </c>
      <c r="B441" s="86" t="s">
        <v>90</v>
      </c>
      <c r="C441" s="85" t="s">
        <v>91</v>
      </c>
      <c r="D441" s="93">
        <v>192</v>
      </c>
      <c r="E441" s="121">
        <v>441304</v>
      </c>
      <c r="F441" s="121">
        <v>432014</v>
      </c>
      <c r="G441" s="413" t="s">
        <v>529</v>
      </c>
      <c r="H441" s="121">
        <v>9290</v>
      </c>
      <c r="I441" s="121">
        <v>2175</v>
      </c>
      <c r="J441" s="392">
        <v>0</v>
      </c>
      <c r="K441" s="121">
        <v>2175</v>
      </c>
      <c r="L441" s="121">
        <v>7115</v>
      </c>
      <c r="M441" s="450" t="s">
        <v>529</v>
      </c>
    </row>
    <row r="442" spans="1:13" ht="32" customHeight="1" outlineLevel="2" x14ac:dyDescent="0.35">
      <c r="A442" s="93" t="s">
        <v>45</v>
      </c>
      <c r="B442" s="86" t="s">
        <v>92</v>
      </c>
      <c r="C442" s="85" t="s">
        <v>93</v>
      </c>
      <c r="D442" s="93">
        <v>297</v>
      </c>
      <c r="E442" s="121">
        <v>257106709</v>
      </c>
      <c r="F442" s="121">
        <v>181188759</v>
      </c>
      <c r="G442" s="413" t="s">
        <v>529</v>
      </c>
      <c r="H442" s="121">
        <v>75917950</v>
      </c>
      <c r="I442" s="392">
        <v>0</v>
      </c>
      <c r="J442" s="392">
        <v>0</v>
      </c>
      <c r="K442" s="392">
        <v>0</v>
      </c>
      <c r="L442" s="121">
        <v>75917950</v>
      </c>
      <c r="M442" s="450" t="s">
        <v>529</v>
      </c>
    </row>
    <row r="443" spans="1:13" ht="15" customHeight="1" outlineLevel="2" x14ac:dyDescent="0.35">
      <c r="A443" s="93" t="s">
        <v>45</v>
      </c>
      <c r="B443" s="86" t="s">
        <v>94</v>
      </c>
      <c r="C443" s="85" t="s">
        <v>95</v>
      </c>
      <c r="D443" s="93">
        <v>166</v>
      </c>
      <c r="E443" s="121">
        <v>8654726</v>
      </c>
      <c r="F443" s="121">
        <v>7222351</v>
      </c>
      <c r="G443" s="413" t="s">
        <v>529</v>
      </c>
      <c r="H443" s="121">
        <v>1432375</v>
      </c>
      <c r="I443" s="121">
        <v>1233</v>
      </c>
      <c r="J443" s="392">
        <v>0</v>
      </c>
      <c r="K443" s="121">
        <v>1233</v>
      </c>
      <c r="L443" s="121">
        <v>1431142</v>
      </c>
      <c r="M443" s="450" t="s">
        <v>529</v>
      </c>
    </row>
    <row r="444" spans="1:13" ht="15" customHeight="1" outlineLevel="2" x14ac:dyDescent="0.35">
      <c r="A444" s="93" t="s">
        <v>45</v>
      </c>
      <c r="B444" s="86" t="s">
        <v>244</v>
      </c>
      <c r="C444" s="85" t="s">
        <v>245</v>
      </c>
      <c r="D444" s="93">
        <v>268</v>
      </c>
      <c r="E444" s="121">
        <v>7741343</v>
      </c>
      <c r="F444" s="121">
        <v>6923752</v>
      </c>
      <c r="G444" s="413" t="s">
        <v>529</v>
      </c>
      <c r="H444" s="121">
        <v>817591</v>
      </c>
      <c r="I444" s="392">
        <v>0</v>
      </c>
      <c r="J444" s="392">
        <v>0</v>
      </c>
      <c r="K444" s="392">
        <v>0</v>
      </c>
      <c r="L444" s="121">
        <v>817591</v>
      </c>
      <c r="M444" s="450" t="s">
        <v>529</v>
      </c>
    </row>
    <row r="445" spans="1:13" ht="15" customHeight="1" outlineLevel="2" x14ac:dyDescent="0.35">
      <c r="A445" s="93" t="s">
        <v>45</v>
      </c>
      <c r="B445" s="86" t="s">
        <v>96</v>
      </c>
      <c r="C445" s="85" t="s">
        <v>97</v>
      </c>
      <c r="D445" s="93">
        <v>32</v>
      </c>
      <c r="E445" s="121">
        <v>4666144</v>
      </c>
      <c r="F445" s="121">
        <v>4664857</v>
      </c>
      <c r="G445" s="413" t="s">
        <v>529</v>
      </c>
      <c r="H445" s="121">
        <v>1287</v>
      </c>
      <c r="I445" s="121">
        <v>15736</v>
      </c>
      <c r="J445" s="121">
        <v>1126</v>
      </c>
      <c r="K445" s="121">
        <v>14610</v>
      </c>
      <c r="L445" s="121">
        <v>-13323</v>
      </c>
      <c r="M445" s="450" t="s">
        <v>529</v>
      </c>
    </row>
    <row r="446" spans="1:13" ht="15" customHeight="1" outlineLevel="2" x14ac:dyDescent="0.35">
      <c r="A446" s="93" t="s">
        <v>45</v>
      </c>
      <c r="B446" s="86" t="s">
        <v>421</v>
      </c>
      <c r="C446" s="85" t="s">
        <v>99</v>
      </c>
      <c r="D446" s="93">
        <v>230</v>
      </c>
      <c r="E446" s="121">
        <v>5705041</v>
      </c>
      <c r="F446" s="121">
        <v>5704156</v>
      </c>
      <c r="G446" s="413" t="s">
        <v>529</v>
      </c>
      <c r="H446" s="121">
        <v>885</v>
      </c>
      <c r="I446" s="121">
        <v>18091</v>
      </c>
      <c r="J446" s="121">
        <v>3366</v>
      </c>
      <c r="K446" s="121">
        <v>14725</v>
      </c>
      <c r="L446" s="121">
        <v>-13840</v>
      </c>
      <c r="M446" s="450" t="s">
        <v>529</v>
      </c>
    </row>
    <row r="447" spans="1:13" ht="15.5" outlineLevel="2" x14ac:dyDescent="0.35">
      <c r="A447" s="93" t="s">
        <v>45</v>
      </c>
      <c r="B447" s="86" t="s">
        <v>249</v>
      </c>
      <c r="C447" s="85" t="s">
        <v>250</v>
      </c>
      <c r="D447" s="93">
        <v>148</v>
      </c>
      <c r="E447" s="121">
        <v>121053</v>
      </c>
      <c r="F447" s="121">
        <v>5779</v>
      </c>
      <c r="G447" s="413" t="s">
        <v>529</v>
      </c>
      <c r="H447" s="121">
        <v>115274</v>
      </c>
      <c r="I447" s="392">
        <v>0</v>
      </c>
      <c r="J447" s="392">
        <v>0</v>
      </c>
      <c r="K447" s="392">
        <v>0</v>
      </c>
      <c r="L447" s="121">
        <v>115274</v>
      </c>
      <c r="M447" s="450" t="s">
        <v>529</v>
      </c>
    </row>
    <row r="448" spans="1:13" ht="15.5" outlineLevel="2" x14ac:dyDescent="0.35">
      <c r="A448" s="93" t="s">
        <v>45</v>
      </c>
      <c r="B448" s="86" t="s">
        <v>101</v>
      </c>
      <c r="C448" s="85" t="s">
        <v>102</v>
      </c>
      <c r="D448" s="93">
        <v>153</v>
      </c>
      <c r="E448" s="121">
        <v>4435775</v>
      </c>
      <c r="F448" s="121">
        <v>4210760</v>
      </c>
      <c r="G448" s="413" t="s">
        <v>529</v>
      </c>
      <c r="H448" s="121">
        <v>225015</v>
      </c>
      <c r="I448" s="121">
        <v>12323</v>
      </c>
      <c r="J448" s="121">
        <v>8157</v>
      </c>
      <c r="K448" s="121">
        <v>4166</v>
      </c>
      <c r="L448" s="121">
        <v>220849</v>
      </c>
      <c r="M448" s="450" t="s">
        <v>529</v>
      </c>
    </row>
    <row r="449" spans="1:13" ht="15" customHeight="1" outlineLevel="2" x14ac:dyDescent="0.35">
      <c r="A449" s="93" t="s">
        <v>45</v>
      </c>
      <c r="B449" s="86" t="s">
        <v>246</v>
      </c>
      <c r="C449" s="85" t="s">
        <v>247</v>
      </c>
      <c r="D449" s="93">
        <v>155</v>
      </c>
      <c r="E449" s="121">
        <v>1256537</v>
      </c>
      <c r="F449" s="121">
        <v>1159096</v>
      </c>
      <c r="G449" s="413" t="s">
        <v>529</v>
      </c>
      <c r="H449" s="121">
        <v>97441</v>
      </c>
      <c r="I449" s="392">
        <v>0</v>
      </c>
      <c r="J449" s="392">
        <v>0</v>
      </c>
      <c r="K449" s="392">
        <v>0</v>
      </c>
      <c r="L449" s="121">
        <v>97441</v>
      </c>
      <c r="M449" s="450" t="s">
        <v>529</v>
      </c>
    </row>
    <row r="450" spans="1:13" ht="15" customHeight="1" outlineLevel="2" x14ac:dyDescent="0.35">
      <c r="A450" s="93" t="s">
        <v>45</v>
      </c>
      <c r="B450" s="86" t="s">
        <v>155</v>
      </c>
      <c r="C450" s="85" t="s">
        <v>156</v>
      </c>
      <c r="D450" s="93">
        <v>42</v>
      </c>
      <c r="E450" s="121">
        <v>16990141</v>
      </c>
      <c r="F450" s="121">
        <v>14707605</v>
      </c>
      <c r="G450" s="413" t="s">
        <v>529</v>
      </c>
      <c r="H450" s="121">
        <v>2282536</v>
      </c>
      <c r="I450" s="392">
        <v>0</v>
      </c>
      <c r="J450" s="392">
        <v>0</v>
      </c>
      <c r="K450" s="392">
        <v>0</v>
      </c>
      <c r="L450" s="121">
        <v>2282536</v>
      </c>
      <c r="M450" s="450" t="s">
        <v>529</v>
      </c>
    </row>
    <row r="451" spans="1:13" ht="52.5" customHeight="1" outlineLevel="2" x14ac:dyDescent="0.35">
      <c r="A451" s="93" t="s">
        <v>45</v>
      </c>
      <c r="B451" s="86" t="s">
        <v>287</v>
      </c>
      <c r="C451" s="85" t="s">
        <v>288</v>
      </c>
      <c r="D451" s="93">
        <v>265</v>
      </c>
      <c r="E451" s="121">
        <v>65051</v>
      </c>
      <c r="F451" s="121">
        <v>63255</v>
      </c>
      <c r="G451" s="413" t="s">
        <v>529</v>
      </c>
      <c r="H451" s="121">
        <v>1796</v>
      </c>
      <c r="I451" s="392">
        <v>0</v>
      </c>
      <c r="J451" s="392">
        <v>0</v>
      </c>
      <c r="K451" s="392">
        <v>0</v>
      </c>
      <c r="L451" s="121">
        <v>1796</v>
      </c>
      <c r="M451" s="450" t="s">
        <v>529</v>
      </c>
    </row>
    <row r="452" spans="1:13" ht="15.5" outlineLevel="2" x14ac:dyDescent="0.35">
      <c r="A452" s="93" t="s">
        <v>45</v>
      </c>
      <c r="B452" s="86" t="s">
        <v>103</v>
      </c>
      <c r="C452" s="85" t="s">
        <v>93</v>
      </c>
      <c r="D452" s="93">
        <v>48</v>
      </c>
      <c r="E452" s="121">
        <v>17377719</v>
      </c>
      <c r="F452" s="121">
        <v>15811250</v>
      </c>
      <c r="G452" s="413" t="s">
        <v>529</v>
      </c>
      <c r="H452" s="121">
        <v>1566469</v>
      </c>
      <c r="I452" s="121">
        <v>1150</v>
      </c>
      <c r="J452" s="392">
        <v>0</v>
      </c>
      <c r="K452" s="121">
        <v>1150</v>
      </c>
      <c r="L452" s="121">
        <v>1565319</v>
      </c>
      <c r="M452" s="450" t="s">
        <v>529</v>
      </c>
    </row>
    <row r="453" spans="1:13" ht="15" customHeight="1" outlineLevel="2" x14ac:dyDescent="0.35">
      <c r="A453" s="93" t="s">
        <v>45</v>
      </c>
      <c r="B453" s="86" t="s">
        <v>144</v>
      </c>
      <c r="C453" s="85" t="s">
        <v>145</v>
      </c>
      <c r="D453" s="93">
        <v>218</v>
      </c>
      <c r="E453" s="121">
        <v>3808780</v>
      </c>
      <c r="F453" s="121">
        <v>3065621</v>
      </c>
      <c r="G453" s="413" t="s">
        <v>529</v>
      </c>
      <c r="H453" s="121">
        <v>743159</v>
      </c>
      <c r="I453" s="392">
        <v>0</v>
      </c>
      <c r="J453" s="392">
        <v>0</v>
      </c>
      <c r="K453" s="392">
        <v>0</v>
      </c>
      <c r="L453" s="121">
        <v>743159</v>
      </c>
      <c r="M453" s="450" t="s">
        <v>529</v>
      </c>
    </row>
    <row r="454" spans="1:13" ht="15" customHeight="1" outlineLevel="2" x14ac:dyDescent="0.35">
      <c r="A454" s="93" t="s">
        <v>45</v>
      </c>
      <c r="B454" s="86" t="s">
        <v>104</v>
      </c>
      <c r="C454" s="85" t="s">
        <v>105</v>
      </c>
      <c r="D454" s="93">
        <v>350</v>
      </c>
      <c r="E454" s="121">
        <v>59562</v>
      </c>
      <c r="F454" s="121">
        <v>51005</v>
      </c>
      <c r="G454" s="413" t="s">
        <v>529</v>
      </c>
      <c r="H454" s="121">
        <v>8557</v>
      </c>
      <c r="I454" s="392">
        <v>0</v>
      </c>
      <c r="J454" s="392">
        <v>0</v>
      </c>
      <c r="K454" s="392">
        <v>0</v>
      </c>
      <c r="L454" s="121">
        <v>8557</v>
      </c>
      <c r="M454" s="450" t="s">
        <v>529</v>
      </c>
    </row>
    <row r="455" spans="1:13" ht="15.5" outlineLevel="2" x14ac:dyDescent="0.35">
      <c r="A455" s="93" t="s">
        <v>45</v>
      </c>
      <c r="B455" s="86" t="s">
        <v>106</v>
      </c>
      <c r="C455" s="85" t="s">
        <v>107</v>
      </c>
      <c r="D455" s="93">
        <v>173</v>
      </c>
      <c r="E455" s="121">
        <v>1816992</v>
      </c>
      <c r="F455" s="121">
        <v>1816992</v>
      </c>
      <c r="G455" s="413" t="s">
        <v>529</v>
      </c>
      <c r="H455" s="392">
        <v>0</v>
      </c>
      <c r="I455" s="121">
        <v>4260</v>
      </c>
      <c r="J455" s="121">
        <v>1109</v>
      </c>
      <c r="K455" s="121">
        <v>3151</v>
      </c>
      <c r="L455" s="121">
        <v>-3151</v>
      </c>
      <c r="M455" s="450" t="s">
        <v>529</v>
      </c>
    </row>
    <row r="456" spans="1:13" ht="15" customHeight="1" outlineLevel="2" x14ac:dyDescent="0.35">
      <c r="A456" s="93" t="s">
        <v>45</v>
      </c>
      <c r="B456" s="86" t="s">
        <v>263</v>
      </c>
      <c r="C456" s="85" t="s">
        <v>264</v>
      </c>
      <c r="D456" s="93">
        <v>335</v>
      </c>
      <c r="E456" s="121">
        <v>33394</v>
      </c>
      <c r="F456" s="121">
        <v>32132</v>
      </c>
      <c r="G456" s="413" t="s">
        <v>529</v>
      </c>
      <c r="H456" s="121">
        <v>1262</v>
      </c>
      <c r="I456" s="392">
        <v>0</v>
      </c>
      <c r="J456" s="392">
        <v>0</v>
      </c>
      <c r="K456" s="392">
        <v>0</v>
      </c>
      <c r="L456" s="121">
        <v>1262</v>
      </c>
      <c r="M456" s="450" t="s">
        <v>529</v>
      </c>
    </row>
    <row r="457" spans="1:13" ht="46.5" customHeight="1" outlineLevel="2" x14ac:dyDescent="0.35">
      <c r="A457" s="93" t="s">
        <v>45</v>
      </c>
      <c r="B457" s="86" t="s">
        <v>273</v>
      </c>
      <c r="C457" s="85" t="s">
        <v>274</v>
      </c>
      <c r="D457" s="93">
        <v>329</v>
      </c>
      <c r="E457" s="121">
        <v>1430358</v>
      </c>
      <c r="F457" s="121">
        <v>1149030</v>
      </c>
      <c r="G457" s="413" t="s">
        <v>529</v>
      </c>
      <c r="H457" s="121">
        <v>281328</v>
      </c>
      <c r="I457" s="392">
        <v>0</v>
      </c>
      <c r="J457" s="392">
        <v>0</v>
      </c>
      <c r="K457" s="392">
        <v>0</v>
      </c>
      <c r="L457" s="121">
        <v>281328</v>
      </c>
      <c r="M457" s="450" t="s">
        <v>529</v>
      </c>
    </row>
    <row r="458" spans="1:13" ht="32" customHeight="1" outlineLevel="2" x14ac:dyDescent="0.35">
      <c r="A458" s="93" t="s">
        <v>45</v>
      </c>
      <c r="B458" s="86" t="s">
        <v>108</v>
      </c>
      <c r="C458" s="85" t="s">
        <v>109</v>
      </c>
      <c r="D458" s="93">
        <v>261</v>
      </c>
      <c r="E458" s="121">
        <v>927647</v>
      </c>
      <c r="F458" s="121">
        <v>917209</v>
      </c>
      <c r="G458" s="413" t="s">
        <v>529</v>
      </c>
      <c r="H458" s="121">
        <v>10438</v>
      </c>
      <c r="I458" s="121">
        <v>12411</v>
      </c>
      <c r="J458" s="121">
        <v>10089</v>
      </c>
      <c r="K458" s="121">
        <v>2322</v>
      </c>
      <c r="L458" s="121">
        <v>8116</v>
      </c>
      <c r="M458" s="450" t="s">
        <v>529</v>
      </c>
    </row>
    <row r="459" spans="1:13" ht="15" customHeight="1" outlineLevel="2" x14ac:dyDescent="0.35">
      <c r="A459" s="93" t="s">
        <v>45</v>
      </c>
      <c r="B459" s="86" t="s">
        <v>110</v>
      </c>
      <c r="C459" s="85" t="s">
        <v>111</v>
      </c>
      <c r="D459" s="93">
        <v>244</v>
      </c>
      <c r="E459" s="121">
        <v>3164646</v>
      </c>
      <c r="F459" s="121">
        <v>3131852</v>
      </c>
      <c r="G459" s="413" t="s">
        <v>529</v>
      </c>
      <c r="H459" s="121">
        <v>32794</v>
      </c>
      <c r="I459" s="121">
        <v>471</v>
      </c>
      <c r="J459" s="121">
        <v>471</v>
      </c>
      <c r="K459" s="392">
        <v>0</v>
      </c>
      <c r="L459" s="121">
        <v>32794</v>
      </c>
      <c r="M459" s="450" t="s">
        <v>529</v>
      </c>
    </row>
    <row r="460" spans="1:13" ht="15" customHeight="1" outlineLevel="2" x14ac:dyDescent="0.35">
      <c r="A460" s="93" t="s">
        <v>45</v>
      </c>
      <c r="B460" s="86" t="s">
        <v>284</v>
      </c>
      <c r="C460" s="85" t="s">
        <v>285</v>
      </c>
      <c r="D460" s="93">
        <v>182</v>
      </c>
      <c r="E460" s="121">
        <v>109517</v>
      </c>
      <c r="F460" s="121">
        <v>107006</v>
      </c>
      <c r="G460" s="413" t="s">
        <v>529</v>
      </c>
      <c r="H460" s="121">
        <v>2511</v>
      </c>
      <c r="I460" s="392">
        <v>0</v>
      </c>
      <c r="J460" s="392">
        <v>0</v>
      </c>
      <c r="K460" s="392">
        <v>0</v>
      </c>
      <c r="L460" s="121">
        <v>2511</v>
      </c>
      <c r="M460" s="450" t="s">
        <v>529</v>
      </c>
    </row>
    <row r="461" spans="1:13" ht="15.5" outlineLevel="1" x14ac:dyDescent="0.35">
      <c r="A461" s="93" t="s">
        <v>45</v>
      </c>
      <c r="B461" s="86" t="s">
        <v>251</v>
      </c>
      <c r="C461" s="85" t="s">
        <v>93</v>
      </c>
      <c r="D461" s="93">
        <v>280</v>
      </c>
      <c r="E461" s="121">
        <v>87954</v>
      </c>
      <c r="F461" s="121">
        <v>82480</v>
      </c>
      <c r="G461" s="413" t="s">
        <v>529</v>
      </c>
      <c r="H461" s="121">
        <v>5474</v>
      </c>
      <c r="I461" s="392">
        <v>0</v>
      </c>
      <c r="J461" s="392">
        <v>0</v>
      </c>
      <c r="K461" s="392">
        <v>0</v>
      </c>
      <c r="L461" s="121">
        <v>5474</v>
      </c>
      <c r="M461" s="450" t="s">
        <v>529</v>
      </c>
    </row>
    <row r="462" spans="1:13" ht="32" customHeight="1" outlineLevel="2" x14ac:dyDescent="0.35">
      <c r="A462" s="93" t="s">
        <v>45</v>
      </c>
      <c r="B462" s="86" t="s">
        <v>275</v>
      </c>
      <c r="C462" s="85" t="s">
        <v>77</v>
      </c>
      <c r="D462" s="93">
        <v>176</v>
      </c>
      <c r="E462" s="121">
        <v>6362242</v>
      </c>
      <c r="F462" s="121">
        <v>6209882</v>
      </c>
      <c r="G462" s="413" t="s">
        <v>529</v>
      </c>
      <c r="H462" s="121">
        <v>152360</v>
      </c>
      <c r="I462" s="121">
        <v>203356</v>
      </c>
      <c r="J462" s="121">
        <v>203356</v>
      </c>
      <c r="K462" s="392">
        <v>0</v>
      </c>
      <c r="L462" s="121">
        <v>152360</v>
      </c>
      <c r="M462" s="450" t="s">
        <v>529</v>
      </c>
    </row>
    <row r="463" spans="1:13" ht="15" customHeight="1" outlineLevel="2" x14ac:dyDescent="0.35">
      <c r="A463" s="93" t="s">
        <v>45</v>
      </c>
      <c r="B463" s="86" t="s">
        <v>280</v>
      </c>
      <c r="C463" s="85" t="s">
        <v>281</v>
      </c>
      <c r="D463" s="93">
        <v>57</v>
      </c>
      <c r="E463" s="121">
        <v>1148847</v>
      </c>
      <c r="F463" s="121">
        <v>892434</v>
      </c>
      <c r="G463" s="413" t="s">
        <v>529</v>
      </c>
      <c r="H463" s="121">
        <v>256413</v>
      </c>
      <c r="I463" s="392">
        <v>0</v>
      </c>
      <c r="J463" s="392">
        <v>0</v>
      </c>
      <c r="K463" s="392">
        <v>0</v>
      </c>
      <c r="L463" s="121">
        <v>256413</v>
      </c>
      <c r="M463" s="450" t="s">
        <v>529</v>
      </c>
    </row>
    <row r="464" spans="1:13" ht="15.5" outlineLevel="2" x14ac:dyDescent="0.35">
      <c r="A464" s="93" t="s">
        <v>45</v>
      </c>
      <c r="B464" s="86" t="s">
        <v>112</v>
      </c>
      <c r="C464" s="85" t="s">
        <v>113</v>
      </c>
      <c r="D464" s="93">
        <v>171</v>
      </c>
      <c r="E464" s="121">
        <v>2152382</v>
      </c>
      <c r="F464" s="121">
        <v>1909924</v>
      </c>
      <c r="G464" s="413" t="s">
        <v>529</v>
      </c>
      <c r="H464" s="121">
        <v>242458</v>
      </c>
      <c r="I464" s="392">
        <v>0</v>
      </c>
      <c r="J464" s="392">
        <v>0</v>
      </c>
      <c r="K464" s="392">
        <v>0</v>
      </c>
      <c r="L464" s="121">
        <v>242458</v>
      </c>
      <c r="M464" s="450" t="s">
        <v>529</v>
      </c>
    </row>
    <row r="465" spans="1:13" ht="30" customHeight="1" outlineLevel="2" x14ac:dyDescent="0.35">
      <c r="A465" s="93" t="s">
        <v>45</v>
      </c>
      <c r="B465" s="86" t="s">
        <v>114</v>
      </c>
      <c r="C465" s="85" t="s">
        <v>111</v>
      </c>
      <c r="D465" s="93">
        <v>258</v>
      </c>
      <c r="E465" s="121">
        <v>3369668</v>
      </c>
      <c r="F465" s="121">
        <v>2647678</v>
      </c>
      <c r="G465" s="413" t="s">
        <v>529</v>
      </c>
      <c r="H465" s="121">
        <v>721990</v>
      </c>
      <c r="I465" s="392">
        <v>0</v>
      </c>
      <c r="J465" s="392">
        <v>0</v>
      </c>
      <c r="K465" s="392">
        <v>0</v>
      </c>
      <c r="L465" s="121">
        <v>721990</v>
      </c>
      <c r="M465" s="450" t="s">
        <v>529</v>
      </c>
    </row>
    <row r="466" spans="1:13" ht="15.5" outlineLevel="2" x14ac:dyDescent="0.35">
      <c r="A466" s="93" t="s">
        <v>45</v>
      </c>
      <c r="B466" s="86" t="s">
        <v>282</v>
      </c>
      <c r="C466" s="85" t="s">
        <v>283</v>
      </c>
      <c r="D466" s="93">
        <v>58</v>
      </c>
      <c r="E466" s="121">
        <v>3305227</v>
      </c>
      <c r="F466" s="121">
        <v>3224482</v>
      </c>
      <c r="G466" s="413" t="s">
        <v>529</v>
      </c>
      <c r="H466" s="121">
        <v>80745</v>
      </c>
      <c r="I466" s="392">
        <v>0</v>
      </c>
      <c r="J466" s="392">
        <v>0</v>
      </c>
      <c r="K466" s="392">
        <v>0</v>
      </c>
      <c r="L466" s="121">
        <v>80745</v>
      </c>
      <c r="M466" s="450" t="s">
        <v>529</v>
      </c>
    </row>
    <row r="467" spans="1:13" ht="15.5" outlineLevel="2" x14ac:dyDescent="0.35">
      <c r="A467" s="93" t="s">
        <v>45</v>
      </c>
      <c r="B467" s="86" t="s">
        <v>256</v>
      </c>
      <c r="C467" s="85" t="s">
        <v>257</v>
      </c>
      <c r="D467" s="93">
        <v>308</v>
      </c>
      <c r="E467" s="121">
        <v>135845</v>
      </c>
      <c r="F467" s="121">
        <v>43821</v>
      </c>
      <c r="G467" s="413" t="s">
        <v>529</v>
      </c>
      <c r="H467" s="121">
        <v>92024</v>
      </c>
      <c r="I467" s="392">
        <v>0</v>
      </c>
      <c r="J467" s="392">
        <v>0</v>
      </c>
      <c r="K467" s="392">
        <v>0</v>
      </c>
      <c r="L467" s="121">
        <v>92024</v>
      </c>
      <c r="M467" s="450" t="s">
        <v>529</v>
      </c>
    </row>
    <row r="468" spans="1:13" ht="15" customHeight="1" outlineLevel="2" x14ac:dyDescent="0.35">
      <c r="A468" s="93" t="s">
        <v>45</v>
      </c>
      <c r="B468" s="86" t="s">
        <v>115</v>
      </c>
      <c r="C468" s="85" t="s">
        <v>93</v>
      </c>
      <c r="D468" s="93">
        <v>260</v>
      </c>
      <c r="E468" s="121">
        <v>21787691</v>
      </c>
      <c r="F468" s="121">
        <v>21509807</v>
      </c>
      <c r="G468" s="413" t="s">
        <v>529</v>
      </c>
      <c r="H468" s="121">
        <v>277884</v>
      </c>
      <c r="I468" s="121">
        <v>1090955</v>
      </c>
      <c r="J468" s="121">
        <v>31533</v>
      </c>
      <c r="K468" s="121">
        <v>1059422</v>
      </c>
      <c r="L468" s="121">
        <v>-781538</v>
      </c>
      <c r="M468" s="450" t="s">
        <v>529</v>
      </c>
    </row>
    <row r="469" spans="1:13" ht="15.5" outlineLevel="2" x14ac:dyDescent="0.35">
      <c r="A469" s="93" t="s">
        <v>45</v>
      </c>
      <c r="B469" s="86" t="s">
        <v>118</v>
      </c>
      <c r="C469" s="85" t="s">
        <v>119</v>
      </c>
      <c r="D469" s="93">
        <v>346</v>
      </c>
      <c r="E469" s="121">
        <v>51841</v>
      </c>
      <c r="F469" s="121">
        <v>50296</v>
      </c>
      <c r="G469" s="413" t="s">
        <v>529</v>
      </c>
      <c r="H469" s="121">
        <v>1545</v>
      </c>
      <c r="I469" s="392">
        <v>0</v>
      </c>
      <c r="J469" s="392">
        <v>0</v>
      </c>
      <c r="K469" s="392">
        <v>0</v>
      </c>
      <c r="L469" s="121">
        <v>1545</v>
      </c>
      <c r="M469" s="450" t="s">
        <v>529</v>
      </c>
    </row>
    <row r="470" spans="1:13" ht="15" customHeight="1" outlineLevel="2" x14ac:dyDescent="0.35">
      <c r="A470" s="93" t="s">
        <v>45</v>
      </c>
      <c r="B470" s="86" t="s">
        <v>120</v>
      </c>
      <c r="C470" s="85" t="s">
        <v>121</v>
      </c>
      <c r="D470" s="93">
        <v>351</v>
      </c>
      <c r="E470" s="121">
        <v>63789</v>
      </c>
      <c r="F470" s="121">
        <v>58955</v>
      </c>
      <c r="G470" s="413" t="s">
        <v>529</v>
      </c>
      <c r="H470" s="121">
        <v>4834</v>
      </c>
      <c r="I470" s="392">
        <v>0</v>
      </c>
      <c r="J470" s="392">
        <v>0</v>
      </c>
      <c r="K470" s="392">
        <v>0</v>
      </c>
      <c r="L470" s="121">
        <v>4834</v>
      </c>
      <c r="M470" s="450" t="s">
        <v>529</v>
      </c>
    </row>
    <row r="471" spans="1:13" ht="15.5" outlineLevel="2" x14ac:dyDescent="0.35">
      <c r="A471" s="137" t="s">
        <v>203</v>
      </c>
      <c r="B471" s="429" t="s">
        <v>529</v>
      </c>
      <c r="C471" s="430" t="s">
        <v>529</v>
      </c>
      <c r="D471" s="409" t="s">
        <v>529</v>
      </c>
      <c r="E471" s="138">
        <f>SUBTOTAL(109,school200809[Program
Costs])</f>
        <v>479114940</v>
      </c>
      <c r="F471" s="138">
        <f>SUBTOTAL(109,school200809[Less: Net Payments and Offsets 8])</f>
        <v>380599458</v>
      </c>
      <c r="G471" s="414" t="s">
        <v>552</v>
      </c>
      <c r="H471" s="138">
        <f>SUBTOTAL(109,school200809[Accounts Payable
Balance])</f>
        <v>98515482</v>
      </c>
      <c r="I471" s="138">
        <f>SUBTOTAL(109,school200809[Established
Accounts Receivable])</f>
        <v>2272295</v>
      </c>
      <c r="J471" s="138">
        <f>SUBTOTAL(109,school200809[Less: Recovered Amount])</f>
        <v>295119</v>
      </c>
      <c r="K471" s="138">
        <f>SUBTOTAL(109,school200809[Accounts Receivable
Balance])</f>
        <v>1977176</v>
      </c>
      <c r="L471" s="138">
        <f>SUBTOTAL(109,school200809[Net
Balance])</f>
        <v>96538306</v>
      </c>
      <c r="M471" s="414" t="s">
        <v>552</v>
      </c>
    </row>
    <row r="472" spans="1:13" ht="15.5" outlineLevel="2" x14ac:dyDescent="0.35">
      <c r="A472" s="386" t="s">
        <v>540</v>
      </c>
      <c r="B472" s="404"/>
      <c r="C472" s="135"/>
      <c r="D472" s="405"/>
      <c r="E472" s="406"/>
      <c r="F472" s="406"/>
      <c r="G472" s="406"/>
      <c r="H472" s="406"/>
      <c r="I472" s="406"/>
      <c r="J472" s="406"/>
      <c r="K472" s="406"/>
      <c r="L472" s="406"/>
      <c r="M472" s="406"/>
    </row>
    <row r="473" spans="1:13" ht="50" customHeight="1" outlineLevel="2" x14ac:dyDescent="0.35">
      <c r="A473" s="457" t="s">
        <v>11</v>
      </c>
      <c r="B473" s="300" t="s">
        <v>12</v>
      </c>
      <c r="C473" s="158" t="s">
        <v>0</v>
      </c>
      <c r="D473" s="300" t="s">
        <v>132</v>
      </c>
      <c r="E473" s="458" t="s">
        <v>125</v>
      </c>
      <c r="F473" s="423" t="s">
        <v>614</v>
      </c>
      <c r="G473" s="424" t="s">
        <v>531</v>
      </c>
      <c r="H473" s="422" t="s">
        <v>495</v>
      </c>
      <c r="I473" s="422" t="s">
        <v>496</v>
      </c>
      <c r="J473" s="458" t="s">
        <v>134</v>
      </c>
      <c r="K473" s="422" t="s">
        <v>497</v>
      </c>
      <c r="L473" s="458" t="s">
        <v>133</v>
      </c>
      <c r="M473" s="459" t="s">
        <v>532</v>
      </c>
    </row>
    <row r="474" spans="1:13" ht="15.5" outlineLevel="2" x14ac:dyDescent="0.35">
      <c r="A474" s="93" t="s">
        <v>46</v>
      </c>
      <c r="B474" s="86" t="s">
        <v>147</v>
      </c>
      <c r="C474" s="85" t="s">
        <v>148</v>
      </c>
      <c r="D474" s="93">
        <v>170</v>
      </c>
      <c r="E474" s="392">
        <v>0</v>
      </c>
      <c r="F474" s="392">
        <v>0</v>
      </c>
      <c r="G474" s="413" t="s">
        <v>529</v>
      </c>
      <c r="H474" s="392">
        <v>0</v>
      </c>
      <c r="I474" s="121">
        <v>1000</v>
      </c>
      <c r="J474" s="392">
        <v>0</v>
      </c>
      <c r="K474" s="121">
        <v>1000</v>
      </c>
      <c r="L474" s="121">
        <v>-1000</v>
      </c>
      <c r="M474" s="413" t="s">
        <v>529</v>
      </c>
    </row>
    <row r="475" spans="1:13" ht="15.5" outlineLevel="2" x14ac:dyDescent="0.35">
      <c r="A475" s="93" t="s">
        <v>46</v>
      </c>
      <c r="B475" s="86" t="s">
        <v>61</v>
      </c>
      <c r="C475" s="85" t="s">
        <v>62</v>
      </c>
      <c r="D475" s="93">
        <v>305</v>
      </c>
      <c r="E475" s="121">
        <v>117677</v>
      </c>
      <c r="F475" s="121">
        <v>104958</v>
      </c>
      <c r="G475" s="413" t="s">
        <v>529</v>
      </c>
      <c r="H475" s="121">
        <v>12719</v>
      </c>
      <c r="I475" s="392">
        <v>0</v>
      </c>
      <c r="J475" s="392">
        <v>0</v>
      </c>
      <c r="K475" s="392">
        <v>0</v>
      </c>
      <c r="L475" s="121">
        <v>12719</v>
      </c>
      <c r="M475" s="413" t="s">
        <v>529</v>
      </c>
    </row>
    <row r="476" spans="1:13" ht="33" customHeight="1" outlineLevel="2" x14ac:dyDescent="0.35">
      <c r="A476" s="93" t="s">
        <v>46</v>
      </c>
      <c r="B476" s="86" t="s">
        <v>63</v>
      </c>
      <c r="C476" s="85" t="s">
        <v>64</v>
      </c>
      <c r="D476" s="93">
        <v>250</v>
      </c>
      <c r="E476" s="121">
        <v>1709781</v>
      </c>
      <c r="F476" s="121">
        <v>1015426</v>
      </c>
      <c r="G476" s="413" t="s">
        <v>529</v>
      </c>
      <c r="H476" s="121">
        <v>694355</v>
      </c>
      <c r="I476" s="121">
        <v>7</v>
      </c>
      <c r="J476" s="121">
        <v>4</v>
      </c>
      <c r="K476" s="121">
        <v>3</v>
      </c>
      <c r="L476" s="121">
        <v>694352</v>
      </c>
      <c r="M476" s="413" t="s">
        <v>529</v>
      </c>
    </row>
    <row r="477" spans="1:13" ht="34" customHeight="1" outlineLevel="2" x14ac:dyDescent="0.35">
      <c r="A477" s="93" t="s">
        <v>46</v>
      </c>
      <c r="B477" s="86" t="s">
        <v>268</v>
      </c>
      <c r="C477" s="85" t="s">
        <v>266</v>
      </c>
      <c r="D477" s="93">
        <v>348</v>
      </c>
      <c r="E477" s="121">
        <v>53867214</v>
      </c>
      <c r="F477" s="121">
        <v>45736429</v>
      </c>
      <c r="G477" s="413" t="s">
        <v>529</v>
      </c>
      <c r="H477" s="121">
        <v>8130785</v>
      </c>
      <c r="I477" s="392">
        <v>0</v>
      </c>
      <c r="J477" s="392">
        <v>0</v>
      </c>
      <c r="K477" s="392">
        <v>0</v>
      </c>
      <c r="L477" s="121">
        <v>8130785</v>
      </c>
      <c r="M477" s="413" t="s">
        <v>529</v>
      </c>
    </row>
    <row r="478" spans="1:13" ht="30" customHeight="1" outlineLevel="2" x14ac:dyDescent="0.35">
      <c r="A478" s="93" t="s">
        <v>46</v>
      </c>
      <c r="B478" s="86" t="s">
        <v>67</v>
      </c>
      <c r="C478" s="85" t="s">
        <v>68</v>
      </c>
      <c r="D478" s="93">
        <v>286</v>
      </c>
      <c r="E478" s="121">
        <v>72259</v>
      </c>
      <c r="F478" s="121">
        <v>49294</v>
      </c>
      <c r="G478" s="413" t="s">
        <v>529</v>
      </c>
      <c r="H478" s="121">
        <v>22965</v>
      </c>
      <c r="I478" s="392">
        <v>0</v>
      </c>
      <c r="J478" s="392">
        <v>0</v>
      </c>
      <c r="K478" s="392">
        <v>0</v>
      </c>
      <c r="L478" s="121">
        <v>22965</v>
      </c>
      <c r="M478" s="413" t="s">
        <v>529</v>
      </c>
    </row>
    <row r="479" spans="1:13" ht="33" customHeight="1" outlineLevel="2" x14ac:dyDescent="0.35">
      <c r="A479" s="93" t="s">
        <v>46</v>
      </c>
      <c r="B479" s="86" t="s">
        <v>69</v>
      </c>
      <c r="C479" s="85" t="s">
        <v>70</v>
      </c>
      <c r="D479" s="93">
        <v>172</v>
      </c>
      <c r="E479" s="121">
        <v>624944</v>
      </c>
      <c r="F479" s="121">
        <v>536418</v>
      </c>
      <c r="G479" s="413" t="s">
        <v>529</v>
      </c>
      <c r="H479" s="121">
        <v>88526</v>
      </c>
      <c r="I479" s="392">
        <v>0</v>
      </c>
      <c r="J479" s="392">
        <v>0</v>
      </c>
      <c r="K479" s="392">
        <v>0</v>
      </c>
      <c r="L479" s="121">
        <v>88526</v>
      </c>
      <c r="M479" s="413" t="s">
        <v>529</v>
      </c>
    </row>
    <row r="480" spans="1:13" ht="15" customHeight="1" outlineLevel="2" x14ac:dyDescent="0.35">
      <c r="A480" s="93" t="s">
        <v>46</v>
      </c>
      <c r="B480" s="86" t="s">
        <v>420</v>
      </c>
      <c r="C480" s="85" t="s">
        <v>71</v>
      </c>
      <c r="D480" s="93">
        <v>278</v>
      </c>
      <c r="E480" s="121">
        <v>1740107</v>
      </c>
      <c r="F480" s="121">
        <v>1552010</v>
      </c>
      <c r="G480" s="413" t="s">
        <v>529</v>
      </c>
      <c r="H480" s="121">
        <v>188097</v>
      </c>
      <c r="I480" s="392">
        <v>0</v>
      </c>
      <c r="J480" s="392">
        <v>0</v>
      </c>
      <c r="K480" s="392">
        <v>0</v>
      </c>
      <c r="L480" s="121">
        <v>188097</v>
      </c>
      <c r="M480" s="413" t="s">
        <v>529</v>
      </c>
    </row>
    <row r="481" spans="1:13" ht="30" customHeight="1" outlineLevel="2" x14ac:dyDescent="0.35">
      <c r="A481" s="93" t="s">
        <v>46</v>
      </c>
      <c r="B481" s="86" t="s">
        <v>72</v>
      </c>
      <c r="C481" s="85" t="s">
        <v>73</v>
      </c>
      <c r="D481" s="93">
        <v>11</v>
      </c>
      <c r="E481" s="121">
        <v>23972104</v>
      </c>
      <c r="F481" s="121">
        <v>21133564</v>
      </c>
      <c r="G481" s="413" t="s">
        <v>529</v>
      </c>
      <c r="H481" s="121">
        <v>2838540</v>
      </c>
      <c r="I481" s="121">
        <v>2</v>
      </c>
      <c r="J481" s="392">
        <v>0</v>
      </c>
      <c r="K481" s="121">
        <v>2</v>
      </c>
      <c r="L481" s="121">
        <v>2838538</v>
      </c>
      <c r="M481" s="413" t="s">
        <v>529</v>
      </c>
    </row>
    <row r="482" spans="1:13" ht="15" customHeight="1" outlineLevel="2" x14ac:dyDescent="0.35">
      <c r="A482" s="93" t="s">
        <v>46</v>
      </c>
      <c r="B482" s="86" t="s">
        <v>286</v>
      </c>
      <c r="C482" s="85" t="s">
        <v>75</v>
      </c>
      <c r="D482" s="93">
        <v>223</v>
      </c>
      <c r="E482" s="121">
        <v>4039486</v>
      </c>
      <c r="F482" s="121">
        <v>3691207</v>
      </c>
      <c r="G482" s="413" t="s">
        <v>529</v>
      </c>
      <c r="H482" s="121">
        <v>348279</v>
      </c>
      <c r="I482" s="121">
        <v>3</v>
      </c>
      <c r="J482" s="392">
        <v>0</v>
      </c>
      <c r="K482" s="121">
        <v>3</v>
      </c>
      <c r="L482" s="121">
        <v>348276</v>
      </c>
      <c r="M482" s="413" t="s">
        <v>529</v>
      </c>
    </row>
    <row r="483" spans="1:13" ht="48.5" customHeight="1" outlineLevel="2" x14ac:dyDescent="0.35">
      <c r="A483" s="93" t="s">
        <v>46</v>
      </c>
      <c r="B483" s="86" t="s">
        <v>78</v>
      </c>
      <c r="C483" s="85" t="s">
        <v>79</v>
      </c>
      <c r="D483" s="93">
        <v>272</v>
      </c>
      <c r="E483" s="121">
        <v>9224219</v>
      </c>
      <c r="F483" s="121">
        <v>8491932</v>
      </c>
      <c r="G483" s="413" t="s">
        <v>529</v>
      </c>
      <c r="H483" s="121">
        <v>732287</v>
      </c>
      <c r="I483" s="121">
        <v>2</v>
      </c>
      <c r="J483" s="392">
        <v>0</v>
      </c>
      <c r="K483" s="121">
        <v>2</v>
      </c>
      <c r="L483" s="121">
        <v>732285</v>
      </c>
      <c r="M483" s="413" t="s">
        <v>529</v>
      </c>
    </row>
    <row r="484" spans="1:13" ht="53" customHeight="1" outlineLevel="2" x14ac:dyDescent="0.35">
      <c r="A484" s="93" t="s">
        <v>46</v>
      </c>
      <c r="B484" s="86" t="s">
        <v>80</v>
      </c>
      <c r="C484" s="85" t="s">
        <v>81</v>
      </c>
      <c r="D484" s="93">
        <v>276</v>
      </c>
      <c r="E484" s="121">
        <v>891073</v>
      </c>
      <c r="F484" s="121">
        <v>717431</v>
      </c>
      <c r="G484" s="413" t="s">
        <v>529</v>
      </c>
      <c r="H484" s="121">
        <v>173642</v>
      </c>
      <c r="I484" s="392">
        <v>0</v>
      </c>
      <c r="J484" s="392">
        <v>0</v>
      </c>
      <c r="K484" s="392">
        <v>0</v>
      </c>
      <c r="L484" s="121">
        <v>173642</v>
      </c>
      <c r="M484" s="413" t="s">
        <v>529</v>
      </c>
    </row>
    <row r="485" spans="1:13" ht="51" customHeight="1" outlineLevel="2" x14ac:dyDescent="0.35">
      <c r="A485" s="93" t="s">
        <v>46</v>
      </c>
      <c r="B485" s="86" t="s">
        <v>289</v>
      </c>
      <c r="C485" s="85" t="s">
        <v>290</v>
      </c>
      <c r="D485" s="93">
        <v>291</v>
      </c>
      <c r="E485" s="121">
        <v>346400</v>
      </c>
      <c r="F485" s="121">
        <v>287064</v>
      </c>
      <c r="G485" s="413" t="s">
        <v>529</v>
      </c>
      <c r="H485" s="121">
        <v>59336</v>
      </c>
      <c r="I485" s="392">
        <v>0</v>
      </c>
      <c r="J485" s="392">
        <v>0</v>
      </c>
      <c r="K485" s="392">
        <v>0</v>
      </c>
      <c r="L485" s="121">
        <v>59336</v>
      </c>
      <c r="M485" s="413" t="s">
        <v>529</v>
      </c>
    </row>
    <row r="486" spans="1:13" ht="32.5" customHeight="1" outlineLevel="2" x14ac:dyDescent="0.35">
      <c r="A486" s="93" t="s">
        <v>46</v>
      </c>
      <c r="B486" s="86" t="s">
        <v>84</v>
      </c>
      <c r="C486" s="85" t="s">
        <v>85</v>
      </c>
      <c r="D486" s="93">
        <v>209</v>
      </c>
      <c r="E486" s="121">
        <v>309546</v>
      </c>
      <c r="F486" s="121">
        <v>224475</v>
      </c>
      <c r="G486" s="413" t="s">
        <v>529</v>
      </c>
      <c r="H486" s="121">
        <v>85071</v>
      </c>
      <c r="I486" s="392">
        <v>0</v>
      </c>
      <c r="J486" s="392">
        <v>0</v>
      </c>
      <c r="K486" s="392">
        <v>0</v>
      </c>
      <c r="L486" s="121">
        <v>85071</v>
      </c>
      <c r="M486" s="413" t="s">
        <v>529</v>
      </c>
    </row>
    <row r="487" spans="1:13" ht="15" customHeight="1" outlineLevel="2" x14ac:dyDescent="0.35">
      <c r="A487" s="93" t="s">
        <v>46</v>
      </c>
      <c r="B487" s="86" t="s">
        <v>86</v>
      </c>
      <c r="C487" s="85" t="s">
        <v>87</v>
      </c>
      <c r="D487" s="93">
        <v>183</v>
      </c>
      <c r="E487" s="121">
        <v>868045</v>
      </c>
      <c r="F487" s="121">
        <v>731745</v>
      </c>
      <c r="G487" s="413" t="s">
        <v>529</v>
      </c>
      <c r="H487" s="121">
        <v>136300</v>
      </c>
      <c r="I487" s="121">
        <v>1</v>
      </c>
      <c r="J487" s="121">
        <v>1</v>
      </c>
      <c r="K487" s="392">
        <v>0</v>
      </c>
      <c r="L487" s="121">
        <v>136300</v>
      </c>
      <c r="M487" s="413" t="s">
        <v>529</v>
      </c>
    </row>
    <row r="488" spans="1:13" ht="15" customHeight="1" outlineLevel="2" x14ac:dyDescent="0.35">
      <c r="A488" s="93" t="s">
        <v>46</v>
      </c>
      <c r="B488" s="86" t="s">
        <v>88</v>
      </c>
      <c r="C488" s="85" t="s">
        <v>89</v>
      </c>
      <c r="D488" s="93">
        <v>251</v>
      </c>
      <c r="E488" s="121">
        <v>459132</v>
      </c>
      <c r="F488" s="121">
        <v>388107</v>
      </c>
      <c r="G488" s="413" t="s">
        <v>529</v>
      </c>
      <c r="H488" s="121">
        <v>71025</v>
      </c>
      <c r="I488" s="392">
        <v>0</v>
      </c>
      <c r="J488" s="392">
        <v>0</v>
      </c>
      <c r="K488" s="392">
        <v>0</v>
      </c>
      <c r="L488" s="121">
        <v>71025</v>
      </c>
      <c r="M488" s="413" t="s">
        <v>529</v>
      </c>
    </row>
    <row r="489" spans="1:13" ht="30.5" customHeight="1" outlineLevel="2" x14ac:dyDescent="0.35">
      <c r="A489" s="93" t="s">
        <v>46</v>
      </c>
      <c r="B489" s="86" t="s">
        <v>248</v>
      </c>
      <c r="C489" s="85" t="s">
        <v>77</v>
      </c>
      <c r="D489" s="93">
        <v>91</v>
      </c>
      <c r="E489" s="121">
        <v>13054</v>
      </c>
      <c r="F489" s="121">
        <v>11243</v>
      </c>
      <c r="G489" s="413" t="s">
        <v>529</v>
      </c>
      <c r="H489" s="121">
        <v>1811</v>
      </c>
      <c r="I489" s="392">
        <v>0</v>
      </c>
      <c r="J489" s="392">
        <v>0</v>
      </c>
      <c r="K489" s="392">
        <v>0</v>
      </c>
      <c r="L489" s="121">
        <v>1811</v>
      </c>
      <c r="M489" s="413" t="s">
        <v>529</v>
      </c>
    </row>
    <row r="490" spans="1:13" ht="15.5" outlineLevel="2" x14ac:dyDescent="0.35">
      <c r="A490" s="93" t="s">
        <v>46</v>
      </c>
      <c r="B490" s="86" t="s">
        <v>90</v>
      </c>
      <c r="C490" s="85" t="s">
        <v>91</v>
      </c>
      <c r="D490" s="93">
        <v>192</v>
      </c>
      <c r="E490" s="121">
        <v>415489</v>
      </c>
      <c r="F490" s="121">
        <v>357800</v>
      </c>
      <c r="G490" s="413" t="s">
        <v>529</v>
      </c>
      <c r="H490" s="121">
        <v>57689</v>
      </c>
      <c r="I490" s="392">
        <v>0</v>
      </c>
      <c r="J490" s="392">
        <v>0</v>
      </c>
      <c r="K490" s="392">
        <v>0</v>
      </c>
      <c r="L490" s="121">
        <v>57689</v>
      </c>
      <c r="M490" s="413" t="s">
        <v>529</v>
      </c>
    </row>
    <row r="491" spans="1:13" ht="15" customHeight="1" outlineLevel="2" x14ac:dyDescent="0.35">
      <c r="A491" s="93" t="s">
        <v>46</v>
      </c>
      <c r="B491" s="86" t="s">
        <v>291</v>
      </c>
      <c r="C491" s="85" t="s">
        <v>93</v>
      </c>
      <c r="D491" s="93">
        <v>26</v>
      </c>
      <c r="E491" s="121">
        <v>27025365</v>
      </c>
      <c r="F491" s="121">
        <v>19200448</v>
      </c>
      <c r="G491" s="413" t="s">
        <v>529</v>
      </c>
      <c r="H491" s="121">
        <v>7824917</v>
      </c>
      <c r="I491" s="392">
        <v>0</v>
      </c>
      <c r="J491" s="392">
        <v>0</v>
      </c>
      <c r="K491" s="392">
        <v>0</v>
      </c>
      <c r="L491" s="121">
        <v>7824917</v>
      </c>
      <c r="M491" s="413" t="s">
        <v>529</v>
      </c>
    </row>
    <row r="492" spans="1:13" ht="30" customHeight="1" outlineLevel="2" x14ac:dyDescent="0.35">
      <c r="A492" s="93" t="s">
        <v>46</v>
      </c>
      <c r="B492" s="86" t="s">
        <v>92</v>
      </c>
      <c r="C492" s="85" t="s">
        <v>93</v>
      </c>
      <c r="D492" s="93">
        <v>297</v>
      </c>
      <c r="E492" s="121">
        <v>231343214</v>
      </c>
      <c r="F492" s="121">
        <v>180663161</v>
      </c>
      <c r="G492" s="413" t="s">
        <v>529</v>
      </c>
      <c r="H492" s="121">
        <v>50680053</v>
      </c>
      <c r="I492" s="392">
        <v>0</v>
      </c>
      <c r="J492" s="392">
        <v>0</v>
      </c>
      <c r="K492" s="392">
        <v>0</v>
      </c>
      <c r="L492" s="121">
        <v>50680053</v>
      </c>
      <c r="M492" s="413" t="s">
        <v>529</v>
      </c>
    </row>
    <row r="493" spans="1:13" ht="15" customHeight="1" outlineLevel="2" x14ac:dyDescent="0.35">
      <c r="A493" s="93" t="s">
        <v>46</v>
      </c>
      <c r="B493" s="86" t="s">
        <v>94</v>
      </c>
      <c r="C493" s="85" t="s">
        <v>95</v>
      </c>
      <c r="D493" s="93">
        <v>166</v>
      </c>
      <c r="E493" s="121">
        <v>9142743</v>
      </c>
      <c r="F493" s="121">
        <v>7632371</v>
      </c>
      <c r="G493" s="413" t="s">
        <v>529</v>
      </c>
      <c r="H493" s="121">
        <v>1510372</v>
      </c>
      <c r="I493" s="121">
        <v>1</v>
      </c>
      <c r="J493" s="392">
        <v>0</v>
      </c>
      <c r="K493" s="121">
        <v>1</v>
      </c>
      <c r="L493" s="121">
        <v>1510371</v>
      </c>
      <c r="M493" s="413" t="s">
        <v>529</v>
      </c>
    </row>
    <row r="494" spans="1:13" ht="15" customHeight="1" outlineLevel="2" x14ac:dyDescent="0.35">
      <c r="A494" s="93" t="s">
        <v>46</v>
      </c>
      <c r="B494" s="86" t="s">
        <v>244</v>
      </c>
      <c r="C494" s="85" t="s">
        <v>245</v>
      </c>
      <c r="D494" s="93">
        <v>268</v>
      </c>
      <c r="E494" s="121">
        <v>6821348</v>
      </c>
      <c r="F494" s="121">
        <v>4845414</v>
      </c>
      <c r="G494" s="413" t="s">
        <v>529</v>
      </c>
      <c r="H494" s="121">
        <v>1975934</v>
      </c>
      <c r="I494" s="392">
        <v>0</v>
      </c>
      <c r="J494" s="392">
        <v>0</v>
      </c>
      <c r="K494" s="392">
        <v>0</v>
      </c>
      <c r="L494" s="121">
        <v>1975934</v>
      </c>
      <c r="M494" s="413" t="s">
        <v>529</v>
      </c>
    </row>
    <row r="495" spans="1:13" ht="15" customHeight="1" outlineLevel="2" x14ac:dyDescent="0.35">
      <c r="A495" s="93" t="s">
        <v>46</v>
      </c>
      <c r="B495" s="86" t="s">
        <v>96</v>
      </c>
      <c r="C495" s="85" t="s">
        <v>97</v>
      </c>
      <c r="D495" s="93">
        <v>32</v>
      </c>
      <c r="E495" s="121">
        <v>4365949</v>
      </c>
      <c r="F495" s="121">
        <v>4220239</v>
      </c>
      <c r="G495" s="413" t="s">
        <v>529</v>
      </c>
      <c r="H495" s="121">
        <v>145710</v>
      </c>
      <c r="I495" s="121">
        <v>2</v>
      </c>
      <c r="J495" s="392">
        <v>0</v>
      </c>
      <c r="K495" s="121">
        <v>2</v>
      </c>
      <c r="L495" s="121">
        <v>145708</v>
      </c>
      <c r="M495" s="413" t="s">
        <v>529</v>
      </c>
    </row>
    <row r="496" spans="1:13" ht="15" customHeight="1" outlineLevel="2" x14ac:dyDescent="0.35">
      <c r="A496" s="93" t="s">
        <v>46</v>
      </c>
      <c r="B496" s="86" t="s">
        <v>421</v>
      </c>
      <c r="C496" s="85" t="s">
        <v>99</v>
      </c>
      <c r="D496" s="93">
        <v>230</v>
      </c>
      <c r="E496" s="121">
        <v>5527460</v>
      </c>
      <c r="F496" s="121">
        <v>5438722</v>
      </c>
      <c r="G496" s="413" t="s">
        <v>529</v>
      </c>
      <c r="H496" s="121">
        <v>88738</v>
      </c>
      <c r="I496" s="121">
        <v>3</v>
      </c>
      <c r="J496" s="392">
        <v>0</v>
      </c>
      <c r="K496" s="121">
        <v>3</v>
      </c>
      <c r="L496" s="121">
        <v>88735</v>
      </c>
      <c r="M496" s="413" t="s">
        <v>529</v>
      </c>
    </row>
    <row r="497" spans="1:13" ht="15.5" outlineLevel="2" x14ac:dyDescent="0.35">
      <c r="A497" s="93" t="s">
        <v>46</v>
      </c>
      <c r="B497" s="86" t="s">
        <v>249</v>
      </c>
      <c r="C497" s="85" t="s">
        <v>250</v>
      </c>
      <c r="D497" s="93">
        <v>148</v>
      </c>
      <c r="E497" s="121">
        <v>35051</v>
      </c>
      <c r="F497" s="121">
        <v>9658</v>
      </c>
      <c r="G497" s="413" t="s">
        <v>529</v>
      </c>
      <c r="H497" s="121">
        <v>25393</v>
      </c>
      <c r="I497" s="392">
        <v>0</v>
      </c>
      <c r="J497" s="392">
        <v>0</v>
      </c>
      <c r="K497" s="392">
        <v>0</v>
      </c>
      <c r="L497" s="121">
        <v>25393</v>
      </c>
      <c r="M497" s="413" t="s">
        <v>529</v>
      </c>
    </row>
    <row r="498" spans="1:13" ht="15.5" outlineLevel="2" x14ac:dyDescent="0.35">
      <c r="A498" s="93" t="s">
        <v>46</v>
      </c>
      <c r="B498" s="86" t="s">
        <v>101</v>
      </c>
      <c r="C498" s="85" t="s">
        <v>102</v>
      </c>
      <c r="D498" s="93">
        <v>153</v>
      </c>
      <c r="E498" s="121">
        <v>4238386</v>
      </c>
      <c r="F498" s="121">
        <v>3825740</v>
      </c>
      <c r="G498" s="413" t="s">
        <v>529</v>
      </c>
      <c r="H498" s="121">
        <v>412646</v>
      </c>
      <c r="I498" s="392">
        <v>0</v>
      </c>
      <c r="J498" s="392">
        <v>0</v>
      </c>
      <c r="K498" s="392">
        <v>0</v>
      </c>
      <c r="L498" s="121">
        <v>412646</v>
      </c>
      <c r="M498" s="413" t="s">
        <v>529</v>
      </c>
    </row>
    <row r="499" spans="1:13" ht="15" customHeight="1" outlineLevel="2" x14ac:dyDescent="0.35">
      <c r="A499" s="93" t="s">
        <v>46</v>
      </c>
      <c r="B499" s="86" t="s">
        <v>246</v>
      </c>
      <c r="C499" s="85" t="s">
        <v>247</v>
      </c>
      <c r="D499" s="93">
        <v>155</v>
      </c>
      <c r="E499" s="121">
        <v>1159907</v>
      </c>
      <c r="F499" s="121">
        <v>470577</v>
      </c>
      <c r="G499" s="413" t="s">
        <v>529</v>
      </c>
      <c r="H499" s="121">
        <v>689330</v>
      </c>
      <c r="I499" s="392">
        <v>0</v>
      </c>
      <c r="J499" s="392">
        <v>0</v>
      </c>
      <c r="K499" s="392">
        <v>0</v>
      </c>
      <c r="L499" s="121">
        <v>689330</v>
      </c>
      <c r="M499" s="413" t="s">
        <v>529</v>
      </c>
    </row>
    <row r="500" spans="1:13" ht="15" customHeight="1" outlineLevel="2" x14ac:dyDescent="0.35">
      <c r="A500" s="93" t="s">
        <v>46</v>
      </c>
      <c r="B500" s="86" t="s">
        <v>155</v>
      </c>
      <c r="C500" s="85" t="s">
        <v>156</v>
      </c>
      <c r="D500" s="93">
        <v>42</v>
      </c>
      <c r="E500" s="121">
        <v>16405291</v>
      </c>
      <c r="F500" s="121">
        <v>14589752</v>
      </c>
      <c r="G500" s="413" t="s">
        <v>529</v>
      </c>
      <c r="H500" s="121">
        <v>1815539</v>
      </c>
      <c r="I500" s="392">
        <v>0</v>
      </c>
      <c r="J500" s="392">
        <v>0</v>
      </c>
      <c r="K500" s="392">
        <v>0</v>
      </c>
      <c r="L500" s="121">
        <v>1815539</v>
      </c>
      <c r="M500" s="413" t="s">
        <v>529</v>
      </c>
    </row>
    <row r="501" spans="1:13" ht="48.5" customHeight="1" outlineLevel="2" x14ac:dyDescent="0.35">
      <c r="A501" s="93" t="s">
        <v>46</v>
      </c>
      <c r="B501" s="86" t="s">
        <v>287</v>
      </c>
      <c r="C501" s="85" t="s">
        <v>288</v>
      </c>
      <c r="D501" s="93">
        <v>265</v>
      </c>
      <c r="E501" s="121">
        <v>3431203</v>
      </c>
      <c r="F501" s="121">
        <v>3273018</v>
      </c>
      <c r="G501" s="413" t="s">
        <v>529</v>
      </c>
      <c r="H501" s="121">
        <v>158185</v>
      </c>
      <c r="I501" s="392">
        <v>0</v>
      </c>
      <c r="J501" s="392">
        <v>0</v>
      </c>
      <c r="K501" s="392">
        <v>0</v>
      </c>
      <c r="L501" s="121">
        <v>158185</v>
      </c>
      <c r="M501" s="413" t="s">
        <v>529</v>
      </c>
    </row>
    <row r="502" spans="1:13" ht="15.5" outlineLevel="2" x14ac:dyDescent="0.35">
      <c r="A502" s="93" t="s">
        <v>46</v>
      </c>
      <c r="B502" s="86" t="s">
        <v>103</v>
      </c>
      <c r="C502" s="85" t="s">
        <v>93</v>
      </c>
      <c r="D502" s="93">
        <v>48</v>
      </c>
      <c r="E502" s="121">
        <v>16695259</v>
      </c>
      <c r="F502" s="121">
        <v>14809884</v>
      </c>
      <c r="G502" s="413" t="s">
        <v>529</v>
      </c>
      <c r="H502" s="121">
        <v>1885375</v>
      </c>
      <c r="I502" s="121">
        <v>10</v>
      </c>
      <c r="J502" s="121">
        <v>9</v>
      </c>
      <c r="K502" s="121">
        <v>1</v>
      </c>
      <c r="L502" s="121">
        <v>1885374</v>
      </c>
      <c r="M502" s="413" t="s">
        <v>529</v>
      </c>
    </row>
    <row r="503" spans="1:13" ht="33" customHeight="1" outlineLevel="2" x14ac:dyDescent="0.35">
      <c r="A503" s="93" t="s">
        <v>46</v>
      </c>
      <c r="B503" s="86" t="s">
        <v>292</v>
      </c>
      <c r="C503" s="85" t="s">
        <v>83</v>
      </c>
      <c r="D503" s="93">
        <v>150</v>
      </c>
      <c r="E503" s="121">
        <v>7031995</v>
      </c>
      <c r="F503" s="121">
        <v>6148659</v>
      </c>
      <c r="G503" s="413" t="s">
        <v>529</v>
      </c>
      <c r="H503" s="121">
        <v>883336</v>
      </c>
      <c r="I503" s="121">
        <v>9</v>
      </c>
      <c r="J503" s="121">
        <v>7</v>
      </c>
      <c r="K503" s="121">
        <v>2</v>
      </c>
      <c r="L503" s="121">
        <v>883334</v>
      </c>
      <c r="M503" s="413" t="s">
        <v>529</v>
      </c>
    </row>
    <row r="504" spans="1:13" ht="15" customHeight="1" outlineLevel="2" x14ac:dyDescent="0.35">
      <c r="A504" s="93" t="s">
        <v>46</v>
      </c>
      <c r="B504" s="86" t="s">
        <v>144</v>
      </c>
      <c r="C504" s="85" t="s">
        <v>145</v>
      </c>
      <c r="D504" s="93">
        <v>218</v>
      </c>
      <c r="E504" s="121">
        <v>3819044</v>
      </c>
      <c r="F504" s="121">
        <v>3199438</v>
      </c>
      <c r="G504" s="413" t="s">
        <v>529</v>
      </c>
      <c r="H504" s="121">
        <v>619606</v>
      </c>
      <c r="I504" s="392">
        <v>0</v>
      </c>
      <c r="J504" s="392">
        <v>0</v>
      </c>
      <c r="K504" s="392">
        <v>0</v>
      </c>
      <c r="L504" s="121">
        <v>619606</v>
      </c>
      <c r="M504" s="413" t="s">
        <v>529</v>
      </c>
    </row>
    <row r="505" spans="1:13" ht="15.5" outlineLevel="2" x14ac:dyDescent="0.35">
      <c r="A505" s="93" t="s">
        <v>46</v>
      </c>
      <c r="B505" s="86" t="s">
        <v>104</v>
      </c>
      <c r="C505" s="85" t="s">
        <v>105</v>
      </c>
      <c r="D505" s="93">
        <v>350</v>
      </c>
      <c r="E505" s="121">
        <v>51370</v>
      </c>
      <c r="F505" s="121">
        <v>39338</v>
      </c>
      <c r="G505" s="413" t="s">
        <v>529</v>
      </c>
      <c r="H505" s="121">
        <v>12032</v>
      </c>
      <c r="I505" s="392">
        <v>0</v>
      </c>
      <c r="J505" s="392">
        <v>0</v>
      </c>
      <c r="K505" s="392">
        <v>0</v>
      </c>
      <c r="L505" s="121">
        <v>12032</v>
      </c>
      <c r="M505" s="413" t="s">
        <v>529</v>
      </c>
    </row>
    <row r="506" spans="1:13" ht="15" customHeight="1" outlineLevel="2" x14ac:dyDescent="0.35">
      <c r="A506" s="93" t="s">
        <v>46</v>
      </c>
      <c r="B506" s="86" t="s">
        <v>106</v>
      </c>
      <c r="C506" s="85" t="s">
        <v>107</v>
      </c>
      <c r="D506" s="93">
        <v>173</v>
      </c>
      <c r="E506" s="121">
        <v>1914565</v>
      </c>
      <c r="F506" s="121">
        <v>1846192</v>
      </c>
      <c r="G506" s="413" t="s">
        <v>529</v>
      </c>
      <c r="H506" s="121">
        <v>68373</v>
      </c>
      <c r="I506" s="121">
        <v>2</v>
      </c>
      <c r="J506" s="392">
        <v>0</v>
      </c>
      <c r="K506" s="121">
        <v>2</v>
      </c>
      <c r="L506" s="121">
        <v>68371</v>
      </c>
      <c r="M506" s="413" t="s">
        <v>529</v>
      </c>
    </row>
    <row r="507" spans="1:13" ht="15" customHeight="1" outlineLevel="2" x14ac:dyDescent="0.35">
      <c r="A507" s="93" t="s">
        <v>46</v>
      </c>
      <c r="B507" s="86" t="s">
        <v>263</v>
      </c>
      <c r="C507" s="85" t="s">
        <v>264</v>
      </c>
      <c r="D507" s="93">
        <v>335</v>
      </c>
      <c r="E507" s="121">
        <v>52155</v>
      </c>
      <c r="F507" s="121">
        <v>50686</v>
      </c>
      <c r="G507" s="413" t="s">
        <v>529</v>
      </c>
      <c r="H507" s="121">
        <v>1469</v>
      </c>
      <c r="I507" s="392">
        <v>0</v>
      </c>
      <c r="J507" s="392">
        <v>0</v>
      </c>
      <c r="K507" s="392">
        <v>0</v>
      </c>
      <c r="L507" s="121">
        <v>1469</v>
      </c>
      <c r="M507" s="413" t="s">
        <v>529</v>
      </c>
    </row>
    <row r="508" spans="1:13" ht="50" customHeight="1" outlineLevel="2" x14ac:dyDescent="0.35">
      <c r="A508" s="93" t="s">
        <v>46</v>
      </c>
      <c r="B508" s="86" t="s">
        <v>273</v>
      </c>
      <c r="C508" s="85" t="s">
        <v>274</v>
      </c>
      <c r="D508" s="93">
        <v>329</v>
      </c>
      <c r="E508" s="121">
        <v>1130326</v>
      </c>
      <c r="F508" s="121">
        <v>964197</v>
      </c>
      <c r="G508" s="413" t="s">
        <v>529</v>
      </c>
      <c r="H508" s="121">
        <v>166129</v>
      </c>
      <c r="I508" s="392">
        <v>0</v>
      </c>
      <c r="J508" s="392">
        <v>0</v>
      </c>
      <c r="K508" s="392">
        <v>0</v>
      </c>
      <c r="L508" s="121">
        <v>166129</v>
      </c>
      <c r="M508" s="413" t="s">
        <v>529</v>
      </c>
    </row>
    <row r="509" spans="1:13" ht="33" customHeight="1" outlineLevel="2" x14ac:dyDescent="0.35">
      <c r="A509" s="93" t="s">
        <v>46</v>
      </c>
      <c r="B509" s="86" t="s">
        <v>108</v>
      </c>
      <c r="C509" s="85" t="s">
        <v>109</v>
      </c>
      <c r="D509" s="93">
        <v>261</v>
      </c>
      <c r="E509" s="121">
        <v>840768</v>
      </c>
      <c r="F509" s="121">
        <v>814684</v>
      </c>
      <c r="G509" s="413" t="s">
        <v>529</v>
      </c>
      <c r="H509" s="121">
        <v>26084</v>
      </c>
      <c r="I509" s="121">
        <v>2</v>
      </c>
      <c r="J509" s="392">
        <v>0</v>
      </c>
      <c r="K509" s="121">
        <v>2</v>
      </c>
      <c r="L509" s="121">
        <v>26082</v>
      </c>
      <c r="M509" s="413" t="s">
        <v>529</v>
      </c>
    </row>
    <row r="510" spans="1:13" ht="15" customHeight="1" outlineLevel="2" x14ac:dyDescent="0.35">
      <c r="A510" s="93" t="s">
        <v>46</v>
      </c>
      <c r="B510" s="86" t="s">
        <v>110</v>
      </c>
      <c r="C510" s="85" t="s">
        <v>111</v>
      </c>
      <c r="D510" s="93">
        <v>244</v>
      </c>
      <c r="E510" s="121">
        <v>2791621</v>
      </c>
      <c r="F510" s="121">
        <v>2744445</v>
      </c>
      <c r="G510" s="413" t="s">
        <v>529</v>
      </c>
      <c r="H510" s="121">
        <v>47176</v>
      </c>
      <c r="I510" s="392">
        <v>0</v>
      </c>
      <c r="J510" s="392">
        <v>0</v>
      </c>
      <c r="K510" s="392">
        <v>0</v>
      </c>
      <c r="L510" s="121">
        <v>47176</v>
      </c>
      <c r="M510" s="413" t="s">
        <v>529</v>
      </c>
    </row>
    <row r="511" spans="1:13" ht="15" customHeight="1" outlineLevel="2" x14ac:dyDescent="0.35">
      <c r="A511" s="93" t="s">
        <v>46</v>
      </c>
      <c r="B511" s="86" t="s">
        <v>284</v>
      </c>
      <c r="C511" s="85" t="s">
        <v>285</v>
      </c>
      <c r="D511" s="93">
        <v>182</v>
      </c>
      <c r="E511" s="121">
        <v>90993</v>
      </c>
      <c r="F511" s="121">
        <v>85092</v>
      </c>
      <c r="G511" s="413" t="s">
        <v>529</v>
      </c>
      <c r="H511" s="121">
        <v>5901</v>
      </c>
      <c r="I511" s="392">
        <v>0</v>
      </c>
      <c r="J511" s="392">
        <v>0</v>
      </c>
      <c r="K511" s="392">
        <v>0</v>
      </c>
      <c r="L511" s="121">
        <v>5901</v>
      </c>
      <c r="M511" s="413" t="s">
        <v>529</v>
      </c>
    </row>
    <row r="512" spans="1:13" ht="15.5" outlineLevel="1" x14ac:dyDescent="0.35">
      <c r="A512" s="93" t="s">
        <v>46</v>
      </c>
      <c r="B512" s="86" t="s">
        <v>251</v>
      </c>
      <c r="C512" s="85" t="s">
        <v>93</v>
      </c>
      <c r="D512" s="93">
        <v>280</v>
      </c>
      <c r="E512" s="121">
        <v>23080</v>
      </c>
      <c r="F512" s="121">
        <v>9194</v>
      </c>
      <c r="G512" s="413" t="s">
        <v>529</v>
      </c>
      <c r="H512" s="121">
        <v>13886</v>
      </c>
      <c r="I512" s="392">
        <v>0</v>
      </c>
      <c r="J512" s="392">
        <v>0</v>
      </c>
      <c r="K512" s="392">
        <v>0</v>
      </c>
      <c r="L512" s="121">
        <v>13886</v>
      </c>
      <c r="M512" s="413" t="s">
        <v>529</v>
      </c>
    </row>
    <row r="513" spans="1:13" ht="31" customHeight="1" outlineLevel="2" x14ac:dyDescent="0.35">
      <c r="A513" s="93" t="s">
        <v>46</v>
      </c>
      <c r="B513" s="86" t="s">
        <v>275</v>
      </c>
      <c r="C513" s="85" t="s">
        <v>77</v>
      </c>
      <c r="D513" s="93">
        <v>176</v>
      </c>
      <c r="E513" s="121">
        <v>7082086</v>
      </c>
      <c r="F513" s="121">
        <v>6048055</v>
      </c>
      <c r="G513" s="413" t="s">
        <v>529</v>
      </c>
      <c r="H513" s="121">
        <v>1034031</v>
      </c>
      <c r="I513" s="121">
        <v>22</v>
      </c>
      <c r="J513" s="121">
        <v>21</v>
      </c>
      <c r="K513" s="121">
        <v>1</v>
      </c>
      <c r="L513" s="121">
        <v>1034030</v>
      </c>
      <c r="M513" s="413" t="s">
        <v>529</v>
      </c>
    </row>
    <row r="514" spans="1:13" ht="15" customHeight="1" outlineLevel="2" x14ac:dyDescent="0.35">
      <c r="A514" s="93" t="s">
        <v>46</v>
      </c>
      <c r="B514" s="86" t="s">
        <v>280</v>
      </c>
      <c r="C514" s="85" t="s">
        <v>281</v>
      </c>
      <c r="D514" s="93">
        <v>57</v>
      </c>
      <c r="E514" s="121">
        <v>1377233</v>
      </c>
      <c r="F514" s="121">
        <v>1090334</v>
      </c>
      <c r="G514" s="413" t="s">
        <v>529</v>
      </c>
      <c r="H514" s="121">
        <v>286899</v>
      </c>
      <c r="I514" s="392">
        <v>0</v>
      </c>
      <c r="J514" s="392">
        <v>0</v>
      </c>
      <c r="K514" s="392">
        <v>0</v>
      </c>
      <c r="L514" s="121">
        <v>286899</v>
      </c>
      <c r="M514" s="413" t="s">
        <v>529</v>
      </c>
    </row>
    <row r="515" spans="1:13" ht="15.5" outlineLevel="2" x14ac:dyDescent="0.35">
      <c r="A515" s="93" t="s">
        <v>46</v>
      </c>
      <c r="B515" s="86" t="s">
        <v>112</v>
      </c>
      <c r="C515" s="85" t="s">
        <v>113</v>
      </c>
      <c r="D515" s="93">
        <v>171</v>
      </c>
      <c r="E515" s="121">
        <v>2194019</v>
      </c>
      <c r="F515" s="121">
        <v>1998085</v>
      </c>
      <c r="G515" s="413" t="s">
        <v>529</v>
      </c>
      <c r="H515" s="121">
        <v>195934</v>
      </c>
      <c r="I515" s="392">
        <v>0</v>
      </c>
      <c r="J515" s="392">
        <v>0</v>
      </c>
      <c r="K515" s="392">
        <v>0</v>
      </c>
      <c r="L515" s="121">
        <v>195934</v>
      </c>
      <c r="M515" s="413" t="s">
        <v>529</v>
      </c>
    </row>
    <row r="516" spans="1:13" ht="30" customHeight="1" outlineLevel="2" x14ac:dyDescent="0.35">
      <c r="A516" s="93" t="s">
        <v>46</v>
      </c>
      <c r="B516" s="86" t="s">
        <v>114</v>
      </c>
      <c r="C516" s="85" t="s">
        <v>111</v>
      </c>
      <c r="D516" s="93">
        <v>258</v>
      </c>
      <c r="E516" s="121">
        <v>3252118</v>
      </c>
      <c r="F516" s="121">
        <v>2699148</v>
      </c>
      <c r="G516" s="413" t="s">
        <v>529</v>
      </c>
      <c r="H516" s="121">
        <v>552970</v>
      </c>
      <c r="I516" s="121">
        <v>1</v>
      </c>
      <c r="J516" s="392">
        <v>0</v>
      </c>
      <c r="K516" s="121">
        <v>1</v>
      </c>
      <c r="L516" s="121">
        <v>552969</v>
      </c>
      <c r="M516" s="413" t="s">
        <v>529</v>
      </c>
    </row>
    <row r="517" spans="1:13" ht="15.5" outlineLevel="2" x14ac:dyDescent="0.35">
      <c r="A517" s="93" t="s">
        <v>46</v>
      </c>
      <c r="B517" s="86" t="s">
        <v>254</v>
      </c>
      <c r="C517" s="85" t="s">
        <v>255</v>
      </c>
      <c r="D517" s="93">
        <v>228</v>
      </c>
      <c r="E517" s="121">
        <v>47447</v>
      </c>
      <c r="F517" s="121">
        <v>12735</v>
      </c>
      <c r="G517" s="413" t="s">
        <v>529</v>
      </c>
      <c r="H517" s="121">
        <v>34712</v>
      </c>
      <c r="I517" s="392">
        <v>0</v>
      </c>
      <c r="J517" s="392">
        <v>0</v>
      </c>
      <c r="K517" s="392">
        <v>0</v>
      </c>
      <c r="L517" s="121">
        <v>34712</v>
      </c>
      <c r="M517" s="413" t="s">
        <v>529</v>
      </c>
    </row>
    <row r="518" spans="1:13" ht="15.5" outlineLevel="2" x14ac:dyDescent="0.35">
      <c r="A518" s="93" t="s">
        <v>46</v>
      </c>
      <c r="B518" s="86" t="s">
        <v>282</v>
      </c>
      <c r="C518" s="85" t="s">
        <v>283</v>
      </c>
      <c r="D518" s="93">
        <v>58</v>
      </c>
      <c r="E518" s="121">
        <v>3358948</v>
      </c>
      <c r="F518" s="121">
        <v>3271536</v>
      </c>
      <c r="G518" s="413" t="s">
        <v>529</v>
      </c>
      <c r="H518" s="121">
        <v>87412</v>
      </c>
      <c r="I518" s="121">
        <v>2</v>
      </c>
      <c r="J518" s="392">
        <v>0</v>
      </c>
      <c r="K518" s="121">
        <v>2</v>
      </c>
      <c r="L518" s="121">
        <v>87410</v>
      </c>
      <c r="M518" s="413" t="s">
        <v>529</v>
      </c>
    </row>
    <row r="519" spans="1:13" ht="15" customHeight="1" outlineLevel="2" x14ac:dyDescent="0.35">
      <c r="A519" s="93" t="s">
        <v>46</v>
      </c>
      <c r="B519" s="86" t="s">
        <v>256</v>
      </c>
      <c r="C519" s="85" t="s">
        <v>257</v>
      </c>
      <c r="D519" s="93">
        <v>308</v>
      </c>
      <c r="E519" s="121">
        <v>124119</v>
      </c>
      <c r="F519" s="121">
        <v>55815</v>
      </c>
      <c r="G519" s="413" t="s">
        <v>529</v>
      </c>
      <c r="H519" s="121">
        <v>68304</v>
      </c>
      <c r="I519" s="392">
        <v>0</v>
      </c>
      <c r="J519" s="392">
        <v>0</v>
      </c>
      <c r="K519" s="392">
        <v>0</v>
      </c>
      <c r="L519" s="121">
        <v>68304</v>
      </c>
      <c r="M519" s="413" t="s">
        <v>529</v>
      </c>
    </row>
    <row r="520" spans="1:13" ht="15" customHeight="1" outlineLevel="2" x14ac:dyDescent="0.35">
      <c r="A520" s="93" t="s">
        <v>46</v>
      </c>
      <c r="B520" s="86" t="s">
        <v>115</v>
      </c>
      <c r="C520" s="85" t="s">
        <v>93</v>
      </c>
      <c r="D520" s="93">
        <v>260</v>
      </c>
      <c r="E520" s="121">
        <v>19376634</v>
      </c>
      <c r="F520" s="121">
        <v>17627080</v>
      </c>
      <c r="G520" s="413" t="s">
        <v>529</v>
      </c>
      <c r="H520" s="121">
        <v>1749554</v>
      </c>
      <c r="I520" s="121">
        <v>1086531</v>
      </c>
      <c r="J520" s="121">
        <v>1086531</v>
      </c>
      <c r="K520" s="392">
        <v>0</v>
      </c>
      <c r="L520" s="121">
        <v>1749554</v>
      </c>
      <c r="M520" s="413" t="s">
        <v>529</v>
      </c>
    </row>
    <row r="521" spans="1:13" ht="15.5" outlineLevel="2" x14ac:dyDescent="0.35">
      <c r="A521" s="93" t="s">
        <v>46</v>
      </c>
      <c r="B521" s="86" t="s">
        <v>118</v>
      </c>
      <c r="C521" s="85" t="s">
        <v>119</v>
      </c>
      <c r="D521" s="93">
        <v>346</v>
      </c>
      <c r="E521" s="121">
        <v>9782</v>
      </c>
      <c r="F521" s="121">
        <v>8596</v>
      </c>
      <c r="G521" s="413" t="s">
        <v>529</v>
      </c>
      <c r="H521" s="121">
        <v>1186</v>
      </c>
      <c r="I521" s="392">
        <v>0</v>
      </c>
      <c r="J521" s="392">
        <v>0</v>
      </c>
      <c r="K521" s="392">
        <v>0</v>
      </c>
      <c r="L521" s="121">
        <v>1186</v>
      </c>
      <c r="M521" s="413" t="s">
        <v>529</v>
      </c>
    </row>
    <row r="522" spans="1:13" ht="15" customHeight="1" outlineLevel="2" x14ac:dyDescent="0.35">
      <c r="A522" s="93" t="s">
        <v>46</v>
      </c>
      <c r="B522" s="86" t="s">
        <v>120</v>
      </c>
      <c r="C522" s="85" t="s">
        <v>121</v>
      </c>
      <c r="D522" s="93">
        <v>351</v>
      </c>
      <c r="E522" s="121">
        <v>91173</v>
      </c>
      <c r="F522" s="121">
        <v>85157</v>
      </c>
      <c r="G522" s="413" t="s">
        <v>529</v>
      </c>
      <c r="H522" s="121">
        <v>6016</v>
      </c>
      <c r="I522" s="392">
        <v>0</v>
      </c>
      <c r="J522" s="392">
        <v>0</v>
      </c>
      <c r="K522" s="392">
        <v>0</v>
      </c>
      <c r="L522" s="121">
        <v>6016</v>
      </c>
      <c r="M522" s="413" t="s">
        <v>529</v>
      </c>
    </row>
    <row r="523" spans="1:13" ht="15.5" outlineLevel="2" x14ac:dyDescent="0.35">
      <c r="A523" s="137" t="s">
        <v>208</v>
      </c>
      <c r="B523" s="429" t="s">
        <v>529</v>
      </c>
      <c r="C523" s="430" t="s">
        <v>529</v>
      </c>
      <c r="D523" s="409" t="s">
        <v>529</v>
      </c>
      <c r="E523" s="138">
        <f>SUBTOTAL(109,school200708[Program
Costs])</f>
        <v>479521182</v>
      </c>
      <c r="F523" s="138">
        <f>SUBTOTAL(109,school200708[Less: Net Payments and Offsets 8])</f>
        <v>392806553</v>
      </c>
      <c r="G523" s="414" t="s">
        <v>552</v>
      </c>
      <c r="H523" s="138">
        <f>SUBTOTAL(109,school200708[Accounts Payable
Balance])</f>
        <v>86714629</v>
      </c>
      <c r="I523" s="138">
        <f>SUBTOTAL(109,school200708[Established
Accounts Receivable])</f>
        <v>1087600</v>
      </c>
      <c r="J523" s="138">
        <f>SUBTOTAL(109,school200708[Less: Recovered Amount])</f>
        <v>1086573</v>
      </c>
      <c r="K523" s="138">
        <f>SUBTOTAL(109,school200708[Accounts Receivable
Balance])</f>
        <v>1027</v>
      </c>
      <c r="L523" s="138">
        <f>SUBTOTAL(109,school200708[Net
Balance])</f>
        <v>86713602</v>
      </c>
      <c r="M523" s="414" t="s">
        <v>552</v>
      </c>
    </row>
    <row r="524" spans="1:13" ht="15.5" outlineLevel="2" x14ac:dyDescent="0.35">
      <c r="A524" s="386" t="s">
        <v>540</v>
      </c>
      <c r="B524" s="139"/>
      <c r="C524" s="139"/>
      <c r="D524" s="139"/>
      <c r="E524" s="140"/>
      <c r="F524" s="140"/>
      <c r="G524" s="140"/>
      <c r="H524" s="140"/>
      <c r="I524" s="140"/>
      <c r="J524" s="140"/>
      <c r="K524" s="140"/>
      <c r="L524" s="140"/>
      <c r="M524" s="476"/>
    </row>
    <row r="525" spans="1:13" ht="50" customHeight="1" outlineLevel="2" x14ac:dyDescent="0.35">
      <c r="A525" s="457" t="s">
        <v>11</v>
      </c>
      <c r="B525" s="300" t="s">
        <v>12</v>
      </c>
      <c r="C525" s="158" t="s">
        <v>0</v>
      </c>
      <c r="D525" s="300" t="s">
        <v>132</v>
      </c>
      <c r="E525" s="458" t="s">
        <v>125</v>
      </c>
      <c r="F525" s="423" t="s">
        <v>614</v>
      </c>
      <c r="G525" s="424" t="s">
        <v>531</v>
      </c>
      <c r="H525" s="422" t="s">
        <v>495</v>
      </c>
      <c r="I525" s="422" t="s">
        <v>496</v>
      </c>
      <c r="J525" s="458" t="s">
        <v>134</v>
      </c>
      <c r="K525" s="422" t="s">
        <v>497</v>
      </c>
      <c r="L525" s="458" t="s">
        <v>133</v>
      </c>
      <c r="M525" s="459" t="s">
        <v>532</v>
      </c>
    </row>
    <row r="526" spans="1:13" ht="15.5" outlineLevel="2" x14ac:dyDescent="0.35">
      <c r="A526" s="93" t="s">
        <v>47</v>
      </c>
      <c r="B526" s="86" t="s">
        <v>61</v>
      </c>
      <c r="C526" s="85" t="s">
        <v>62</v>
      </c>
      <c r="D526" s="93">
        <v>305</v>
      </c>
      <c r="E526" s="121">
        <v>110375</v>
      </c>
      <c r="F526" s="121">
        <v>106797</v>
      </c>
      <c r="G526" s="413" t="s">
        <v>529</v>
      </c>
      <c r="H526" s="121">
        <v>3578</v>
      </c>
      <c r="I526" s="392">
        <v>0</v>
      </c>
      <c r="J526" s="392">
        <v>0</v>
      </c>
      <c r="K526" s="392">
        <v>0</v>
      </c>
      <c r="L526" s="121">
        <v>3578</v>
      </c>
      <c r="M526" s="450" t="s">
        <v>529</v>
      </c>
    </row>
    <row r="527" spans="1:13" ht="15" customHeight="1" outlineLevel="2" x14ac:dyDescent="0.35">
      <c r="A527" s="93" t="s">
        <v>47</v>
      </c>
      <c r="B527" s="86" t="s">
        <v>276</v>
      </c>
      <c r="C527" s="85" t="s">
        <v>277</v>
      </c>
      <c r="D527" s="93">
        <v>269</v>
      </c>
      <c r="E527" s="121">
        <v>6011</v>
      </c>
      <c r="F527" s="121">
        <v>4843</v>
      </c>
      <c r="G527" s="413" t="s">
        <v>529</v>
      </c>
      <c r="H527" s="121">
        <v>1168</v>
      </c>
      <c r="I527" s="392">
        <v>0</v>
      </c>
      <c r="J527" s="392">
        <v>0</v>
      </c>
      <c r="K527" s="392">
        <v>0</v>
      </c>
      <c r="L527" s="121">
        <v>1168</v>
      </c>
      <c r="M527" s="450" t="s">
        <v>529</v>
      </c>
    </row>
    <row r="528" spans="1:13" ht="33" customHeight="1" outlineLevel="2" x14ac:dyDescent="0.35">
      <c r="A528" s="93" t="s">
        <v>47</v>
      </c>
      <c r="B528" s="86" t="s">
        <v>63</v>
      </c>
      <c r="C528" s="85" t="s">
        <v>64</v>
      </c>
      <c r="D528" s="93">
        <v>250</v>
      </c>
      <c r="E528" s="121">
        <v>1560401</v>
      </c>
      <c r="F528" s="121">
        <v>1454516</v>
      </c>
      <c r="G528" s="413" t="s">
        <v>529</v>
      </c>
      <c r="H528" s="121">
        <v>105885</v>
      </c>
      <c r="I528" s="121">
        <v>54327</v>
      </c>
      <c r="J528" s="121">
        <v>52385</v>
      </c>
      <c r="K528" s="121">
        <v>1942</v>
      </c>
      <c r="L528" s="121">
        <v>103943</v>
      </c>
      <c r="M528" s="450" t="s">
        <v>529</v>
      </c>
    </row>
    <row r="529" spans="1:13" ht="34" customHeight="1" outlineLevel="2" x14ac:dyDescent="0.35">
      <c r="A529" s="93" t="s">
        <v>47</v>
      </c>
      <c r="B529" s="86" t="s">
        <v>268</v>
      </c>
      <c r="C529" s="85" t="s">
        <v>266</v>
      </c>
      <c r="D529" s="93">
        <v>348</v>
      </c>
      <c r="E529" s="121">
        <v>50727286</v>
      </c>
      <c r="F529" s="121">
        <v>43697065</v>
      </c>
      <c r="G529" s="413" t="s">
        <v>529</v>
      </c>
      <c r="H529" s="121">
        <v>7030221</v>
      </c>
      <c r="I529" s="392">
        <v>0</v>
      </c>
      <c r="J529" s="392">
        <v>0</v>
      </c>
      <c r="K529" s="392">
        <v>0</v>
      </c>
      <c r="L529" s="121">
        <v>7030221</v>
      </c>
      <c r="M529" s="450" t="s">
        <v>529</v>
      </c>
    </row>
    <row r="530" spans="1:13" ht="30" customHeight="1" outlineLevel="2" x14ac:dyDescent="0.35">
      <c r="A530" s="93" t="s">
        <v>47</v>
      </c>
      <c r="B530" s="86" t="s">
        <v>67</v>
      </c>
      <c r="C530" s="85" t="s">
        <v>68</v>
      </c>
      <c r="D530" s="93">
        <v>286</v>
      </c>
      <c r="E530" s="121">
        <v>87725</v>
      </c>
      <c r="F530" s="121">
        <v>61922</v>
      </c>
      <c r="G530" s="413" t="s">
        <v>529</v>
      </c>
      <c r="H530" s="121">
        <v>25803</v>
      </c>
      <c r="I530" s="392">
        <v>0</v>
      </c>
      <c r="J530" s="392">
        <v>0</v>
      </c>
      <c r="K530" s="392">
        <v>0</v>
      </c>
      <c r="L530" s="121">
        <v>25803</v>
      </c>
      <c r="M530" s="450" t="s">
        <v>529</v>
      </c>
    </row>
    <row r="531" spans="1:13" ht="33" customHeight="1" outlineLevel="2" x14ac:dyDescent="0.35">
      <c r="A531" s="93" t="s">
        <v>47</v>
      </c>
      <c r="B531" s="86" t="s">
        <v>69</v>
      </c>
      <c r="C531" s="85" t="s">
        <v>70</v>
      </c>
      <c r="D531" s="93">
        <v>172</v>
      </c>
      <c r="E531" s="121">
        <v>713312</v>
      </c>
      <c r="F531" s="121">
        <v>650007</v>
      </c>
      <c r="G531" s="413" t="s">
        <v>529</v>
      </c>
      <c r="H531" s="121">
        <v>63305</v>
      </c>
      <c r="I531" s="121">
        <v>28693</v>
      </c>
      <c r="J531" s="121">
        <v>15027</v>
      </c>
      <c r="K531" s="121">
        <v>13666</v>
      </c>
      <c r="L531" s="121">
        <v>49639</v>
      </c>
      <c r="M531" s="450" t="s">
        <v>529</v>
      </c>
    </row>
    <row r="532" spans="1:13" ht="15" customHeight="1" outlineLevel="2" x14ac:dyDescent="0.35">
      <c r="A532" s="93" t="s">
        <v>47</v>
      </c>
      <c r="B532" s="86" t="s">
        <v>293</v>
      </c>
      <c r="C532" s="85" t="s">
        <v>294</v>
      </c>
      <c r="D532" s="93">
        <v>249</v>
      </c>
      <c r="E532" s="121">
        <v>2310086</v>
      </c>
      <c r="F532" s="121">
        <v>2072028</v>
      </c>
      <c r="G532" s="413" t="s">
        <v>529</v>
      </c>
      <c r="H532" s="121">
        <v>238058</v>
      </c>
      <c r="I532" s="121">
        <v>20038</v>
      </c>
      <c r="J532" s="121">
        <v>20038</v>
      </c>
      <c r="K532" s="392">
        <v>0</v>
      </c>
      <c r="L532" s="121">
        <v>238058</v>
      </c>
      <c r="M532" s="450" t="s">
        <v>529</v>
      </c>
    </row>
    <row r="533" spans="1:13" ht="15.5" outlineLevel="2" x14ac:dyDescent="0.35">
      <c r="A533" s="93" t="s">
        <v>47</v>
      </c>
      <c r="B533" s="86" t="s">
        <v>295</v>
      </c>
      <c r="C533" s="85" t="s">
        <v>294</v>
      </c>
      <c r="D533" s="93">
        <v>277</v>
      </c>
      <c r="E533" s="121">
        <v>84983</v>
      </c>
      <c r="F533" s="121">
        <v>83679</v>
      </c>
      <c r="G533" s="413" t="s">
        <v>529</v>
      </c>
      <c r="H533" s="121">
        <v>1304</v>
      </c>
      <c r="I533" s="392">
        <v>0</v>
      </c>
      <c r="J533" s="392">
        <v>0</v>
      </c>
      <c r="K533" s="392">
        <v>0</v>
      </c>
      <c r="L533" s="121">
        <v>1304</v>
      </c>
      <c r="M533" s="450" t="s">
        <v>529</v>
      </c>
    </row>
    <row r="534" spans="1:13" ht="38" customHeight="1" outlineLevel="2" x14ac:dyDescent="0.35">
      <c r="A534" s="93" t="s">
        <v>47</v>
      </c>
      <c r="B534" s="86" t="s">
        <v>72</v>
      </c>
      <c r="C534" s="85" t="s">
        <v>73</v>
      </c>
      <c r="D534" s="93">
        <v>11</v>
      </c>
      <c r="E534" s="121">
        <v>27712461</v>
      </c>
      <c r="F534" s="121">
        <v>25951794</v>
      </c>
      <c r="G534" s="413" t="s">
        <v>529</v>
      </c>
      <c r="H534" s="121">
        <v>1760667</v>
      </c>
      <c r="I534" s="121">
        <v>147591</v>
      </c>
      <c r="J534" s="121">
        <v>118837</v>
      </c>
      <c r="K534" s="121">
        <v>28754</v>
      </c>
      <c r="L534" s="121">
        <v>1731913</v>
      </c>
      <c r="M534" s="450" t="s">
        <v>529</v>
      </c>
    </row>
    <row r="535" spans="1:13" ht="15" customHeight="1" outlineLevel="2" x14ac:dyDescent="0.35">
      <c r="A535" s="93" t="s">
        <v>47</v>
      </c>
      <c r="B535" s="86" t="s">
        <v>286</v>
      </c>
      <c r="C535" s="85" t="s">
        <v>75</v>
      </c>
      <c r="D535" s="93">
        <v>223</v>
      </c>
      <c r="E535" s="121">
        <v>3840616</v>
      </c>
      <c r="F535" s="121">
        <v>3651128</v>
      </c>
      <c r="G535" s="413" t="s">
        <v>529</v>
      </c>
      <c r="H535" s="121">
        <v>189488</v>
      </c>
      <c r="I535" s="121">
        <v>93330</v>
      </c>
      <c r="J535" s="121">
        <v>46371</v>
      </c>
      <c r="K535" s="121">
        <v>46959</v>
      </c>
      <c r="L535" s="121">
        <v>142529</v>
      </c>
      <c r="M535" s="450" t="s">
        <v>529</v>
      </c>
    </row>
    <row r="536" spans="1:13" ht="47.5" customHeight="1" outlineLevel="2" x14ac:dyDescent="0.35">
      <c r="A536" s="93" t="s">
        <v>47</v>
      </c>
      <c r="B536" s="86" t="s">
        <v>78</v>
      </c>
      <c r="C536" s="85" t="s">
        <v>79</v>
      </c>
      <c r="D536" s="93">
        <v>272</v>
      </c>
      <c r="E536" s="121">
        <v>9087987</v>
      </c>
      <c r="F536" s="121">
        <v>8656133</v>
      </c>
      <c r="G536" s="413" t="s">
        <v>529</v>
      </c>
      <c r="H536" s="121">
        <v>431854</v>
      </c>
      <c r="I536" s="121">
        <v>55256</v>
      </c>
      <c r="J536" s="121">
        <v>49366</v>
      </c>
      <c r="K536" s="121">
        <v>5890</v>
      </c>
      <c r="L536" s="121">
        <v>425964</v>
      </c>
      <c r="M536" s="450" t="s">
        <v>529</v>
      </c>
    </row>
    <row r="537" spans="1:13" ht="52" customHeight="1" outlineLevel="2" x14ac:dyDescent="0.35">
      <c r="A537" s="93" t="s">
        <v>47</v>
      </c>
      <c r="B537" s="86" t="s">
        <v>289</v>
      </c>
      <c r="C537" s="85" t="s">
        <v>290</v>
      </c>
      <c r="D537" s="93">
        <v>291</v>
      </c>
      <c r="E537" s="121">
        <v>215949</v>
      </c>
      <c r="F537" s="121">
        <v>138573</v>
      </c>
      <c r="G537" s="413" t="s">
        <v>529</v>
      </c>
      <c r="H537" s="121">
        <v>77376</v>
      </c>
      <c r="I537" s="392">
        <v>0</v>
      </c>
      <c r="J537" s="392">
        <v>0</v>
      </c>
      <c r="K537" s="392">
        <v>0</v>
      </c>
      <c r="L537" s="121">
        <v>77376</v>
      </c>
      <c r="M537" s="450" t="s">
        <v>529</v>
      </c>
    </row>
    <row r="538" spans="1:13" ht="32" customHeight="1" outlineLevel="2" x14ac:dyDescent="0.35">
      <c r="A538" s="93" t="s">
        <v>47</v>
      </c>
      <c r="B538" s="86" t="s">
        <v>84</v>
      </c>
      <c r="C538" s="85" t="s">
        <v>85</v>
      </c>
      <c r="D538" s="93">
        <v>209</v>
      </c>
      <c r="E538" s="121">
        <v>271074</v>
      </c>
      <c r="F538" s="121">
        <v>209349</v>
      </c>
      <c r="G538" s="413" t="s">
        <v>529</v>
      </c>
      <c r="H538" s="121">
        <v>61725</v>
      </c>
      <c r="I538" s="121">
        <v>15158</v>
      </c>
      <c r="J538" s="121">
        <v>15158</v>
      </c>
      <c r="K538" s="392">
        <v>0</v>
      </c>
      <c r="L538" s="121">
        <v>61725</v>
      </c>
      <c r="M538" s="450" t="s">
        <v>529</v>
      </c>
    </row>
    <row r="539" spans="1:13" ht="15" customHeight="1" outlineLevel="2" x14ac:dyDescent="0.35">
      <c r="A539" s="93" t="s">
        <v>47</v>
      </c>
      <c r="B539" s="86" t="s">
        <v>86</v>
      </c>
      <c r="C539" s="85" t="s">
        <v>87</v>
      </c>
      <c r="D539" s="93">
        <v>183</v>
      </c>
      <c r="E539" s="121">
        <v>814197</v>
      </c>
      <c r="F539" s="121">
        <v>747791</v>
      </c>
      <c r="G539" s="413" t="s">
        <v>529</v>
      </c>
      <c r="H539" s="121">
        <v>66406</v>
      </c>
      <c r="I539" s="121">
        <v>40116</v>
      </c>
      <c r="J539" s="121">
        <v>39635</v>
      </c>
      <c r="K539" s="121">
        <v>481</v>
      </c>
      <c r="L539" s="121">
        <v>65925</v>
      </c>
      <c r="M539" s="450" t="s">
        <v>529</v>
      </c>
    </row>
    <row r="540" spans="1:13" ht="15" customHeight="1" outlineLevel="2" x14ac:dyDescent="0.35">
      <c r="A540" s="93" t="s">
        <v>47</v>
      </c>
      <c r="B540" s="86" t="s">
        <v>88</v>
      </c>
      <c r="C540" s="85" t="s">
        <v>89</v>
      </c>
      <c r="D540" s="93">
        <v>251</v>
      </c>
      <c r="E540" s="121">
        <v>550864</v>
      </c>
      <c r="F540" s="121">
        <v>508168</v>
      </c>
      <c r="G540" s="413" t="s">
        <v>529</v>
      </c>
      <c r="H540" s="121">
        <v>42696</v>
      </c>
      <c r="I540" s="121">
        <v>6681</v>
      </c>
      <c r="J540" s="121">
        <v>4892</v>
      </c>
      <c r="K540" s="121">
        <v>1789</v>
      </c>
      <c r="L540" s="121">
        <v>40907</v>
      </c>
      <c r="M540" s="450" t="s">
        <v>529</v>
      </c>
    </row>
    <row r="541" spans="1:13" ht="15" customHeight="1" outlineLevel="2" x14ac:dyDescent="0.35">
      <c r="A541" s="93" t="s">
        <v>47</v>
      </c>
      <c r="B541" s="86" t="s">
        <v>269</v>
      </c>
      <c r="C541" s="85" t="s">
        <v>270</v>
      </c>
      <c r="D541" s="93">
        <v>253</v>
      </c>
      <c r="E541" s="121">
        <v>2919</v>
      </c>
      <c r="F541" s="121">
        <v>2919</v>
      </c>
      <c r="G541" s="413" t="s">
        <v>529</v>
      </c>
      <c r="H541" s="392">
        <v>0</v>
      </c>
      <c r="I541" s="121">
        <v>1262</v>
      </c>
      <c r="J541" s="392">
        <v>0</v>
      </c>
      <c r="K541" s="121">
        <v>1262</v>
      </c>
      <c r="L541" s="121">
        <v>-1262</v>
      </c>
      <c r="M541" s="450" t="s">
        <v>529</v>
      </c>
    </row>
    <row r="542" spans="1:13" ht="35.5" customHeight="1" outlineLevel="2" x14ac:dyDescent="0.35">
      <c r="A542" s="93" t="s">
        <v>47</v>
      </c>
      <c r="B542" s="86" t="s">
        <v>248</v>
      </c>
      <c r="C542" s="85" t="s">
        <v>77</v>
      </c>
      <c r="D542" s="93">
        <v>91</v>
      </c>
      <c r="E542" s="121">
        <v>14079</v>
      </c>
      <c r="F542" s="121">
        <v>12534</v>
      </c>
      <c r="G542" s="413" t="s">
        <v>529</v>
      </c>
      <c r="H542" s="121">
        <v>1545</v>
      </c>
      <c r="I542" s="392">
        <v>0</v>
      </c>
      <c r="J542" s="392">
        <v>0</v>
      </c>
      <c r="K542" s="392">
        <v>0</v>
      </c>
      <c r="L542" s="121">
        <v>1545</v>
      </c>
      <c r="M542" s="450" t="s">
        <v>529</v>
      </c>
    </row>
    <row r="543" spans="1:13" ht="15" customHeight="1" outlineLevel="2" x14ac:dyDescent="0.35">
      <c r="A543" s="93" t="s">
        <v>47</v>
      </c>
      <c r="B543" s="86" t="s">
        <v>90</v>
      </c>
      <c r="C543" s="85" t="s">
        <v>91</v>
      </c>
      <c r="D543" s="93">
        <v>192</v>
      </c>
      <c r="E543" s="121">
        <v>386700</v>
      </c>
      <c r="F543" s="121">
        <v>337072</v>
      </c>
      <c r="G543" s="413" t="s">
        <v>529</v>
      </c>
      <c r="H543" s="121">
        <v>49628</v>
      </c>
      <c r="I543" s="121">
        <v>16641</v>
      </c>
      <c r="J543" s="121">
        <v>15516</v>
      </c>
      <c r="K543" s="121">
        <v>1125</v>
      </c>
      <c r="L543" s="121">
        <v>48503</v>
      </c>
      <c r="M543" s="450" t="s">
        <v>529</v>
      </c>
    </row>
    <row r="544" spans="1:13" ht="15.5" outlineLevel="2" x14ac:dyDescent="0.35">
      <c r="A544" s="93" t="s">
        <v>47</v>
      </c>
      <c r="B544" s="86" t="s">
        <v>291</v>
      </c>
      <c r="C544" s="85" t="s">
        <v>93</v>
      </c>
      <c r="D544" s="93">
        <v>26</v>
      </c>
      <c r="E544" s="121">
        <v>65296715</v>
      </c>
      <c r="F544" s="121">
        <v>59462481</v>
      </c>
      <c r="G544" s="413" t="s">
        <v>529</v>
      </c>
      <c r="H544" s="121">
        <v>5834234</v>
      </c>
      <c r="I544" s="121">
        <v>484254</v>
      </c>
      <c r="J544" s="121">
        <v>19323</v>
      </c>
      <c r="K544" s="121">
        <v>464931</v>
      </c>
      <c r="L544" s="121">
        <v>5369303</v>
      </c>
      <c r="M544" s="450" t="s">
        <v>529</v>
      </c>
    </row>
    <row r="545" spans="1:13" ht="33" customHeight="1" outlineLevel="2" x14ac:dyDescent="0.35">
      <c r="A545" s="93" t="s">
        <v>47</v>
      </c>
      <c r="B545" s="86" t="s">
        <v>92</v>
      </c>
      <c r="C545" s="85" t="s">
        <v>93</v>
      </c>
      <c r="D545" s="93">
        <v>297</v>
      </c>
      <c r="E545" s="121">
        <v>173189364</v>
      </c>
      <c r="F545" s="121">
        <v>139389904</v>
      </c>
      <c r="G545" s="413" t="s">
        <v>529</v>
      </c>
      <c r="H545" s="121">
        <v>33799460</v>
      </c>
      <c r="I545" s="392">
        <v>0</v>
      </c>
      <c r="J545" s="392">
        <v>0</v>
      </c>
      <c r="K545" s="392">
        <v>0</v>
      </c>
      <c r="L545" s="121">
        <v>33799460</v>
      </c>
      <c r="M545" s="450" t="s">
        <v>529</v>
      </c>
    </row>
    <row r="546" spans="1:13" ht="15.5" outlineLevel="2" x14ac:dyDescent="0.35">
      <c r="A546" s="93" t="s">
        <v>47</v>
      </c>
      <c r="B546" s="86" t="s">
        <v>94</v>
      </c>
      <c r="C546" s="85" t="s">
        <v>95</v>
      </c>
      <c r="D546" s="93">
        <v>166</v>
      </c>
      <c r="E546" s="121">
        <v>8049732</v>
      </c>
      <c r="F546" s="121">
        <v>7094812</v>
      </c>
      <c r="G546" s="413" t="s">
        <v>529</v>
      </c>
      <c r="H546" s="121">
        <v>954920</v>
      </c>
      <c r="I546" s="121">
        <v>69622</v>
      </c>
      <c r="J546" s="121">
        <v>49468</v>
      </c>
      <c r="K546" s="121">
        <v>20154</v>
      </c>
      <c r="L546" s="121">
        <v>934766</v>
      </c>
      <c r="M546" s="450" t="s">
        <v>529</v>
      </c>
    </row>
    <row r="547" spans="1:13" ht="15" customHeight="1" outlineLevel="2" x14ac:dyDescent="0.35">
      <c r="A547" s="93" t="s">
        <v>47</v>
      </c>
      <c r="B547" s="86" t="s">
        <v>244</v>
      </c>
      <c r="C547" s="85" t="s">
        <v>245</v>
      </c>
      <c r="D547" s="93">
        <v>268</v>
      </c>
      <c r="E547" s="121">
        <v>6474647</v>
      </c>
      <c r="F547" s="121">
        <v>5139413</v>
      </c>
      <c r="G547" s="413" t="s">
        <v>529</v>
      </c>
      <c r="H547" s="121">
        <v>1335234</v>
      </c>
      <c r="I547" s="392">
        <v>0</v>
      </c>
      <c r="J547" s="392">
        <v>0</v>
      </c>
      <c r="K547" s="392">
        <v>0</v>
      </c>
      <c r="L547" s="121">
        <v>1335234</v>
      </c>
      <c r="M547" s="450" t="s">
        <v>529</v>
      </c>
    </row>
    <row r="548" spans="1:13" ht="15" customHeight="1" outlineLevel="2" x14ac:dyDescent="0.35">
      <c r="A548" s="93" t="s">
        <v>47</v>
      </c>
      <c r="B548" s="86" t="s">
        <v>96</v>
      </c>
      <c r="C548" s="85" t="s">
        <v>97</v>
      </c>
      <c r="D548" s="93">
        <v>32</v>
      </c>
      <c r="E548" s="121">
        <v>4151507</v>
      </c>
      <c r="F548" s="121">
        <v>4077222</v>
      </c>
      <c r="G548" s="413" t="s">
        <v>529</v>
      </c>
      <c r="H548" s="121">
        <v>74285</v>
      </c>
      <c r="I548" s="121">
        <v>1352</v>
      </c>
      <c r="J548" s="121">
        <v>912</v>
      </c>
      <c r="K548" s="121">
        <v>440</v>
      </c>
      <c r="L548" s="121">
        <v>73845</v>
      </c>
      <c r="M548" s="450" t="s">
        <v>529</v>
      </c>
    </row>
    <row r="549" spans="1:13" ht="15.5" outlineLevel="2" x14ac:dyDescent="0.35">
      <c r="A549" s="93" t="s">
        <v>47</v>
      </c>
      <c r="B549" s="86" t="s">
        <v>421</v>
      </c>
      <c r="C549" s="85" t="s">
        <v>99</v>
      </c>
      <c r="D549" s="93">
        <v>230</v>
      </c>
      <c r="E549" s="121">
        <v>5373701</v>
      </c>
      <c r="F549" s="121">
        <v>5309206</v>
      </c>
      <c r="G549" s="413" t="s">
        <v>529</v>
      </c>
      <c r="H549" s="121">
        <v>64495</v>
      </c>
      <c r="I549" s="121">
        <v>10680</v>
      </c>
      <c r="J549" s="121">
        <v>8110</v>
      </c>
      <c r="K549" s="121">
        <v>2570</v>
      </c>
      <c r="L549" s="121">
        <v>61925</v>
      </c>
      <c r="M549" s="450" t="s">
        <v>529</v>
      </c>
    </row>
    <row r="550" spans="1:13" ht="15.5" outlineLevel="2" x14ac:dyDescent="0.35">
      <c r="A550" s="93" t="s">
        <v>47</v>
      </c>
      <c r="B550" s="86" t="s">
        <v>249</v>
      </c>
      <c r="C550" s="85" t="s">
        <v>250</v>
      </c>
      <c r="D550" s="93">
        <v>148</v>
      </c>
      <c r="E550" s="121">
        <v>17124</v>
      </c>
      <c r="F550" s="121">
        <v>6568</v>
      </c>
      <c r="G550" s="413" t="s">
        <v>529</v>
      </c>
      <c r="H550" s="121">
        <v>10556</v>
      </c>
      <c r="I550" s="392">
        <v>0</v>
      </c>
      <c r="J550" s="392">
        <v>0</v>
      </c>
      <c r="K550" s="392">
        <v>0</v>
      </c>
      <c r="L550" s="121">
        <v>10556</v>
      </c>
      <c r="M550" s="450" t="s">
        <v>529</v>
      </c>
    </row>
    <row r="551" spans="1:13" ht="15" customHeight="1" outlineLevel="2" x14ac:dyDescent="0.35">
      <c r="A551" s="93" t="s">
        <v>47</v>
      </c>
      <c r="B551" s="86" t="s">
        <v>101</v>
      </c>
      <c r="C551" s="85" t="s">
        <v>102</v>
      </c>
      <c r="D551" s="93">
        <v>153</v>
      </c>
      <c r="E551" s="121">
        <v>4509810</v>
      </c>
      <c r="F551" s="121">
        <v>4361183</v>
      </c>
      <c r="G551" s="413" t="s">
        <v>529</v>
      </c>
      <c r="H551" s="121">
        <v>148627</v>
      </c>
      <c r="I551" s="121">
        <v>65813</v>
      </c>
      <c r="J551" s="121">
        <v>59790</v>
      </c>
      <c r="K551" s="121">
        <v>6023</v>
      </c>
      <c r="L551" s="121">
        <v>142604</v>
      </c>
      <c r="M551" s="450" t="s">
        <v>529</v>
      </c>
    </row>
    <row r="552" spans="1:13" ht="15" customHeight="1" outlineLevel="2" x14ac:dyDescent="0.35">
      <c r="A552" s="93" t="s">
        <v>47</v>
      </c>
      <c r="B552" s="86" t="s">
        <v>246</v>
      </c>
      <c r="C552" s="85" t="s">
        <v>247</v>
      </c>
      <c r="D552" s="93">
        <v>155</v>
      </c>
      <c r="E552" s="121">
        <v>1176856</v>
      </c>
      <c r="F552" s="121">
        <v>651415</v>
      </c>
      <c r="G552" s="413" t="s">
        <v>529</v>
      </c>
      <c r="H552" s="121">
        <v>525441</v>
      </c>
      <c r="I552" s="121">
        <v>28652</v>
      </c>
      <c r="J552" s="121">
        <v>27448</v>
      </c>
      <c r="K552" s="121">
        <v>1204</v>
      </c>
      <c r="L552" s="121">
        <v>524237</v>
      </c>
      <c r="M552" s="450" t="s">
        <v>529</v>
      </c>
    </row>
    <row r="553" spans="1:13" ht="15" customHeight="1" outlineLevel="2" x14ac:dyDescent="0.35">
      <c r="A553" s="93" t="s">
        <v>47</v>
      </c>
      <c r="B553" s="86" t="s">
        <v>296</v>
      </c>
      <c r="C553" s="85" t="s">
        <v>297</v>
      </c>
      <c r="D553" s="93">
        <v>157</v>
      </c>
      <c r="E553" s="121">
        <v>1656765</v>
      </c>
      <c r="F553" s="121">
        <v>1480782</v>
      </c>
      <c r="G553" s="413" t="s">
        <v>529</v>
      </c>
      <c r="H553" s="121">
        <v>175983</v>
      </c>
      <c r="I553" s="121">
        <v>32178</v>
      </c>
      <c r="J553" s="121">
        <v>30021</v>
      </c>
      <c r="K553" s="121">
        <v>2157</v>
      </c>
      <c r="L553" s="121">
        <v>173826</v>
      </c>
      <c r="M553" s="450" t="s">
        <v>529</v>
      </c>
    </row>
    <row r="554" spans="1:13" ht="15.5" outlineLevel="2" x14ac:dyDescent="0.35">
      <c r="A554" s="93" t="s">
        <v>47</v>
      </c>
      <c r="B554" s="86" t="s">
        <v>155</v>
      </c>
      <c r="C554" s="85" t="s">
        <v>156</v>
      </c>
      <c r="D554" s="93">
        <v>42</v>
      </c>
      <c r="E554" s="121">
        <v>15540692</v>
      </c>
      <c r="F554" s="121">
        <v>14149028</v>
      </c>
      <c r="G554" s="413" t="s">
        <v>529</v>
      </c>
      <c r="H554" s="121">
        <v>1391664</v>
      </c>
      <c r="I554" s="392">
        <v>0</v>
      </c>
      <c r="J554" s="392">
        <v>0</v>
      </c>
      <c r="K554" s="392">
        <v>0</v>
      </c>
      <c r="L554" s="121">
        <v>1391664</v>
      </c>
      <c r="M554" s="450" t="s">
        <v>529</v>
      </c>
    </row>
    <row r="555" spans="1:13" ht="15" customHeight="1" outlineLevel="2" x14ac:dyDescent="0.35">
      <c r="A555" s="93" t="s">
        <v>47</v>
      </c>
      <c r="B555" s="86" t="s">
        <v>298</v>
      </c>
      <c r="C555" s="85" t="s">
        <v>81</v>
      </c>
      <c r="D555" s="93">
        <v>275</v>
      </c>
      <c r="E555" s="121">
        <v>23761</v>
      </c>
      <c r="F555" s="121">
        <v>22690</v>
      </c>
      <c r="G555" s="413" t="s">
        <v>529</v>
      </c>
      <c r="H555" s="121">
        <v>1071</v>
      </c>
      <c r="I555" s="392">
        <v>0</v>
      </c>
      <c r="J555" s="392">
        <v>0</v>
      </c>
      <c r="K555" s="392">
        <v>0</v>
      </c>
      <c r="L555" s="121">
        <v>1071</v>
      </c>
      <c r="M555" s="450" t="s">
        <v>529</v>
      </c>
    </row>
    <row r="556" spans="1:13" ht="46.5" customHeight="1" outlineLevel="2" x14ac:dyDescent="0.35">
      <c r="A556" s="93" t="s">
        <v>47</v>
      </c>
      <c r="B556" s="86" t="s">
        <v>287</v>
      </c>
      <c r="C556" s="85" t="s">
        <v>288</v>
      </c>
      <c r="D556" s="93">
        <v>265</v>
      </c>
      <c r="E556" s="121">
        <v>3247854</v>
      </c>
      <c r="F556" s="121">
        <v>3128316</v>
      </c>
      <c r="G556" s="413" t="s">
        <v>529</v>
      </c>
      <c r="H556" s="121">
        <v>119538</v>
      </c>
      <c r="I556" s="392">
        <v>0</v>
      </c>
      <c r="J556" s="392">
        <v>0</v>
      </c>
      <c r="K556" s="392">
        <v>0</v>
      </c>
      <c r="L556" s="121">
        <v>119538</v>
      </c>
      <c r="M556" s="450" t="s">
        <v>529</v>
      </c>
    </row>
    <row r="557" spans="1:13" ht="15.5" outlineLevel="2" x14ac:dyDescent="0.35">
      <c r="A557" s="93" t="s">
        <v>47</v>
      </c>
      <c r="B557" s="86" t="s">
        <v>103</v>
      </c>
      <c r="C557" s="85" t="s">
        <v>93</v>
      </c>
      <c r="D557" s="93">
        <v>48</v>
      </c>
      <c r="E557" s="121">
        <v>14658917</v>
      </c>
      <c r="F557" s="121">
        <v>13490929</v>
      </c>
      <c r="G557" s="413" t="s">
        <v>529</v>
      </c>
      <c r="H557" s="121">
        <v>1167988</v>
      </c>
      <c r="I557" s="121">
        <v>203988</v>
      </c>
      <c r="J557" s="121">
        <v>199903</v>
      </c>
      <c r="K557" s="121">
        <v>4085</v>
      </c>
      <c r="L557" s="121">
        <v>1163903</v>
      </c>
      <c r="M557" s="450" t="s">
        <v>529</v>
      </c>
    </row>
    <row r="558" spans="1:13" ht="30" customHeight="1" outlineLevel="2" x14ac:dyDescent="0.35">
      <c r="A558" s="93" t="s">
        <v>47</v>
      </c>
      <c r="B558" s="86" t="s">
        <v>292</v>
      </c>
      <c r="C558" s="85" t="s">
        <v>83</v>
      </c>
      <c r="D558" s="93">
        <v>150</v>
      </c>
      <c r="E558" s="121">
        <v>6617290</v>
      </c>
      <c r="F558" s="121">
        <v>6100481</v>
      </c>
      <c r="G558" s="413" t="s">
        <v>529</v>
      </c>
      <c r="H558" s="121">
        <v>516809</v>
      </c>
      <c r="I558" s="121">
        <v>60300</v>
      </c>
      <c r="J558" s="121">
        <v>54923</v>
      </c>
      <c r="K558" s="121">
        <v>5377</v>
      </c>
      <c r="L558" s="121">
        <v>511432</v>
      </c>
      <c r="M558" s="450" t="s">
        <v>529</v>
      </c>
    </row>
    <row r="559" spans="1:13" ht="15" customHeight="1" outlineLevel="2" x14ac:dyDescent="0.35">
      <c r="A559" s="93" t="s">
        <v>47</v>
      </c>
      <c r="B559" s="86" t="s">
        <v>144</v>
      </c>
      <c r="C559" s="85" t="s">
        <v>145</v>
      </c>
      <c r="D559" s="93">
        <v>218</v>
      </c>
      <c r="E559" s="121">
        <v>3715071</v>
      </c>
      <c r="F559" s="121">
        <v>3238954</v>
      </c>
      <c r="G559" s="413" t="s">
        <v>529</v>
      </c>
      <c r="H559" s="121">
        <v>476117</v>
      </c>
      <c r="I559" s="392">
        <v>0</v>
      </c>
      <c r="J559" s="392">
        <v>0</v>
      </c>
      <c r="K559" s="392">
        <v>0</v>
      </c>
      <c r="L559" s="121">
        <v>476117</v>
      </c>
      <c r="M559" s="450" t="s">
        <v>529</v>
      </c>
    </row>
    <row r="560" spans="1:13" ht="15" customHeight="1" outlineLevel="2" x14ac:dyDescent="0.35">
      <c r="A560" s="93" t="s">
        <v>47</v>
      </c>
      <c r="B560" s="86" t="s">
        <v>106</v>
      </c>
      <c r="C560" s="85" t="s">
        <v>107</v>
      </c>
      <c r="D560" s="93">
        <v>173</v>
      </c>
      <c r="E560" s="121">
        <v>1759730</v>
      </c>
      <c r="F560" s="121">
        <v>1759730</v>
      </c>
      <c r="G560" s="413" t="s">
        <v>529</v>
      </c>
      <c r="H560" s="392">
        <v>0</v>
      </c>
      <c r="I560" s="121">
        <v>43451</v>
      </c>
      <c r="J560" s="121">
        <v>38616</v>
      </c>
      <c r="K560" s="121">
        <v>4835</v>
      </c>
      <c r="L560" s="121">
        <v>-4835</v>
      </c>
      <c r="M560" s="450" t="s">
        <v>529</v>
      </c>
    </row>
    <row r="561" spans="1:13" ht="51" customHeight="1" outlineLevel="2" x14ac:dyDescent="0.35">
      <c r="A561" s="93" t="s">
        <v>47</v>
      </c>
      <c r="B561" s="86" t="s">
        <v>273</v>
      </c>
      <c r="C561" s="85" t="s">
        <v>274</v>
      </c>
      <c r="D561" s="93">
        <v>329</v>
      </c>
      <c r="E561" s="121">
        <v>930860</v>
      </c>
      <c r="F561" s="121">
        <v>831450</v>
      </c>
      <c r="G561" s="413" t="s">
        <v>529</v>
      </c>
      <c r="H561" s="121">
        <v>99410</v>
      </c>
      <c r="I561" s="392">
        <v>0</v>
      </c>
      <c r="J561" s="392">
        <v>0</v>
      </c>
      <c r="K561" s="392">
        <v>0</v>
      </c>
      <c r="L561" s="121">
        <v>99410</v>
      </c>
      <c r="M561" s="450" t="s">
        <v>529</v>
      </c>
    </row>
    <row r="562" spans="1:13" ht="30.5" customHeight="1" outlineLevel="2" x14ac:dyDescent="0.35">
      <c r="A562" s="93" t="s">
        <v>47</v>
      </c>
      <c r="B562" s="86" t="s">
        <v>108</v>
      </c>
      <c r="C562" s="85" t="s">
        <v>109</v>
      </c>
      <c r="D562" s="93">
        <v>261</v>
      </c>
      <c r="E562" s="121">
        <v>814086</v>
      </c>
      <c r="F562" s="121">
        <v>797084</v>
      </c>
      <c r="G562" s="413" t="s">
        <v>529</v>
      </c>
      <c r="H562" s="121">
        <v>17002</v>
      </c>
      <c r="I562" s="121">
        <v>72250</v>
      </c>
      <c r="J562" s="121">
        <v>29296</v>
      </c>
      <c r="K562" s="121">
        <v>42954</v>
      </c>
      <c r="L562" s="121">
        <v>-25952</v>
      </c>
      <c r="M562" s="450" t="s">
        <v>529</v>
      </c>
    </row>
    <row r="563" spans="1:13" ht="15" customHeight="1" outlineLevel="2" x14ac:dyDescent="0.35">
      <c r="A563" s="93" t="s">
        <v>47</v>
      </c>
      <c r="B563" s="86" t="s">
        <v>110</v>
      </c>
      <c r="C563" s="85" t="s">
        <v>111</v>
      </c>
      <c r="D563" s="93">
        <v>244</v>
      </c>
      <c r="E563" s="121">
        <v>3239841</v>
      </c>
      <c r="F563" s="121">
        <v>3209138</v>
      </c>
      <c r="G563" s="413" t="s">
        <v>529</v>
      </c>
      <c r="H563" s="121">
        <v>30703</v>
      </c>
      <c r="I563" s="121">
        <v>73306</v>
      </c>
      <c r="J563" s="121">
        <v>50579</v>
      </c>
      <c r="K563" s="121">
        <v>22727</v>
      </c>
      <c r="L563" s="121">
        <v>7976</v>
      </c>
      <c r="M563" s="450" t="s">
        <v>529</v>
      </c>
    </row>
    <row r="564" spans="1:13" ht="15.5" outlineLevel="1" x14ac:dyDescent="0.35">
      <c r="A564" s="93" t="s">
        <v>47</v>
      </c>
      <c r="B564" s="86" t="s">
        <v>284</v>
      </c>
      <c r="C564" s="85" t="s">
        <v>285</v>
      </c>
      <c r="D564" s="93">
        <v>182</v>
      </c>
      <c r="E564" s="121">
        <v>68265</v>
      </c>
      <c r="F564" s="121">
        <v>55179</v>
      </c>
      <c r="G564" s="413" t="s">
        <v>529</v>
      </c>
      <c r="H564" s="121">
        <v>13086</v>
      </c>
      <c r="I564" s="121">
        <v>1388</v>
      </c>
      <c r="J564" s="121">
        <v>1388</v>
      </c>
      <c r="K564" s="392">
        <v>0</v>
      </c>
      <c r="L564" s="121">
        <v>13086</v>
      </c>
      <c r="M564" s="450" t="s">
        <v>529</v>
      </c>
    </row>
    <row r="565" spans="1:13" ht="15" customHeight="1" outlineLevel="2" x14ac:dyDescent="0.35">
      <c r="A565" s="93" t="s">
        <v>47</v>
      </c>
      <c r="B565" s="86" t="s">
        <v>251</v>
      </c>
      <c r="C565" s="85" t="s">
        <v>93</v>
      </c>
      <c r="D565" s="93">
        <v>280</v>
      </c>
      <c r="E565" s="121">
        <v>14665</v>
      </c>
      <c r="F565" s="121">
        <v>11241</v>
      </c>
      <c r="G565" s="413" t="s">
        <v>529</v>
      </c>
      <c r="H565" s="121">
        <v>3424</v>
      </c>
      <c r="I565" s="392">
        <v>0</v>
      </c>
      <c r="J565" s="392">
        <v>0</v>
      </c>
      <c r="K565" s="392">
        <v>0</v>
      </c>
      <c r="L565" s="121">
        <v>3424</v>
      </c>
      <c r="M565" s="450" t="s">
        <v>529</v>
      </c>
    </row>
    <row r="566" spans="1:13" ht="32.5" customHeight="1" outlineLevel="2" x14ac:dyDescent="0.35">
      <c r="A566" s="93" t="s">
        <v>47</v>
      </c>
      <c r="B566" s="86" t="s">
        <v>275</v>
      </c>
      <c r="C566" s="85" t="s">
        <v>77</v>
      </c>
      <c r="D566" s="93">
        <v>176</v>
      </c>
      <c r="E566" s="121">
        <v>7230014</v>
      </c>
      <c r="F566" s="121">
        <v>6313475</v>
      </c>
      <c r="G566" s="413" t="s">
        <v>529</v>
      </c>
      <c r="H566" s="121">
        <v>916539</v>
      </c>
      <c r="I566" s="121">
        <v>35024</v>
      </c>
      <c r="J566" s="121">
        <v>25955</v>
      </c>
      <c r="K566" s="121">
        <v>9069</v>
      </c>
      <c r="L566" s="121">
        <v>907470</v>
      </c>
      <c r="M566" s="450" t="s">
        <v>529</v>
      </c>
    </row>
    <row r="567" spans="1:13" ht="15.5" outlineLevel="2" x14ac:dyDescent="0.35">
      <c r="A567" s="93" t="s">
        <v>47</v>
      </c>
      <c r="B567" s="86" t="s">
        <v>280</v>
      </c>
      <c r="C567" s="85" t="s">
        <v>281</v>
      </c>
      <c r="D567" s="93">
        <v>57</v>
      </c>
      <c r="E567" s="121">
        <v>964299</v>
      </c>
      <c r="F567" s="121">
        <v>880791</v>
      </c>
      <c r="G567" s="413" t="s">
        <v>529</v>
      </c>
      <c r="H567" s="121">
        <v>83508</v>
      </c>
      <c r="I567" s="121">
        <v>14205</v>
      </c>
      <c r="J567" s="121">
        <v>14205</v>
      </c>
      <c r="K567" s="392">
        <v>0</v>
      </c>
      <c r="L567" s="121">
        <v>83508</v>
      </c>
      <c r="M567" s="450" t="s">
        <v>529</v>
      </c>
    </row>
    <row r="568" spans="1:13" ht="15.5" outlineLevel="2" x14ac:dyDescent="0.35">
      <c r="A568" s="93" t="s">
        <v>47</v>
      </c>
      <c r="B568" s="86" t="s">
        <v>112</v>
      </c>
      <c r="C568" s="85" t="s">
        <v>113</v>
      </c>
      <c r="D568" s="93">
        <v>171</v>
      </c>
      <c r="E568" s="121">
        <v>2196908</v>
      </c>
      <c r="F568" s="121">
        <v>2046608</v>
      </c>
      <c r="G568" s="413" t="s">
        <v>529</v>
      </c>
      <c r="H568" s="121">
        <v>150300</v>
      </c>
      <c r="I568" s="392">
        <v>0</v>
      </c>
      <c r="J568" s="392">
        <v>0</v>
      </c>
      <c r="K568" s="392">
        <v>0</v>
      </c>
      <c r="L568" s="121">
        <v>150300</v>
      </c>
      <c r="M568" s="450" t="s">
        <v>529</v>
      </c>
    </row>
    <row r="569" spans="1:13" ht="30" customHeight="1" outlineLevel="2" x14ac:dyDescent="0.35">
      <c r="A569" s="93" t="s">
        <v>47</v>
      </c>
      <c r="B569" s="86" t="s">
        <v>114</v>
      </c>
      <c r="C569" s="85" t="s">
        <v>111</v>
      </c>
      <c r="D569" s="93">
        <v>258</v>
      </c>
      <c r="E569" s="121">
        <v>2759263</v>
      </c>
      <c r="F569" s="121">
        <v>2425375</v>
      </c>
      <c r="G569" s="413" t="s">
        <v>529</v>
      </c>
      <c r="H569" s="121">
        <v>333888</v>
      </c>
      <c r="I569" s="121">
        <v>42825</v>
      </c>
      <c r="J569" s="121">
        <v>40423</v>
      </c>
      <c r="K569" s="121">
        <v>2402</v>
      </c>
      <c r="L569" s="121">
        <v>331486</v>
      </c>
      <c r="M569" s="450" t="s">
        <v>529</v>
      </c>
    </row>
    <row r="570" spans="1:13" ht="15.5" outlineLevel="2" x14ac:dyDescent="0.35">
      <c r="A570" s="93" t="s">
        <v>47</v>
      </c>
      <c r="B570" s="86" t="s">
        <v>254</v>
      </c>
      <c r="C570" s="85" t="s">
        <v>255</v>
      </c>
      <c r="D570" s="93">
        <v>228</v>
      </c>
      <c r="E570" s="121">
        <v>14952</v>
      </c>
      <c r="F570" s="121">
        <v>6939</v>
      </c>
      <c r="G570" s="413" t="s">
        <v>529</v>
      </c>
      <c r="H570" s="121">
        <v>8013</v>
      </c>
      <c r="I570" s="392">
        <v>0</v>
      </c>
      <c r="J570" s="392">
        <v>0</v>
      </c>
      <c r="K570" s="392">
        <v>0</v>
      </c>
      <c r="L570" s="121">
        <v>8013</v>
      </c>
      <c r="M570" s="450" t="s">
        <v>529</v>
      </c>
    </row>
    <row r="571" spans="1:13" ht="15" customHeight="1" outlineLevel="2" x14ac:dyDescent="0.35">
      <c r="A571" s="93" t="s">
        <v>47</v>
      </c>
      <c r="B571" s="86" t="s">
        <v>282</v>
      </c>
      <c r="C571" s="85" t="s">
        <v>283</v>
      </c>
      <c r="D571" s="93">
        <v>58</v>
      </c>
      <c r="E571" s="121">
        <v>3087850</v>
      </c>
      <c r="F571" s="121">
        <v>3059030</v>
      </c>
      <c r="G571" s="413" t="s">
        <v>529</v>
      </c>
      <c r="H571" s="121">
        <v>28820</v>
      </c>
      <c r="I571" s="121">
        <v>15442</v>
      </c>
      <c r="J571" s="121">
        <v>13765</v>
      </c>
      <c r="K571" s="121">
        <v>1677</v>
      </c>
      <c r="L571" s="121">
        <v>27143</v>
      </c>
      <c r="M571" s="450" t="s">
        <v>529</v>
      </c>
    </row>
    <row r="572" spans="1:13" ht="15.5" outlineLevel="2" x14ac:dyDescent="0.35">
      <c r="A572" s="93" t="s">
        <v>47</v>
      </c>
      <c r="B572" s="86" t="s">
        <v>256</v>
      </c>
      <c r="C572" s="85" t="s">
        <v>257</v>
      </c>
      <c r="D572" s="93">
        <v>308</v>
      </c>
      <c r="E572" s="121">
        <v>83236</v>
      </c>
      <c r="F572" s="121">
        <v>46217</v>
      </c>
      <c r="G572" s="413" t="s">
        <v>529</v>
      </c>
      <c r="H572" s="121">
        <v>37019</v>
      </c>
      <c r="I572" s="392">
        <v>0</v>
      </c>
      <c r="J572" s="392">
        <v>0</v>
      </c>
      <c r="K572" s="392">
        <v>0</v>
      </c>
      <c r="L572" s="121">
        <v>37019</v>
      </c>
      <c r="M572" s="450" t="s">
        <v>529</v>
      </c>
    </row>
    <row r="573" spans="1:13" ht="15" customHeight="1" outlineLevel="2" x14ac:dyDescent="0.35">
      <c r="A573" s="93" t="s">
        <v>47</v>
      </c>
      <c r="B573" s="86" t="s">
        <v>115</v>
      </c>
      <c r="C573" s="85" t="s">
        <v>93</v>
      </c>
      <c r="D573" s="93">
        <v>260</v>
      </c>
      <c r="E573" s="121">
        <v>18231549</v>
      </c>
      <c r="F573" s="121">
        <v>17200676</v>
      </c>
      <c r="G573" s="413" t="s">
        <v>529</v>
      </c>
      <c r="H573" s="121">
        <v>1030873</v>
      </c>
      <c r="I573" s="121">
        <v>608055</v>
      </c>
      <c r="J573" s="121">
        <v>608055</v>
      </c>
      <c r="K573" s="392">
        <v>0</v>
      </c>
      <c r="L573" s="121">
        <v>1030873</v>
      </c>
      <c r="M573" s="450" t="s">
        <v>529</v>
      </c>
    </row>
    <row r="574" spans="1:13" ht="15.5" outlineLevel="2" x14ac:dyDescent="0.35">
      <c r="A574" s="93" t="s">
        <v>47</v>
      </c>
      <c r="B574" s="86" t="s">
        <v>118</v>
      </c>
      <c r="C574" s="85" t="s">
        <v>119</v>
      </c>
      <c r="D574" s="93">
        <v>346</v>
      </c>
      <c r="E574" s="121">
        <v>7378</v>
      </c>
      <c r="F574" s="121">
        <v>1834</v>
      </c>
      <c r="G574" s="413" t="s">
        <v>529</v>
      </c>
      <c r="H574" s="121">
        <v>5544</v>
      </c>
      <c r="I574" s="392">
        <v>0</v>
      </c>
      <c r="J574" s="392">
        <v>0</v>
      </c>
      <c r="K574" s="392">
        <v>0</v>
      </c>
      <c r="L574" s="121">
        <v>5544</v>
      </c>
      <c r="M574" s="450" t="s">
        <v>529</v>
      </c>
    </row>
    <row r="575" spans="1:13" ht="15.5" outlineLevel="2" x14ac:dyDescent="0.35">
      <c r="A575" s="93" t="s">
        <v>47</v>
      </c>
      <c r="B575" s="86" t="s">
        <v>120</v>
      </c>
      <c r="C575" s="85" t="s">
        <v>121</v>
      </c>
      <c r="D575" s="93">
        <v>351</v>
      </c>
      <c r="E575" s="121">
        <v>52143</v>
      </c>
      <c r="F575" s="121">
        <v>47396</v>
      </c>
      <c r="G575" s="413" t="s">
        <v>529</v>
      </c>
      <c r="H575" s="121">
        <v>4747</v>
      </c>
      <c r="I575" s="392">
        <v>0</v>
      </c>
      <c r="J575" s="392">
        <v>0</v>
      </c>
      <c r="K575" s="392">
        <v>0</v>
      </c>
      <c r="L575" s="121">
        <v>4747</v>
      </c>
      <c r="M575" s="450" t="s">
        <v>529</v>
      </c>
    </row>
    <row r="576" spans="1:13" ht="15.5" outlineLevel="2" x14ac:dyDescent="0.35">
      <c r="A576" s="137" t="s">
        <v>209</v>
      </c>
      <c r="B576" s="429" t="s">
        <v>529</v>
      </c>
      <c r="C576" s="430" t="s">
        <v>529</v>
      </c>
      <c r="D576" s="409" t="s">
        <v>529</v>
      </c>
      <c r="E576" s="138">
        <f>SUBTOTAL(109,school200607[Program
Costs])</f>
        <v>453651870</v>
      </c>
      <c r="F576" s="138">
        <f>SUBTOTAL(109,school200607[Less: Net Payments and Offsets 8])</f>
        <v>394141865</v>
      </c>
      <c r="G576" s="414" t="s">
        <v>552</v>
      </c>
      <c r="H576" s="138">
        <f>SUBTOTAL(109,school200607[Accounts Payable
Balance])</f>
        <v>59510005</v>
      </c>
      <c r="I576" s="138">
        <f>SUBTOTAL(109,school200607[Established
Accounts Receivable])</f>
        <v>2341878</v>
      </c>
      <c r="J576" s="138">
        <f>SUBTOTAL(109,school200607[Less: Recovered Amount])</f>
        <v>1649405</v>
      </c>
      <c r="K576" s="138">
        <f>SUBTOTAL(109,school200607[Accounts Receivable
Balance])</f>
        <v>692473</v>
      </c>
      <c r="L576" s="138">
        <f>SUBTOTAL(109,school200607[Net
Balance])</f>
        <v>58817532</v>
      </c>
      <c r="M576" s="414" t="s">
        <v>552</v>
      </c>
    </row>
    <row r="577" spans="1:13" ht="15.5" outlineLevel="2" x14ac:dyDescent="0.35">
      <c r="A577" s="386" t="s">
        <v>540</v>
      </c>
      <c r="B577" s="139"/>
      <c r="C577" s="139"/>
      <c r="D577" s="139"/>
      <c r="E577" s="140"/>
      <c r="F577" s="140"/>
      <c r="G577" s="140"/>
      <c r="H577" s="140"/>
      <c r="I577" s="140"/>
      <c r="J577" s="140"/>
      <c r="K577" s="140"/>
      <c r="L577" s="140"/>
      <c r="M577" s="476"/>
    </row>
    <row r="578" spans="1:13" ht="50" customHeight="1" outlineLevel="2" x14ac:dyDescent="0.35">
      <c r="A578" s="457" t="s">
        <v>11</v>
      </c>
      <c r="B578" s="300" t="s">
        <v>12</v>
      </c>
      <c r="C578" s="158" t="s">
        <v>0</v>
      </c>
      <c r="D578" s="300" t="s">
        <v>132</v>
      </c>
      <c r="E578" s="458" t="s">
        <v>125</v>
      </c>
      <c r="F578" s="423" t="s">
        <v>614</v>
      </c>
      <c r="G578" s="424" t="s">
        <v>531</v>
      </c>
      <c r="H578" s="422" t="s">
        <v>495</v>
      </c>
      <c r="I578" s="422" t="s">
        <v>496</v>
      </c>
      <c r="J578" s="458" t="s">
        <v>134</v>
      </c>
      <c r="K578" s="422" t="s">
        <v>497</v>
      </c>
      <c r="L578" s="458" t="s">
        <v>133</v>
      </c>
      <c r="M578" s="459" t="s">
        <v>532</v>
      </c>
    </row>
    <row r="579" spans="1:13" ht="15" customHeight="1" outlineLevel="2" x14ac:dyDescent="0.35">
      <c r="A579" s="93" t="s">
        <v>48</v>
      </c>
      <c r="B579" s="86" t="s">
        <v>61</v>
      </c>
      <c r="C579" s="85" t="s">
        <v>62</v>
      </c>
      <c r="D579" s="93">
        <v>305</v>
      </c>
      <c r="E579" s="121">
        <v>91574</v>
      </c>
      <c r="F579" s="121">
        <v>89307</v>
      </c>
      <c r="G579" s="413" t="s">
        <v>529</v>
      </c>
      <c r="H579" s="121">
        <v>2267</v>
      </c>
      <c r="I579" s="392">
        <v>0</v>
      </c>
      <c r="J579" s="392">
        <v>0</v>
      </c>
      <c r="K579" s="392">
        <v>0</v>
      </c>
      <c r="L579" s="121">
        <v>2267</v>
      </c>
      <c r="M579" s="450" t="s">
        <v>529</v>
      </c>
    </row>
    <row r="580" spans="1:13" ht="15.5" outlineLevel="2" x14ac:dyDescent="0.35">
      <c r="A580" s="93" t="s">
        <v>48</v>
      </c>
      <c r="B580" s="86" t="s">
        <v>276</v>
      </c>
      <c r="C580" s="85" t="s">
        <v>277</v>
      </c>
      <c r="D580" s="93">
        <v>269</v>
      </c>
      <c r="E580" s="121">
        <v>13832</v>
      </c>
      <c r="F580" s="121">
        <v>12143</v>
      </c>
      <c r="G580" s="413" t="s">
        <v>529</v>
      </c>
      <c r="H580" s="121">
        <v>1689</v>
      </c>
      <c r="I580" s="392">
        <v>0</v>
      </c>
      <c r="J580" s="392">
        <v>0</v>
      </c>
      <c r="K580" s="392">
        <v>0</v>
      </c>
      <c r="L580" s="121">
        <v>1689</v>
      </c>
      <c r="M580" s="450" t="s">
        <v>529</v>
      </c>
    </row>
    <row r="581" spans="1:13" ht="33.5" customHeight="1" outlineLevel="2" x14ac:dyDescent="0.35">
      <c r="A581" s="93" t="s">
        <v>48</v>
      </c>
      <c r="B581" s="86" t="s">
        <v>63</v>
      </c>
      <c r="C581" s="85" t="s">
        <v>64</v>
      </c>
      <c r="D581" s="93">
        <v>250</v>
      </c>
      <c r="E581" s="121">
        <v>1529642</v>
      </c>
      <c r="F581" s="121">
        <v>1448507</v>
      </c>
      <c r="G581" s="413" t="s">
        <v>529</v>
      </c>
      <c r="H581" s="121">
        <v>81135</v>
      </c>
      <c r="I581" s="392">
        <v>0</v>
      </c>
      <c r="J581" s="392">
        <v>0</v>
      </c>
      <c r="K581" s="392">
        <v>0</v>
      </c>
      <c r="L581" s="121">
        <v>81135</v>
      </c>
      <c r="M581" s="450" t="s">
        <v>529</v>
      </c>
    </row>
    <row r="582" spans="1:13" ht="32.5" customHeight="1" outlineLevel="2" x14ac:dyDescent="0.35">
      <c r="A582" s="93" t="s">
        <v>48</v>
      </c>
      <c r="B582" s="86" t="s">
        <v>268</v>
      </c>
      <c r="C582" s="85" t="s">
        <v>266</v>
      </c>
      <c r="D582" s="93">
        <v>348</v>
      </c>
      <c r="E582" s="121">
        <v>48538143</v>
      </c>
      <c r="F582" s="121">
        <v>42415623</v>
      </c>
      <c r="G582" s="413" t="s">
        <v>529</v>
      </c>
      <c r="H582" s="121">
        <v>6122520</v>
      </c>
      <c r="I582" s="392">
        <v>0</v>
      </c>
      <c r="J582" s="392">
        <v>0</v>
      </c>
      <c r="K582" s="392">
        <v>0</v>
      </c>
      <c r="L582" s="121">
        <v>6122520</v>
      </c>
      <c r="M582" s="450" t="s">
        <v>529</v>
      </c>
    </row>
    <row r="583" spans="1:13" ht="30" customHeight="1" outlineLevel="2" x14ac:dyDescent="0.35">
      <c r="A583" s="93" t="s">
        <v>48</v>
      </c>
      <c r="B583" s="86" t="s">
        <v>67</v>
      </c>
      <c r="C583" s="85" t="s">
        <v>68</v>
      </c>
      <c r="D583" s="93">
        <v>286</v>
      </c>
      <c r="E583" s="121">
        <v>81632</v>
      </c>
      <c r="F583" s="121">
        <v>66048</v>
      </c>
      <c r="G583" s="413" t="s">
        <v>529</v>
      </c>
      <c r="H583" s="121">
        <v>15584</v>
      </c>
      <c r="I583" s="392">
        <v>0</v>
      </c>
      <c r="J583" s="392">
        <v>0</v>
      </c>
      <c r="K583" s="392">
        <v>0</v>
      </c>
      <c r="L583" s="121">
        <v>15584</v>
      </c>
      <c r="M583" s="450" t="s">
        <v>529</v>
      </c>
    </row>
    <row r="584" spans="1:13" ht="35.5" customHeight="1" outlineLevel="2" x14ac:dyDescent="0.35">
      <c r="A584" s="93" t="s">
        <v>48</v>
      </c>
      <c r="B584" s="86" t="s">
        <v>69</v>
      </c>
      <c r="C584" s="85" t="s">
        <v>70</v>
      </c>
      <c r="D584" s="93">
        <v>172</v>
      </c>
      <c r="E584" s="121">
        <v>789966</v>
      </c>
      <c r="F584" s="121">
        <v>701787</v>
      </c>
      <c r="G584" s="413" t="s">
        <v>529</v>
      </c>
      <c r="H584" s="121">
        <v>88179</v>
      </c>
      <c r="I584" s="392">
        <v>0</v>
      </c>
      <c r="J584" s="392">
        <v>0</v>
      </c>
      <c r="K584" s="392">
        <v>0</v>
      </c>
      <c r="L584" s="121">
        <v>88179</v>
      </c>
      <c r="M584" s="450" t="s">
        <v>529</v>
      </c>
    </row>
    <row r="585" spans="1:13" ht="15" customHeight="1" outlineLevel="2" x14ac:dyDescent="0.35">
      <c r="A585" s="93" t="s">
        <v>48</v>
      </c>
      <c r="B585" s="86" t="s">
        <v>293</v>
      </c>
      <c r="C585" s="85" t="s">
        <v>294</v>
      </c>
      <c r="D585" s="93">
        <v>249</v>
      </c>
      <c r="E585" s="121">
        <v>1894352</v>
      </c>
      <c r="F585" s="121">
        <v>1761720</v>
      </c>
      <c r="G585" s="413" t="s">
        <v>529</v>
      </c>
      <c r="H585" s="121">
        <v>132632</v>
      </c>
      <c r="I585" s="392">
        <v>0</v>
      </c>
      <c r="J585" s="392">
        <v>0</v>
      </c>
      <c r="K585" s="392">
        <v>0</v>
      </c>
      <c r="L585" s="121">
        <v>132632</v>
      </c>
      <c r="M585" s="450" t="s">
        <v>529</v>
      </c>
    </row>
    <row r="586" spans="1:13" ht="37" customHeight="1" outlineLevel="2" x14ac:dyDescent="0.35">
      <c r="A586" s="93" t="s">
        <v>48</v>
      </c>
      <c r="B586" s="86" t="s">
        <v>72</v>
      </c>
      <c r="C586" s="85" t="s">
        <v>73</v>
      </c>
      <c r="D586" s="93">
        <v>11</v>
      </c>
      <c r="E586" s="121">
        <v>28118251</v>
      </c>
      <c r="F586" s="121">
        <v>27647949</v>
      </c>
      <c r="G586" s="413" t="s">
        <v>529</v>
      </c>
      <c r="H586" s="121">
        <v>470302</v>
      </c>
      <c r="I586" s="121">
        <v>6504563</v>
      </c>
      <c r="J586" s="121">
        <v>5420317</v>
      </c>
      <c r="K586" s="121">
        <v>1084246</v>
      </c>
      <c r="L586" s="121">
        <v>-613944</v>
      </c>
      <c r="M586" s="450" t="s">
        <v>529</v>
      </c>
    </row>
    <row r="587" spans="1:13" ht="15" customHeight="1" outlineLevel="2" x14ac:dyDescent="0.35">
      <c r="A587" s="93" t="s">
        <v>48</v>
      </c>
      <c r="B587" s="86" t="s">
        <v>286</v>
      </c>
      <c r="C587" s="85" t="s">
        <v>75</v>
      </c>
      <c r="D587" s="93">
        <v>223</v>
      </c>
      <c r="E587" s="121">
        <v>4125253</v>
      </c>
      <c r="F587" s="121">
        <v>3957366</v>
      </c>
      <c r="G587" s="413" t="s">
        <v>529</v>
      </c>
      <c r="H587" s="121">
        <v>167887</v>
      </c>
      <c r="I587" s="392">
        <v>0</v>
      </c>
      <c r="J587" s="392">
        <v>0</v>
      </c>
      <c r="K587" s="392">
        <v>0</v>
      </c>
      <c r="L587" s="121">
        <v>167887</v>
      </c>
      <c r="M587" s="450" t="s">
        <v>529</v>
      </c>
    </row>
    <row r="588" spans="1:13" ht="47" customHeight="1" outlineLevel="2" x14ac:dyDescent="0.35">
      <c r="A588" s="93" t="s">
        <v>48</v>
      </c>
      <c r="B588" s="86" t="s">
        <v>78</v>
      </c>
      <c r="C588" s="85" t="s">
        <v>79</v>
      </c>
      <c r="D588" s="93">
        <v>272</v>
      </c>
      <c r="E588" s="121">
        <v>8371175</v>
      </c>
      <c r="F588" s="121">
        <v>8200303</v>
      </c>
      <c r="G588" s="413" t="s">
        <v>529</v>
      </c>
      <c r="H588" s="121">
        <v>170872</v>
      </c>
      <c r="I588" s="392">
        <v>0</v>
      </c>
      <c r="J588" s="392">
        <v>0</v>
      </c>
      <c r="K588" s="392">
        <v>0</v>
      </c>
      <c r="L588" s="121">
        <v>170872</v>
      </c>
      <c r="M588" s="450" t="s">
        <v>529</v>
      </c>
    </row>
    <row r="589" spans="1:13" ht="50.5" customHeight="1" outlineLevel="2" x14ac:dyDescent="0.35">
      <c r="A589" s="93" t="s">
        <v>48</v>
      </c>
      <c r="B589" s="86" t="s">
        <v>289</v>
      </c>
      <c r="C589" s="85" t="s">
        <v>290</v>
      </c>
      <c r="D589" s="93">
        <v>291</v>
      </c>
      <c r="E589" s="121">
        <v>221637</v>
      </c>
      <c r="F589" s="121">
        <v>135227</v>
      </c>
      <c r="G589" s="413" t="s">
        <v>529</v>
      </c>
      <c r="H589" s="121">
        <v>86410</v>
      </c>
      <c r="I589" s="392">
        <v>0</v>
      </c>
      <c r="J589" s="392">
        <v>0</v>
      </c>
      <c r="K589" s="392">
        <v>0</v>
      </c>
      <c r="L589" s="121">
        <v>86410</v>
      </c>
      <c r="M589" s="450" t="s">
        <v>529</v>
      </c>
    </row>
    <row r="590" spans="1:13" ht="33.5" customHeight="1" outlineLevel="2" x14ac:dyDescent="0.35">
      <c r="A590" s="93" t="s">
        <v>48</v>
      </c>
      <c r="B590" s="86" t="s">
        <v>84</v>
      </c>
      <c r="C590" s="85" t="s">
        <v>85</v>
      </c>
      <c r="D590" s="93">
        <v>209</v>
      </c>
      <c r="E590" s="121">
        <v>330968</v>
      </c>
      <c r="F590" s="121">
        <v>291805</v>
      </c>
      <c r="G590" s="413" t="s">
        <v>529</v>
      </c>
      <c r="H590" s="121">
        <v>39163</v>
      </c>
      <c r="I590" s="392">
        <v>0</v>
      </c>
      <c r="J590" s="392">
        <v>0</v>
      </c>
      <c r="K590" s="392">
        <v>0</v>
      </c>
      <c r="L590" s="121">
        <v>39163</v>
      </c>
      <c r="M590" s="450" t="s">
        <v>529</v>
      </c>
    </row>
    <row r="591" spans="1:13" ht="15" customHeight="1" outlineLevel="2" x14ac:dyDescent="0.35">
      <c r="A591" s="93" t="s">
        <v>48</v>
      </c>
      <c r="B591" s="86" t="s">
        <v>86</v>
      </c>
      <c r="C591" s="85" t="s">
        <v>87</v>
      </c>
      <c r="D591" s="93">
        <v>183</v>
      </c>
      <c r="E591" s="121">
        <v>1053274</v>
      </c>
      <c r="F591" s="121">
        <v>1028420</v>
      </c>
      <c r="G591" s="413" t="s">
        <v>529</v>
      </c>
      <c r="H591" s="121">
        <v>24854</v>
      </c>
      <c r="I591" s="121">
        <v>324987</v>
      </c>
      <c r="J591" s="121">
        <v>324236</v>
      </c>
      <c r="K591" s="121">
        <v>751</v>
      </c>
      <c r="L591" s="121">
        <v>24103</v>
      </c>
      <c r="M591" s="450" t="s">
        <v>529</v>
      </c>
    </row>
    <row r="592" spans="1:13" ht="15" customHeight="1" outlineLevel="2" x14ac:dyDescent="0.35">
      <c r="A592" s="93" t="s">
        <v>48</v>
      </c>
      <c r="B592" s="86" t="s">
        <v>88</v>
      </c>
      <c r="C592" s="85" t="s">
        <v>89</v>
      </c>
      <c r="D592" s="93">
        <v>251</v>
      </c>
      <c r="E592" s="121">
        <v>345084</v>
      </c>
      <c r="F592" s="121">
        <v>339843</v>
      </c>
      <c r="G592" s="413" t="s">
        <v>529</v>
      </c>
      <c r="H592" s="121">
        <v>5241</v>
      </c>
      <c r="I592" s="392">
        <v>0</v>
      </c>
      <c r="J592" s="392">
        <v>0</v>
      </c>
      <c r="K592" s="392">
        <v>0</v>
      </c>
      <c r="L592" s="121">
        <v>5241</v>
      </c>
      <c r="M592" s="450" t="s">
        <v>529</v>
      </c>
    </row>
    <row r="593" spans="1:13" ht="31" outlineLevel="2" x14ac:dyDescent="0.35">
      <c r="A593" s="93" t="s">
        <v>48</v>
      </c>
      <c r="B593" s="86" t="s">
        <v>248</v>
      </c>
      <c r="C593" s="85" t="s">
        <v>77</v>
      </c>
      <c r="D593" s="93">
        <v>91</v>
      </c>
      <c r="E593" s="121">
        <v>11182</v>
      </c>
      <c r="F593" s="121">
        <v>10546</v>
      </c>
      <c r="G593" s="413" t="s">
        <v>529</v>
      </c>
      <c r="H593" s="121">
        <v>636</v>
      </c>
      <c r="I593" s="392">
        <v>0</v>
      </c>
      <c r="J593" s="392">
        <v>0</v>
      </c>
      <c r="K593" s="392">
        <v>0</v>
      </c>
      <c r="L593" s="121">
        <v>636</v>
      </c>
      <c r="M593" s="450" t="s">
        <v>529</v>
      </c>
    </row>
    <row r="594" spans="1:13" ht="15" customHeight="1" outlineLevel="2" x14ac:dyDescent="0.35">
      <c r="A594" s="93" t="s">
        <v>48</v>
      </c>
      <c r="B594" s="86" t="s">
        <v>90</v>
      </c>
      <c r="C594" s="85" t="s">
        <v>91</v>
      </c>
      <c r="D594" s="93">
        <v>192</v>
      </c>
      <c r="E594" s="121">
        <v>345937</v>
      </c>
      <c r="F594" s="121">
        <v>317957</v>
      </c>
      <c r="G594" s="413" t="s">
        <v>529</v>
      </c>
      <c r="H594" s="121">
        <v>27980</v>
      </c>
      <c r="I594" s="392">
        <v>0</v>
      </c>
      <c r="J594" s="392">
        <v>0</v>
      </c>
      <c r="K594" s="392">
        <v>0</v>
      </c>
      <c r="L594" s="121">
        <v>27980</v>
      </c>
      <c r="M594" s="450" t="s">
        <v>529</v>
      </c>
    </row>
    <row r="595" spans="1:13" ht="15.5" outlineLevel="2" x14ac:dyDescent="0.35">
      <c r="A595" s="93" t="s">
        <v>48</v>
      </c>
      <c r="B595" s="86" t="s">
        <v>291</v>
      </c>
      <c r="C595" s="85" t="s">
        <v>93</v>
      </c>
      <c r="D595" s="93">
        <v>26</v>
      </c>
      <c r="E595" s="121">
        <v>43202517</v>
      </c>
      <c r="F595" s="121">
        <v>40579200</v>
      </c>
      <c r="G595" s="413" t="s">
        <v>529</v>
      </c>
      <c r="H595" s="121">
        <v>2623317</v>
      </c>
      <c r="I595" s="121">
        <v>2628221</v>
      </c>
      <c r="J595" s="121">
        <v>940748</v>
      </c>
      <c r="K595" s="121">
        <v>1687473</v>
      </c>
      <c r="L595" s="121">
        <v>935844</v>
      </c>
      <c r="M595" s="450" t="s">
        <v>529</v>
      </c>
    </row>
    <row r="596" spans="1:13" ht="31.5" customHeight="1" outlineLevel="2" x14ac:dyDescent="0.35">
      <c r="A596" s="93" t="s">
        <v>48</v>
      </c>
      <c r="B596" s="86" t="s">
        <v>92</v>
      </c>
      <c r="C596" s="85" t="s">
        <v>93</v>
      </c>
      <c r="D596" s="93">
        <v>297</v>
      </c>
      <c r="E596" s="121">
        <v>178572293</v>
      </c>
      <c r="F596" s="121">
        <v>149988236</v>
      </c>
      <c r="G596" s="413" t="s">
        <v>529</v>
      </c>
      <c r="H596" s="121">
        <v>28584057</v>
      </c>
      <c r="I596" s="392">
        <v>0</v>
      </c>
      <c r="J596" s="392">
        <v>0</v>
      </c>
      <c r="K596" s="392">
        <v>0</v>
      </c>
      <c r="L596" s="121">
        <v>28584057</v>
      </c>
      <c r="M596" s="450" t="s">
        <v>529</v>
      </c>
    </row>
    <row r="597" spans="1:13" ht="15" customHeight="1" outlineLevel="2" x14ac:dyDescent="0.35">
      <c r="A597" s="93" t="s">
        <v>48</v>
      </c>
      <c r="B597" s="86" t="s">
        <v>94</v>
      </c>
      <c r="C597" s="85" t="s">
        <v>95</v>
      </c>
      <c r="D597" s="93">
        <v>166</v>
      </c>
      <c r="E597" s="121">
        <v>6863320</v>
      </c>
      <c r="F597" s="121">
        <v>6312299</v>
      </c>
      <c r="G597" s="413" t="s">
        <v>529</v>
      </c>
      <c r="H597" s="121">
        <v>551021</v>
      </c>
      <c r="I597" s="392">
        <v>0</v>
      </c>
      <c r="J597" s="392">
        <v>0</v>
      </c>
      <c r="K597" s="392">
        <v>0</v>
      </c>
      <c r="L597" s="121">
        <v>551021</v>
      </c>
      <c r="M597" s="450" t="s">
        <v>529</v>
      </c>
    </row>
    <row r="598" spans="1:13" ht="15.5" outlineLevel="2" x14ac:dyDescent="0.35">
      <c r="A598" s="93" t="s">
        <v>48</v>
      </c>
      <c r="B598" s="86" t="s">
        <v>244</v>
      </c>
      <c r="C598" s="85" t="s">
        <v>245</v>
      </c>
      <c r="D598" s="93">
        <v>268</v>
      </c>
      <c r="E598" s="121">
        <v>6928053</v>
      </c>
      <c r="F598" s="121">
        <v>5751723</v>
      </c>
      <c r="G598" s="413" t="s">
        <v>529</v>
      </c>
      <c r="H598" s="121">
        <v>1176330</v>
      </c>
      <c r="I598" s="392">
        <v>0</v>
      </c>
      <c r="J598" s="392">
        <v>0</v>
      </c>
      <c r="K598" s="392">
        <v>0</v>
      </c>
      <c r="L598" s="121">
        <v>1176330</v>
      </c>
      <c r="M598" s="450" t="s">
        <v>529</v>
      </c>
    </row>
    <row r="599" spans="1:13" ht="15.5" outlineLevel="2" x14ac:dyDescent="0.35">
      <c r="A599" s="93" t="s">
        <v>48</v>
      </c>
      <c r="B599" s="86" t="s">
        <v>96</v>
      </c>
      <c r="C599" s="85" t="s">
        <v>97</v>
      </c>
      <c r="D599" s="93">
        <v>32</v>
      </c>
      <c r="E599" s="121">
        <v>3940566</v>
      </c>
      <c r="F599" s="121">
        <v>3912544</v>
      </c>
      <c r="G599" s="413" t="s">
        <v>529</v>
      </c>
      <c r="H599" s="121">
        <v>28022</v>
      </c>
      <c r="I599" s="392">
        <v>0</v>
      </c>
      <c r="J599" s="392">
        <v>0</v>
      </c>
      <c r="K599" s="392">
        <v>0</v>
      </c>
      <c r="L599" s="121">
        <v>28022</v>
      </c>
      <c r="M599" s="450" t="s">
        <v>529</v>
      </c>
    </row>
    <row r="600" spans="1:13" ht="15.5" outlineLevel="2" x14ac:dyDescent="0.35">
      <c r="A600" s="93" t="s">
        <v>48</v>
      </c>
      <c r="B600" s="86" t="s">
        <v>421</v>
      </c>
      <c r="C600" s="85" t="s">
        <v>99</v>
      </c>
      <c r="D600" s="93">
        <v>230</v>
      </c>
      <c r="E600" s="121">
        <v>5033509</v>
      </c>
      <c r="F600" s="121">
        <v>5003200</v>
      </c>
      <c r="G600" s="413" t="s">
        <v>529</v>
      </c>
      <c r="H600" s="121">
        <v>30309</v>
      </c>
      <c r="I600" s="392">
        <v>0</v>
      </c>
      <c r="J600" s="392">
        <v>0</v>
      </c>
      <c r="K600" s="392">
        <v>0</v>
      </c>
      <c r="L600" s="121">
        <v>30309</v>
      </c>
      <c r="M600" s="450" t="s">
        <v>529</v>
      </c>
    </row>
    <row r="601" spans="1:13" ht="15" customHeight="1" outlineLevel="2" x14ac:dyDescent="0.35">
      <c r="A601" s="93" t="s">
        <v>48</v>
      </c>
      <c r="B601" s="86" t="s">
        <v>249</v>
      </c>
      <c r="C601" s="85" t="s">
        <v>250</v>
      </c>
      <c r="D601" s="93">
        <v>148</v>
      </c>
      <c r="E601" s="121">
        <v>14798</v>
      </c>
      <c r="F601" s="121">
        <v>11934</v>
      </c>
      <c r="G601" s="413" t="s">
        <v>529</v>
      </c>
      <c r="H601" s="121">
        <v>2864</v>
      </c>
      <c r="I601" s="392">
        <v>0</v>
      </c>
      <c r="J601" s="392">
        <v>0</v>
      </c>
      <c r="K601" s="392">
        <v>0</v>
      </c>
      <c r="L601" s="121">
        <v>2864</v>
      </c>
      <c r="M601" s="450" t="s">
        <v>529</v>
      </c>
    </row>
    <row r="602" spans="1:13" ht="15" customHeight="1" outlineLevel="2" x14ac:dyDescent="0.35">
      <c r="A602" s="93" t="s">
        <v>48</v>
      </c>
      <c r="B602" s="86" t="s">
        <v>101</v>
      </c>
      <c r="C602" s="85" t="s">
        <v>102</v>
      </c>
      <c r="D602" s="93">
        <v>153</v>
      </c>
      <c r="E602" s="121">
        <v>4736153</v>
      </c>
      <c r="F602" s="121">
        <v>4678559</v>
      </c>
      <c r="G602" s="413" t="s">
        <v>529</v>
      </c>
      <c r="H602" s="121">
        <v>57594</v>
      </c>
      <c r="I602" s="121">
        <v>1319463</v>
      </c>
      <c r="J602" s="121">
        <v>1295960</v>
      </c>
      <c r="K602" s="121">
        <v>23503</v>
      </c>
      <c r="L602" s="121">
        <v>34091</v>
      </c>
      <c r="M602" s="450" t="s">
        <v>529</v>
      </c>
    </row>
    <row r="603" spans="1:13" ht="15" customHeight="1" outlineLevel="2" x14ac:dyDescent="0.35">
      <c r="A603" s="93" t="s">
        <v>48</v>
      </c>
      <c r="B603" s="86" t="s">
        <v>246</v>
      </c>
      <c r="C603" s="85" t="s">
        <v>247</v>
      </c>
      <c r="D603" s="93">
        <v>155</v>
      </c>
      <c r="E603" s="121">
        <v>1185878</v>
      </c>
      <c r="F603" s="121">
        <v>1112778</v>
      </c>
      <c r="G603" s="413" t="s">
        <v>529</v>
      </c>
      <c r="H603" s="121">
        <v>73100</v>
      </c>
      <c r="I603" s="392">
        <v>0</v>
      </c>
      <c r="J603" s="392">
        <v>0</v>
      </c>
      <c r="K603" s="392">
        <v>0</v>
      </c>
      <c r="L603" s="121">
        <v>73100</v>
      </c>
      <c r="M603" s="450" t="s">
        <v>529</v>
      </c>
    </row>
    <row r="604" spans="1:13" ht="15.5" outlineLevel="2" x14ac:dyDescent="0.35">
      <c r="A604" s="93" t="s">
        <v>48</v>
      </c>
      <c r="B604" s="86" t="s">
        <v>296</v>
      </c>
      <c r="C604" s="85" t="s">
        <v>297</v>
      </c>
      <c r="D604" s="93">
        <v>157</v>
      </c>
      <c r="E604" s="121">
        <v>1550124</v>
      </c>
      <c r="F604" s="121">
        <v>1376323</v>
      </c>
      <c r="G604" s="413" t="s">
        <v>529</v>
      </c>
      <c r="H604" s="121">
        <v>173801</v>
      </c>
      <c r="I604" s="392">
        <v>0</v>
      </c>
      <c r="J604" s="392">
        <v>0</v>
      </c>
      <c r="K604" s="392">
        <v>0</v>
      </c>
      <c r="L604" s="121">
        <v>173801</v>
      </c>
      <c r="M604" s="450" t="s">
        <v>529</v>
      </c>
    </row>
    <row r="605" spans="1:13" ht="15" customHeight="1" outlineLevel="2" x14ac:dyDescent="0.35">
      <c r="A605" s="93" t="s">
        <v>48</v>
      </c>
      <c r="B605" s="86" t="s">
        <v>155</v>
      </c>
      <c r="C605" s="85" t="s">
        <v>156</v>
      </c>
      <c r="D605" s="93">
        <v>42</v>
      </c>
      <c r="E605" s="121">
        <v>16466343</v>
      </c>
      <c r="F605" s="121">
        <v>15476282</v>
      </c>
      <c r="G605" s="413" t="s">
        <v>529</v>
      </c>
      <c r="H605" s="121">
        <v>990061</v>
      </c>
      <c r="I605" s="392">
        <v>0</v>
      </c>
      <c r="J605" s="392">
        <v>0</v>
      </c>
      <c r="K605" s="392">
        <v>0</v>
      </c>
      <c r="L605" s="121">
        <v>990061</v>
      </c>
      <c r="M605" s="450" t="s">
        <v>529</v>
      </c>
    </row>
    <row r="606" spans="1:13" ht="48" customHeight="1" outlineLevel="2" x14ac:dyDescent="0.35">
      <c r="A606" s="93" t="s">
        <v>48</v>
      </c>
      <c r="B606" s="86" t="s">
        <v>287</v>
      </c>
      <c r="C606" s="85" t="s">
        <v>288</v>
      </c>
      <c r="D606" s="93">
        <v>265</v>
      </c>
      <c r="E606" s="121">
        <v>2861402</v>
      </c>
      <c r="F606" s="121">
        <v>2768647</v>
      </c>
      <c r="G606" s="413" t="s">
        <v>529</v>
      </c>
      <c r="H606" s="121">
        <v>92755</v>
      </c>
      <c r="I606" s="392">
        <v>0</v>
      </c>
      <c r="J606" s="392">
        <v>0</v>
      </c>
      <c r="K606" s="392">
        <v>0</v>
      </c>
      <c r="L606" s="121">
        <v>92755</v>
      </c>
      <c r="M606" s="450" t="s">
        <v>529</v>
      </c>
    </row>
    <row r="607" spans="1:13" ht="15" customHeight="1" outlineLevel="2" x14ac:dyDescent="0.35">
      <c r="A607" s="93" t="s">
        <v>48</v>
      </c>
      <c r="B607" s="86" t="s">
        <v>103</v>
      </c>
      <c r="C607" s="85" t="s">
        <v>93</v>
      </c>
      <c r="D607" s="93">
        <v>48</v>
      </c>
      <c r="E607" s="121">
        <v>12433793</v>
      </c>
      <c r="F607" s="121">
        <v>11714663</v>
      </c>
      <c r="G607" s="413" t="s">
        <v>529</v>
      </c>
      <c r="H607" s="121">
        <v>719130</v>
      </c>
      <c r="I607" s="392">
        <v>0</v>
      </c>
      <c r="J607" s="392">
        <v>0</v>
      </c>
      <c r="K607" s="392">
        <v>0</v>
      </c>
      <c r="L607" s="121">
        <v>719130</v>
      </c>
      <c r="M607" s="450" t="s">
        <v>529</v>
      </c>
    </row>
    <row r="608" spans="1:13" ht="31.5" customHeight="1" outlineLevel="2" x14ac:dyDescent="0.35">
      <c r="A608" s="93" t="s">
        <v>48</v>
      </c>
      <c r="B608" s="86" t="s">
        <v>292</v>
      </c>
      <c r="C608" s="85" t="s">
        <v>83</v>
      </c>
      <c r="D608" s="93">
        <v>150</v>
      </c>
      <c r="E608" s="121">
        <v>5726692</v>
      </c>
      <c r="F608" s="121">
        <v>5639598</v>
      </c>
      <c r="G608" s="413" t="s">
        <v>529</v>
      </c>
      <c r="H608" s="121">
        <v>87094</v>
      </c>
      <c r="I608" s="121">
        <v>1191913</v>
      </c>
      <c r="J608" s="121">
        <v>1172322</v>
      </c>
      <c r="K608" s="121">
        <v>19591</v>
      </c>
      <c r="L608" s="121">
        <v>67503</v>
      </c>
      <c r="M608" s="450" t="s">
        <v>529</v>
      </c>
    </row>
    <row r="609" spans="1:13" ht="15" customHeight="1" outlineLevel="2" x14ac:dyDescent="0.35">
      <c r="A609" s="93" t="s">
        <v>48</v>
      </c>
      <c r="B609" s="86" t="s">
        <v>144</v>
      </c>
      <c r="C609" s="85" t="s">
        <v>145</v>
      </c>
      <c r="D609" s="93">
        <v>218</v>
      </c>
      <c r="E609" s="121">
        <v>3283340</v>
      </c>
      <c r="F609" s="121">
        <v>3000113</v>
      </c>
      <c r="G609" s="413" t="s">
        <v>529</v>
      </c>
      <c r="H609" s="121">
        <v>283227</v>
      </c>
      <c r="I609" s="392">
        <v>0</v>
      </c>
      <c r="J609" s="392">
        <v>0</v>
      </c>
      <c r="K609" s="392">
        <v>0</v>
      </c>
      <c r="L609" s="121">
        <v>283227</v>
      </c>
      <c r="M609" s="450" t="s">
        <v>529</v>
      </c>
    </row>
    <row r="610" spans="1:13" ht="15" customHeight="1" outlineLevel="2" x14ac:dyDescent="0.35">
      <c r="A610" s="93" t="s">
        <v>48</v>
      </c>
      <c r="B610" s="86" t="s">
        <v>299</v>
      </c>
      <c r="C610" s="85" t="s">
        <v>300</v>
      </c>
      <c r="D610" s="93">
        <v>151</v>
      </c>
      <c r="E610" s="392">
        <v>0</v>
      </c>
      <c r="F610" s="392">
        <v>0</v>
      </c>
      <c r="G610" s="413" t="s">
        <v>529</v>
      </c>
      <c r="H610" s="392">
        <v>0</v>
      </c>
      <c r="I610" s="121">
        <v>154522</v>
      </c>
      <c r="J610" s="121">
        <v>150626</v>
      </c>
      <c r="K610" s="121">
        <v>3896</v>
      </c>
      <c r="L610" s="121">
        <v>-3896</v>
      </c>
      <c r="M610" s="450" t="s">
        <v>529</v>
      </c>
    </row>
    <row r="611" spans="1:13" ht="50.5" customHeight="1" outlineLevel="2" x14ac:dyDescent="0.35">
      <c r="A611" s="93" t="s">
        <v>48</v>
      </c>
      <c r="B611" s="86" t="s">
        <v>301</v>
      </c>
      <c r="C611" s="85" t="s">
        <v>77</v>
      </c>
      <c r="D611" s="93">
        <v>271</v>
      </c>
      <c r="E611" s="121">
        <v>4310781</v>
      </c>
      <c r="F611" s="121">
        <v>3965770</v>
      </c>
      <c r="G611" s="413" t="s">
        <v>529</v>
      </c>
      <c r="H611" s="121">
        <v>345011</v>
      </c>
      <c r="I611" s="392">
        <v>0</v>
      </c>
      <c r="J611" s="392">
        <v>0</v>
      </c>
      <c r="K611" s="392">
        <v>0</v>
      </c>
      <c r="L611" s="121">
        <v>345011</v>
      </c>
      <c r="M611" s="450" t="s">
        <v>529</v>
      </c>
    </row>
    <row r="612" spans="1:13" ht="46.5" outlineLevel="1" x14ac:dyDescent="0.35">
      <c r="A612" s="93" t="s">
        <v>48</v>
      </c>
      <c r="B612" s="86" t="s">
        <v>273</v>
      </c>
      <c r="C612" s="85" t="s">
        <v>274</v>
      </c>
      <c r="D612" s="93">
        <v>329</v>
      </c>
      <c r="E612" s="121">
        <v>824841</v>
      </c>
      <c r="F612" s="121">
        <v>761992</v>
      </c>
      <c r="G612" s="413" t="s">
        <v>529</v>
      </c>
      <c r="H612" s="121">
        <v>62849</v>
      </c>
      <c r="I612" s="392">
        <v>0</v>
      </c>
      <c r="J612" s="392">
        <v>0</v>
      </c>
      <c r="K612" s="392">
        <v>0</v>
      </c>
      <c r="L612" s="121">
        <v>62849</v>
      </c>
      <c r="M612" s="450" t="s">
        <v>529</v>
      </c>
    </row>
    <row r="613" spans="1:13" ht="30.5" customHeight="1" outlineLevel="2" x14ac:dyDescent="0.35">
      <c r="A613" s="93" t="s">
        <v>48</v>
      </c>
      <c r="B613" s="86" t="s">
        <v>108</v>
      </c>
      <c r="C613" s="85" t="s">
        <v>109</v>
      </c>
      <c r="D613" s="93">
        <v>261</v>
      </c>
      <c r="E613" s="121">
        <v>1283024</v>
      </c>
      <c r="F613" s="121">
        <v>1278443</v>
      </c>
      <c r="G613" s="413" t="s">
        <v>529</v>
      </c>
      <c r="H613" s="121">
        <v>4581</v>
      </c>
      <c r="I613" s="392">
        <v>0</v>
      </c>
      <c r="J613" s="392">
        <v>0</v>
      </c>
      <c r="K613" s="392">
        <v>0</v>
      </c>
      <c r="L613" s="121">
        <v>4581</v>
      </c>
      <c r="M613" s="450" t="s">
        <v>529</v>
      </c>
    </row>
    <row r="614" spans="1:13" ht="15.5" outlineLevel="2" x14ac:dyDescent="0.35">
      <c r="A614" s="93" t="s">
        <v>48</v>
      </c>
      <c r="B614" s="86" t="s">
        <v>110</v>
      </c>
      <c r="C614" s="85" t="s">
        <v>111</v>
      </c>
      <c r="D614" s="93">
        <v>244</v>
      </c>
      <c r="E614" s="121">
        <v>3003669</v>
      </c>
      <c r="F614" s="121">
        <v>2979014</v>
      </c>
      <c r="G614" s="413" t="s">
        <v>529</v>
      </c>
      <c r="H614" s="121">
        <v>24655</v>
      </c>
      <c r="I614" s="392">
        <v>0</v>
      </c>
      <c r="J614" s="392">
        <v>0</v>
      </c>
      <c r="K614" s="392">
        <v>0</v>
      </c>
      <c r="L614" s="121">
        <v>24655</v>
      </c>
      <c r="M614" s="450" t="s">
        <v>529</v>
      </c>
    </row>
    <row r="615" spans="1:13" ht="15.5" outlineLevel="2" x14ac:dyDescent="0.35">
      <c r="A615" s="93" t="s">
        <v>48</v>
      </c>
      <c r="B615" s="86" t="s">
        <v>284</v>
      </c>
      <c r="C615" s="85" t="s">
        <v>285</v>
      </c>
      <c r="D615" s="93">
        <v>182</v>
      </c>
      <c r="E615" s="121">
        <v>283789</v>
      </c>
      <c r="F615" s="121">
        <v>7758</v>
      </c>
      <c r="G615" s="413" t="s">
        <v>529</v>
      </c>
      <c r="H615" s="121">
        <v>276031</v>
      </c>
      <c r="I615" s="392">
        <v>0</v>
      </c>
      <c r="J615" s="392">
        <v>0</v>
      </c>
      <c r="K615" s="392">
        <v>0</v>
      </c>
      <c r="L615" s="121">
        <v>276031</v>
      </c>
      <c r="M615" s="450" t="s">
        <v>529</v>
      </c>
    </row>
    <row r="616" spans="1:13" ht="15.5" outlineLevel="2" x14ac:dyDescent="0.35">
      <c r="A616" s="93" t="s">
        <v>48</v>
      </c>
      <c r="B616" s="86" t="s">
        <v>251</v>
      </c>
      <c r="C616" s="85" t="s">
        <v>93</v>
      </c>
      <c r="D616" s="93">
        <v>280</v>
      </c>
      <c r="E616" s="121">
        <v>10081</v>
      </c>
      <c r="F616" s="121">
        <v>8652</v>
      </c>
      <c r="G616" s="413" t="s">
        <v>529</v>
      </c>
      <c r="H616" s="121">
        <v>1429</v>
      </c>
      <c r="I616" s="392">
        <v>0</v>
      </c>
      <c r="J616" s="392">
        <v>0</v>
      </c>
      <c r="K616" s="392">
        <v>0</v>
      </c>
      <c r="L616" s="121">
        <v>1429</v>
      </c>
      <c r="M616" s="450" t="s">
        <v>529</v>
      </c>
    </row>
    <row r="617" spans="1:13" ht="30" customHeight="1" outlineLevel="2" x14ac:dyDescent="0.35">
      <c r="A617" s="93" t="s">
        <v>48</v>
      </c>
      <c r="B617" s="86" t="s">
        <v>275</v>
      </c>
      <c r="C617" s="85" t="s">
        <v>77</v>
      </c>
      <c r="D617" s="93">
        <v>176</v>
      </c>
      <c r="E617" s="121">
        <v>3178106</v>
      </c>
      <c r="F617" s="121">
        <v>2910951</v>
      </c>
      <c r="G617" s="413" t="s">
        <v>529</v>
      </c>
      <c r="H617" s="121">
        <v>267155</v>
      </c>
      <c r="I617" s="121">
        <v>337</v>
      </c>
      <c r="J617" s="392">
        <v>0</v>
      </c>
      <c r="K617" s="121">
        <v>337</v>
      </c>
      <c r="L617" s="121">
        <v>266818</v>
      </c>
      <c r="M617" s="450" t="s">
        <v>529</v>
      </c>
    </row>
    <row r="618" spans="1:13" ht="15.5" outlineLevel="2" x14ac:dyDescent="0.35">
      <c r="A618" s="93" t="s">
        <v>48</v>
      </c>
      <c r="B618" s="86" t="s">
        <v>280</v>
      </c>
      <c r="C618" s="85" t="s">
        <v>281</v>
      </c>
      <c r="D618" s="93">
        <v>57</v>
      </c>
      <c r="E618" s="121">
        <v>1056004</v>
      </c>
      <c r="F618" s="121">
        <v>948908</v>
      </c>
      <c r="G618" s="413" t="s">
        <v>529</v>
      </c>
      <c r="H618" s="121">
        <v>107096</v>
      </c>
      <c r="I618" s="392">
        <v>0</v>
      </c>
      <c r="J618" s="392">
        <v>0</v>
      </c>
      <c r="K618" s="392">
        <v>0</v>
      </c>
      <c r="L618" s="121">
        <v>107096</v>
      </c>
      <c r="M618" s="450" t="s">
        <v>529</v>
      </c>
    </row>
    <row r="619" spans="1:13" ht="15.5" outlineLevel="2" x14ac:dyDescent="0.35">
      <c r="A619" s="93" t="s">
        <v>48</v>
      </c>
      <c r="B619" s="86" t="s">
        <v>112</v>
      </c>
      <c r="C619" s="85" t="s">
        <v>113</v>
      </c>
      <c r="D619" s="93">
        <v>171</v>
      </c>
      <c r="E619" s="121">
        <v>1823009</v>
      </c>
      <c r="F619" s="121">
        <v>1710342</v>
      </c>
      <c r="G619" s="413" t="s">
        <v>529</v>
      </c>
      <c r="H619" s="121">
        <v>112667</v>
      </c>
      <c r="I619" s="392">
        <v>0</v>
      </c>
      <c r="J619" s="392">
        <v>0</v>
      </c>
      <c r="K619" s="392">
        <v>0</v>
      </c>
      <c r="L619" s="121">
        <v>112667</v>
      </c>
      <c r="M619" s="450" t="s">
        <v>529</v>
      </c>
    </row>
    <row r="620" spans="1:13" ht="15.5" outlineLevel="2" x14ac:dyDescent="0.35">
      <c r="A620" s="93" t="s">
        <v>48</v>
      </c>
      <c r="B620" s="86" t="s">
        <v>282</v>
      </c>
      <c r="C620" s="85" t="s">
        <v>283</v>
      </c>
      <c r="D620" s="93">
        <v>58</v>
      </c>
      <c r="E620" s="121">
        <v>2981606</v>
      </c>
      <c r="F620" s="121">
        <v>2966560</v>
      </c>
      <c r="G620" s="413" t="s">
        <v>529</v>
      </c>
      <c r="H620" s="121">
        <v>15046</v>
      </c>
      <c r="I620" s="392">
        <v>0</v>
      </c>
      <c r="J620" s="392">
        <v>0</v>
      </c>
      <c r="K620" s="392">
        <v>0</v>
      </c>
      <c r="L620" s="121">
        <v>15046</v>
      </c>
      <c r="M620" s="450" t="s">
        <v>529</v>
      </c>
    </row>
    <row r="621" spans="1:13" ht="15" customHeight="1" outlineLevel="2" x14ac:dyDescent="0.35">
      <c r="A621" s="93" t="s">
        <v>48</v>
      </c>
      <c r="B621" s="86" t="s">
        <v>256</v>
      </c>
      <c r="C621" s="85" t="s">
        <v>257</v>
      </c>
      <c r="D621" s="93">
        <v>308</v>
      </c>
      <c r="E621" s="121">
        <v>68777</v>
      </c>
      <c r="F621" s="121">
        <v>28480</v>
      </c>
      <c r="G621" s="413" t="s">
        <v>529</v>
      </c>
      <c r="H621" s="121">
        <v>40297</v>
      </c>
      <c r="I621" s="392">
        <v>0</v>
      </c>
      <c r="J621" s="392">
        <v>0</v>
      </c>
      <c r="K621" s="392">
        <v>0</v>
      </c>
      <c r="L621" s="121">
        <v>40297</v>
      </c>
      <c r="M621" s="450" t="s">
        <v>529</v>
      </c>
    </row>
    <row r="622" spans="1:13" ht="15" customHeight="1" outlineLevel="2" x14ac:dyDescent="0.35">
      <c r="A622" s="93" t="s">
        <v>48</v>
      </c>
      <c r="B622" s="86" t="s">
        <v>115</v>
      </c>
      <c r="C622" s="85" t="s">
        <v>93</v>
      </c>
      <c r="D622" s="93">
        <v>260</v>
      </c>
      <c r="E622" s="121">
        <v>19666966</v>
      </c>
      <c r="F622" s="121">
        <v>18822233</v>
      </c>
      <c r="G622" s="413" t="s">
        <v>529</v>
      </c>
      <c r="H622" s="121">
        <v>844733</v>
      </c>
      <c r="I622" s="121">
        <v>874947</v>
      </c>
      <c r="J622" s="121">
        <v>874947</v>
      </c>
      <c r="K622" s="392">
        <v>0</v>
      </c>
      <c r="L622" s="121">
        <v>844733</v>
      </c>
      <c r="M622" s="450" t="s">
        <v>529</v>
      </c>
    </row>
    <row r="623" spans="1:13" ht="15.5" outlineLevel="2" x14ac:dyDescent="0.35">
      <c r="A623" s="93" t="s">
        <v>48</v>
      </c>
      <c r="B623" s="86" t="s">
        <v>118</v>
      </c>
      <c r="C623" s="85" t="s">
        <v>119</v>
      </c>
      <c r="D623" s="93">
        <v>346</v>
      </c>
      <c r="E623" s="121">
        <v>6162</v>
      </c>
      <c r="F623" s="121">
        <v>4027</v>
      </c>
      <c r="G623" s="413" t="s">
        <v>529</v>
      </c>
      <c r="H623" s="121">
        <v>2135</v>
      </c>
      <c r="I623" s="392">
        <v>0</v>
      </c>
      <c r="J623" s="392">
        <v>0</v>
      </c>
      <c r="K623" s="392">
        <v>0</v>
      </c>
      <c r="L623" s="121">
        <v>2135</v>
      </c>
      <c r="M623" s="450" t="s">
        <v>529</v>
      </c>
    </row>
    <row r="624" spans="1:13" ht="15" customHeight="1" outlineLevel="2" x14ac:dyDescent="0.35">
      <c r="A624" s="93" t="s">
        <v>48</v>
      </c>
      <c r="B624" s="86" t="s">
        <v>120</v>
      </c>
      <c r="C624" s="85" t="s">
        <v>121</v>
      </c>
      <c r="D624" s="93">
        <v>351</v>
      </c>
      <c r="E624" s="121">
        <v>49627</v>
      </c>
      <c r="F624" s="121">
        <v>46027</v>
      </c>
      <c r="G624" s="413" t="s">
        <v>529</v>
      </c>
      <c r="H624" s="121">
        <v>3600</v>
      </c>
      <c r="I624" s="392">
        <v>0</v>
      </c>
      <c r="J624" s="392">
        <v>0</v>
      </c>
      <c r="K624" s="392">
        <v>0</v>
      </c>
      <c r="L624" s="121">
        <v>3600</v>
      </c>
      <c r="M624" s="450" t="s">
        <v>529</v>
      </c>
    </row>
    <row r="625" spans="1:13" ht="15" customHeight="1" outlineLevel="2" x14ac:dyDescent="0.35">
      <c r="A625" s="137" t="s">
        <v>210</v>
      </c>
      <c r="B625" s="429" t="s">
        <v>529</v>
      </c>
      <c r="C625" s="430" t="s">
        <v>529</v>
      </c>
      <c r="D625" s="409" t="s">
        <v>529</v>
      </c>
      <c r="E625" s="138">
        <f>SUBTOTAL(109,school200506[Program
Costs])</f>
        <v>427207125</v>
      </c>
      <c r="F625" s="138">
        <f>SUBTOTAL(109,school200506[Less: Net Payments and Offsets 8])</f>
        <v>382189807</v>
      </c>
      <c r="G625" s="414" t="s">
        <v>552</v>
      </c>
      <c r="H625" s="138">
        <f>SUBTOTAL(109,school200506[Accounts Payable
Balance])</f>
        <v>45017318</v>
      </c>
      <c r="I625" s="138">
        <f>SUBTOTAL(109,school200506[Established
Accounts Receivable])</f>
        <v>12998953</v>
      </c>
      <c r="J625" s="138">
        <f>SUBTOTAL(109,school200506[Less: Recovered Amount])</f>
        <v>10179156</v>
      </c>
      <c r="K625" s="138">
        <f>SUBTOTAL(109,school200506[Accounts Receivable
Balance])</f>
        <v>2819797</v>
      </c>
      <c r="L625" s="138">
        <f>SUBTOTAL(109,school200506[Net
Balance])</f>
        <v>42197521</v>
      </c>
      <c r="M625" s="414" t="s">
        <v>552</v>
      </c>
    </row>
    <row r="626" spans="1:13" ht="15" customHeight="1" outlineLevel="2" x14ac:dyDescent="0.35">
      <c r="A626" s="386" t="s">
        <v>540</v>
      </c>
      <c r="B626" s="139"/>
      <c r="C626" s="139"/>
      <c r="D626" s="139"/>
      <c r="E626" s="140"/>
      <c r="F626" s="140"/>
      <c r="G626" s="140"/>
      <c r="H626" s="140"/>
      <c r="I626" s="140"/>
      <c r="J626" s="140"/>
      <c r="K626" s="140"/>
      <c r="L626" s="140"/>
      <c r="M626" s="476"/>
    </row>
    <row r="627" spans="1:13" ht="50" customHeight="1" outlineLevel="2" x14ac:dyDescent="0.35">
      <c r="A627" s="457" t="s">
        <v>11</v>
      </c>
      <c r="B627" s="300" t="s">
        <v>12</v>
      </c>
      <c r="C627" s="158" t="s">
        <v>0</v>
      </c>
      <c r="D627" s="300" t="s">
        <v>132</v>
      </c>
      <c r="E627" s="458" t="s">
        <v>125</v>
      </c>
      <c r="F627" s="423" t="s">
        <v>614</v>
      </c>
      <c r="G627" s="424" t="s">
        <v>531</v>
      </c>
      <c r="H627" s="422" t="s">
        <v>495</v>
      </c>
      <c r="I627" s="422" t="s">
        <v>496</v>
      </c>
      <c r="J627" s="458" t="s">
        <v>134</v>
      </c>
      <c r="K627" s="422" t="s">
        <v>497</v>
      </c>
      <c r="L627" s="458" t="s">
        <v>133</v>
      </c>
      <c r="M627" s="459" t="s">
        <v>532</v>
      </c>
    </row>
    <row r="628" spans="1:13" ht="15.5" outlineLevel="2" x14ac:dyDescent="0.35">
      <c r="A628" s="93" t="s">
        <v>49</v>
      </c>
      <c r="B628" s="86" t="s">
        <v>276</v>
      </c>
      <c r="C628" s="85" t="s">
        <v>277</v>
      </c>
      <c r="D628" s="93">
        <v>269</v>
      </c>
      <c r="E628" s="121">
        <v>11498</v>
      </c>
      <c r="F628" s="121">
        <v>10225</v>
      </c>
      <c r="G628" s="413" t="s">
        <v>529</v>
      </c>
      <c r="H628" s="121">
        <v>1273</v>
      </c>
      <c r="I628" s="392">
        <v>0</v>
      </c>
      <c r="J628" s="392">
        <v>0</v>
      </c>
      <c r="K628" s="392">
        <v>0</v>
      </c>
      <c r="L628" s="121">
        <v>1273</v>
      </c>
      <c r="M628" s="450" t="s">
        <v>529</v>
      </c>
    </row>
    <row r="629" spans="1:13" ht="34.5" customHeight="1" outlineLevel="2" x14ac:dyDescent="0.35">
      <c r="A629" s="93" t="s">
        <v>49</v>
      </c>
      <c r="B629" s="86" t="s">
        <v>302</v>
      </c>
      <c r="C629" s="85" t="s">
        <v>303</v>
      </c>
      <c r="D629" s="93">
        <v>179</v>
      </c>
      <c r="E629" s="121">
        <v>35823</v>
      </c>
      <c r="F629" s="121">
        <v>35823</v>
      </c>
      <c r="G629" s="413" t="s">
        <v>529</v>
      </c>
      <c r="H629" s="392">
        <v>0</v>
      </c>
      <c r="I629" s="121">
        <v>1728</v>
      </c>
      <c r="J629" s="392">
        <v>0</v>
      </c>
      <c r="K629" s="121">
        <v>1728</v>
      </c>
      <c r="L629" s="121">
        <v>-1728</v>
      </c>
      <c r="M629" s="450" t="s">
        <v>529</v>
      </c>
    </row>
    <row r="630" spans="1:13" ht="32.5" customHeight="1" outlineLevel="2" x14ac:dyDescent="0.35">
      <c r="A630" s="93" t="s">
        <v>49</v>
      </c>
      <c r="B630" s="86" t="s">
        <v>304</v>
      </c>
      <c r="C630" s="85" t="s">
        <v>79</v>
      </c>
      <c r="D630" s="93">
        <v>221</v>
      </c>
      <c r="E630" s="121">
        <v>6550640</v>
      </c>
      <c r="F630" s="121">
        <v>6550640</v>
      </c>
      <c r="G630" s="413" t="s">
        <v>529</v>
      </c>
      <c r="H630" s="392">
        <v>0</v>
      </c>
      <c r="I630" s="121">
        <v>11682</v>
      </c>
      <c r="J630" s="121">
        <v>1131</v>
      </c>
      <c r="K630" s="121">
        <v>10551</v>
      </c>
      <c r="L630" s="121">
        <v>-10551</v>
      </c>
      <c r="M630" s="450" t="s">
        <v>529</v>
      </c>
    </row>
    <row r="631" spans="1:13" ht="32" customHeight="1" outlineLevel="2" x14ac:dyDescent="0.35">
      <c r="A631" s="93" t="s">
        <v>49</v>
      </c>
      <c r="B631" s="86" t="s">
        <v>268</v>
      </c>
      <c r="C631" s="85" t="s">
        <v>266</v>
      </c>
      <c r="D631" s="93">
        <v>348</v>
      </c>
      <c r="E631" s="121">
        <v>45784627</v>
      </c>
      <c r="F631" s="121">
        <v>40536570</v>
      </c>
      <c r="G631" s="413" t="s">
        <v>529</v>
      </c>
      <c r="H631" s="121">
        <v>5248057</v>
      </c>
      <c r="I631" s="392">
        <v>0</v>
      </c>
      <c r="J631" s="392">
        <v>0</v>
      </c>
      <c r="K631" s="392">
        <v>0</v>
      </c>
      <c r="L631" s="121">
        <v>5248057</v>
      </c>
      <c r="M631" s="450" t="s">
        <v>529</v>
      </c>
    </row>
    <row r="632" spans="1:13" ht="34.5" customHeight="1" outlineLevel="2" x14ac:dyDescent="0.35">
      <c r="A632" s="93" t="s">
        <v>49</v>
      </c>
      <c r="B632" s="86" t="s">
        <v>67</v>
      </c>
      <c r="C632" s="85" t="s">
        <v>68</v>
      </c>
      <c r="D632" s="93">
        <v>286</v>
      </c>
      <c r="E632" s="121">
        <v>84930</v>
      </c>
      <c r="F632" s="121">
        <v>83406</v>
      </c>
      <c r="G632" s="413" t="s">
        <v>529</v>
      </c>
      <c r="H632" s="121">
        <v>1524</v>
      </c>
      <c r="I632" s="392">
        <v>0</v>
      </c>
      <c r="J632" s="392">
        <v>0</v>
      </c>
      <c r="K632" s="392">
        <v>0</v>
      </c>
      <c r="L632" s="121">
        <v>1524</v>
      </c>
      <c r="M632" s="450" t="s">
        <v>529</v>
      </c>
    </row>
    <row r="633" spans="1:13" ht="35" customHeight="1" outlineLevel="2" x14ac:dyDescent="0.35">
      <c r="A633" s="93" t="s">
        <v>49</v>
      </c>
      <c r="B633" s="86" t="s">
        <v>69</v>
      </c>
      <c r="C633" s="85" t="s">
        <v>70</v>
      </c>
      <c r="D633" s="93">
        <v>172</v>
      </c>
      <c r="E633" s="121">
        <v>862291</v>
      </c>
      <c r="F633" s="121">
        <v>862291</v>
      </c>
      <c r="G633" s="413" t="s">
        <v>529</v>
      </c>
      <c r="H633" s="392">
        <v>0</v>
      </c>
      <c r="I633" s="121">
        <v>8341</v>
      </c>
      <c r="J633" s="392">
        <v>0</v>
      </c>
      <c r="K633" s="121">
        <v>8341</v>
      </c>
      <c r="L633" s="121">
        <v>-8341</v>
      </c>
      <c r="M633" s="450" t="s">
        <v>529</v>
      </c>
    </row>
    <row r="634" spans="1:13" ht="45" customHeight="1" outlineLevel="2" x14ac:dyDescent="0.35">
      <c r="A634" s="93" t="s">
        <v>49</v>
      </c>
      <c r="B634" s="86" t="s">
        <v>78</v>
      </c>
      <c r="C634" s="85" t="s">
        <v>79</v>
      </c>
      <c r="D634" s="93">
        <v>272</v>
      </c>
      <c r="E634" s="121">
        <v>3836796</v>
      </c>
      <c r="F634" s="121">
        <v>3836796</v>
      </c>
      <c r="G634" s="413" t="s">
        <v>529</v>
      </c>
      <c r="H634" s="392">
        <v>0</v>
      </c>
      <c r="I634" s="121">
        <v>232908</v>
      </c>
      <c r="J634" s="121">
        <v>228852</v>
      </c>
      <c r="K634" s="121">
        <v>4056</v>
      </c>
      <c r="L634" s="121">
        <v>-4056</v>
      </c>
      <c r="M634" s="450" t="s">
        <v>529</v>
      </c>
    </row>
    <row r="635" spans="1:13" ht="50" customHeight="1" outlineLevel="2" x14ac:dyDescent="0.35">
      <c r="A635" s="93" t="s">
        <v>49</v>
      </c>
      <c r="B635" s="86" t="s">
        <v>289</v>
      </c>
      <c r="C635" s="85" t="s">
        <v>290</v>
      </c>
      <c r="D635" s="93">
        <v>291</v>
      </c>
      <c r="E635" s="121">
        <v>278636</v>
      </c>
      <c r="F635" s="121">
        <v>243156</v>
      </c>
      <c r="G635" s="413" t="s">
        <v>529</v>
      </c>
      <c r="H635" s="121">
        <v>35480</v>
      </c>
      <c r="I635" s="392">
        <v>0</v>
      </c>
      <c r="J635" s="392">
        <v>0</v>
      </c>
      <c r="K635" s="392">
        <v>0</v>
      </c>
      <c r="L635" s="121">
        <v>35480</v>
      </c>
      <c r="M635" s="450" t="s">
        <v>529</v>
      </c>
    </row>
    <row r="636" spans="1:13" ht="15.5" outlineLevel="2" x14ac:dyDescent="0.35">
      <c r="A636" s="93" t="s">
        <v>49</v>
      </c>
      <c r="B636" s="86" t="s">
        <v>86</v>
      </c>
      <c r="C636" s="85" t="s">
        <v>87</v>
      </c>
      <c r="D636" s="93">
        <v>183</v>
      </c>
      <c r="E636" s="121">
        <v>973469</v>
      </c>
      <c r="F636" s="121">
        <v>973469</v>
      </c>
      <c r="G636" s="413" t="s">
        <v>529</v>
      </c>
      <c r="H636" s="392">
        <v>0</v>
      </c>
      <c r="I636" s="121">
        <v>4109</v>
      </c>
      <c r="J636" s="121">
        <v>2598</v>
      </c>
      <c r="K636" s="121">
        <v>1511</v>
      </c>
      <c r="L636" s="121">
        <v>-1511</v>
      </c>
      <c r="M636" s="450" t="s">
        <v>529</v>
      </c>
    </row>
    <row r="637" spans="1:13" ht="15" customHeight="1" outlineLevel="2" x14ac:dyDescent="0.35">
      <c r="A637" s="93" t="s">
        <v>49</v>
      </c>
      <c r="B637" s="86" t="s">
        <v>88</v>
      </c>
      <c r="C637" s="85" t="s">
        <v>89</v>
      </c>
      <c r="D637" s="93">
        <v>251</v>
      </c>
      <c r="E637" s="121">
        <v>410381</v>
      </c>
      <c r="F637" s="121">
        <v>410381</v>
      </c>
      <c r="G637" s="413" t="s">
        <v>529</v>
      </c>
      <c r="H637" s="392">
        <v>0</v>
      </c>
      <c r="I637" s="121">
        <v>13269</v>
      </c>
      <c r="J637" s="392">
        <v>0</v>
      </c>
      <c r="K637" s="121">
        <v>13269</v>
      </c>
      <c r="L637" s="121">
        <v>-13269</v>
      </c>
      <c r="M637" s="450" t="s">
        <v>529</v>
      </c>
    </row>
    <row r="638" spans="1:13" ht="54" customHeight="1" outlineLevel="2" x14ac:dyDescent="0.35">
      <c r="A638" s="93" t="s">
        <v>49</v>
      </c>
      <c r="B638" s="86" t="s">
        <v>305</v>
      </c>
      <c r="C638" s="85" t="s">
        <v>306</v>
      </c>
      <c r="D638" s="93">
        <v>225</v>
      </c>
      <c r="E638" s="121">
        <v>7701246</v>
      </c>
      <c r="F638" s="121">
        <v>7701246</v>
      </c>
      <c r="G638" s="413" t="s">
        <v>529</v>
      </c>
      <c r="H638" s="392">
        <v>0</v>
      </c>
      <c r="I638" s="121">
        <v>2282478</v>
      </c>
      <c r="J638" s="121">
        <v>2230738</v>
      </c>
      <c r="K638" s="121">
        <v>51740</v>
      </c>
      <c r="L638" s="121">
        <v>-51740</v>
      </c>
      <c r="M638" s="450" t="s">
        <v>529</v>
      </c>
    </row>
    <row r="639" spans="1:13" ht="15" customHeight="1" outlineLevel="2" x14ac:dyDescent="0.35">
      <c r="A639" s="93" t="s">
        <v>49</v>
      </c>
      <c r="B639" s="86" t="s">
        <v>90</v>
      </c>
      <c r="C639" s="85" t="s">
        <v>91</v>
      </c>
      <c r="D639" s="93">
        <v>192</v>
      </c>
      <c r="E639" s="121">
        <v>326816</v>
      </c>
      <c r="F639" s="121">
        <v>326816</v>
      </c>
      <c r="G639" s="413" t="s">
        <v>529</v>
      </c>
      <c r="H639" s="392">
        <v>0</v>
      </c>
      <c r="I639" s="121">
        <v>28443</v>
      </c>
      <c r="J639" s="121">
        <v>16875</v>
      </c>
      <c r="K639" s="121">
        <v>11568</v>
      </c>
      <c r="L639" s="121">
        <v>-11568</v>
      </c>
      <c r="M639" s="450" t="s">
        <v>529</v>
      </c>
    </row>
    <row r="640" spans="1:13" ht="15" customHeight="1" outlineLevel="2" x14ac:dyDescent="0.35">
      <c r="A640" s="93" t="s">
        <v>49</v>
      </c>
      <c r="B640" s="86" t="s">
        <v>291</v>
      </c>
      <c r="C640" s="85" t="s">
        <v>93</v>
      </c>
      <c r="D640" s="93">
        <v>26</v>
      </c>
      <c r="E640" s="121">
        <v>32114075</v>
      </c>
      <c r="F640" s="121">
        <v>29994233</v>
      </c>
      <c r="G640" s="413" t="s">
        <v>529</v>
      </c>
      <c r="H640" s="121">
        <v>2119842</v>
      </c>
      <c r="I640" s="121">
        <v>1642371</v>
      </c>
      <c r="J640" s="392">
        <v>0</v>
      </c>
      <c r="K640" s="121">
        <v>1642371</v>
      </c>
      <c r="L640" s="121">
        <v>477471</v>
      </c>
      <c r="M640" s="450" t="s">
        <v>529</v>
      </c>
    </row>
    <row r="641" spans="1:13" ht="32" customHeight="1" outlineLevel="2" x14ac:dyDescent="0.35">
      <c r="A641" s="93" t="s">
        <v>49</v>
      </c>
      <c r="B641" s="86" t="s">
        <v>422</v>
      </c>
      <c r="C641" s="85" t="s">
        <v>93</v>
      </c>
      <c r="D641" s="93">
        <v>296</v>
      </c>
      <c r="E641" s="121">
        <v>74192532</v>
      </c>
      <c r="F641" s="121">
        <v>69857272</v>
      </c>
      <c r="G641" s="413" t="s">
        <v>529</v>
      </c>
      <c r="H641" s="121">
        <v>4335260</v>
      </c>
      <c r="I641" s="392">
        <v>0</v>
      </c>
      <c r="J641" s="392">
        <v>0</v>
      </c>
      <c r="K641" s="392">
        <v>0</v>
      </c>
      <c r="L641" s="121">
        <v>4335260</v>
      </c>
      <c r="M641" s="450" t="s">
        <v>529</v>
      </c>
    </row>
    <row r="642" spans="1:13" ht="31" outlineLevel="2" x14ac:dyDescent="0.35">
      <c r="A642" s="93" t="s">
        <v>49</v>
      </c>
      <c r="B642" s="86" t="s">
        <v>92</v>
      </c>
      <c r="C642" s="85" t="s">
        <v>93</v>
      </c>
      <c r="D642" s="93">
        <v>297</v>
      </c>
      <c r="E642" s="121">
        <v>98984746</v>
      </c>
      <c r="F642" s="121">
        <v>88044270</v>
      </c>
      <c r="G642" s="413" t="s">
        <v>529</v>
      </c>
      <c r="H642" s="121">
        <v>10940476</v>
      </c>
      <c r="I642" s="392">
        <v>0</v>
      </c>
      <c r="J642" s="392">
        <v>0</v>
      </c>
      <c r="K642" s="392">
        <v>0</v>
      </c>
      <c r="L642" s="121">
        <v>10940476</v>
      </c>
      <c r="M642" s="450" t="s">
        <v>529</v>
      </c>
    </row>
    <row r="643" spans="1:13" ht="15.5" outlineLevel="2" x14ac:dyDescent="0.35">
      <c r="A643" s="93" t="s">
        <v>49</v>
      </c>
      <c r="B643" s="86" t="s">
        <v>94</v>
      </c>
      <c r="C643" s="85" t="s">
        <v>95</v>
      </c>
      <c r="D643" s="93">
        <v>166</v>
      </c>
      <c r="E643" s="121">
        <v>6520086</v>
      </c>
      <c r="F643" s="121">
        <v>6520086</v>
      </c>
      <c r="G643" s="413" t="s">
        <v>529</v>
      </c>
      <c r="H643" s="392">
        <v>0</v>
      </c>
      <c r="I643" s="121">
        <v>86788</v>
      </c>
      <c r="J643" s="121">
        <v>11989</v>
      </c>
      <c r="K643" s="121">
        <v>74799</v>
      </c>
      <c r="L643" s="121">
        <v>-74799</v>
      </c>
      <c r="M643" s="450" t="s">
        <v>529</v>
      </c>
    </row>
    <row r="644" spans="1:13" ht="15.5" outlineLevel="2" x14ac:dyDescent="0.35">
      <c r="A644" s="93" t="s">
        <v>49</v>
      </c>
      <c r="B644" s="86" t="s">
        <v>244</v>
      </c>
      <c r="C644" s="85" t="s">
        <v>245</v>
      </c>
      <c r="D644" s="93">
        <v>268</v>
      </c>
      <c r="E644" s="121">
        <v>3860641</v>
      </c>
      <c r="F644" s="121">
        <v>3406080</v>
      </c>
      <c r="G644" s="413" t="s">
        <v>529</v>
      </c>
      <c r="H644" s="121">
        <v>454561</v>
      </c>
      <c r="I644" s="392">
        <v>0</v>
      </c>
      <c r="J644" s="392">
        <v>0</v>
      </c>
      <c r="K644" s="392">
        <v>0</v>
      </c>
      <c r="L644" s="121">
        <v>454561</v>
      </c>
      <c r="M644" s="450" t="s">
        <v>529</v>
      </c>
    </row>
    <row r="645" spans="1:13" ht="15" customHeight="1" outlineLevel="2" x14ac:dyDescent="0.35">
      <c r="A645" s="93" t="s">
        <v>49</v>
      </c>
      <c r="B645" s="86" t="s">
        <v>96</v>
      </c>
      <c r="C645" s="85" t="s">
        <v>97</v>
      </c>
      <c r="D645" s="93">
        <v>32</v>
      </c>
      <c r="E645" s="121">
        <v>3750504</v>
      </c>
      <c r="F645" s="121">
        <v>3750504</v>
      </c>
      <c r="G645" s="413" t="s">
        <v>529</v>
      </c>
      <c r="H645" s="392">
        <v>0</v>
      </c>
      <c r="I645" s="121">
        <v>7395</v>
      </c>
      <c r="J645" s="121">
        <v>5028</v>
      </c>
      <c r="K645" s="121">
        <v>2367</v>
      </c>
      <c r="L645" s="121">
        <v>-2367</v>
      </c>
      <c r="M645" s="450" t="s">
        <v>529</v>
      </c>
    </row>
    <row r="646" spans="1:13" ht="15" customHeight="1" outlineLevel="2" x14ac:dyDescent="0.35">
      <c r="A646" s="93" t="s">
        <v>49</v>
      </c>
      <c r="B646" s="86" t="s">
        <v>421</v>
      </c>
      <c r="C646" s="85" t="s">
        <v>99</v>
      </c>
      <c r="D646" s="93">
        <v>230</v>
      </c>
      <c r="E646" s="121">
        <v>4852850</v>
      </c>
      <c r="F646" s="121">
        <v>4852850</v>
      </c>
      <c r="G646" s="413" t="s">
        <v>529</v>
      </c>
      <c r="H646" s="392">
        <v>0</v>
      </c>
      <c r="I646" s="121">
        <v>4855</v>
      </c>
      <c r="J646" s="121">
        <v>3446</v>
      </c>
      <c r="K646" s="121">
        <v>1409</v>
      </c>
      <c r="L646" s="121">
        <v>-1409</v>
      </c>
      <c r="M646" s="450" t="s">
        <v>529</v>
      </c>
    </row>
    <row r="647" spans="1:13" ht="15.5" outlineLevel="2" x14ac:dyDescent="0.35">
      <c r="A647" s="93" t="s">
        <v>49</v>
      </c>
      <c r="B647" s="86" t="s">
        <v>155</v>
      </c>
      <c r="C647" s="85" t="s">
        <v>156</v>
      </c>
      <c r="D647" s="93">
        <v>42</v>
      </c>
      <c r="E647" s="121">
        <v>16145396</v>
      </c>
      <c r="F647" s="121">
        <v>16145396</v>
      </c>
      <c r="G647" s="413" t="s">
        <v>529</v>
      </c>
      <c r="H647" s="392">
        <v>0</v>
      </c>
      <c r="I647" s="121">
        <v>182770</v>
      </c>
      <c r="J647" s="121">
        <v>2252</v>
      </c>
      <c r="K647" s="121">
        <v>180518</v>
      </c>
      <c r="L647" s="121">
        <v>-180518</v>
      </c>
      <c r="M647" s="450" t="s">
        <v>529</v>
      </c>
    </row>
    <row r="648" spans="1:13" ht="50" customHeight="1" outlineLevel="2" x14ac:dyDescent="0.35">
      <c r="A648" s="93" t="s">
        <v>49</v>
      </c>
      <c r="B648" s="86" t="s">
        <v>287</v>
      </c>
      <c r="C648" s="85" t="s">
        <v>288</v>
      </c>
      <c r="D648" s="93">
        <v>265</v>
      </c>
      <c r="E648" s="121">
        <v>2009884</v>
      </c>
      <c r="F648" s="121">
        <v>1993510</v>
      </c>
      <c r="G648" s="413" t="s">
        <v>529</v>
      </c>
      <c r="H648" s="121">
        <v>16374</v>
      </c>
      <c r="I648" s="392">
        <v>0</v>
      </c>
      <c r="J648" s="392">
        <v>0</v>
      </c>
      <c r="K648" s="392">
        <v>0</v>
      </c>
      <c r="L648" s="121">
        <v>16374</v>
      </c>
      <c r="M648" s="450" t="s">
        <v>529</v>
      </c>
    </row>
    <row r="649" spans="1:13" ht="15" customHeight="1" outlineLevel="2" x14ac:dyDescent="0.35">
      <c r="A649" s="93" t="s">
        <v>49</v>
      </c>
      <c r="B649" s="86" t="s">
        <v>103</v>
      </c>
      <c r="C649" s="85" t="s">
        <v>93</v>
      </c>
      <c r="D649" s="93">
        <v>48</v>
      </c>
      <c r="E649" s="121">
        <v>9725477</v>
      </c>
      <c r="F649" s="121">
        <v>9725477</v>
      </c>
      <c r="G649" s="413" t="s">
        <v>529</v>
      </c>
      <c r="H649" s="392">
        <v>0</v>
      </c>
      <c r="I649" s="121">
        <v>253984</v>
      </c>
      <c r="J649" s="121">
        <v>193565</v>
      </c>
      <c r="K649" s="121">
        <v>60419</v>
      </c>
      <c r="L649" s="121">
        <v>-60419</v>
      </c>
      <c r="M649" s="450" t="s">
        <v>529</v>
      </c>
    </row>
    <row r="650" spans="1:13" ht="30" customHeight="1" outlineLevel="2" x14ac:dyDescent="0.35">
      <c r="A650" s="93" t="s">
        <v>49</v>
      </c>
      <c r="B650" s="86" t="s">
        <v>292</v>
      </c>
      <c r="C650" s="85" t="s">
        <v>83</v>
      </c>
      <c r="D650" s="93">
        <v>150</v>
      </c>
      <c r="E650" s="121">
        <v>5227141</v>
      </c>
      <c r="F650" s="121">
        <v>5227141</v>
      </c>
      <c r="G650" s="413" t="s">
        <v>529</v>
      </c>
      <c r="H650" s="392">
        <v>0</v>
      </c>
      <c r="I650" s="121">
        <v>1755</v>
      </c>
      <c r="J650" s="392">
        <v>0</v>
      </c>
      <c r="K650" s="121">
        <v>1755</v>
      </c>
      <c r="L650" s="121">
        <v>-1755</v>
      </c>
      <c r="M650" s="450" t="s">
        <v>529</v>
      </c>
    </row>
    <row r="651" spans="1:13" ht="15" customHeight="1" outlineLevel="2" x14ac:dyDescent="0.35">
      <c r="A651" s="93" t="s">
        <v>49</v>
      </c>
      <c r="B651" s="86" t="s">
        <v>144</v>
      </c>
      <c r="C651" s="85" t="s">
        <v>145</v>
      </c>
      <c r="D651" s="93">
        <v>218</v>
      </c>
      <c r="E651" s="121">
        <v>5581677</v>
      </c>
      <c r="F651" s="121">
        <v>5355504</v>
      </c>
      <c r="G651" s="413" t="s">
        <v>529</v>
      </c>
      <c r="H651" s="121">
        <v>226173</v>
      </c>
      <c r="I651" s="392">
        <v>0</v>
      </c>
      <c r="J651" s="392">
        <v>0</v>
      </c>
      <c r="K651" s="392">
        <v>0</v>
      </c>
      <c r="L651" s="121">
        <v>226173</v>
      </c>
      <c r="M651" s="450" t="s">
        <v>529</v>
      </c>
    </row>
    <row r="652" spans="1:13" ht="15" customHeight="1" outlineLevel="2" x14ac:dyDescent="0.35">
      <c r="A652" s="93" t="s">
        <v>49</v>
      </c>
      <c r="B652" s="86" t="s">
        <v>106</v>
      </c>
      <c r="C652" s="85" t="s">
        <v>107</v>
      </c>
      <c r="D652" s="93">
        <v>173</v>
      </c>
      <c r="E652" s="121">
        <v>1645083</v>
      </c>
      <c r="F652" s="121">
        <v>1645083</v>
      </c>
      <c r="G652" s="413" t="s">
        <v>529</v>
      </c>
      <c r="H652" s="392">
        <v>0</v>
      </c>
      <c r="I652" s="121">
        <v>16194</v>
      </c>
      <c r="J652" s="121">
        <v>2044</v>
      </c>
      <c r="K652" s="121">
        <v>14150</v>
      </c>
      <c r="L652" s="121">
        <v>-14150</v>
      </c>
      <c r="M652" s="450" t="s">
        <v>529</v>
      </c>
    </row>
    <row r="653" spans="1:13" ht="15" customHeight="1" outlineLevel="2" x14ac:dyDescent="0.35">
      <c r="A653" s="93" t="s">
        <v>49</v>
      </c>
      <c r="B653" s="86" t="s">
        <v>263</v>
      </c>
      <c r="C653" s="85" t="s">
        <v>264</v>
      </c>
      <c r="D653" s="93">
        <v>335</v>
      </c>
      <c r="E653" s="121">
        <v>34552</v>
      </c>
      <c r="F653" s="121">
        <v>32163</v>
      </c>
      <c r="G653" s="413" t="s">
        <v>529</v>
      </c>
      <c r="H653" s="121">
        <v>2389</v>
      </c>
      <c r="I653" s="392">
        <v>0</v>
      </c>
      <c r="J653" s="392">
        <v>0</v>
      </c>
      <c r="K653" s="392">
        <v>0</v>
      </c>
      <c r="L653" s="121">
        <v>2389</v>
      </c>
      <c r="M653" s="450" t="s">
        <v>529</v>
      </c>
    </row>
    <row r="654" spans="1:13" ht="15.5" outlineLevel="1" x14ac:dyDescent="0.35">
      <c r="A654" s="93" t="s">
        <v>49</v>
      </c>
      <c r="B654" s="86" t="s">
        <v>299</v>
      </c>
      <c r="C654" s="85" t="s">
        <v>300</v>
      </c>
      <c r="D654" s="93">
        <v>151</v>
      </c>
      <c r="E654" s="121">
        <v>284214</v>
      </c>
      <c r="F654" s="121">
        <v>284214</v>
      </c>
      <c r="G654" s="413" t="s">
        <v>529</v>
      </c>
      <c r="H654" s="392">
        <v>0</v>
      </c>
      <c r="I654" s="121">
        <v>21795</v>
      </c>
      <c r="J654" s="392">
        <v>0</v>
      </c>
      <c r="K654" s="121">
        <v>21795</v>
      </c>
      <c r="L654" s="121">
        <v>-21795</v>
      </c>
      <c r="M654" s="450" t="s">
        <v>529</v>
      </c>
    </row>
    <row r="655" spans="1:13" ht="15.5" outlineLevel="2" x14ac:dyDescent="0.35">
      <c r="A655" s="93" t="s">
        <v>49</v>
      </c>
      <c r="B655" s="86" t="s">
        <v>307</v>
      </c>
      <c r="C655" s="85" t="s">
        <v>308</v>
      </c>
      <c r="D655" s="93">
        <v>165</v>
      </c>
      <c r="E655" s="121">
        <v>2729603</v>
      </c>
      <c r="F655" s="121">
        <v>2729603</v>
      </c>
      <c r="G655" s="413" t="s">
        <v>529</v>
      </c>
      <c r="H655" s="392">
        <v>0</v>
      </c>
      <c r="I655" s="121">
        <v>3259</v>
      </c>
      <c r="J655" s="392">
        <v>0</v>
      </c>
      <c r="K655" s="121">
        <v>3259</v>
      </c>
      <c r="L655" s="121">
        <v>-3259</v>
      </c>
      <c r="M655" s="450" t="s">
        <v>529</v>
      </c>
    </row>
    <row r="656" spans="1:13" ht="51.5" customHeight="1" outlineLevel="2" x14ac:dyDescent="0.35">
      <c r="A656" s="93" t="s">
        <v>49</v>
      </c>
      <c r="B656" s="86" t="s">
        <v>301</v>
      </c>
      <c r="C656" s="85" t="s">
        <v>77</v>
      </c>
      <c r="D656" s="93">
        <v>271</v>
      </c>
      <c r="E656" s="121">
        <v>3862106</v>
      </c>
      <c r="F656" s="121">
        <v>3774564</v>
      </c>
      <c r="G656" s="413" t="s">
        <v>529</v>
      </c>
      <c r="H656" s="121">
        <v>87542</v>
      </c>
      <c r="I656" s="392">
        <v>0</v>
      </c>
      <c r="J656" s="392">
        <v>0</v>
      </c>
      <c r="K656" s="392">
        <v>0</v>
      </c>
      <c r="L656" s="121">
        <v>87542</v>
      </c>
      <c r="M656" s="450" t="s">
        <v>529</v>
      </c>
    </row>
    <row r="657" spans="1:13" ht="45" customHeight="1" outlineLevel="2" x14ac:dyDescent="0.35">
      <c r="A657" s="93" t="s">
        <v>49</v>
      </c>
      <c r="B657" s="86" t="s">
        <v>273</v>
      </c>
      <c r="C657" s="85" t="s">
        <v>274</v>
      </c>
      <c r="D657" s="93">
        <v>329</v>
      </c>
      <c r="E657" s="121">
        <v>797628</v>
      </c>
      <c r="F657" s="121">
        <v>728354</v>
      </c>
      <c r="G657" s="413" t="s">
        <v>529</v>
      </c>
      <c r="H657" s="121">
        <v>69274</v>
      </c>
      <c r="I657" s="392">
        <v>0</v>
      </c>
      <c r="J657" s="392">
        <v>0</v>
      </c>
      <c r="K657" s="392">
        <v>0</v>
      </c>
      <c r="L657" s="121">
        <v>69274</v>
      </c>
      <c r="M657" s="450" t="s">
        <v>529</v>
      </c>
    </row>
    <row r="658" spans="1:13" ht="15.5" customHeight="1" outlineLevel="2" x14ac:dyDescent="0.35">
      <c r="A658" s="93" t="s">
        <v>49</v>
      </c>
      <c r="B658" s="86" t="s">
        <v>309</v>
      </c>
      <c r="C658" s="85" t="s">
        <v>109</v>
      </c>
      <c r="D658" s="93">
        <v>139</v>
      </c>
      <c r="E658" s="121">
        <v>357362</v>
      </c>
      <c r="F658" s="121">
        <v>357362</v>
      </c>
      <c r="G658" s="413" t="s">
        <v>529</v>
      </c>
      <c r="H658" s="392">
        <v>0</v>
      </c>
      <c r="I658" s="121">
        <v>160350</v>
      </c>
      <c r="J658" s="121">
        <v>1165</v>
      </c>
      <c r="K658" s="121">
        <v>159185</v>
      </c>
      <c r="L658" s="121">
        <v>-159185</v>
      </c>
      <c r="M658" s="450" t="s">
        <v>529</v>
      </c>
    </row>
    <row r="659" spans="1:13" ht="15" customHeight="1" outlineLevel="2" x14ac:dyDescent="0.35">
      <c r="A659" s="93" t="s">
        <v>49</v>
      </c>
      <c r="B659" s="86" t="s">
        <v>110</v>
      </c>
      <c r="C659" s="85" t="s">
        <v>111</v>
      </c>
      <c r="D659" s="93">
        <v>244</v>
      </c>
      <c r="E659" s="121">
        <v>2403492</v>
      </c>
      <c r="F659" s="121">
        <v>2403492</v>
      </c>
      <c r="G659" s="413" t="s">
        <v>529</v>
      </c>
      <c r="H659" s="392">
        <v>0</v>
      </c>
      <c r="I659" s="121">
        <v>141792</v>
      </c>
      <c r="J659" s="121">
        <v>135246</v>
      </c>
      <c r="K659" s="121">
        <v>6546</v>
      </c>
      <c r="L659" s="121">
        <v>-6546</v>
      </c>
      <c r="M659" s="450" t="s">
        <v>529</v>
      </c>
    </row>
    <row r="660" spans="1:13" ht="15" customHeight="1" outlineLevel="2" x14ac:dyDescent="0.35">
      <c r="A660" s="93" t="s">
        <v>49</v>
      </c>
      <c r="B660" s="86" t="s">
        <v>251</v>
      </c>
      <c r="C660" s="85" t="s">
        <v>93</v>
      </c>
      <c r="D660" s="93">
        <v>280</v>
      </c>
      <c r="E660" s="121">
        <v>6645</v>
      </c>
      <c r="F660" s="121">
        <v>5582</v>
      </c>
      <c r="G660" s="413" t="s">
        <v>529</v>
      </c>
      <c r="H660" s="121">
        <v>1063</v>
      </c>
      <c r="I660" s="392">
        <v>0</v>
      </c>
      <c r="J660" s="392">
        <v>0</v>
      </c>
      <c r="K660" s="392">
        <v>0</v>
      </c>
      <c r="L660" s="121">
        <v>1063</v>
      </c>
      <c r="M660" s="450" t="s">
        <v>529</v>
      </c>
    </row>
    <row r="661" spans="1:13" ht="31.5" customHeight="1" outlineLevel="2" x14ac:dyDescent="0.35">
      <c r="A661" s="93" t="s">
        <v>49</v>
      </c>
      <c r="B661" s="86" t="s">
        <v>275</v>
      </c>
      <c r="C661" s="85" t="s">
        <v>77</v>
      </c>
      <c r="D661" s="93">
        <v>176</v>
      </c>
      <c r="E661" s="121">
        <v>2348778</v>
      </c>
      <c r="F661" s="121">
        <v>2348778</v>
      </c>
      <c r="G661" s="413" t="s">
        <v>529</v>
      </c>
      <c r="H661" s="392">
        <v>0</v>
      </c>
      <c r="I661" s="121">
        <v>14847</v>
      </c>
      <c r="J661" s="121">
        <v>6905</v>
      </c>
      <c r="K661" s="121">
        <v>7942</v>
      </c>
      <c r="L661" s="121">
        <v>-7942</v>
      </c>
      <c r="M661" s="450" t="s">
        <v>529</v>
      </c>
    </row>
    <row r="662" spans="1:13" ht="15" customHeight="1" outlineLevel="2" x14ac:dyDescent="0.35">
      <c r="A662" s="93" t="s">
        <v>49</v>
      </c>
      <c r="B662" s="86" t="s">
        <v>280</v>
      </c>
      <c r="C662" s="85" t="s">
        <v>281</v>
      </c>
      <c r="D662" s="93">
        <v>57</v>
      </c>
      <c r="E662" s="121">
        <v>1056561</v>
      </c>
      <c r="F662" s="121">
        <v>1000245</v>
      </c>
      <c r="G662" s="413" t="s">
        <v>529</v>
      </c>
      <c r="H662" s="121">
        <v>56316</v>
      </c>
      <c r="I662" s="392">
        <v>0</v>
      </c>
      <c r="J662" s="392">
        <v>0</v>
      </c>
      <c r="K662" s="392">
        <v>0</v>
      </c>
      <c r="L662" s="121">
        <v>56316</v>
      </c>
      <c r="M662" s="450" t="s">
        <v>529</v>
      </c>
    </row>
    <row r="663" spans="1:13" ht="15.5" outlineLevel="2" x14ac:dyDescent="0.35">
      <c r="A663" s="93" t="s">
        <v>49</v>
      </c>
      <c r="B663" s="86" t="s">
        <v>112</v>
      </c>
      <c r="C663" s="85" t="s">
        <v>113</v>
      </c>
      <c r="D663" s="93">
        <v>171</v>
      </c>
      <c r="E663" s="121">
        <v>3389554</v>
      </c>
      <c r="F663" s="121">
        <v>3389554</v>
      </c>
      <c r="G663" s="413" t="s">
        <v>529</v>
      </c>
      <c r="H663" s="392">
        <v>0</v>
      </c>
      <c r="I663" s="121">
        <v>93191</v>
      </c>
      <c r="J663" s="121">
        <v>1158</v>
      </c>
      <c r="K663" s="121">
        <v>92033</v>
      </c>
      <c r="L663" s="121">
        <v>-92033</v>
      </c>
      <c r="M663" s="450" t="s">
        <v>529</v>
      </c>
    </row>
    <row r="664" spans="1:13" ht="31" outlineLevel="2" x14ac:dyDescent="0.35">
      <c r="A664" s="93" t="s">
        <v>49</v>
      </c>
      <c r="B664" s="86" t="s">
        <v>310</v>
      </c>
      <c r="C664" s="85" t="s">
        <v>111</v>
      </c>
      <c r="D664" s="93">
        <v>211</v>
      </c>
      <c r="E664" s="121">
        <v>2257308</v>
      </c>
      <c r="F664" s="121">
        <v>2257308</v>
      </c>
      <c r="G664" s="413" t="s">
        <v>529</v>
      </c>
      <c r="H664" s="392">
        <v>0</v>
      </c>
      <c r="I664" s="121">
        <v>23731</v>
      </c>
      <c r="J664" s="121">
        <v>2908</v>
      </c>
      <c r="K664" s="121">
        <v>20823</v>
      </c>
      <c r="L664" s="121">
        <v>-20823</v>
      </c>
      <c r="M664" s="450" t="s">
        <v>529</v>
      </c>
    </row>
    <row r="665" spans="1:13" ht="15.5" outlineLevel="2" x14ac:dyDescent="0.35">
      <c r="A665" s="93" t="s">
        <v>49</v>
      </c>
      <c r="B665" s="86" t="s">
        <v>282</v>
      </c>
      <c r="C665" s="85" t="s">
        <v>283</v>
      </c>
      <c r="D665" s="93">
        <v>58</v>
      </c>
      <c r="E665" s="121">
        <v>2736820</v>
      </c>
      <c r="F665" s="121">
        <v>2736820</v>
      </c>
      <c r="G665" s="413" t="s">
        <v>529</v>
      </c>
      <c r="H665" s="392">
        <v>0</v>
      </c>
      <c r="I665" s="121">
        <v>6670</v>
      </c>
      <c r="J665" s="121">
        <v>5607</v>
      </c>
      <c r="K665" s="121">
        <v>1063</v>
      </c>
      <c r="L665" s="121">
        <v>-1063</v>
      </c>
      <c r="M665" s="450" t="s">
        <v>529</v>
      </c>
    </row>
    <row r="666" spans="1:13" ht="15" customHeight="1" outlineLevel="2" x14ac:dyDescent="0.35">
      <c r="A666" s="93" t="s">
        <v>49</v>
      </c>
      <c r="B666" s="86" t="s">
        <v>256</v>
      </c>
      <c r="C666" s="85" t="s">
        <v>257</v>
      </c>
      <c r="D666" s="93">
        <v>308</v>
      </c>
      <c r="E666" s="121">
        <v>75037</v>
      </c>
      <c r="F666" s="121">
        <v>67868</v>
      </c>
      <c r="G666" s="413" t="s">
        <v>529</v>
      </c>
      <c r="H666" s="121">
        <v>7169</v>
      </c>
      <c r="I666" s="392">
        <v>0</v>
      </c>
      <c r="J666" s="392">
        <v>0</v>
      </c>
      <c r="K666" s="392">
        <v>0</v>
      </c>
      <c r="L666" s="121">
        <v>7169</v>
      </c>
      <c r="M666" s="450" t="s">
        <v>529</v>
      </c>
    </row>
    <row r="667" spans="1:13" ht="15" customHeight="1" outlineLevel="2" x14ac:dyDescent="0.35">
      <c r="A667" s="93" t="s">
        <v>49</v>
      </c>
      <c r="B667" s="86" t="s">
        <v>115</v>
      </c>
      <c r="C667" s="85" t="s">
        <v>93</v>
      </c>
      <c r="D667" s="93">
        <v>260</v>
      </c>
      <c r="E667" s="121">
        <v>16948232</v>
      </c>
      <c r="F667" s="121">
        <v>16421195</v>
      </c>
      <c r="G667" s="413" t="s">
        <v>529</v>
      </c>
      <c r="H667" s="121">
        <v>527037</v>
      </c>
      <c r="I667" s="121">
        <v>857594</v>
      </c>
      <c r="J667" s="121">
        <v>857594</v>
      </c>
      <c r="K667" s="392">
        <v>0</v>
      </c>
      <c r="L667" s="121">
        <v>527037</v>
      </c>
      <c r="M667" s="450" t="s">
        <v>529</v>
      </c>
    </row>
    <row r="668" spans="1:13" ht="15" customHeight="1" outlineLevel="2" x14ac:dyDescent="0.35">
      <c r="A668" s="137" t="s">
        <v>211</v>
      </c>
      <c r="B668" s="429" t="s">
        <v>529</v>
      </c>
      <c r="C668" s="430" t="s">
        <v>529</v>
      </c>
      <c r="D668" s="409" t="s">
        <v>529</v>
      </c>
      <c r="E668" s="138">
        <f>SUBTOTAL(109,school200405[Program
Costs])</f>
        <v>370755137</v>
      </c>
      <c r="F668" s="138">
        <f>SUBTOTAL(109,school200405[Less: Net Payments and Offsets 8])</f>
        <v>346625327</v>
      </c>
      <c r="G668" s="414" t="s">
        <v>552</v>
      </c>
      <c r="H668" s="138">
        <f>SUBTOTAL(109,school200405[Accounts Payable
Balance])</f>
        <v>24129810</v>
      </c>
      <c r="I668" s="138">
        <f>SUBTOTAL(109,school200405[Established
Accounts Receivable])</f>
        <v>6102299</v>
      </c>
      <c r="J668" s="138">
        <f>SUBTOTAL(109,school200405[Less: Recovered Amount])</f>
        <v>3709101</v>
      </c>
      <c r="K668" s="138">
        <f>SUBTOTAL(109,school200405[Accounts Receivable
Balance])</f>
        <v>2393198</v>
      </c>
      <c r="L668" s="138">
        <f>SUBTOTAL(109,school200405[Net
Balance])</f>
        <v>21736612</v>
      </c>
      <c r="M668" s="414" t="s">
        <v>552</v>
      </c>
    </row>
    <row r="669" spans="1:13" ht="15" customHeight="1" outlineLevel="2" x14ac:dyDescent="0.35">
      <c r="A669" s="386" t="s">
        <v>540</v>
      </c>
      <c r="B669" s="139"/>
      <c r="C669" s="139"/>
      <c r="D669" s="139"/>
      <c r="E669" s="140"/>
      <c r="F669" s="140"/>
      <c r="G669" s="140"/>
      <c r="H669" s="140"/>
      <c r="I669" s="140"/>
      <c r="J669" s="140"/>
      <c r="K669" s="140"/>
      <c r="L669" s="140"/>
      <c r="M669" s="476"/>
    </row>
    <row r="670" spans="1:13" ht="50" customHeight="1" outlineLevel="2" x14ac:dyDescent="0.35">
      <c r="A670" s="457" t="s">
        <v>11</v>
      </c>
      <c r="B670" s="300" t="s">
        <v>12</v>
      </c>
      <c r="C670" s="158" t="s">
        <v>0</v>
      </c>
      <c r="D670" s="300" t="s">
        <v>132</v>
      </c>
      <c r="E670" s="458" t="s">
        <v>125</v>
      </c>
      <c r="F670" s="423" t="s">
        <v>614</v>
      </c>
      <c r="G670" s="424" t="s">
        <v>531</v>
      </c>
      <c r="H670" s="422" t="s">
        <v>495</v>
      </c>
      <c r="I670" s="422" t="s">
        <v>496</v>
      </c>
      <c r="J670" s="458" t="s">
        <v>134</v>
      </c>
      <c r="K670" s="422" t="s">
        <v>497</v>
      </c>
      <c r="L670" s="458" t="s">
        <v>133</v>
      </c>
      <c r="M670" s="459" t="s">
        <v>532</v>
      </c>
    </row>
    <row r="671" spans="1:13" ht="33.5" customHeight="1" outlineLevel="2" x14ac:dyDescent="0.35">
      <c r="A671" s="93" t="s">
        <v>50</v>
      </c>
      <c r="B671" s="86" t="s">
        <v>268</v>
      </c>
      <c r="C671" s="85" t="s">
        <v>266</v>
      </c>
      <c r="D671" s="93">
        <v>348</v>
      </c>
      <c r="E671" s="121">
        <v>43152140</v>
      </c>
      <c r="F671" s="121">
        <v>38771342</v>
      </c>
      <c r="G671" s="413" t="s">
        <v>529</v>
      </c>
      <c r="H671" s="121">
        <v>4380798</v>
      </c>
      <c r="I671" s="392">
        <v>0</v>
      </c>
      <c r="J671" s="392">
        <v>0</v>
      </c>
      <c r="K671" s="392">
        <v>0</v>
      </c>
      <c r="L671" s="121">
        <v>4380798</v>
      </c>
      <c r="M671" s="450" t="s">
        <v>529</v>
      </c>
    </row>
    <row r="672" spans="1:13" ht="31" outlineLevel="1" x14ac:dyDescent="0.35">
      <c r="A672" s="93" t="s">
        <v>50</v>
      </c>
      <c r="B672" s="86" t="s">
        <v>72</v>
      </c>
      <c r="C672" s="85" t="s">
        <v>73</v>
      </c>
      <c r="D672" s="93">
        <v>11</v>
      </c>
      <c r="E672" s="121">
        <v>28107019</v>
      </c>
      <c r="F672" s="121">
        <v>28107019</v>
      </c>
      <c r="G672" s="413" t="s">
        <v>529</v>
      </c>
      <c r="H672" s="392">
        <v>0</v>
      </c>
      <c r="I672" s="121">
        <v>517475</v>
      </c>
      <c r="J672" s="121">
        <v>433247</v>
      </c>
      <c r="K672" s="121">
        <v>84228</v>
      </c>
      <c r="L672" s="121">
        <v>-84228</v>
      </c>
      <c r="M672" s="450" t="s">
        <v>529</v>
      </c>
    </row>
    <row r="673" spans="1:13" ht="46.5" customHeight="1" outlineLevel="2" x14ac:dyDescent="0.35">
      <c r="A673" s="93" t="s">
        <v>50</v>
      </c>
      <c r="B673" s="86" t="s">
        <v>289</v>
      </c>
      <c r="C673" s="85" t="s">
        <v>290</v>
      </c>
      <c r="D673" s="93">
        <v>291</v>
      </c>
      <c r="E673" s="121">
        <v>176468</v>
      </c>
      <c r="F673" s="121">
        <v>170016</v>
      </c>
      <c r="G673" s="413" t="s">
        <v>529</v>
      </c>
      <c r="H673" s="121">
        <v>6452</v>
      </c>
      <c r="I673" s="392">
        <v>0</v>
      </c>
      <c r="J673" s="392">
        <v>0</v>
      </c>
      <c r="K673" s="392">
        <v>0</v>
      </c>
      <c r="L673" s="121">
        <v>6452</v>
      </c>
      <c r="M673" s="450" t="s">
        <v>529</v>
      </c>
    </row>
    <row r="674" spans="1:13" ht="30" customHeight="1" outlineLevel="2" x14ac:dyDescent="0.35">
      <c r="A674" s="93" t="s">
        <v>50</v>
      </c>
      <c r="B674" s="86" t="s">
        <v>423</v>
      </c>
      <c r="C674" s="85" t="s">
        <v>93</v>
      </c>
      <c r="D674" s="93">
        <v>295</v>
      </c>
      <c r="E674" s="121">
        <v>169671206</v>
      </c>
      <c r="F674" s="121">
        <v>160619456</v>
      </c>
      <c r="G674" s="413" t="s">
        <v>529</v>
      </c>
      <c r="H674" s="121">
        <v>9051750</v>
      </c>
      <c r="I674" s="392">
        <v>0</v>
      </c>
      <c r="J674" s="392">
        <v>0</v>
      </c>
      <c r="K674" s="392">
        <v>0</v>
      </c>
      <c r="L674" s="121">
        <v>9051750</v>
      </c>
      <c r="M674" s="450" t="s">
        <v>529</v>
      </c>
    </row>
    <row r="675" spans="1:13" ht="15.5" outlineLevel="2" x14ac:dyDescent="0.35">
      <c r="A675" s="93" t="s">
        <v>50</v>
      </c>
      <c r="B675" s="86" t="s">
        <v>94</v>
      </c>
      <c r="C675" s="85" t="s">
        <v>95</v>
      </c>
      <c r="D675" s="93">
        <v>166</v>
      </c>
      <c r="E675" s="121">
        <v>8305244</v>
      </c>
      <c r="F675" s="121">
        <v>8305244</v>
      </c>
      <c r="G675" s="413" t="s">
        <v>529</v>
      </c>
      <c r="H675" s="392">
        <v>0</v>
      </c>
      <c r="I675" s="121">
        <v>43849</v>
      </c>
      <c r="J675" s="121">
        <v>12058</v>
      </c>
      <c r="K675" s="121">
        <v>31791</v>
      </c>
      <c r="L675" s="121">
        <v>-31791</v>
      </c>
      <c r="M675" s="450" t="s">
        <v>529</v>
      </c>
    </row>
    <row r="676" spans="1:13" ht="15" customHeight="1" outlineLevel="2" x14ac:dyDescent="0.35">
      <c r="A676" s="93" t="s">
        <v>50</v>
      </c>
      <c r="B676" s="86" t="s">
        <v>244</v>
      </c>
      <c r="C676" s="85" t="s">
        <v>245</v>
      </c>
      <c r="D676" s="93">
        <v>268</v>
      </c>
      <c r="E676" s="121">
        <v>3060717</v>
      </c>
      <c r="F676" s="121">
        <v>3007132</v>
      </c>
      <c r="G676" s="413" t="s">
        <v>529</v>
      </c>
      <c r="H676" s="121">
        <v>53585</v>
      </c>
      <c r="I676" s="392">
        <v>0</v>
      </c>
      <c r="J676" s="392">
        <v>0</v>
      </c>
      <c r="K676" s="392">
        <v>0</v>
      </c>
      <c r="L676" s="121">
        <v>53585</v>
      </c>
      <c r="M676" s="450" t="s">
        <v>529</v>
      </c>
    </row>
    <row r="677" spans="1:13" ht="15" customHeight="1" outlineLevel="2" x14ac:dyDescent="0.35">
      <c r="A677" s="93" t="s">
        <v>50</v>
      </c>
      <c r="B677" s="86" t="s">
        <v>103</v>
      </c>
      <c r="C677" s="85" t="s">
        <v>93</v>
      </c>
      <c r="D677" s="93">
        <v>48</v>
      </c>
      <c r="E677" s="121">
        <v>8765818</v>
      </c>
      <c r="F677" s="121">
        <v>8765818</v>
      </c>
      <c r="G677" s="413" t="s">
        <v>529</v>
      </c>
      <c r="H677" s="392">
        <v>0</v>
      </c>
      <c r="I677" s="121">
        <v>1253345</v>
      </c>
      <c r="J677" s="121">
        <v>405483</v>
      </c>
      <c r="K677" s="121">
        <v>847862</v>
      </c>
      <c r="L677" s="121">
        <v>-847862</v>
      </c>
      <c r="M677" s="450" t="s">
        <v>529</v>
      </c>
    </row>
    <row r="678" spans="1:13" ht="15" customHeight="1" outlineLevel="2" x14ac:dyDescent="0.35">
      <c r="A678" s="93" t="s">
        <v>50</v>
      </c>
      <c r="B678" s="86" t="s">
        <v>144</v>
      </c>
      <c r="C678" s="85" t="s">
        <v>145</v>
      </c>
      <c r="D678" s="93">
        <v>218</v>
      </c>
      <c r="E678" s="121">
        <v>6179610</v>
      </c>
      <c r="F678" s="121">
        <v>6014690</v>
      </c>
      <c r="G678" s="413" t="s">
        <v>529</v>
      </c>
      <c r="H678" s="121">
        <v>164920</v>
      </c>
      <c r="I678" s="392">
        <v>0</v>
      </c>
      <c r="J678" s="392">
        <v>0</v>
      </c>
      <c r="K678" s="392">
        <v>0</v>
      </c>
      <c r="L678" s="121">
        <v>164920</v>
      </c>
      <c r="M678" s="450" t="s">
        <v>529</v>
      </c>
    </row>
    <row r="679" spans="1:13" ht="15" customHeight="1" outlineLevel="2" x14ac:dyDescent="0.35">
      <c r="A679" s="93" t="s">
        <v>50</v>
      </c>
      <c r="B679" s="86" t="s">
        <v>301</v>
      </c>
      <c r="C679" s="85" t="s">
        <v>77</v>
      </c>
      <c r="D679" s="93">
        <v>271</v>
      </c>
      <c r="E679" s="121">
        <v>3544682</v>
      </c>
      <c r="F679" s="121">
        <v>3484857</v>
      </c>
      <c r="G679" s="413" t="s">
        <v>529</v>
      </c>
      <c r="H679" s="121">
        <v>59825</v>
      </c>
      <c r="I679" s="392">
        <v>0</v>
      </c>
      <c r="J679" s="392">
        <v>0</v>
      </c>
      <c r="K679" s="392">
        <v>0</v>
      </c>
      <c r="L679" s="121">
        <v>59825</v>
      </c>
      <c r="M679" s="450" t="s">
        <v>529</v>
      </c>
    </row>
    <row r="680" spans="1:13" ht="45" customHeight="1" outlineLevel="2" x14ac:dyDescent="0.35">
      <c r="A680" s="93" t="s">
        <v>50</v>
      </c>
      <c r="B680" s="86" t="s">
        <v>273</v>
      </c>
      <c r="C680" s="85" t="s">
        <v>274</v>
      </c>
      <c r="D680" s="93">
        <v>329</v>
      </c>
      <c r="E680" s="121">
        <v>862300</v>
      </c>
      <c r="F680" s="121">
        <v>782015</v>
      </c>
      <c r="G680" s="413" t="s">
        <v>529</v>
      </c>
      <c r="H680" s="121">
        <v>80285</v>
      </c>
      <c r="I680" s="392">
        <v>0</v>
      </c>
      <c r="J680" s="392">
        <v>0</v>
      </c>
      <c r="K680" s="392">
        <v>0</v>
      </c>
      <c r="L680" s="121">
        <v>80285</v>
      </c>
      <c r="M680" s="450" t="s">
        <v>529</v>
      </c>
    </row>
    <row r="681" spans="1:13" ht="15.5" customHeight="1" outlineLevel="2" x14ac:dyDescent="0.35">
      <c r="A681" s="93" t="s">
        <v>50</v>
      </c>
      <c r="B681" s="86" t="s">
        <v>309</v>
      </c>
      <c r="C681" s="85" t="s">
        <v>109</v>
      </c>
      <c r="D681" s="93">
        <v>139</v>
      </c>
      <c r="E681" s="121">
        <v>3233418</v>
      </c>
      <c r="F681" s="121">
        <v>3233418</v>
      </c>
      <c r="G681" s="413" t="s">
        <v>529</v>
      </c>
      <c r="H681" s="392">
        <v>0</v>
      </c>
      <c r="I681" s="121">
        <v>966463</v>
      </c>
      <c r="J681" s="392">
        <v>0</v>
      </c>
      <c r="K681" s="121">
        <v>966463</v>
      </c>
      <c r="L681" s="121">
        <v>-966463</v>
      </c>
      <c r="M681" s="450" t="s">
        <v>529</v>
      </c>
    </row>
    <row r="682" spans="1:13" ht="15.5" outlineLevel="2" x14ac:dyDescent="0.35">
      <c r="A682" s="93" t="s">
        <v>50</v>
      </c>
      <c r="B682" s="86" t="s">
        <v>251</v>
      </c>
      <c r="C682" s="85" t="s">
        <v>93</v>
      </c>
      <c r="D682" s="93">
        <v>280</v>
      </c>
      <c r="E682" s="121">
        <v>6634</v>
      </c>
      <c r="F682" s="121">
        <v>5624</v>
      </c>
      <c r="G682" s="413" t="s">
        <v>529</v>
      </c>
      <c r="H682" s="121">
        <v>1010</v>
      </c>
      <c r="I682" s="392">
        <v>0</v>
      </c>
      <c r="J682" s="392">
        <v>0</v>
      </c>
      <c r="K682" s="392">
        <v>0</v>
      </c>
      <c r="L682" s="121">
        <v>1010</v>
      </c>
      <c r="M682" s="450" t="s">
        <v>529</v>
      </c>
    </row>
    <row r="683" spans="1:13" ht="15" customHeight="1" outlineLevel="2" x14ac:dyDescent="0.35">
      <c r="A683" s="93" t="s">
        <v>50</v>
      </c>
      <c r="B683" s="86" t="s">
        <v>280</v>
      </c>
      <c r="C683" s="85" t="s">
        <v>281</v>
      </c>
      <c r="D683" s="93">
        <v>57</v>
      </c>
      <c r="E683" s="121">
        <v>1112874</v>
      </c>
      <c r="F683" s="121">
        <v>1107374</v>
      </c>
      <c r="G683" s="413" t="s">
        <v>529</v>
      </c>
      <c r="H683" s="121">
        <v>5500</v>
      </c>
      <c r="I683" s="392">
        <v>0</v>
      </c>
      <c r="J683" s="392">
        <v>0</v>
      </c>
      <c r="K683" s="392">
        <v>0</v>
      </c>
      <c r="L683" s="121">
        <v>5500</v>
      </c>
      <c r="M683" s="450" t="s">
        <v>529</v>
      </c>
    </row>
    <row r="684" spans="1:13" ht="15" customHeight="1" outlineLevel="2" x14ac:dyDescent="0.35">
      <c r="A684" s="93" t="s">
        <v>50</v>
      </c>
      <c r="B684" s="86" t="s">
        <v>311</v>
      </c>
      <c r="C684" s="85" t="s">
        <v>288</v>
      </c>
      <c r="D684" s="93">
        <v>208</v>
      </c>
      <c r="E684" s="121">
        <v>17151246</v>
      </c>
      <c r="F684" s="121">
        <v>16798479</v>
      </c>
      <c r="G684" s="413" t="s">
        <v>529</v>
      </c>
      <c r="H684" s="121">
        <v>352767</v>
      </c>
      <c r="I684" s="121">
        <v>25091</v>
      </c>
      <c r="J684" s="121">
        <v>25091</v>
      </c>
      <c r="K684" s="392">
        <v>0</v>
      </c>
      <c r="L684" s="121">
        <v>352767</v>
      </c>
      <c r="M684" s="450" t="s">
        <v>529</v>
      </c>
    </row>
    <row r="685" spans="1:13" ht="15" customHeight="1" outlineLevel="2" x14ac:dyDescent="0.35">
      <c r="A685" s="93" t="s">
        <v>50</v>
      </c>
      <c r="B685" s="86" t="s">
        <v>256</v>
      </c>
      <c r="C685" s="85" t="s">
        <v>257</v>
      </c>
      <c r="D685" s="93">
        <v>308</v>
      </c>
      <c r="E685" s="121">
        <v>53294</v>
      </c>
      <c r="F685" s="121">
        <v>46597</v>
      </c>
      <c r="G685" s="413" t="s">
        <v>529</v>
      </c>
      <c r="H685" s="121">
        <v>6697</v>
      </c>
      <c r="I685" s="392">
        <v>0</v>
      </c>
      <c r="J685" s="392">
        <v>0</v>
      </c>
      <c r="K685" s="392">
        <v>0</v>
      </c>
      <c r="L685" s="121">
        <v>6697</v>
      </c>
      <c r="M685" s="450" t="s">
        <v>529</v>
      </c>
    </row>
    <row r="686" spans="1:13" ht="15" customHeight="1" outlineLevel="2" x14ac:dyDescent="0.35">
      <c r="A686" s="93" t="s">
        <v>50</v>
      </c>
      <c r="B686" s="86" t="s">
        <v>115</v>
      </c>
      <c r="C686" s="85" t="s">
        <v>93</v>
      </c>
      <c r="D686" s="93">
        <v>260</v>
      </c>
      <c r="E686" s="121">
        <v>14398943</v>
      </c>
      <c r="F686" s="121">
        <v>14149465</v>
      </c>
      <c r="G686" s="413" t="s">
        <v>529</v>
      </c>
      <c r="H686" s="121">
        <v>249478</v>
      </c>
      <c r="I686" s="121">
        <v>744918</v>
      </c>
      <c r="J686" s="121">
        <v>744918</v>
      </c>
      <c r="K686" s="392">
        <v>0</v>
      </c>
      <c r="L686" s="121">
        <v>249478</v>
      </c>
      <c r="M686" s="450" t="s">
        <v>529</v>
      </c>
    </row>
    <row r="687" spans="1:13" ht="15.5" outlineLevel="1" x14ac:dyDescent="0.35">
      <c r="A687" s="137" t="s">
        <v>212</v>
      </c>
      <c r="B687" s="429" t="s">
        <v>529</v>
      </c>
      <c r="C687" s="430" t="s">
        <v>529</v>
      </c>
      <c r="D687" s="409" t="s">
        <v>529</v>
      </c>
      <c r="E687" s="138">
        <f>SUBTOTAL(109,school200304[Program
Costs])</f>
        <v>307781613</v>
      </c>
      <c r="F687" s="138">
        <f>SUBTOTAL(109,school200304[Less: Net Payments and Offsets 8])</f>
        <v>293368546</v>
      </c>
      <c r="G687" s="414" t="s">
        <v>552</v>
      </c>
      <c r="H687" s="138">
        <f>SUBTOTAL(109,school200304[Accounts Payable
Balance])</f>
        <v>14413067</v>
      </c>
      <c r="I687" s="138">
        <f>SUBTOTAL(109,school200304[Established
Accounts Receivable])</f>
        <v>3551141</v>
      </c>
      <c r="J687" s="138">
        <f>SUBTOTAL(109,school200304[Less: Recovered Amount])</f>
        <v>1620797</v>
      </c>
      <c r="K687" s="138">
        <f>SUBTOTAL(109,school200304[Accounts Receivable
Balance])</f>
        <v>1930344</v>
      </c>
      <c r="L687" s="138">
        <f>SUBTOTAL(109,school200304[Net
Balance])</f>
        <v>12482723</v>
      </c>
      <c r="M687" s="414" t="s">
        <v>552</v>
      </c>
    </row>
    <row r="688" spans="1:13" ht="15.5" outlineLevel="1" x14ac:dyDescent="0.35">
      <c r="A688" s="386" t="s">
        <v>540</v>
      </c>
      <c r="B688" s="139"/>
      <c r="C688" s="139"/>
      <c r="D688" s="139"/>
      <c r="E688" s="140"/>
      <c r="F688" s="140"/>
      <c r="G688" s="140"/>
      <c r="H688" s="140"/>
      <c r="I688" s="140"/>
      <c r="J688" s="140"/>
      <c r="K688" s="140"/>
      <c r="L688" s="140"/>
      <c r="M688" s="476"/>
    </row>
    <row r="689" spans="1:13" ht="50" customHeight="1" outlineLevel="2" x14ac:dyDescent="0.35">
      <c r="A689" s="457" t="s">
        <v>11</v>
      </c>
      <c r="B689" s="300" t="s">
        <v>12</v>
      </c>
      <c r="C689" s="158" t="s">
        <v>0</v>
      </c>
      <c r="D689" s="300" t="s">
        <v>132</v>
      </c>
      <c r="E689" s="458" t="s">
        <v>125</v>
      </c>
      <c r="F689" s="423" t="s">
        <v>614</v>
      </c>
      <c r="G689" s="424" t="s">
        <v>531</v>
      </c>
      <c r="H689" s="422" t="s">
        <v>495</v>
      </c>
      <c r="I689" s="422" t="s">
        <v>496</v>
      </c>
      <c r="J689" s="458" t="s">
        <v>134</v>
      </c>
      <c r="K689" s="422" t="s">
        <v>497</v>
      </c>
      <c r="L689" s="458" t="s">
        <v>133</v>
      </c>
      <c r="M689" s="459" t="s">
        <v>532</v>
      </c>
    </row>
    <row r="690" spans="1:13" ht="30" customHeight="1" outlineLevel="2" x14ac:dyDescent="0.35">
      <c r="A690" s="93" t="s">
        <v>51</v>
      </c>
      <c r="B690" s="86" t="s">
        <v>268</v>
      </c>
      <c r="C690" s="85" t="s">
        <v>266</v>
      </c>
      <c r="D690" s="93">
        <v>348</v>
      </c>
      <c r="E690" s="121">
        <v>41363154</v>
      </c>
      <c r="F690" s="121">
        <v>37738313</v>
      </c>
      <c r="G690" s="413" t="s">
        <v>529</v>
      </c>
      <c r="H690" s="121">
        <v>3624841</v>
      </c>
      <c r="I690" s="392">
        <v>0</v>
      </c>
      <c r="J690" s="392">
        <v>0</v>
      </c>
      <c r="K690" s="392">
        <v>0</v>
      </c>
      <c r="L690" s="121">
        <v>3624841</v>
      </c>
      <c r="M690" s="413" t="s">
        <v>529</v>
      </c>
    </row>
    <row r="691" spans="1:13" ht="32" customHeight="1" outlineLevel="2" x14ac:dyDescent="0.35">
      <c r="A691" s="93" t="s">
        <v>51</v>
      </c>
      <c r="B691" s="86" t="s">
        <v>72</v>
      </c>
      <c r="C691" s="85" t="s">
        <v>73</v>
      </c>
      <c r="D691" s="93">
        <v>11</v>
      </c>
      <c r="E691" s="121">
        <v>30770605</v>
      </c>
      <c r="F691" s="121">
        <v>30770605</v>
      </c>
      <c r="G691" s="413" t="s">
        <v>529</v>
      </c>
      <c r="H691" s="392">
        <v>0</v>
      </c>
      <c r="I691" s="121">
        <v>867444</v>
      </c>
      <c r="J691" s="121">
        <v>826768</v>
      </c>
      <c r="K691" s="121">
        <v>40676</v>
      </c>
      <c r="L691" s="121">
        <v>-40676</v>
      </c>
      <c r="M691" s="413" t="s">
        <v>529</v>
      </c>
    </row>
    <row r="692" spans="1:13" ht="30" customHeight="1" outlineLevel="2" x14ac:dyDescent="0.35">
      <c r="A692" s="93" t="s">
        <v>51</v>
      </c>
      <c r="B692" s="86" t="s">
        <v>423</v>
      </c>
      <c r="C692" s="85" t="s">
        <v>93</v>
      </c>
      <c r="D692" s="93">
        <v>295</v>
      </c>
      <c r="E692" s="121">
        <v>176566893</v>
      </c>
      <c r="F692" s="121">
        <v>172277694</v>
      </c>
      <c r="G692" s="413" t="s">
        <v>529</v>
      </c>
      <c r="H692" s="121">
        <v>4289199</v>
      </c>
      <c r="I692" s="392">
        <v>0</v>
      </c>
      <c r="J692" s="392">
        <v>0</v>
      </c>
      <c r="K692" s="392">
        <v>0</v>
      </c>
      <c r="L692" s="121">
        <v>4289199</v>
      </c>
      <c r="M692" s="413" t="s">
        <v>529</v>
      </c>
    </row>
    <row r="693" spans="1:13" ht="15" customHeight="1" outlineLevel="2" x14ac:dyDescent="0.35">
      <c r="A693" s="93" t="s">
        <v>51</v>
      </c>
      <c r="B693" s="86" t="s">
        <v>94</v>
      </c>
      <c r="C693" s="85" t="s">
        <v>95</v>
      </c>
      <c r="D693" s="93">
        <v>166</v>
      </c>
      <c r="E693" s="121">
        <v>7157889</v>
      </c>
      <c r="F693" s="121">
        <v>7157889</v>
      </c>
      <c r="G693" s="413" t="s">
        <v>529</v>
      </c>
      <c r="H693" s="392">
        <v>0</v>
      </c>
      <c r="I693" s="121">
        <v>210086</v>
      </c>
      <c r="J693" s="121">
        <v>139673</v>
      </c>
      <c r="K693" s="121">
        <v>70413</v>
      </c>
      <c r="L693" s="121">
        <v>-70413</v>
      </c>
      <c r="M693" s="413" t="s">
        <v>529</v>
      </c>
    </row>
    <row r="694" spans="1:13" ht="15" customHeight="1" outlineLevel="2" x14ac:dyDescent="0.35">
      <c r="A694" s="93" t="s">
        <v>51</v>
      </c>
      <c r="B694" s="86" t="s">
        <v>244</v>
      </c>
      <c r="C694" s="85" t="s">
        <v>245</v>
      </c>
      <c r="D694" s="93">
        <v>268</v>
      </c>
      <c r="E694" s="121">
        <v>2984780</v>
      </c>
      <c r="F694" s="121">
        <v>2976037</v>
      </c>
      <c r="G694" s="413" t="s">
        <v>529</v>
      </c>
      <c r="H694" s="121">
        <v>8743</v>
      </c>
      <c r="I694" s="392">
        <v>0</v>
      </c>
      <c r="J694" s="392">
        <v>0</v>
      </c>
      <c r="K694" s="392">
        <v>0</v>
      </c>
      <c r="L694" s="121">
        <v>8743</v>
      </c>
      <c r="M694" s="413" t="s">
        <v>529</v>
      </c>
    </row>
    <row r="695" spans="1:13" ht="15.5" outlineLevel="2" x14ac:dyDescent="0.35">
      <c r="A695" s="93" t="s">
        <v>51</v>
      </c>
      <c r="B695" s="86" t="s">
        <v>103</v>
      </c>
      <c r="C695" s="85" t="s">
        <v>93</v>
      </c>
      <c r="D695" s="93">
        <v>48</v>
      </c>
      <c r="E695" s="121">
        <v>7488914</v>
      </c>
      <c r="F695" s="121">
        <v>7488914</v>
      </c>
      <c r="G695" s="413" t="s">
        <v>529</v>
      </c>
      <c r="H695" s="392">
        <v>0</v>
      </c>
      <c r="I695" s="121">
        <v>895210</v>
      </c>
      <c r="J695" s="121">
        <v>357099</v>
      </c>
      <c r="K695" s="121">
        <v>538111</v>
      </c>
      <c r="L695" s="121">
        <v>-538111</v>
      </c>
      <c r="M695" s="413" t="s">
        <v>529</v>
      </c>
    </row>
    <row r="696" spans="1:13" ht="15" customHeight="1" outlineLevel="2" x14ac:dyDescent="0.35">
      <c r="A696" s="93" t="s">
        <v>51</v>
      </c>
      <c r="B696" s="86" t="s">
        <v>144</v>
      </c>
      <c r="C696" s="85" t="s">
        <v>145</v>
      </c>
      <c r="D696" s="93">
        <v>218</v>
      </c>
      <c r="E696" s="121">
        <v>7119369</v>
      </c>
      <c r="F696" s="121">
        <v>7041267</v>
      </c>
      <c r="G696" s="413" t="s">
        <v>529</v>
      </c>
      <c r="H696" s="121">
        <v>78102</v>
      </c>
      <c r="I696" s="392">
        <v>0</v>
      </c>
      <c r="J696" s="392">
        <v>0</v>
      </c>
      <c r="K696" s="392">
        <v>0</v>
      </c>
      <c r="L696" s="121">
        <v>78102</v>
      </c>
      <c r="M696" s="413" t="s">
        <v>529</v>
      </c>
    </row>
    <row r="697" spans="1:13" ht="48" customHeight="1" outlineLevel="2" x14ac:dyDescent="0.35">
      <c r="A697" s="93" t="s">
        <v>51</v>
      </c>
      <c r="B697" s="86" t="s">
        <v>301</v>
      </c>
      <c r="C697" s="85" t="s">
        <v>77</v>
      </c>
      <c r="D697" s="93">
        <v>271</v>
      </c>
      <c r="E697" s="121">
        <v>2711305</v>
      </c>
      <c r="F697" s="121">
        <v>2687237</v>
      </c>
      <c r="G697" s="413" t="s">
        <v>529</v>
      </c>
      <c r="H697" s="121">
        <v>24068</v>
      </c>
      <c r="I697" s="392">
        <v>0</v>
      </c>
      <c r="J697" s="392">
        <v>0</v>
      </c>
      <c r="K697" s="392">
        <v>0</v>
      </c>
      <c r="L697" s="121">
        <v>24068</v>
      </c>
      <c r="M697" s="413" t="s">
        <v>529</v>
      </c>
    </row>
    <row r="698" spans="1:13" ht="49.5" customHeight="1" outlineLevel="2" x14ac:dyDescent="0.35">
      <c r="A698" s="93" t="s">
        <v>51</v>
      </c>
      <c r="B698" s="86" t="s">
        <v>273</v>
      </c>
      <c r="C698" s="85" t="s">
        <v>274</v>
      </c>
      <c r="D698" s="93">
        <v>329</v>
      </c>
      <c r="E698" s="121">
        <v>722675</v>
      </c>
      <c r="F698" s="121">
        <v>710144</v>
      </c>
      <c r="G698" s="413" t="s">
        <v>529</v>
      </c>
      <c r="H698" s="121">
        <v>12531</v>
      </c>
      <c r="I698" s="392">
        <v>0</v>
      </c>
      <c r="J698" s="392">
        <v>0</v>
      </c>
      <c r="K698" s="392">
        <v>0</v>
      </c>
      <c r="L698" s="121">
        <v>12531</v>
      </c>
      <c r="M698" s="413" t="s">
        <v>529</v>
      </c>
    </row>
    <row r="699" spans="1:13" ht="15" customHeight="1" outlineLevel="2" x14ac:dyDescent="0.35">
      <c r="A699" s="93" t="s">
        <v>51</v>
      </c>
      <c r="B699" s="86" t="s">
        <v>309</v>
      </c>
      <c r="C699" s="85" t="s">
        <v>109</v>
      </c>
      <c r="D699" s="93">
        <v>139</v>
      </c>
      <c r="E699" s="121">
        <v>3491968</v>
      </c>
      <c r="F699" s="121">
        <v>3491968</v>
      </c>
      <c r="G699" s="413" t="s">
        <v>529</v>
      </c>
      <c r="H699" s="392">
        <v>0</v>
      </c>
      <c r="I699" s="121">
        <v>2397890</v>
      </c>
      <c r="J699" s="392">
        <v>0</v>
      </c>
      <c r="K699" s="121">
        <v>2397890</v>
      </c>
      <c r="L699" s="121">
        <v>-2397890</v>
      </c>
      <c r="M699" s="413" t="s">
        <v>529</v>
      </c>
    </row>
    <row r="700" spans="1:13" ht="15" customHeight="1" outlineLevel="2" x14ac:dyDescent="0.35">
      <c r="A700" s="93" t="s">
        <v>51</v>
      </c>
      <c r="B700" s="86" t="s">
        <v>110</v>
      </c>
      <c r="C700" s="85" t="s">
        <v>111</v>
      </c>
      <c r="D700" s="93">
        <v>244</v>
      </c>
      <c r="E700" s="121">
        <v>1943938</v>
      </c>
      <c r="F700" s="121">
        <v>1943938</v>
      </c>
      <c r="G700" s="413" t="s">
        <v>529</v>
      </c>
      <c r="H700" s="392">
        <v>0</v>
      </c>
      <c r="I700" s="121">
        <v>25317281</v>
      </c>
      <c r="J700" s="121">
        <v>2721523</v>
      </c>
      <c r="K700" s="121">
        <v>22595758</v>
      </c>
      <c r="L700" s="121">
        <v>-22595758</v>
      </c>
      <c r="M700" s="413" t="s">
        <v>529</v>
      </c>
    </row>
    <row r="701" spans="1:13" ht="15" customHeight="1" outlineLevel="2" x14ac:dyDescent="0.35">
      <c r="A701" s="93" t="s">
        <v>51</v>
      </c>
      <c r="B701" s="86" t="s">
        <v>280</v>
      </c>
      <c r="C701" s="85" t="s">
        <v>281</v>
      </c>
      <c r="D701" s="93">
        <v>57</v>
      </c>
      <c r="E701" s="121">
        <v>1434260</v>
      </c>
      <c r="F701" s="121">
        <v>1415123</v>
      </c>
      <c r="G701" s="413" t="s">
        <v>529</v>
      </c>
      <c r="H701" s="121">
        <v>19137</v>
      </c>
      <c r="I701" s="392">
        <v>0</v>
      </c>
      <c r="J701" s="392">
        <v>0</v>
      </c>
      <c r="K701" s="392">
        <v>0</v>
      </c>
      <c r="L701" s="121">
        <v>19137</v>
      </c>
      <c r="M701" s="413" t="s">
        <v>529</v>
      </c>
    </row>
    <row r="702" spans="1:13" ht="15" customHeight="1" outlineLevel="2" x14ac:dyDescent="0.35">
      <c r="A702" s="93" t="s">
        <v>51</v>
      </c>
      <c r="B702" s="86" t="s">
        <v>311</v>
      </c>
      <c r="C702" s="85" t="s">
        <v>288</v>
      </c>
      <c r="D702" s="93">
        <v>208</v>
      </c>
      <c r="E702" s="121">
        <v>23725715</v>
      </c>
      <c r="F702" s="121">
        <v>23579326</v>
      </c>
      <c r="G702" s="413" t="s">
        <v>529</v>
      </c>
      <c r="H702" s="121">
        <v>146389</v>
      </c>
      <c r="I702" s="121">
        <v>183082</v>
      </c>
      <c r="J702" s="121">
        <v>183082</v>
      </c>
      <c r="K702" s="392">
        <v>0</v>
      </c>
      <c r="L702" s="121">
        <v>146389</v>
      </c>
      <c r="M702" s="413" t="s">
        <v>529</v>
      </c>
    </row>
    <row r="703" spans="1:13" ht="15" customHeight="1" outlineLevel="2" x14ac:dyDescent="0.35">
      <c r="A703" s="93" t="s">
        <v>51</v>
      </c>
      <c r="B703" s="86" t="s">
        <v>115</v>
      </c>
      <c r="C703" s="85" t="s">
        <v>93</v>
      </c>
      <c r="D703" s="93">
        <v>260</v>
      </c>
      <c r="E703" s="121">
        <v>13819545</v>
      </c>
      <c r="F703" s="121">
        <v>13759745</v>
      </c>
      <c r="G703" s="413" t="s">
        <v>529</v>
      </c>
      <c r="H703" s="121">
        <v>59800</v>
      </c>
      <c r="I703" s="121">
        <v>334584</v>
      </c>
      <c r="J703" s="121">
        <v>334584</v>
      </c>
      <c r="K703" s="392">
        <v>0</v>
      </c>
      <c r="L703" s="121">
        <v>59800</v>
      </c>
      <c r="M703" s="413" t="s">
        <v>529</v>
      </c>
    </row>
    <row r="704" spans="1:13" ht="15" customHeight="1" outlineLevel="2" x14ac:dyDescent="0.35">
      <c r="A704" s="137" t="s">
        <v>213</v>
      </c>
      <c r="B704" s="426" t="s">
        <v>529</v>
      </c>
      <c r="C704" s="427" t="s">
        <v>529</v>
      </c>
      <c r="D704" s="428" t="s">
        <v>529</v>
      </c>
      <c r="E704" s="138">
        <f>SUBTOTAL(109,school200203[Program
Costs])</f>
        <v>321301010</v>
      </c>
      <c r="F704" s="138">
        <f>SUBTOTAL(109,school200203[Less: Net Payments and Offsets 8])</f>
        <v>313038200</v>
      </c>
      <c r="G704" s="414" t="s">
        <v>552</v>
      </c>
      <c r="H704" s="138">
        <f>SUBTOTAL(109,school200203[Accounts Payable
Balance])</f>
        <v>8262810</v>
      </c>
      <c r="I704" s="138">
        <f>SUBTOTAL(109,school200203[Established
Accounts Receivable])</f>
        <v>30205577</v>
      </c>
      <c r="J704" s="138">
        <f>SUBTOTAL(109,school200203[Less: Recovered Amount])</f>
        <v>4562729</v>
      </c>
      <c r="K704" s="138">
        <f>SUBTOTAL(109,school200203[Accounts Receivable
Balance])</f>
        <v>25642848</v>
      </c>
      <c r="L704" s="138">
        <f>SUBTOTAL(109,school200203[Net
Balance])</f>
        <v>-17380038</v>
      </c>
      <c r="M704" s="414" t="s">
        <v>552</v>
      </c>
    </row>
    <row r="705" spans="1:13" ht="15" customHeight="1" outlineLevel="2" x14ac:dyDescent="0.35">
      <c r="A705" s="386" t="s">
        <v>540</v>
      </c>
      <c r="B705" s="140"/>
      <c r="C705" s="140"/>
      <c r="D705" s="140"/>
      <c r="E705" s="140"/>
      <c r="F705" s="140"/>
      <c r="G705" s="140"/>
      <c r="H705" s="460"/>
    </row>
    <row r="706" spans="1:13" ht="50" customHeight="1" outlineLevel="2" x14ac:dyDescent="0.35">
      <c r="A706" s="457" t="s">
        <v>11</v>
      </c>
      <c r="B706" s="300" t="s">
        <v>12</v>
      </c>
      <c r="C706" s="158" t="s">
        <v>0</v>
      </c>
      <c r="D706" s="300" t="s">
        <v>132</v>
      </c>
      <c r="E706" s="458" t="s">
        <v>125</v>
      </c>
      <c r="F706" s="423" t="s">
        <v>614</v>
      </c>
      <c r="G706" s="424" t="s">
        <v>531</v>
      </c>
      <c r="H706" s="422" t="s">
        <v>495</v>
      </c>
      <c r="I706" s="422" t="s">
        <v>496</v>
      </c>
      <c r="J706" s="458" t="s">
        <v>134</v>
      </c>
      <c r="K706" s="422" t="s">
        <v>497</v>
      </c>
      <c r="L706" s="458" t="s">
        <v>133</v>
      </c>
      <c r="M706" s="459" t="s">
        <v>532</v>
      </c>
    </row>
    <row r="707" spans="1:13" ht="15" customHeight="1" outlineLevel="2" x14ac:dyDescent="0.35">
      <c r="A707" s="93" t="s">
        <v>52</v>
      </c>
      <c r="B707" s="86" t="s">
        <v>312</v>
      </c>
      <c r="C707" s="85" t="s">
        <v>64</v>
      </c>
      <c r="D707" s="93">
        <v>123</v>
      </c>
      <c r="E707" s="121">
        <v>3563107</v>
      </c>
      <c r="F707" s="121">
        <v>3563107</v>
      </c>
      <c r="G707" s="413" t="s">
        <v>529</v>
      </c>
      <c r="H707" s="392">
        <v>0</v>
      </c>
      <c r="I707" s="121">
        <v>838033</v>
      </c>
      <c r="J707" s="121">
        <v>832320</v>
      </c>
      <c r="K707" s="121">
        <v>5713</v>
      </c>
      <c r="L707" s="121">
        <v>-5713</v>
      </c>
      <c r="M707" s="450" t="s">
        <v>529</v>
      </c>
    </row>
    <row r="708" spans="1:13" ht="30.5" customHeight="1" outlineLevel="2" x14ac:dyDescent="0.35">
      <c r="A708" s="93" t="s">
        <v>52</v>
      </c>
      <c r="B708" s="86" t="s">
        <v>268</v>
      </c>
      <c r="C708" s="85" t="s">
        <v>266</v>
      </c>
      <c r="D708" s="93">
        <v>348</v>
      </c>
      <c r="E708" s="121">
        <v>39009871</v>
      </c>
      <c r="F708" s="121">
        <v>35783447</v>
      </c>
      <c r="G708" s="413" t="s">
        <v>529</v>
      </c>
      <c r="H708" s="121">
        <v>3226424</v>
      </c>
      <c r="I708" s="392">
        <v>0</v>
      </c>
      <c r="J708" s="392">
        <v>0</v>
      </c>
      <c r="K708" s="392">
        <v>0</v>
      </c>
      <c r="L708" s="121">
        <v>3226424</v>
      </c>
      <c r="M708" s="450" t="s">
        <v>529</v>
      </c>
    </row>
    <row r="709" spans="1:13" ht="15" customHeight="1" outlineLevel="2" x14ac:dyDescent="0.35">
      <c r="A709" s="93" t="s">
        <v>52</v>
      </c>
      <c r="B709" s="86" t="s">
        <v>313</v>
      </c>
      <c r="C709" s="85" t="s">
        <v>71</v>
      </c>
      <c r="D709" s="93">
        <v>140</v>
      </c>
      <c r="E709" s="121">
        <v>2457131</v>
      </c>
      <c r="F709" s="121">
        <v>2457131</v>
      </c>
      <c r="G709" s="413" t="s">
        <v>529</v>
      </c>
      <c r="H709" s="392">
        <v>0</v>
      </c>
      <c r="I709" s="121">
        <v>237816</v>
      </c>
      <c r="J709" s="121">
        <v>226307</v>
      </c>
      <c r="K709" s="121">
        <v>11509</v>
      </c>
      <c r="L709" s="121">
        <v>-11509</v>
      </c>
      <c r="M709" s="450" t="s">
        <v>529</v>
      </c>
    </row>
    <row r="710" spans="1:13" ht="31" outlineLevel="2" x14ac:dyDescent="0.35">
      <c r="A710" s="93" t="s">
        <v>52</v>
      </c>
      <c r="B710" s="86" t="s">
        <v>72</v>
      </c>
      <c r="C710" s="85" t="s">
        <v>73</v>
      </c>
      <c r="D710" s="93">
        <v>11</v>
      </c>
      <c r="E710" s="121">
        <v>34671017</v>
      </c>
      <c r="F710" s="121">
        <v>34671017</v>
      </c>
      <c r="G710" s="413" t="s">
        <v>529</v>
      </c>
      <c r="H710" s="392">
        <v>0</v>
      </c>
      <c r="I710" s="121">
        <v>7346372</v>
      </c>
      <c r="J710" s="121">
        <v>7327621</v>
      </c>
      <c r="K710" s="121">
        <v>18751</v>
      </c>
      <c r="L710" s="121">
        <v>-18751</v>
      </c>
      <c r="M710" s="450" t="s">
        <v>529</v>
      </c>
    </row>
    <row r="711" spans="1:13" ht="15.5" outlineLevel="2" x14ac:dyDescent="0.35">
      <c r="A711" s="93" t="s">
        <v>52</v>
      </c>
      <c r="B711" s="86" t="s">
        <v>286</v>
      </c>
      <c r="C711" s="85" t="s">
        <v>75</v>
      </c>
      <c r="D711" s="93">
        <v>223</v>
      </c>
      <c r="E711" s="121">
        <v>5548278</v>
      </c>
      <c r="F711" s="121">
        <v>5548278</v>
      </c>
      <c r="G711" s="413" t="s">
        <v>529</v>
      </c>
      <c r="H711" s="392">
        <v>0</v>
      </c>
      <c r="I711" s="121">
        <v>14656</v>
      </c>
      <c r="J711" s="121">
        <v>9604</v>
      </c>
      <c r="K711" s="121">
        <v>5052</v>
      </c>
      <c r="L711" s="121">
        <v>-5052</v>
      </c>
      <c r="M711" s="450" t="s">
        <v>529</v>
      </c>
    </row>
    <row r="712" spans="1:13" ht="15.5" outlineLevel="2" x14ac:dyDescent="0.35">
      <c r="A712" s="93" t="s">
        <v>52</v>
      </c>
      <c r="B712" s="86" t="s">
        <v>86</v>
      </c>
      <c r="C712" s="85" t="s">
        <v>87</v>
      </c>
      <c r="D712" s="93">
        <v>183</v>
      </c>
      <c r="E712" s="121">
        <v>3258459</v>
      </c>
      <c r="F712" s="121">
        <v>3258459</v>
      </c>
      <c r="G712" s="413" t="s">
        <v>529</v>
      </c>
      <c r="H712" s="392">
        <v>0</v>
      </c>
      <c r="I712" s="121">
        <v>2332978</v>
      </c>
      <c r="J712" s="121">
        <v>2331773</v>
      </c>
      <c r="K712" s="121">
        <v>1205</v>
      </c>
      <c r="L712" s="121">
        <v>-1205</v>
      </c>
      <c r="M712" s="450" t="s">
        <v>529</v>
      </c>
    </row>
    <row r="713" spans="1:13" ht="33" customHeight="1" outlineLevel="2" x14ac:dyDescent="0.35">
      <c r="A713" s="93" t="s">
        <v>52</v>
      </c>
      <c r="B713" s="86" t="s">
        <v>314</v>
      </c>
      <c r="C713" s="85" t="s">
        <v>306</v>
      </c>
      <c r="D713" s="93">
        <v>75</v>
      </c>
      <c r="E713" s="121">
        <v>15879587</v>
      </c>
      <c r="F713" s="121">
        <v>15879587</v>
      </c>
      <c r="G713" s="413" t="s">
        <v>529</v>
      </c>
      <c r="H713" s="392">
        <v>0</v>
      </c>
      <c r="I713" s="121">
        <v>4530020</v>
      </c>
      <c r="J713" s="121">
        <v>4529310</v>
      </c>
      <c r="K713" s="121">
        <v>710</v>
      </c>
      <c r="L713" s="121">
        <v>-710</v>
      </c>
      <c r="M713" s="450" t="s">
        <v>529</v>
      </c>
    </row>
    <row r="714" spans="1:13" ht="15.5" outlineLevel="2" x14ac:dyDescent="0.35">
      <c r="A714" s="93" t="s">
        <v>52</v>
      </c>
      <c r="B714" s="86" t="s">
        <v>291</v>
      </c>
      <c r="C714" s="85" t="s">
        <v>93</v>
      </c>
      <c r="D714" s="93">
        <v>26</v>
      </c>
      <c r="E714" s="121">
        <v>7958827</v>
      </c>
      <c r="F714" s="121">
        <v>7958827</v>
      </c>
      <c r="G714" s="413" t="s">
        <v>529</v>
      </c>
      <c r="H714" s="392">
        <v>0</v>
      </c>
      <c r="I714" s="121">
        <v>4858960</v>
      </c>
      <c r="J714" s="121">
        <v>4632636</v>
      </c>
      <c r="K714" s="121">
        <v>226324</v>
      </c>
      <c r="L714" s="121">
        <v>-226324</v>
      </c>
      <c r="M714" s="450" t="s">
        <v>529</v>
      </c>
    </row>
    <row r="715" spans="1:13" ht="33.5" customHeight="1" outlineLevel="2" x14ac:dyDescent="0.35">
      <c r="A715" s="93" t="s">
        <v>52</v>
      </c>
      <c r="B715" s="86" t="s">
        <v>423</v>
      </c>
      <c r="C715" s="85" t="s">
        <v>93</v>
      </c>
      <c r="D715" s="93">
        <v>295</v>
      </c>
      <c r="E715" s="121">
        <v>166695626</v>
      </c>
      <c r="F715" s="121">
        <v>165084881</v>
      </c>
      <c r="G715" s="413" t="s">
        <v>529</v>
      </c>
      <c r="H715" s="121">
        <v>1610745</v>
      </c>
      <c r="I715" s="392">
        <v>0</v>
      </c>
      <c r="J715" s="392">
        <v>0</v>
      </c>
      <c r="K715" s="392">
        <v>0</v>
      </c>
      <c r="L715" s="121">
        <v>1610745</v>
      </c>
      <c r="M715" s="450" t="s">
        <v>529</v>
      </c>
    </row>
    <row r="716" spans="1:13" ht="15" customHeight="1" outlineLevel="2" x14ac:dyDescent="0.35">
      <c r="A716" s="93" t="s">
        <v>52</v>
      </c>
      <c r="B716" s="86" t="s">
        <v>94</v>
      </c>
      <c r="C716" s="85" t="s">
        <v>95</v>
      </c>
      <c r="D716" s="93">
        <v>166</v>
      </c>
      <c r="E716" s="121">
        <v>7701749</v>
      </c>
      <c r="F716" s="121">
        <v>7701749</v>
      </c>
      <c r="G716" s="413" t="s">
        <v>529</v>
      </c>
      <c r="H716" s="392">
        <v>0</v>
      </c>
      <c r="I716" s="121">
        <v>2062132</v>
      </c>
      <c r="J716" s="121">
        <v>2062074</v>
      </c>
      <c r="K716" s="121">
        <v>58</v>
      </c>
      <c r="L716" s="121">
        <v>-58</v>
      </c>
      <c r="M716" s="450" t="s">
        <v>529</v>
      </c>
    </row>
    <row r="717" spans="1:13" ht="15.5" outlineLevel="2" x14ac:dyDescent="0.35">
      <c r="A717" s="93" t="s">
        <v>52</v>
      </c>
      <c r="B717" s="86" t="s">
        <v>244</v>
      </c>
      <c r="C717" s="85" t="s">
        <v>245</v>
      </c>
      <c r="D717" s="93">
        <v>268</v>
      </c>
      <c r="E717" s="121">
        <v>2150476</v>
      </c>
      <c r="F717" s="121">
        <v>2145443</v>
      </c>
      <c r="G717" s="413" t="s">
        <v>529</v>
      </c>
      <c r="H717" s="121">
        <v>5033</v>
      </c>
      <c r="I717" s="392">
        <v>0</v>
      </c>
      <c r="J717" s="392">
        <v>0</v>
      </c>
      <c r="K717" s="392">
        <v>0</v>
      </c>
      <c r="L717" s="121">
        <v>5033</v>
      </c>
      <c r="M717" s="450" t="s">
        <v>529</v>
      </c>
    </row>
    <row r="718" spans="1:13" ht="15" customHeight="1" outlineLevel="2" x14ac:dyDescent="0.35">
      <c r="A718" s="93" t="s">
        <v>52</v>
      </c>
      <c r="B718" s="86" t="s">
        <v>249</v>
      </c>
      <c r="C718" s="85" t="s">
        <v>250</v>
      </c>
      <c r="D718" s="93">
        <v>148</v>
      </c>
      <c r="E718" s="121">
        <v>1807989</v>
      </c>
      <c r="F718" s="121">
        <v>1807989</v>
      </c>
      <c r="G718" s="413" t="s">
        <v>529</v>
      </c>
      <c r="H718" s="392">
        <v>0</v>
      </c>
      <c r="I718" s="121">
        <v>767144</v>
      </c>
      <c r="J718" s="121">
        <v>766547</v>
      </c>
      <c r="K718" s="121">
        <v>597</v>
      </c>
      <c r="L718" s="121">
        <v>-597</v>
      </c>
      <c r="M718" s="450" t="s">
        <v>529</v>
      </c>
    </row>
    <row r="719" spans="1:13" ht="15" customHeight="1" outlineLevel="2" x14ac:dyDescent="0.35">
      <c r="A719" s="93" t="s">
        <v>52</v>
      </c>
      <c r="B719" s="86" t="s">
        <v>101</v>
      </c>
      <c r="C719" s="85" t="s">
        <v>102</v>
      </c>
      <c r="D719" s="93">
        <v>153</v>
      </c>
      <c r="E719" s="121">
        <v>8287926</v>
      </c>
      <c r="F719" s="121">
        <v>8287926</v>
      </c>
      <c r="G719" s="413" t="s">
        <v>529</v>
      </c>
      <c r="H719" s="392">
        <v>0</v>
      </c>
      <c r="I719" s="121">
        <v>1426115</v>
      </c>
      <c r="J719" s="121">
        <v>1425358</v>
      </c>
      <c r="K719" s="121">
        <v>757</v>
      </c>
      <c r="L719" s="121">
        <v>-757</v>
      </c>
      <c r="M719" s="450" t="s">
        <v>529</v>
      </c>
    </row>
    <row r="720" spans="1:13" ht="15" customHeight="1" outlineLevel="2" x14ac:dyDescent="0.35">
      <c r="A720" s="93" t="s">
        <v>52</v>
      </c>
      <c r="B720" s="86" t="s">
        <v>246</v>
      </c>
      <c r="C720" s="85" t="s">
        <v>247</v>
      </c>
      <c r="D720" s="93">
        <v>155</v>
      </c>
      <c r="E720" s="121">
        <v>798088</v>
      </c>
      <c r="F720" s="121">
        <v>798088</v>
      </c>
      <c r="G720" s="413" t="s">
        <v>529</v>
      </c>
      <c r="H720" s="392">
        <v>0</v>
      </c>
      <c r="I720" s="121">
        <v>72371</v>
      </c>
      <c r="J720" s="121">
        <v>72080</v>
      </c>
      <c r="K720" s="121">
        <v>291</v>
      </c>
      <c r="L720" s="121">
        <v>-291</v>
      </c>
      <c r="M720" s="450" t="s">
        <v>529</v>
      </c>
    </row>
    <row r="721" spans="1:13" ht="15.5" outlineLevel="1" x14ac:dyDescent="0.35">
      <c r="A721" s="93" t="s">
        <v>52</v>
      </c>
      <c r="B721" s="86" t="s">
        <v>296</v>
      </c>
      <c r="C721" s="85" t="s">
        <v>297</v>
      </c>
      <c r="D721" s="93">
        <v>157</v>
      </c>
      <c r="E721" s="121">
        <v>1579905</v>
      </c>
      <c r="F721" s="121">
        <v>1579905</v>
      </c>
      <c r="G721" s="413" t="s">
        <v>529</v>
      </c>
      <c r="H721" s="392">
        <v>0</v>
      </c>
      <c r="I721" s="121">
        <v>818310</v>
      </c>
      <c r="J721" s="121">
        <v>816980</v>
      </c>
      <c r="K721" s="121">
        <v>1330</v>
      </c>
      <c r="L721" s="121">
        <v>-1330</v>
      </c>
      <c r="M721" s="450" t="s">
        <v>529</v>
      </c>
    </row>
    <row r="722" spans="1:13" ht="15.5" outlineLevel="2" x14ac:dyDescent="0.35">
      <c r="A722" s="93" t="s">
        <v>52</v>
      </c>
      <c r="B722" s="86" t="s">
        <v>155</v>
      </c>
      <c r="C722" s="85" t="s">
        <v>156</v>
      </c>
      <c r="D722" s="93">
        <v>42</v>
      </c>
      <c r="E722" s="121">
        <v>18517280</v>
      </c>
      <c r="F722" s="121">
        <v>18517280</v>
      </c>
      <c r="G722" s="413" t="s">
        <v>529</v>
      </c>
      <c r="H722" s="392">
        <v>0</v>
      </c>
      <c r="I722" s="121">
        <v>290709</v>
      </c>
      <c r="J722" s="121">
        <v>284043</v>
      </c>
      <c r="K722" s="121">
        <v>6666</v>
      </c>
      <c r="L722" s="121">
        <v>-6666</v>
      </c>
      <c r="M722" s="450" t="s">
        <v>529</v>
      </c>
    </row>
    <row r="723" spans="1:13" ht="15" customHeight="1" outlineLevel="2" x14ac:dyDescent="0.35">
      <c r="A723" s="93" t="s">
        <v>52</v>
      </c>
      <c r="B723" s="86" t="s">
        <v>315</v>
      </c>
      <c r="C723" s="85" t="s">
        <v>145</v>
      </c>
      <c r="D723" s="93">
        <v>201</v>
      </c>
      <c r="E723" s="121">
        <v>556</v>
      </c>
      <c r="F723" s="121">
        <v>556</v>
      </c>
      <c r="G723" s="413" t="s">
        <v>529</v>
      </c>
      <c r="H723" s="392">
        <v>0</v>
      </c>
      <c r="I723" s="121">
        <v>63727</v>
      </c>
      <c r="J723" s="121">
        <v>62836</v>
      </c>
      <c r="K723" s="121">
        <v>891</v>
      </c>
      <c r="L723" s="121">
        <v>-891</v>
      </c>
      <c r="M723" s="450" t="s">
        <v>529</v>
      </c>
    </row>
    <row r="724" spans="1:13" ht="15" customHeight="1" outlineLevel="2" x14ac:dyDescent="0.35">
      <c r="A724" s="93" t="s">
        <v>52</v>
      </c>
      <c r="B724" s="86" t="s">
        <v>144</v>
      </c>
      <c r="C724" s="85" t="s">
        <v>145</v>
      </c>
      <c r="D724" s="93">
        <v>218</v>
      </c>
      <c r="E724" s="121">
        <v>7304994</v>
      </c>
      <c r="F724" s="121">
        <v>7255320</v>
      </c>
      <c r="G724" s="413" t="s">
        <v>529</v>
      </c>
      <c r="H724" s="121">
        <v>49674</v>
      </c>
      <c r="I724" s="121">
        <v>441775</v>
      </c>
      <c r="J724" s="121">
        <v>437972</v>
      </c>
      <c r="K724" s="121">
        <v>3803</v>
      </c>
      <c r="L724" s="121">
        <v>45871</v>
      </c>
      <c r="M724" s="450" t="s">
        <v>529</v>
      </c>
    </row>
    <row r="725" spans="1:13" ht="15" customHeight="1" outlineLevel="2" x14ac:dyDescent="0.35">
      <c r="A725" s="93" t="s">
        <v>52</v>
      </c>
      <c r="B725" s="86" t="s">
        <v>106</v>
      </c>
      <c r="C725" s="85" t="s">
        <v>107</v>
      </c>
      <c r="D725" s="93">
        <v>173</v>
      </c>
      <c r="E725" s="121">
        <v>2301476</v>
      </c>
      <c r="F725" s="121">
        <v>2301476</v>
      </c>
      <c r="G725" s="413" t="s">
        <v>529</v>
      </c>
      <c r="H725" s="392">
        <v>0</v>
      </c>
      <c r="I725" s="121">
        <v>299866</v>
      </c>
      <c r="J725" s="121">
        <v>299485</v>
      </c>
      <c r="K725" s="121">
        <v>381</v>
      </c>
      <c r="L725" s="121">
        <v>-381</v>
      </c>
      <c r="M725" s="450" t="s">
        <v>529</v>
      </c>
    </row>
    <row r="726" spans="1:13" ht="15.5" outlineLevel="2" x14ac:dyDescent="0.35">
      <c r="A726" s="93" t="s">
        <v>52</v>
      </c>
      <c r="B726" s="86" t="s">
        <v>299</v>
      </c>
      <c r="C726" s="85" t="s">
        <v>300</v>
      </c>
      <c r="D726" s="93">
        <v>151</v>
      </c>
      <c r="E726" s="121">
        <v>2589924</v>
      </c>
      <c r="F726" s="121">
        <v>2589924</v>
      </c>
      <c r="G726" s="413" t="s">
        <v>529</v>
      </c>
      <c r="H726" s="392">
        <v>0</v>
      </c>
      <c r="I726" s="121">
        <v>269837</v>
      </c>
      <c r="J726" s="121">
        <v>268611</v>
      </c>
      <c r="K726" s="121">
        <v>1226</v>
      </c>
      <c r="L726" s="121">
        <v>-1226</v>
      </c>
      <c r="M726" s="450" t="s">
        <v>529</v>
      </c>
    </row>
    <row r="727" spans="1:13" ht="48.5" customHeight="1" outlineLevel="2" x14ac:dyDescent="0.35">
      <c r="A727" s="93" t="s">
        <v>52</v>
      </c>
      <c r="B727" s="86" t="s">
        <v>301</v>
      </c>
      <c r="C727" s="85" t="s">
        <v>77</v>
      </c>
      <c r="D727" s="93">
        <v>271</v>
      </c>
      <c r="E727" s="121">
        <v>2441052</v>
      </c>
      <c r="F727" s="121">
        <v>2438012</v>
      </c>
      <c r="G727" s="413" t="s">
        <v>529</v>
      </c>
      <c r="H727" s="121">
        <v>3040</v>
      </c>
      <c r="I727" s="392">
        <v>0</v>
      </c>
      <c r="J727" s="392">
        <v>0</v>
      </c>
      <c r="K727" s="392">
        <v>0</v>
      </c>
      <c r="L727" s="121">
        <v>3040</v>
      </c>
      <c r="M727" s="450" t="s">
        <v>529</v>
      </c>
    </row>
    <row r="728" spans="1:13" ht="46.5" customHeight="1" outlineLevel="2" x14ac:dyDescent="0.35">
      <c r="A728" s="93" t="s">
        <v>52</v>
      </c>
      <c r="B728" s="86" t="s">
        <v>273</v>
      </c>
      <c r="C728" s="85" t="s">
        <v>274</v>
      </c>
      <c r="D728" s="93">
        <v>329</v>
      </c>
      <c r="E728" s="121">
        <v>456037</v>
      </c>
      <c r="F728" s="121">
        <v>450655</v>
      </c>
      <c r="G728" s="413" t="s">
        <v>529</v>
      </c>
      <c r="H728" s="121">
        <v>5382</v>
      </c>
      <c r="I728" s="392">
        <v>0</v>
      </c>
      <c r="J728" s="392">
        <v>0</v>
      </c>
      <c r="K728" s="392">
        <v>0</v>
      </c>
      <c r="L728" s="121">
        <v>5382</v>
      </c>
      <c r="M728" s="450" t="s">
        <v>529</v>
      </c>
    </row>
    <row r="729" spans="1:13" ht="15" customHeight="1" outlineLevel="2" x14ac:dyDescent="0.35">
      <c r="A729" s="93" t="s">
        <v>52</v>
      </c>
      <c r="B729" s="86" t="s">
        <v>309</v>
      </c>
      <c r="C729" s="85" t="s">
        <v>109</v>
      </c>
      <c r="D729" s="93">
        <v>139</v>
      </c>
      <c r="E729" s="121">
        <v>4917998</v>
      </c>
      <c r="F729" s="121">
        <v>4917998</v>
      </c>
      <c r="G729" s="413" t="s">
        <v>529</v>
      </c>
      <c r="H729" s="392">
        <v>0</v>
      </c>
      <c r="I729" s="121">
        <v>647814</v>
      </c>
      <c r="J729" s="121">
        <v>646501</v>
      </c>
      <c r="K729" s="121">
        <v>1313</v>
      </c>
      <c r="L729" s="121">
        <v>-1313</v>
      </c>
      <c r="M729" s="450" t="s">
        <v>529</v>
      </c>
    </row>
    <row r="730" spans="1:13" ht="15" customHeight="1" outlineLevel="2" x14ac:dyDescent="0.35">
      <c r="A730" s="93" t="s">
        <v>52</v>
      </c>
      <c r="B730" s="86" t="s">
        <v>110</v>
      </c>
      <c r="C730" s="85" t="s">
        <v>111</v>
      </c>
      <c r="D730" s="93">
        <v>244</v>
      </c>
      <c r="E730" s="121">
        <v>2162205</v>
      </c>
      <c r="F730" s="121">
        <v>2162205</v>
      </c>
      <c r="G730" s="413" t="s">
        <v>529</v>
      </c>
      <c r="H730" s="392">
        <v>0</v>
      </c>
      <c r="I730" s="121">
        <v>13814130</v>
      </c>
      <c r="J730" s="121">
        <v>654358</v>
      </c>
      <c r="K730" s="121">
        <v>13159772</v>
      </c>
      <c r="L730" s="121">
        <v>-13159772</v>
      </c>
      <c r="M730" s="450" t="s">
        <v>529</v>
      </c>
    </row>
    <row r="731" spans="1:13" ht="36.5" customHeight="1" outlineLevel="2" x14ac:dyDescent="0.35">
      <c r="A731" s="93" t="s">
        <v>52</v>
      </c>
      <c r="B731" s="86" t="s">
        <v>275</v>
      </c>
      <c r="C731" s="85" t="s">
        <v>77</v>
      </c>
      <c r="D731" s="93">
        <v>176</v>
      </c>
      <c r="E731" s="121">
        <v>3499900</v>
      </c>
      <c r="F731" s="121">
        <v>3499900</v>
      </c>
      <c r="G731" s="413" t="s">
        <v>529</v>
      </c>
      <c r="H731" s="392">
        <v>0</v>
      </c>
      <c r="I731" s="121">
        <v>1707693</v>
      </c>
      <c r="J731" s="121">
        <v>1706945</v>
      </c>
      <c r="K731" s="121">
        <v>748</v>
      </c>
      <c r="L731" s="121">
        <v>-748</v>
      </c>
      <c r="M731" s="450" t="s">
        <v>529</v>
      </c>
    </row>
    <row r="732" spans="1:13" ht="15" customHeight="1" outlineLevel="2" x14ac:dyDescent="0.35">
      <c r="A732" s="93" t="s">
        <v>52</v>
      </c>
      <c r="B732" s="86" t="s">
        <v>280</v>
      </c>
      <c r="C732" s="85" t="s">
        <v>281</v>
      </c>
      <c r="D732" s="93">
        <v>57</v>
      </c>
      <c r="E732" s="121">
        <v>1491266</v>
      </c>
      <c r="F732" s="121">
        <v>1489175</v>
      </c>
      <c r="G732" s="413" t="s">
        <v>529</v>
      </c>
      <c r="H732" s="121">
        <v>2091</v>
      </c>
      <c r="I732" s="121">
        <v>548259</v>
      </c>
      <c r="J732" s="121">
        <v>548259</v>
      </c>
      <c r="K732" s="392">
        <v>0</v>
      </c>
      <c r="L732" s="121">
        <v>2091</v>
      </c>
      <c r="M732" s="450" t="s">
        <v>529</v>
      </c>
    </row>
    <row r="733" spans="1:13" ht="15" customHeight="1" outlineLevel="2" x14ac:dyDescent="0.35">
      <c r="A733" s="93" t="s">
        <v>52</v>
      </c>
      <c r="B733" s="86" t="s">
        <v>112</v>
      </c>
      <c r="C733" s="85" t="s">
        <v>113</v>
      </c>
      <c r="D733" s="93">
        <v>171</v>
      </c>
      <c r="E733" s="121">
        <v>4549931</v>
      </c>
      <c r="F733" s="121">
        <v>4549931</v>
      </c>
      <c r="G733" s="413" t="s">
        <v>529</v>
      </c>
      <c r="H733" s="392">
        <v>0</v>
      </c>
      <c r="I733" s="121">
        <v>420875</v>
      </c>
      <c r="J733" s="121">
        <v>420292</v>
      </c>
      <c r="K733" s="121">
        <v>583</v>
      </c>
      <c r="L733" s="121">
        <v>-583</v>
      </c>
      <c r="M733" s="450" t="s">
        <v>529</v>
      </c>
    </row>
    <row r="734" spans="1:13" ht="31" customHeight="1" outlineLevel="2" x14ac:dyDescent="0.35">
      <c r="A734" s="93" t="s">
        <v>52</v>
      </c>
      <c r="B734" s="86" t="s">
        <v>316</v>
      </c>
      <c r="C734" s="85" t="s">
        <v>317</v>
      </c>
      <c r="D734" s="93">
        <v>156</v>
      </c>
      <c r="E734" s="121">
        <v>5797583</v>
      </c>
      <c r="F734" s="121">
        <v>5797583</v>
      </c>
      <c r="G734" s="413" t="s">
        <v>529</v>
      </c>
      <c r="H734" s="392">
        <v>0</v>
      </c>
      <c r="I734" s="121">
        <v>3639998</v>
      </c>
      <c r="J734" s="121">
        <v>3571501</v>
      </c>
      <c r="K734" s="121">
        <v>68497</v>
      </c>
      <c r="L734" s="121">
        <v>-68497</v>
      </c>
      <c r="M734" s="450" t="s">
        <v>529</v>
      </c>
    </row>
    <row r="735" spans="1:13" ht="15.5" outlineLevel="2" x14ac:dyDescent="0.35">
      <c r="A735" s="93" t="s">
        <v>52</v>
      </c>
      <c r="B735" s="86" t="s">
        <v>318</v>
      </c>
      <c r="C735" s="85" t="s">
        <v>319</v>
      </c>
      <c r="D735" s="93">
        <v>146</v>
      </c>
      <c r="E735" s="121">
        <v>1738242</v>
      </c>
      <c r="F735" s="121">
        <v>1738242</v>
      </c>
      <c r="G735" s="413" t="s">
        <v>529</v>
      </c>
      <c r="H735" s="392">
        <v>0</v>
      </c>
      <c r="I735" s="121">
        <v>250700</v>
      </c>
      <c r="J735" s="121">
        <v>250499</v>
      </c>
      <c r="K735" s="121">
        <v>201</v>
      </c>
      <c r="L735" s="121">
        <v>-201</v>
      </c>
      <c r="M735" s="450" t="s">
        <v>529</v>
      </c>
    </row>
    <row r="736" spans="1:13" ht="15.5" outlineLevel="2" x14ac:dyDescent="0.35">
      <c r="A736" s="93" t="s">
        <v>52</v>
      </c>
      <c r="B736" s="86" t="s">
        <v>311</v>
      </c>
      <c r="C736" s="85" t="s">
        <v>288</v>
      </c>
      <c r="D736" s="93">
        <v>208</v>
      </c>
      <c r="E736" s="121">
        <v>25057181</v>
      </c>
      <c r="F736" s="121">
        <v>24937249</v>
      </c>
      <c r="G736" s="413" t="s">
        <v>529</v>
      </c>
      <c r="H736" s="121">
        <v>119932</v>
      </c>
      <c r="I736" s="121">
        <v>1138703</v>
      </c>
      <c r="J736" s="121">
        <v>1138703</v>
      </c>
      <c r="K736" s="392">
        <v>0</v>
      </c>
      <c r="L736" s="121">
        <v>119932</v>
      </c>
      <c r="M736" s="450" t="s">
        <v>529</v>
      </c>
    </row>
    <row r="737" spans="1:13" ht="15" customHeight="1" outlineLevel="2" x14ac:dyDescent="0.35">
      <c r="A737" s="93" t="s">
        <v>52</v>
      </c>
      <c r="B737" s="86" t="s">
        <v>115</v>
      </c>
      <c r="C737" s="85" t="s">
        <v>93</v>
      </c>
      <c r="D737" s="93">
        <v>260</v>
      </c>
      <c r="E737" s="121">
        <v>12903346</v>
      </c>
      <c r="F737" s="121">
        <v>12891060</v>
      </c>
      <c r="G737" s="413" t="s">
        <v>529</v>
      </c>
      <c r="H737" s="121">
        <v>12286</v>
      </c>
      <c r="I737" s="121">
        <v>796556</v>
      </c>
      <c r="J737" s="121">
        <v>796556</v>
      </c>
      <c r="K737" s="392">
        <v>0</v>
      </c>
      <c r="L737" s="121">
        <v>12286</v>
      </c>
      <c r="M737" s="450" t="s">
        <v>529</v>
      </c>
    </row>
    <row r="738" spans="1:13" ht="15" customHeight="1" outlineLevel="2" x14ac:dyDescent="0.35">
      <c r="A738" s="137" t="s">
        <v>216</v>
      </c>
      <c r="B738" s="429" t="s">
        <v>529</v>
      </c>
      <c r="C738" s="430" t="s">
        <v>529</v>
      </c>
      <c r="D738" s="409" t="s">
        <v>529</v>
      </c>
      <c r="E738" s="138">
        <f>SUBTOTAL(109,school200102[Program
Costs])</f>
        <v>397097007</v>
      </c>
      <c r="F738" s="138">
        <f>SUBTOTAL(109,school200102[Less: Net Payments and Offsets 8])</f>
        <v>392062400</v>
      </c>
      <c r="G738" s="414" t="s">
        <v>552</v>
      </c>
      <c r="H738" s="138">
        <f>SUBTOTAL(109,school200102[Accounts Payable
Balance])</f>
        <v>5034607</v>
      </c>
      <c r="I738" s="138">
        <f>SUBTOTAL(109,school200102[Established
Accounts Receivable])</f>
        <v>49635549</v>
      </c>
      <c r="J738" s="138">
        <f>SUBTOTAL(109,school200102[Less: Recovered Amount])</f>
        <v>36119171</v>
      </c>
      <c r="K738" s="138">
        <f>SUBTOTAL(109,school200102[Accounts Receivable
Balance])</f>
        <v>13516378</v>
      </c>
      <c r="L738" s="138">
        <f>SUBTOTAL(109,school200102[Net
Balance])</f>
        <v>-8481771</v>
      </c>
      <c r="M738" s="414" t="s">
        <v>552</v>
      </c>
    </row>
    <row r="739" spans="1:13" ht="15" customHeight="1" outlineLevel="2" x14ac:dyDescent="0.35">
      <c r="A739" s="386" t="s">
        <v>540</v>
      </c>
      <c r="B739" s="404"/>
      <c r="C739" s="135"/>
      <c r="D739" s="405"/>
      <c r="E739" s="406"/>
      <c r="F739" s="406"/>
      <c r="G739" s="406"/>
      <c r="H739" s="406"/>
      <c r="I739" s="406"/>
      <c r="J739" s="406"/>
      <c r="K739" s="406"/>
      <c r="L739" s="406"/>
      <c r="M739" s="406"/>
    </row>
    <row r="740" spans="1:13" ht="50" customHeight="1" outlineLevel="2" x14ac:dyDescent="0.35">
      <c r="A740" s="457" t="s">
        <v>11</v>
      </c>
      <c r="B740" s="300" t="s">
        <v>12</v>
      </c>
      <c r="C740" s="158" t="s">
        <v>0</v>
      </c>
      <c r="D740" s="300" t="s">
        <v>132</v>
      </c>
      <c r="E740" s="458" t="s">
        <v>125</v>
      </c>
      <c r="F740" s="423" t="s">
        <v>614</v>
      </c>
      <c r="G740" s="424" t="s">
        <v>531</v>
      </c>
      <c r="H740" s="422" t="s">
        <v>495</v>
      </c>
      <c r="I740" s="422" t="s">
        <v>496</v>
      </c>
      <c r="J740" s="458" t="s">
        <v>134</v>
      </c>
      <c r="K740" s="422" t="s">
        <v>497</v>
      </c>
      <c r="L740" s="458" t="s">
        <v>133</v>
      </c>
      <c r="M740" s="459" t="s">
        <v>532</v>
      </c>
    </row>
    <row r="741" spans="1:13" ht="34.5" customHeight="1" outlineLevel="2" x14ac:dyDescent="0.35">
      <c r="A741" s="93" t="s">
        <v>53</v>
      </c>
      <c r="B741" s="86" t="s">
        <v>268</v>
      </c>
      <c r="C741" s="85" t="s">
        <v>266</v>
      </c>
      <c r="D741" s="93">
        <v>348</v>
      </c>
      <c r="E741" s="121">
        <v>37507169</v>
      </c>
      <c r="F741" s="121">
        <v>34737941</v>
      </c>
      <c r="G741" s="413" t="s">
        <v>529</v>
      </c>
      <c r="H741" s="121">
        <v>2769228</v>
      </c>
      <c r="I741" s="392">
        <v>0</v>
      </c>
      <c r="J741" s="392">
        <v>0</v>
      </c>
      <c r="K741" s="392">
        <v>0</v>
      </c>
      <c r="L741" s="121">
        <v>2769228</v>
      </c>
      <c r="M741" s="451" t="s">
        <v>529</v>
      </c>
    </row>
    <row r="742" spans="1:13" ht="15" customHeight="1" outlineLevel="2" x14ac:dyDescent="0.35">
      <c r="A742" s="93" t="s">
        <v>53</v>
      </c>
      <c r="B742" s="86" t="s">
        <v>313</v>
      </c>
      <c r="C742" s="85" t="s">
        <v>71</v>
      </c>
      <c r="D742" s="93">
        <v>140</v>
      </c>
      <c r="E742" s="121">
        <v>4273725</v>
      </c>
      <c r="F742" s="121">
        <v>4273725</v>
      </c>
      <c r="G742" s="413" t="s">
        <v>529</v>
      </c>
      <c r="H742" s="392">
        <v>0</v>
      </c>
      <c r="I742" s="121">
        <v>84006</v>
      </c>
      <c r="J742" s="121">
        <v>82254</v>
      </c>
      <c r="K742" s="121">
        <v>1752</v>
      </c>
      <c r="L742" s="121">
        <v>-1752</v>
      </c>
      <c r="M742" s="451" t="s">
        <v>529</v>
      </c>
    </row>
    <row r="743" spans="1:13" ht="15" customHeight="1" outlineLevel="2" x14ac:dyDescent="0.35">
      <c r="A743" s="93" t="s">
        <v>53</v>
      </c>
      <c r="B743" s="86" t="s">
        <v>86</v>
      </c>
      <c r="C743" s="85" t="s">
        <v>87</v>
      </c>
      <c r="D743" s="93">
        <v>183</v>
      </c>
      <c r="E743" s="121">
        <v>5005920</v>
      </c>
      <c r="F743" s="121">
        <v>5005920</v>
      </c>
      <c r="G743" s="413" t="s">
        <v>529</v>
      </c>
      <c r="H743" s="392">
        <v>0</v>
      </c>
      <c r="I743" s="121">
        <v>743465</v>
      </c>
      <c r="J743" s="121">
        <v>741868</v>
      </c>
      <c r="K743" s="121">
        <v>1597</v>
      </c>
      <c r="L743" s="121">
        <v>-1597</v>
      </c>
      <c r="M743" s="451" t="s">
        <v>529</v>
      </c>
    </row>
    <row r="744" spans="1:13" ht="15.5" outlineLevel="1" x14ac:dyDescent="0.35">
      <c r="A744" s="93" t="s">
        <v>53</v>
      </c>
      <c r="B744" s="86" t="s">
        <v>291</v>
      </c>
      <c r="C744" s="85" t="s">
        <v>93</v>
      </c>
      <c r="D744" s="93">
        <v>26</v>
      </c>
      <c r="E744" s="121">
        <v>9008998</v>
      </c>
      <c r="F744" s="121">
        <v>9008998</v>
      </c>
      <c r="G744" s="413" t="s">
        <v>529</v>
      </c>
      <c r="H744" s="392">
        <v>0</v>
      </c>
      <c r="I744" s="121">
        <v>6745209</v>
      </c>
      <c r="J744" s="121">
        <v>6707289</v>
      </c>
      <c r="K744" s="121">
        <v>37920</v>
      </c>
      <c r="L744" s="121">
        <v>-37920</v>
      </c>
      <c r="M744" s="451" t="s">
        <v>529</v>
      </c>
    </row>
    <row r="745" spans="1:13" ht="30" customHeight="1" outlineLevel="2" x14ac:dyDescent="0.35">
      <c r="A745" s="93" t="s">
        <v>53</v>
      </c>
      <c r="B745" s="86" t="s">
        <v>423</v>
      </c>
      <c r="C745" s="85" t="s">
        <v>93</v>
      </c>
      <c r="D745" s="93">
        <v>295</v>
      </c>
      <c r="E745" s="121">
        <v>156326089</v>
      </c>
      <c r="F745" s="121">
        <v>155700922</v>
      </c>
      <c r="G745" s="413" t="s">
        <v>529</v>
      </c>
      <c r="H745" s="121">
        <v>625167</v>
      </c>
      <c r="I745" s="392">
        <v>0</v>
      </c>
      <c r="J745" s="392">
        <v>0</v>
      </c>
      <c r="K745" s="392">
        <v>0</v>
      </c>
      <c r="L745" s="121">
        <v>625167</v>
      </c>
      <c r="M745" s="451" t="s">
        <v>529</v>
      </c>
    </row>
    <row r="746" spans="1:13" ht="15" customHeight="1" outlineLevel="2" x14ac:dyDescent="0.35">
      <c r="A746" s="93" t="s">
        <v>53</v>
      </c>
      <c r="B746" s="86" t="s">
        <v>94</v>
      </c>
      <c r="C746" s="85" t="s">
        <v>95</v>
      </c>
      <c r="D746" s="93">
        <v>166</v>
      </c>
      <c r="E746" s="121">
        <v>8137909</v>
      </c>
      <c r="F746" s="121">
        <v>8137909</v>
      </c>
      <c r="G746" s="413" t="s">
        <v>529</v>
      </c>
      <c r="H746" s="392">
        <v>0</v>
      </c>
      <c r="I746" s="121">
        <v>2391214</v>
      </c>
      <c r="J746" s="121">
        <v>2385214</v>
      </c>
      <c r="K746" s="121">
        <v>6000</v>
      </c>
      <c r="L746" s="121">
        <v>-6000</v>
      </c>
      <c r="M746" s="451" t="s">
        <v>529</v>
      </c>
    </row>
    <row r="747" spans="1:13" ht="15.5" outlineLevel="2" x14ac:dyDescent="0.35">
      <c r="A747" s="93" t="s">
        <v>53</v>
      </c>
      <c r="B747" s="86" t="s">
        <v>101</v>
      </c>
      <c r="C747" s="85" t="s">
        <v>102</v>
      </c>
      <c r="D747" s="93">
        <v>153</v>
      </c>
      <c r="E747" s="121">
        <v>9807270</v>
      </c>
      <c r="F747" s="121">
        <v>9807270</v>
      </c>
      <c r="G747" s="413" t="s">
        <v>529</v>
      </c>
      <c r="H747" s="392">
        <v>0</v>
      </c>
      <c r="I747" s="121">
        <v>1636613</v>
      </c>
      <c r="J747" s="121">
        <v>1636463</v>
      </c>
      <c r="K747" s="121">
        <v>150</v>
      </c>
      <c r="L747" s="121">
        <v>-150</v>
      </c>
      <c r="M747" s="451" t="s">
        <v>529</v>
      </c>
    </row>
    <row r="748" spans="1:13" ht="15" customHeight="1" outlineLevel="2" x14ac:dyDescent="0.35">
      <c r="A748" s="93" t="s">
        <v>53</v>
      </c>
      <c r="B748" s="86" t="s">
        <v>214</v>
      </c>
      <c r="C748" s="85" t="s">
        <v>215</v>
      </c>
      <c r="D748" s="93">
        <v>169</v>
      </c>
      <c r="E748" s="121">
        <v>231880</v>
      </c>
      <c r="F748" s="121">
        <v>231880</v>
      </c>
      <c r="G748" s="413" t="s">
        <v>529</v>
      </c>
      <c r="H748" s="392">
        <v>0</v>
      </c>
      <c r="I748" s="121">
        <v>56171</v>
      </c>
      <c r="J748" s="121">
        <v>54892</v>
      </c>
      <c r="K748" s="121">
        <v>1279</v>
      </c>
      <c r="L748" s="121">
        <v>-1279</v>
      </c>
      <c r="M748" s="451" t="s">
        <v>529</v>
      </c>
    </row>
    <row r="749" spans="1:13" ht="15.5" outlineLevel="2" x14ac:dyDescent="0.35">
      <c r="A749" s="93" t="s">
        <v>53</v>
      </c>
      <c r="B749" s="86" t="s">
        <v>155</v>
      </c>
      <c r="C749" s="85" t="s">
        <v>156</v>
      </c>
      <c r="D749" s="93">
        <v>42</v>
      </c>
      <c r="E749" s="121">
        <v>15900354</v>
      </c>
      <c r="F749" s="121">
        <v>15900354</v>
      </c>
      <c r="G749" s="413" t="s">
        <v>529</v>
      </c>
      <c r="H749" s="392">
        <v>0</v>
      </c>
      <c r="I749" s="121">
        <v>488975</v>
      </c>
      <c r="J749" s="121">
        <v>487057</v>
      </c>
      <c r="K749" s="121">
        <v>1918</v>
      </c>
      <c r="L749" s="121">
        <v>-1918</v>
      </c>
      <c r="M749" s="451" t="s">
        <v>529</v>
      </c>
    </row>
    <row r="750" spans="1:13" ht="15" customHeight="1" outlineLevel="2" x14ac:dyDescent="0.35">
      <c r="A750" s="93" t="s">
        <v>53</v>
      </c>
      <c r="B750" s="86" t="s">
        <v>222</v>
      </c>
      <c r="C750" s="85" t="s">
        <v>145</v>
      </c>
      <c r="D750" s="93">
        <v>92</v>
      </c>
      <c r="E750" s="121">
        <v>2854</v>
      </c>
      <c r="F750" s="121">
        <v>2854</v>
      </c>
      <c r="G750" s="413" t="s">
        <v>529</v>
      </c>
      <c r="H750" s="392">
        <v>0</v>
      </c>
      <c r="I750" s="121">
        <v>37398</v>
      </c>
      <c r="J750" s="121">
        <v>30346</v>
      </c>
      <c r="K750" s="121">
        <v>7052</v>
      </c>
      <c r="L750" s="121">
        <v>-7052</v>
      </c>
      <c r="M750" s="451" t="s">
        <v>529</v>
      </c>
    </row>
    <row r="751" spans="1:13" ht="15" customHeight="1" outlineLevel="2" x14ac:dyDescent="0.35">
      <c r="A751" s="93" t="s">
        <v>53</v>
      </c>
      <c r="B751" s="86" t="s">
        <v>315</v>
      </c>
      <c r="C751" s="85" t="s">
        <v>145</v>
      </c>
      <c r="D751" s="93">
        <v>201</v>
      </c>
      <c r="E751" s="121">
        <v>10104090</v>
      </c>
      <c r="F751" s="121">
        <v>10093674</v>
      </c>
      <c r="G751" s="413" t="s">
        <v>529</v>
      </c>
      <c r="H751" s="121">
        <v>10416</v>
      </c>
      <c r="I751" s="121">
        <v>124736</v>
      </c>
      <c r="J751" s="121">
        <v>119796</v>
      </c>
      <c r="K751" s="121">
        <v>4940</v>
      </c>
      <c r="L751" s="121">
        <v>5476</v>
      </c>
      <c r="M751" s="451" t="s">
        <v>529</v>
      </c>
    </row>
    <row r="752" spans="1:13" ht="15" customHeight="1" outlineLevel="2" x14ac:dyDescent="0.35">
      <c r="A752" s="93" t="s">
        <v>53</v>
      </c>
      <c r="B752" s="86" t="s">
        <v>144</v>
      </c>
      <c r="C752" s="85" t="s">
        <v>145</v>
      </c>
      <c r="D752" s="93">
        <v>218</v>
      </c>
      <c r="E752" s="121">
        <v>635471</v>
      </c>
      <c r="F752" s="121">
        <v>629646</v>
      </c>
      <c r="G752" s="413" t="s">
        <v>529</v>
      </c>
      <c r="H752" s="121">
        <v>5825</v>
      </c>
      <c r="I752" s="392">
        <v>0</v>
      </c>
      <c r="J752" s="392">
        <v>0</v>
      </c>
      <c r="K752" s="392">
        <v>0</v>
      </c>
      <c r="L752" s="121">
        <v>5825</v>
      </c>
      <c r="M752" s="451" t="s">
        <v>529</v>
      </c>
    </row>
    <row r="753" spans="1:13" ht="15" customHeight="1" outlineLevel="2" x14ac:dyDescent="0.35">
      <c r="A753" s="93" t="s">
        <v>53</v>
      </c>
      <c r="B753" s="86" t="s">
        <v>106</v>
      </c>
      <c r="C753" s="85" t="s">
        <v>107</v>
      </c>
      <c r="D753" s="93">
        <v>173</v>
      </c>
      <c r="E753" s="121">
        <v>2328624</v>
      </c>
      <c r="F753" s="121">
        <v>2328624</v>
      </c>
      <c r="G753" s="413" t="s">
        <v>529</v>
      </c>
      <c r="H753" s="392">
        <v>0</v>
      </c>
      <c r="I753" s="121">
        <v>237134</v>
      </c>
      <c r="J753" s="121">
        <v>236756</v>
      </c>
      <c r="K753" s="121">
        <v>378</v>
      </c>
      <c r="L753" s="121">
        <v>-378</v>
      </c>
      <c r="M753" s="451" t="s">
        <v>529</v>
      </c>
    </row>
    <row r="754" spans="1:13" ht="53" customHeight="1" outlineLevel="2" x14ac:dyDescent="0.35">
      <c r="A754" s="93" t="s">
        <v>53</v>
      </c>
      <c r="B754" s="86" t="s">
        <v>320</v>
      </c>
      <c r="C754" s="85" t="s">
        <v>321</v>
      </c>
      <c r="D754" s="93">
        <v>328</v>
      </c>
      <c r="E754" s="121">
        <v>367657</v>
      </c>
      <c r="F754" s="121">
        <v>366383</v>
      </c>
      <c r="G754" s="413" t="s">
        <v>529</v>
      </c>
      <c r="H754" s="121">
        <v>1274</v>
      </c>
      <c r="I754" s="392">
        <v>0</v>
      </c>
      <c r="J754" s="392">
        <v>0</v>
      </c>
      <c r="K754" s="392">
        <v>0</v>
      </c>
      <c r="L754" s="121">
        <v>1274</v>
      </c>
      <c r="M754" s="451" t="s">
        <v>529</v>
      </c>
    </row>
    <row r="755" spans="1:13" ht="15" customHeight="1" outlineLevel="2" x14ac:dyDescent="0.35">
      <c r="A755" s="93" t="s">
        <v>53</v>
      </c>
      <c r="B755" s="86" t="s">
        <v>309</v>
      </c>
      <c r="C755" s="85" t="s">
        <v>109</v>
      </c>
      <c r="D755" s="93">
        <v>139</v>
      </c>
      <c r="E755" s="121">
        <v>5226049</v>
      </c>
      <c r="F755" s="121">
        <v>5226049</v>
      </c>
      <c r="G755" s="413" t="s">
        <v>529</v>
      </c>
      <c r="H755" s="392">
        <v>0</v>
      </c>
      <c r="I755" s="121">
        <v>301477</v>
      </c>
      <c r="J755" s="121">
        <v>300847</v>
      </c>
      <c r="K755" s="121">
        <v>630</v>
      </c>
      <c r="L755" s="121">
        <v>-630</v>
      </c>
      <c r="M755" s="451" t="s">
        <v>529</v>
      </c>
    </row>
    <row r="756" spans="1:13" ht="15.5" outlineLevel="1" x14ac:dyDescent="0.35">
      <c r="A756" s="93" t="s">
        <v>53</v>
      </c>
      <c r="B756" s="86" t="s">
        <v>280</v>
      </c>
      <c r="C756" s="85" t="s">
        <v>281</v>
      </c>
      <c r="D756" s="93">
        <v>57</v>
      </c>
      <c r="E756" s="121">
        <v>1047563</v>
      </c>
      <c r="F756" s="121">
        <v>1047255</v>
      </c>
      <c r="G756" s="413" t="s">
        <v>529</v>
      </c>
      <c r="H756" s="121">
        <v>308</v>
      </c>
      <c r="I756" s="121">
        <v>780671</v>
      </c>
      <c r="J756" s="121">
        <v>780671</v>
      </c>
      <c r="K756" s="392">
        <v>0</v>
      </c>
      <c r="L756" s="121">
        <v>308</v>
      </c>
      <c r="M756" s="451" t="s">
        <v>529</v>
      </c>
    </row>
    <row r="757" spans="1:13" ht="15.5" outlineLevel="2" x14ac:dyDescent="0.35">
      <c r="A757" s="93" t="s">
        <v>53</v>
      </c>
      <c r="B757" s="86" t="s">
        <v>322</v>
      </c>
      <c r="C757" s="85" t="s">
        <v>323</v>
      </c>
      <c r="D757" s="93">
        <v>184</v>
      </c>
      <c r="E757" s="121">
        <v>2769154</v>
      </c>
      <c r="F757" s="121">
        <v>2765894</v>
      </c>
      <c r="G757" s="413" t="s">
        <v>529</v>
      </c>
      <c r="H757" s="121">
        <v>3260</v>
      </c>
      <c r="I757" s="121">
        <v>2356</v>
      </c>
      <c r="J757" s="121">
        <v>2356</v>
      </c>
      <c r="K757" s="392">
        <v>0</v>
      </c>
      <c r="L757" s="121">
        <v>3260</v>
      </c>
      <c r="M757" s="451" t="s">
        <v>529</v>
      </c>
    </row>
    <row r="758" spans="1:13" ht="30" customHeight="1" outlineLevel="2" x14ac:dyDescent="0.35">
      <c r="A758" s="93" t="s">
        <v>53</v>
      </c>
      <c r="B758" s="86" t="s">
        <v>316</v>
      </c>
      <c r="C758" s="85" t="s">
        <v>317</v>
      </c>
      <c r="D758" s="93">
        <v>156</v>
      </c>
      <c r="E758" s="121">
        <v>2951587</v>
      </c>
      <c r="F758" s="121">
        <v>2951587</v>
      </c>
      <c r="G758" s="413" t="s">
        <v>529</v>
      </c>
      <c r="H758" s="392">
        <v>0</v>
      </c>
      <c r="I758" s="121">
        <v>4502407</v>
      </c>
      <c r="J758" s="121">
        <v>4444654</v>
      </c>
      <c r="K758" s="121">
        <v>57753</v>
      </c>
      <c r="L758" s="121">
        <v>-57753</v>
      </c>
      <c r="M758" s="451" t="s">
        <v>529</v>
      </c>
    </row>
    <row r="759" spans="1:13" ht="15.5" outlineLevel="2" x14ac:dyDescent="0.35">
      <c r="A759" s="93" t="s">
        <v>53</v>
      </c>
      <c r="B759" s="86" t="s">
        <v>282</v>
      </c>
      <c r="C759" s="85" t="s">
        <v>283</v>
      </c>
      <c r="D759" s="93">
        <v>58</v>
      </c>
      <c r="E759" s="121">
        <v>2597892</v>
      </c>
      <c r="F759" s="121">
        <v>2597892</v>
      </c>
      <c r="G759" s="413" t="s">
        <v>529</v>
      </c>
      <c r="H759" s="392">
        <v>0</v>
      </c>
      <c r="I759" s="121">
        <v>227843</v>
      </c>
      <c r="J759" s="121">
        <v>227326</v>
      </c>
      <c r="K759" s="121">
        <v>517</v>
      </c>
      <c r="L759" s="121">
        <v>-517</v>
      </c>
      <c r="M759" s="451" t="s">
        <v>529</v>
      </c>
    </row>
    <row r="760" spans="1:13" ht="15" customHeight="1" outlineLevel="2" x14ac:dyDescent="0.35">
      <c r="A760" s="93" t="s">
        <v>53</v>
      </c>
      <c r="B760" s="86" t="s">
        <v>311</v>
      </c>
      <c r="C760" s="85" t="s">
        <v>288</v>
      </c>
      <c r="D760" s="93">
        <v>208</v>
      </c>
      <c r="E760" s="121">
        <v>21601815</v>
      </c>
      <c r="F760" s="121">
        <v>21537808</v>
      </c>
      <c r="G760" s="413" t="s">
        <v>529</v>
      </c>
      <c r="H760" s="121">
        <v>64007</v>
      </c>
      <c r="I760" s="121">
        <v>1912828</v>
      </c>
      <c r="J760" s="121">
        <v>1912828</v>
      </c>
      <c r="K760" s="392">
        <v>0</v>
      </c>
      <c r="L760" s="121">
        <v>64007</v>
      </c>
      <c r="M760" s="451" t="s">
        <v>529</v>
      </c>
    </row>
    <row r="761" spans="1:13" ht="15" customHeight="1" outlineLevel="2" x14ac:dyDescent="0.35">
      <c r="A761" s="93" t="s">
        <v>53</v>
      </c>
      <c r="B761" s="86" t="s">
        <v>115</v>
      </c>
      <c r="C761" s="85" t="s">
        <v>93</v>
      </c>
      <c r="D761" s="93">
        <v>260</v>
      </c>
      <c r="E761" s="121">
        <v>10398943</v>
      </c>
      <c r="F761" s="121">
        <v>10397070</v>
      </c>
      <c r="G761" s="413" t="s">
        <v>529</v>
      </c>
      <c r="H761" s="121">
        <v>1873</v>
      </c>
      <c r="I761" s="121">
        <v>940785</v>
      </c>
      <c r="J761" s="121">
        <v>940785</v>
      </c>
      <c r="K761" s="392">
        <v>0</v>
      </c>
      <c r="L761" s="121">
        <v>1873</v>
      </c>
      <c r="M761" s="451" t="s">
        <v>529</v>
      </c>
    </row>
    <row r="762" spans="1:13" ht="15" customHeight="1" outlineLevel="2" x14ac:dyDescent="0.35">
      <c r="A762" s="137" t="s">
        <v>217</v>
      </c>
      <c r="B762" s="429" t="s">
        <v>529</v>
      </c>
      <c r="C762" s="430" t="s">
        <v>529</v>
      </c>
      <c r="D762" s="409" t="s">
        <v>529</v>
      </c>
      <c r="E762" s="138">
        <f>SUBTOTAL(109,school200001[Program
Costs])</f>
        <v>306231013</v>
      </c>
      <c r="F762" s="138">
        <f>SUBTOTAL(109,school200001[Less: Net Payments and Offsets 8])</f>
        <v>302749655</v>
      </c>
      <c r="G762" s="414" t="s">
        <v>552</v>
      </c>
      <c r="H762" s="138">
        <f>SUBTOTAL(109,school200001[Accounts Payable
Balance])</f>
        <v>3481358</v>
      </c>
      <c r="I762" s="138">
        <f>SUBTOTAL(109,school200001[Established
Accounts Receivable])</f>
        <v>21213288</v>
      </c>
      <c r="J762" s="138">
        <f>SUBTOTAL(109,school200001[Less: Recovered Amount])</f>
        <v>21091402</v>
      </c>
      <c r="K762" s="138">
        <f>SUBTOTAL(109,school200001[Accounts Receivable
Balance])</f>
        <v>121886</v>
      </c>
      <c r="L762" s="138">
        <f>SUBTOTAL(109,school200001[Net
Balance])</f>
        <v>3359472</v>
      </c>
      <c r="M762" s="414" t="s">
        <v>552</v>
      </c>
    </row>
    <row r="763" spans="1:13" ht="15" customHeight="1" outlineLevel="2" x14ac:dyDescent="0.35">
      <c r="A763" s="386" t="s">
        <v>540</v>
      </c>
      <c r="B763" s="404"/>
      <c r="C763" s="135"/>
      <c r="D763" s="405"/>
      <c r="E763" s="406"/>
      <c r="F763" s="406"/>
      <c r="G763" s="406"/>
      <c r="H763" s="406"/>
      <c r="I763" s="406"/>
      <c r="J763" s="406"/>
      <c r="K763" s="406"/>
      <c r="L763" s="406"/>
      <c r="M763" s="406"/>
    </row>
    <row r="764" spans="1:13" ht="50" customHeight="1" outlineLevel="2" x14ac:dyDescent="0.35">
      <c r="A764" s="457" t="s">
        <v>11</v>
      </c>
      <c r="B764" s="300" t="s">
        <v>12</v>
      </c>
      <c r="C764" s="158" t="s">
        <v>0</v>
      </c>
      <c r="D764" s="300" t="s">
        <v>132</v>
      </c>
      <c r="E764" s="458" t="s">
        <v>125</v>
      </c>
      <c r="F764" s="423" t="s">
        <v>614</v>
      </c>
      <c r="G764" s="424" t="s">
        <v>531</v>
      </c>
      <c r="H764" s="422" t="s">
        <v>495</v>
      </c>
      <c r="I764" s="422" t="s">
        <v>496</v>
      </c>
      <c r="J764" s="458" t="s">
        <v>134</v>
      </c>
      <c r="K764" s="422" t="s">
        <v>497</v>
      </c>
      <c r="L764" s="458" t="s">
        <v>133</v>
      </c>
      <c r="M764" s="459" t="s">
        <v>532</v>
      </c>
    </row>
    <row r="765" spans="1:13" ht="30" customHeight="1" outlineLevel="2" x14ac:dyDescent="0.35">
      <c r="A765" s="93" t="s">
        <v>54</v>
      </c>
      <c r="B765" s="86" t="s">
        <v>268</v>
      </c>
      <c r="C765" s="85" t="s">
        <v>266</v>
      </c>
      <c r="D765" s="93">
        <v>348</v>
      </c>
      <c r="E765" s="121">
        <v>35228511</v>
      </c>
      <c r="F765" s="121">
        <v>32753841</v>
      </c>
      <c r="G765" s="413" t="s">
        <v>529</v>
      </c>
      <c r="H765" s="121">
        <v>2474670</v>
      </c>
      <c r="I765" s="392">
        <v>0</v>
      </c>
      <c r="J765" s="392">
        <v>0</v>
      </c>
      <c r="K765" s="392">
        <v>0</v>
      </c>
      <c r="L765" s="121">
        <v>2474670</v>
      </c>
      <c r="M765" s="451" t="s">
        <v>529</v>
      </c>
    </row>
    <row r="766" spans="1:13" ht="15.5" outlineLevel="2" x14ac:dyDescent="0.35">
      <c r="A766" s="93" t="s">
        <v>54</v>
      </c>
      <c r="B766" s="86" t="s">
        <v>313</v>
      </c>
      <c r="C766" s="85" t="s">
        <v>71</v>
      </c>
      <c r="D766" s="93">
        <v>140</v>
      </c>
      <c r="E766" s="121">
        <v>3780229</v>
      </c>
      <c r="F766" s="121">
        <v>3780229</v>
      </c>
      <c r="G766" s="413" t="s">
        <v>529</v>
      </c>
      <c r="H766" s="392">
        <v>0</v>
      </c>
      <c r="I766" s="121">
        <v>66628</v>
      </c>
      <c r="J766" s="121">
        <v>64889</v>
      </c>
      <c r="K766" s="121">
        <v>1739</v>
      </c>
      <c r="L766" s="121">
        <v>-1739</v>
      </c>
      <c r="M766" s="451" t="s">
        <v>529</v>
      </c>
    </row>
    <row r="767" spans="1:13" ht="30" customHeight="1" outlineLevel="2" x14ac:dyDescent="0.35">
      <c r="A767" s="93" t="s">
        <v>54</v>
      </c>
      <c r="B767" s="86" t="s">
        <v>72</v>
      </c>
      <c r="C767" s="85" t="s">
        <v>73</v>
      </c>
      <c r="D767" s="93">
        <v>11</v>
      </c>
      <c r="E767" s="121">
        <v>43276594</v>
      </c>
      <c r="F767" s="121">
        <v>43276594</v>
      </c>
      <c r="G767" s="413" t="s">
        <v>529</v>
      </c>
      <c r="H767" s="392">
        <v>0</v>
      </c>
      <c r="I767" s="121">
        <v>5245736</v>
      </c>
      <c r="J767" s="121">
        <v>5240272</v>
      </c>
      <c r="K767" s="121">
        <v>5464</v>
      </c>
      <c r="L767" s="121">
        <v>-5464</v>
      </c>
      <c r="M767" s="451" t="s">
        <v>529</v>
      </c>
    </row>
    <row r="768" spans="1:13" ht="15" customHeight="1" outlineLevel="2" x14ac:dyDescent="0.35">
      <c r="A768" s="93" t="s">
        <v>54</v>
      </c>
      <c r="B768" s="86" t="s">
        <v>291</v>
      </c>
      <c r="C768" s="85" t="s">
        <v>93</v>
      </c>
      <c r="D768" s="93">
        <v>26</v>
      </c>
      <c r="E768" s="121">
        <v>7457120</v>
      </c>
      <c r="F768" s="121">
        <v>7457120</v>
      </c>
      <c r="G768" s="413" t="s">
        <v>529</v>
      </c>
      <c r="H768" s="392">
        <v>0</v>
      </c>
      <c r="I768" s="121">
        <v>1014331</v>
      </c>
      <c r="J768" s="121">
        <v>983829</v>
      </c>
      <c r="K768" s="121">
        <v>30502</v>
      </c>
      <c r="L768" s="121">
        <v>-30502</v>
      </c>
      <c r="M768" s="451" t="s">
        <v>529</v>
      </c>
    </row>
    <row r="769" spans="1:13" ht="30" customHeight="1" outlineLevel="2" x14ac:dyDescent="0.35">
      <c r="A769" s="93" t="s">
        <v>54</v>
      </c>
      <c r="B769" s="86" t="s">
        <v>423</v>
      </c>
      <c r="C769" s="85" t="s">
        <v>93</v>
      </c>
      <c r="D769" s="93">
        <v>295</v>
      </c>
      <c r="E769" s="121">
        <v>136367742</v>
      </c>
      <c r="F769" s="121">
        <v>135960581</v>
      </c>
      <c r="G769" s="413" t="s">
        <v>529</v>
      </c>
      <c r="H769" s="121">
        <v>407161</v>
      </c>
      <c r="I769" s="392">
        <v>0</v>
      </c>
      <c r="J769" s="392">
        <v>0</v>
      </c>
      <c r="K769" s="392">
        <v>0</v>
      </c>
      <c r="L769" s="121">
        <v>407161</v>
      </c>
      <c r="M769" s="451" t="s">
        <v>529</v>
      </c>
    </row>
    <row r="770" spans="1:13" ht="15" customHeight="1" outlineLevel="2" x14ac:dyDescent="0.35">
      <c r="A770" s="93" t="s">
        <v>54</v>
      </c>
      <c r="B770" s="86" t="s">
        <v>155</v>
      </c>
      <c r="C770" s="85" t="s">
        <v>156</v>
      </c>
      <c r="D770" s="93">
        <v>42</v>
      </c>
      <c r="E770" s="121">
        <v>14287192</v>
      </c>
      <c r="F770" s="121">
        <v>14287192</v>
      </c>
      <c r="G770" s="413" t="s">
        <v>529</v>
      </c>
      <c r="H770" s="392">
        <v>0</v>
      </c>
      <c r="I770" s="121">
        <v>111664</v>
      </c>
      <c r="J770" s="121">
        <v>111537</v>
      </c>
      <c r="K770" s="121">
        <v>127</v>
      </c>
      <c r="L770" s="121">
        <v>-127</v>
      </c>
      <c r="M770" s="451" t="s">
        <v>529</v>
      </c>
    </row>
    <row r="771" spans="1:13" ht="15.5" outlineLevel="1" x14ac:dyDescent="0.35">
      <c r="A771" s="93" t="s">
        <v>54</v>
      </c>
      <c r="B771" s="86" t="s">
        <v>222</v>
      </c>
      <c r="C771" s="85" t="s">
        <v>145</v>
      </c>
      <c r="D771" s="93">
        <v>92</v>
      </c>
      <c r="E771" s="121">
        <v>4416671</v>
      </c>
      <c r="F771" s="121">
        <v>4416671</v>
      </c>
      <c r="G771" s="413" t="s">
        <v>529</v>
      </c>
      <c r="H771" s="392">
        <v>0</v>
      </c>
      <c r="I771" s="121">
        <v>67236</v>
      </c>
      <c r="J771" s="121">
        <v>67019</v>
      </c>
      <c r="K771" s="121">
        <v>217</v>
      </c>
      <c r="L771" s="121">
        <v>-217</v>
      </c>
      <c r="M771" s="451" t="s">
        <v>529</v>
      </c>
    </row>
    <row r="772" spans="1:13" ht="15.5" outlineLevel="2" x14ac:dyDescent="0.35">
      <c r="A772" s="93" t="s">
        <v>54</v>
      </c>
      <c r="B772" s="86" t="s">
        <v>144</v>
      </c>
      <c r="C772" s="85" t="s">
        <v>145</v>
      </c>
      <c r="D772" s="93">
        <v>218</v>
      </c>
      <c r="E772" s="121">
        <v>222400</v>
      </c>
      <c r="F772" s="121">
        <v>219969</v>
      </c>
      <c r="G772" s="413" t="s">
        <v>529</v>
      </c>
      <c r="H772" s="121">
        <v>2431</v>
      </c>
      <c r="I772" s="392">
        <v>0</v>
      </c>
      <c r="J772" s="392">
        <v>0</v>
      </c>
      <c r="K772" s="392">
        <v>0</v>
      </c>
      <c r="L772" s="121">
        <v>2431</v>
      </c>
      <c r="M772" s="451" t="s">
        <v>529</v>
      </c>
    </row>
    <row r="773" spans="1:13" ht="15.5" outlineLevel="2" x14ac:dyDescent="0.35">
      <c r="A773" s="93" t="s">
        <v>54</v>
      </c>
      <c r="B773" s="86" t="s">
        <v>324</v>
      </c>
      <c r="C773" s="85" t="s">
        <v>323</v>
      </c>
      <c r="D773" s="93">
        <v>137</v>
      </c>
      <c r="E773" s="121">
        <v>242</v>
      </c>
      <c r="F773" s="121">
        <v>242</v>
      </c>
      <c r="G773" s="413" t="s">
        <v>529</v>
      </c>
      <c r="H773" s="392">
        <v>0</v>
      </c>
      <c r="I773" s="121">
        <v>5578</v>
      </c>
      <c r="J773" s="121">
        <v>5336</v>
      </c>
      <c r="K773" s="121">
        <v>242</v>
      </c>
      <c r="L773" s="121">
        <v>-242</v>
      </c>
      <c r="M773" s="451" t="s">
        <v>529</v>
      </c>
    </row>
    <row r="774" spans="1:13" ht="15" customHeight="1" outlineLevel="2" x14ac:dyDescent="0.35">
      <c r="A774" s="93" t="s">
        <v>54</v>
      </c>
      <c r="B774" s="86" t="s">
        <v>322</v>
      </c>
      <c r="C774" s="85" t="s">
        <v>323</v>
      </c>
      <c r="D774" s="93">
        <v>184</v>
      </c>
      <c r="E774" s="121">
        <v>3567570</v>
      </c>
      <c r="F774" s="121">
        <v>3567570</v>
      </c>
      <c r="G774" s="413" t="s">
        <v>529</v>
      </c>
      <c r="H774" s="392">
        <v>0</v>
      </c>
      <c r="I774" s="121">
        <v>21765</v>
      </c>
      <c r="J774" s="121">
        <v>21752</v>
      </c>
      <c r="K774" s="121">
        <v>13</v>
      </c>
      <c r="L774" s="121">
        <v>-13</v>
      </c>
      <c r="M774" s="451" t="s">
        <v>529</v>
      </c>
    </row>
    <row r="775" spans="1:13" ht="15.5" outlineLevel="2" x14ac:dyDescent="0.35">
      <c r="A775" s="93" t="s">
        <v>54</v>
      </c>
      <c r="B775" s="86" t="s">
        <v>311</v>
      </c>
      <c r="C775" s="85" t="s">
        <v>288</v>
      </c>
      <c r="D775" s="93">
        <v>208</v>
      </c>
      <c r="E775" s="121">
        <v>23284241</v>
      </c>
      <c r="F775" s="121">
        <v>23249938</v>
      </c>
      <c r="G775" s="413" t="s">
        <v>529</v>
      </c>
      <c r="H775" s="121">
        <v>34303</v>
      </c>
      <c r="I775" s="121">
        <v>1272821</v>
      </c>
      <c r="J775" s="121">
        <v>1272821</v>
      </c>
      <c r="K775" s="392">
        <v>0</v>
      </c>
      <c r="L775" s="121">
        <v>34303</v>
      </c>
      <c r="M775" s="451" t="s">
        <v>529</v>
      </c>
    </row>
    <row r="776" spans="1:13" ht="15" customHeight="1" outlineLevel="2" x14ac:dyDescent="0.35">
      <c r="A776" s="137" t="s">
        <v>220</v>
      </c>
      <c r="B776" s="429" t="s">
        <v>529</v>
      </c>
      <c r="C776" s="430" t="s">
        <v>529</v>
      </c>
      <c r="D776" s="409" t="s">
        <v>529</v>
      </c>
      <c r="E776" s="138">
        <f>SUBTOTAL(109,school199900[Program
Costs])</f>
        <v>271888512</v>
      </c>
      <c r="F776" s="138">
        <f>SUBTOTAL(109,school199900[Less: Net Payments and Offsets 8])</f>
        <v>268969947</v>
      </c>
      <c r="G776" s="414" t="s">
        <v>552</v>
      </c>
      <c r="H776" s="138">
        <f>SUBTOTAL(109,school199900[Accounts Payable
Balance])</f>
        <v>2918565</v>
      </c>
      <c r="I776" s="138">
        <f>SUBTOTAL(109,school199900[Established
Accounts Receivable])</f>
        <v>7805759</v>
      </c>
      <c r="J776" s="138">
        <f>SUBTOTAL(109,school199900[Less: Recovered Amount])</f>
        <v>7767455</v>
      </c>
      <c r="K776" s="138">
        <f>SUBTOTAL(109,school199900[Accounts Receivable
Balance])</f>
        <v>38304</v>
      </c>
      <c r="L776" s="138">
        <f>SUBTOTAL(109,school199900[Net
Balance])</f>
        <v>2880261</v>
      </c>
      <c r="M776" s="414" t="s">
        <v>552</v>
      </c>
    </row>
    <row r="777" spans="1:13" ht="15.5" outlineLevel="1" x14ac:dyDescent="0.35">
      <c r="A777" s="386" t="s">
        <v>540</v>
      </c>
      <c r="B777" s="139"/>
      <c r="C777" s="139"/>
      <c r="D777" s="139"/>
      <c r="E777" s="140"/>
      <c r="F777" s="140"/>
      <c r="G777" s="140"/>
      <c r="H777" s="140"/>
      <c r="I777" s="140"/>
      <c r="J777" s="140"/>
      <c r="K777" s="140"/>
      <c r="L777" s="140"/>
      <c r="M777" s="476"/>
    </row>
    <row r="778" spans="1:13" ht="50" customHeight="1" outlineLevel="1" x14ac:dyDescent="0.35">
      <c r="A778" s="457" t="s">
        <v>11</v>
      </c>
      <c r="B778" s="300" t="s">
        <v>12</v>
      </c>
      <c r="C778" s="158" t="s">
        <v>0</v>
      </c>
      <c r="D778" s="300" t="s">
        <v>132</v>
      </c>
      <c r="E778" s="458" t="s">
        <v>125</v>
      </c>
      <c r="F778" s="423" t="s">
        <v>614</v>
      </c>
      <c r="G778" s="424" t="s">
        <v>531</v>
      </c>
      <c r="H778" s="422" t="s">
        <v>495</v>
      </c>
      <c r="I778" s="422" t="s">
        <v>496</v>
      </c>
      <c r="J778" s="458" t="s">
        <v>134</v>
      </c>
      <c r="K778" s="422" t="s">
        <v>497</v>
      </c>
      <c r="L778" s="458" t="s">
        <v>133</v>
      </c>
      <c r="M778" s="459" t="s">
        <v>532</v>
      </c>
    </row>
    <row r="779" spans="1:13" ht="35.5" customHeight="1" outlineLevel="2" x14ac:dyDescent="0.35">
      <c r="A779" s="93" t="s">
        <v>221</v>
      </c>
      <c r="B779" s="86" t="s">
        <v>268</v>
      </c>
      <c r="C779" s="85" t="s">
        <v>266</v>
      </c>
      <c r="D779" s="93">
        <v>348</v>
      </c>
      <c r="E779" s="121">
        <v>33439820</v>
      </c>
      <c r="F779" s="121">
        <v>31066839</v>
      </c>
      <c r="G779" s="413" t="s">
        <v>529</v>
      </c>
      <c r="H779" s="121">
        <v>2372981</v>
      </c>
      <c r="I779" s="392">
        <v>0</v>
      </c>
      <c r="J779" s="392">
        <v>0</v>
      </c>
      <c r="K779" s="392">
        <v>0</v>
      </c>
      <c r="L779" s="121">
        <v>2372981</v>
      </c>
      <c r="M779" s="451" t="s">
        <v>529</v>
      </c>
    </row>
    <row r="780" spans="1:13" ht="30" customHeight="1" outlineLevel="2" x14ac:dyDescent="0.35">
      <c r="A780" s="93" t="s">
        <v>221</v>
      </c>
      <c r="B780" s="86" t="s">
        <v>72</v>
      </c>
      <c r="C780" s="85" t="s">
        <v>73</v>
      </c>
      <c r="D780" s="93">
        <v>11</v>
      </c>
      <c r="E780" s="121">
        <v>44841220</v>
      </c>
      <c r="F780" s="121">
        <v>44841220</v>
      </c>
      <c r="G780" s="413" t="s">
        <v>529</v>
      </c>
      <c r="H780" s="392">
        <v>0</v>
      </c>
      <c r="I780" s="121">
        <v>4763751</v>
      </c>
      <c r="J780" s="121">
        <v>4753555</v>
      </c>
      <c r="K780" s="121">
        <v>10196</v>
      </c>
      <c r="L780" s="121">
        <v>-10196</v>
      </c>
      <c r="M780" s="451" t="s">
        <v>529</v>
      </c>
    </row>
    <row r="781" spans="1:13" ht="30" customHeight="1" outlineLevel="2" x14ac:dyDescent="0.35">
      <c r="A781" s="93" t="s">
        <v>221</v>
      </c>
      <c r="B781" s="86" t="s">
        <v>423</v>
      </c>
      <c r="C781" s="85" t="s">
        <v>93</v>
      </c>
      <c r="D781" s="93">
        <v>295</v>
      </c>
      <c r="E781" s="121">
        <v>113120944</v>
      </c>
      <c r="F781" s="121">
        <v>113117899</v>
      </c>
      <c r="G781" s="413" t="s">
        <v>529</v>
      </c>
      <c r="H781" s="121">
        <v>3045</v>
      </c>
      <c r="I781" s="392">
        <v>0</v>
      </c>
      <c r="J781" s="392">
        <v>0</v>
      </c>
      <c r="K781" s="392">
        <v>0</v>
      </c>
      <c r="L781" s="121">
        <v>3045</v>
      </c>
      <c r="M781" s="451" t="s">
        <v>529</v>
      </c>
    </row>
    <row r="782" spans="1:13" ht="15" customHeight="1" outlineLevel="2" x14ac:dyDescent="0.35">
      <c r="A782" s="93" t="s">
        <v>221</v>
      </c>
      <c r="B782" s="86" t="s">
        <v>155</v>
      </c>
      <c r="C782" s="85" t="s">
        <v>156</v>
      </c>
      <c r="D782" s="93">
        <v>42</v>
      </c>
      <c r="E782" s="121">
        <v>11713000</v>
      </c>
      <c r="F782" s="121">
        <v>11713000</v>
      </c>
      <c r="G782" s="413" t="s">
        <v>529</v>
      </c>
      <c r="H782" s="392">
        <v>0</v>
      </c>
      <c r="I782" s="121">
        <v>1237169</v>
      </c>
      <c r="J782" s="121">
        <v>1236569</v>
      </c>
      <c r="K782" s="121">
        <v>600</v>
      </c>
      <c r="L782" s="121">
        <v>-600</v>
      </c>
      <c r="M782" s="451" t="s">
        <v>529</v>
      </c>
    </row>
    <row r="783" spans="1:13" ht="15.5" outlineLevel="2" x14ac:dyDescent="0.35">
      <c r="A783" s="93" t="s">
        <v>221</v>
      </c>
      <c r="B783" s="86" t="s">
        <v>110</v>
      </c>
      <c r="C783" s="85" t="s">
        <v>111</v>
      </c>
      <c r="D783" s="93">
        <v>244</v>
      </c>
      <c r="E783" s="121">
        <v>860408</v>
      </c>
      <c r="F783" s="121">
        <v>860408</v>
      </c>
      <c r="G783" s="413" t="s">
        <v>529</v>
      </c>
      <c r="H783" s="392">
        <v>0</v>
      </c>
      <c r="I783" s="121">
        <v>3186168</v>
      </c>
      <c r="J783" s="121">
        <v>1861377</v>
      </c>
      <c r="K783" s="121">
        <v>1324791</v>
      </c>
      <c r="L783" s="121">
        <v>-1324791</v>
      </c>
      <c r="M783" s="451" t="s">
        <v>529</v>
      </c>
    </row>
    <row r="784" spans="1:13" ht="15" customHeight="1" outlineLevel="2" x14ac:dyDescent="0.35">
      <c r="A784" s="93" t="s">
        <v>221</v>
      </c>
      <c r="B784" s="86" t="s">
        <v>112</v>
      </c>
      <c r="C784" s="85" t="s">
        <v>113</v>
      </c>
      <c r="D784" s="93">
        <v>171</v>
      </c>
      <c r="E784" s="121">
        <v>2804864</v>
      </c>
      <c r="F784" s="121">
        <v>2804864</v>
      </c>
      <c r="G784" s="413" t="s">
        <v>529</v>
      </c>
      <c r="H784" s="392">
        <v>0</v>
      </c>
      <c r="I784" s="121">
        <v>484721</v>
      </c>
      <c r="J784" s="121">
        <v>484421</v>
      </c>
      <c r="K784" s="121">
        <v>300</v>
      </c>
      <c r="L784" s="121">
        <v>-300</v>
      </c>
      <c r="M784" s="451" t="s">
        <v>529</v>
      </c>
    </row>
    <row r="785" spans="1:13" ht="15.5" outlineLevel="2" x14ac:dyDescent="0.35">
      <c r="A785" s="137" t="s">
        <v>225</v>
      </c>
      <c r="B785" s="429" t="s">
        <v>529</v>
      </c>
      <c r="C785" s="430" t="s">
        <v>529</v>
      </c>
      <c r="D785" s="409" t="s">
        <v>529</v>
      </c>
      <c r="E785" s="138">
        <f>SUBTOTAL(109,school199899[Program
Costs])</f>
        <v>206780256</v>
      </c>
      <c r="F785" s="138">
        <f>SUBTOTAL(109,school199899[Less: Net Payments and Offsets 8])</f>
        <v>204404230</v>
      </c>
      <c r="G785" s="414" t="s">
        <v>552</v>
      </c>
      <c r="H785" s="138">
        <f>SUBTOTAL(109,school199899[Accounts Payable
Balance])</f>
        <v>2376026</v>
      </c>
      <c r="I785" s="138">
        <f>SUBTOTAL(109,school199899[Established
Accounts Receivable])</f>
        <v>9671809</v>
      </c>
      <c r="J785" s="138">
        <f>SUBTOTAL(109,school199899[Less: Recovered Amount])</f>
        <v>8335922</v>
      </c>
      <c r="K785" s="138">
        <f>SUBTOTAL(109,school199899[Accounts Receivable
Balance])</f>
        <v>1335887</v>
      </c>
      <c r="L785" s="138">
        <f>SUBTOTAL(109,school199899[Net
Balance])</f>
        <v>1040139</v>
      </c>
      <c r="M785" s="414" t="s">
        <v>552</v>
      </c>
    </row>
    <row r="786" spans="1:13" ht="15.5" outlineLevel="2" x14ac:dyDescent="0.35">
      <c r="A786" s="386" t="s">
        <v>540</v>
      </c>
      <c r="B786" s="144"/>
      <c r="C786" s="82"/>
      <c r="D786" s="69"/>
      <c r="E786" s="145"/>
      <c r="F786" s="145"/>
      <c r="G786" s="145"/>
      <c r="H786" s="145"/>
      <c r="I786" s="145"/>
      <c r="J786" s="145"/>
      <c r="K786" s="145"/>
      <c r="L786" s="145"/>
      <c r="M786" s="145"/>
    </row>
    <row r="787" spans="1:13" ht="50" customHeight="1" outlineLevel="2" x14ac:dyDescent="0.35">
      <c r="A787" s="457" t="s">
        <v>11</v>
      </c>
      <c r="B787" s="300" t="s">
        <v>12</v>
      </c>
      <c r="C787" s="158" t="s">
        <v>0</v>
      </c>
      <c r="D787" s="300" t="s">
        <v>132</v>
      </c>
      <c r="E787" s="458" t="s">
        <v>125</v>
      </c>
      <c r="F787" s="423" t="s">
        <v>614</v>
      </c>
      <c r="G787" s="424" t="s">
        <v>531</v>
      </c>
      <c r="H787" s="422" t="s">
        <v>495</v>
      </c>
      <c r="I787" s="422" t="s">
        <v>496</v>
      </c>
      <c r="J787" s="458" t="s">
        <v>134</v>
      </c>
      <c r="K787" s="422" t="s">
        <v>497</v>
      </c>
      <c r="L787" s="458" t="s">
        <v>133</v>
      </c>
      <c r="M787" s="459" t="s">
        <v>532</v>
      </c>
    </row>
    <row r="788" spans="1:13" ht="31" outlineLevel="1" x14ac:dyDescent="0.35">
      <c r="A788" s="93" t="s">
        <v>226</v>
      </c>
      <c r="B788" s="86" t="s">
        <v>268</v>
      </c>
      <c r="C788" s="85" t="s">
        <v>266</v>
      </c>
      <c r="D788" s="93">
        <v>348</v>
      </c>
      <c r="E788" s="121">
        <v>32997398</v>
      </c>
      <c r="F788" s="121">
        <v>30671594</v>
      </c>
      <c r="G788" s="413" t="s">
        <v>529</v>
      </c>
      <c r="H788" s="121">
        <v>2325804</v>
      </c>
      <c r="I788" s="392">
        <v>0</v>
      </c>
      <c r="J788" s="392">
        <v>0</v>
      </c>
      <c r="K788" s="392">
        <v>0</v>
      </c>
      <c r="L788" s="121">
        <v>2325804</v>
      </c>
      <c r="M788" s="451" t="s">
        <v>529</v>
      </c>
    </row>
    <row r="789" spans="1:13" ht="30" customHeight="1" outlineLevel="2" x14ac:dyDescent="0.35">
      <c r="A789" s="93" t="s">
        <v>226</v>
      </c>
      <c r="B789" s="86" t="s">
        <v>72</v>
      </c>
      <c r="C789" s="85" t="s">
        <v>73</v>
      </c>
      <c r="D789" s="93">
        <v>11</v>
      </c>
      <c r="E789" s="121">
        <v>36462408</v>
      </c>
      <c r="F789" s="121">
        <v>36462408</v>
      </c>
      <c r="G789" s="413" t="s">
        <v>529</v>
      </c>
      <c r="H789" s="392">
        <v>0</v>
      </c>
      <c r="I789" s="121">
        <v>6956351</v>
      </c>
      <c r="J789" s="121">
        <v>6947061</v>
      </c>
      <c r="K789" s="121">
        <v>9290</v>
      </c>
      <c r="L789" s="121">
        <v>-9290</v>
      </c>
      <c r="M789" s="451" t="s">
        <v>529</v>
      </c>
    </row>
    <row r="790" spans="1:13" ht="15" customHeight="1" outlineLevel="2" x14ac:dyDescent="0.35">
      <c r="A790" s="93" t="s">
        <v>226</v>
      </c>
      <c r="B790" s="86" t="s">
        <v>314</v>
      </c>
      <c r="C790" s="85" t="s">
        <v>306</v>
      </c>
      <c r="D790" s="93">
        <v>75</v>
      </c>
      <c r="E790" s="121">
        <v>21038713</v>
      </c>
      <c r="F790" s="121">
        <v>21038713</v>
      </c>
      <c r="G790" s="413" t="s">
        <v>529</v>
      </c>
      <c r="H790" s="392">
        <v>0</v>
      </c>
      <c r="I790" s="121">
        <v>1479796</v>
      </c>
      <c r="J790" s="121">
        <v>1479331</v>
      </c>
      <c r="K790" s="121">
        <v>465</v>
      </c>
      <c r="L790" s="121">
        <v>-465</v>
      </c>
      <c r="M790" s="451" t="s">
        <v>529</v>
      </c>
    </row>
    <row r="791" spans="1:13" ht="15" customHeight="1" outlineLevel="2" x14ac:dyDescent="0.35">
      <c r="A791" s="93" t="s">
        <v>226</v>
      </c>
      <c r="B791" s="86" t="s">
        <v>249</v>
      </c>
      <c r="C791" s="85" t="s">
        <v>250</v>
      </c>
      <c r="D791" s="93">
        <v>148</v>
      </c>
      <c r="E791" s="121">
        <v>1779879</v>
      </c>
      <c r="F791" s="121">
        <v>1779879</v>
      </c>
      <c r="G791" s="413" t="s">
        <v>529</v>
      </c>
      <c r="H791" s="392">
        <v>0</v>
      </c>
      <c r="I791" s="121">
        <v>249145</v>
      </c>
      <c r="J791" s="121">
        <v>248887</v>
      </c>
      <c r="K791" s="121">
        <v>258</v>
      </c>
      <c r="L791" s="121">
        <v>-258</v>
      </c>
      <c r="M791" s="451" t="s">
        <v>529</v>
      </c>
    </row>
    <row r="792" spans="1:13" ht="30" customHeight="1" outlineLevel="2" x14ac:dyDescent="0.35">
      <c r="A792" s="93" t="s">
        <v>226</v>
      </c>
      <c r="B792" s="86" t="s">
        <v>325</v>
      </c>
      <c r="C792" s="85" t="s">
        <v>250</v>
      </c>
      <c r="D792" s="93">
        <v>149</v>
      </c>
      <c r="E792" s="121">
        <v>1091525</v>
      </c>
      <c r="F792" s="121">
        <v>1091525</v>
      </c>
      <c r="G792" s="413" t="s">
        <v>529</v>
      </c>
      <c r="H792" s="392">
        <v>0</v>
      </c>
      <c r="I792" s="121">
        <v>437671</v>
      </c>
      <c r="J792" s="121">
        <v>436936</v>
      </c>
      <c r="K792" s="121">
        <v>735</v>
      </c>
      <c r="L792" s="121">
        <v>-735</v>
      </c>
      <c r="M792" s="451" t="s">
        <v>529</v>
      </c>
    </row>
    <row r="793" spans="1:13" ht="15.5" outlineLevel="1" x14ac:dyDescent="0.35">
      <c r="A793" s="93" t="s">
        <v>226</v>
      </c>
      <c r="B793" s="86" t="s">
        <v>222</v>
      </c>
      <c r="C793" s="85" t="s">
        <v>145</v>
      </c>
      <c r="D793" s="93">
        <v>92</v>
      </c>
      <c r="E793" s="121">
        <v>3396990</v>
      </c>
      <c r="F793" s="121">
        <v>3396990</v>
      </c>
      <c r="G793" s="413" t="s">
        <v>529</v>
      </c>
      <c r="H793" s="392">
        <v>0</v>
      </c>
      <c r="I793" s="121">
        <v>223087</v>
      </c>
      <c r="J793" s="121">
        <v>220400</v>
      </c>
      <c r="K793" s="121">
        <v>2687</v>
      </c>
      <c r="L793" s="121">
        <v>-2687</v>
      </c>
      <c r="M793" s="451" t="s">
        <v>529</v>
      </c>
    </row>
    <row r="794" spans="1:13" ht="15.5" outlineLevel="2" x14ac:dyDescent="0.35">
      <c r="A794" s="137" t="s">
        <v>227</v>
      </c>
      <c r="B794" s="429" t="s">
        <v>529</v>
      </c>
      <c r="C794" s="430" t="s">
        <v>529</v>
      </c>
      <c r="D794" s="409" t="s">
        <v>529</v>
      </c>
      <c r="E794" s="138">
        <f>SUBTOTAL(109,school199798[Program
Costs])</f>
        <v>96766913</v>
      </c>
      <c r="F794" s="138">
        <f>SUBTOTAL(109,school199798[Less: Net Payments and Offsets 8])</f>
        <v>94441109</v>
      </c>
      <c r="G794" s="414" t="s">
        <v>552</v>
      </c>
      <c r="H794" s="138">
        <f>SUBTOTAL(109,school199798[Accounts Payable
Balance])</f>
        <v>2325804</v>
      </c>
      <c r="I794" s="138">
        <f>SUBTOTAL(109,school199798[Established
Accounts Receivable])</f>
        <v>9346050</v>
      </c>
      <c r="J794" s="138">
        <f>SUBTOTAL(109,school199798[Less: Recovered Amount])</f>
        <v>9332615</v>
      </c>
      <c r="K794" s="138">
        <f>SUBTOTAL(109,school199798[Accounts Receivable
Balance])</f>
        <v>13435</v>
      </c>
      <c r="L794" s="138">
        <f>SUBTOTAL(109,school199798[Net
Balance])</f>
        <v>2312369</v>
      </c>
      <c r="M794" s="414" t="s">
        <v>552</v>
      </c>
    </row>
    <row r="795" spans="1:13" ht="15.5" outlineLevel="2" x14ac:dyDescent="0.35">
      <c r="A795" s="386" t="s">
        <v>540</v>
      </c>
      <c r="B795" s="139"/>
      <c r="C795" s="139"/>
      <c r="D795" s="139"/>
      <c r="E795" s="140"/>
      <c r="F795" s="140"/>
      <c r="G795" s="140"/>
      <c r="H795" s="140"/>
      <c r="I795" s="140"/>
      <c r="J795" s="140"/>
      <c r="K795" s="140"/>
      <c r="L795" s="140"/>
      <c r="M795" s="476"/>
    </row>
    <row r="796" spans="1:13" ht="50" customHeight="1" outlineLevel="2" x14ac:dyDescent="0.35">
      <c r="A796" s="457" t="s">
        <v>11</v>
      </c>
      <c r="B796" s="300" t="s">
        <v>12</v>
      </c>
      <c r="C796" s="158" t="s">
        <v>0</v>
      </c>
      <c r="D796" s="300" t="s">
        <v>132</v>
      </c>
      <c r="E796" s="458" t="s">
        <v>125</v>
      </c>
      <c r="F796" s="423" t="s">
        <v>614</v>
      </c>
      <c r="G796" s="424" t="s">
        <v>531</v>
      </c>
      <c r="H796" s="422" t="s">
        <v>495</v>
      </c>
      <c r="I796" s="422" t="s">
        <v>496</v>
      </c>
      <c r="J796" s="458" t="s">
        <v>134</v>
      </c>
      <c r="K796" s="422" t="s">
        <v>497</v>
      </c>
      <c r="L796" s="458" t="s">
        <v>133</v>
      </c>
      <c r="M796" s="459" t="s">
        <v>532</v>
      </c>
    </row>
    <row r="797" spans="1:13" ht="31" customHeight="1" outlineLevel="2" x14ac:dyDescent="0.35">
      <c r="A797" s="93" t="s">
        <v>228</v>
      </c>
      <c r="B797" s="86" t="s">
        <v>268</v>
      </c>
      <c r="C797" s="85" t="s">
        <v>266</v>
      </c>
      <c r="D797" s="93">
        <v>348</v>
      </c>
      <c r="E797" s="121">
        <v>31728592</v>
      </c>
      <c r="F797" s="121">
        <v>29479003</v>
      </c>
      <c r="G797" s="413" t="s">
        <v>529</v>
      </c>
      <c r="H797" s="121">
        <v>2249589</v>
      </c>
      <c r="I797" s="392">
        <v>0</v>
      </c>
      <c r="J797" s="392">
        <v>0</v>
      </c>
      <c r="K797" s="392">
        <v>0</v>
      </c>
      <c r="L797" s="121">
        <v>2249589</v>
      </c>
      <c r="M797" s="413" t="s">
        <v>529</v>
      </c>
    </row>
    <row r="798" spans="1:13" ht="30" customHeight="1" outlineLevel="2" x14ac:dyDescent="0.35">
      <c r="A798" s="93" t="s">
        <v>228</v>
      </c>
      <c r="B798" s="86" t="s">
        <v>72</v>
      </c>
      <c r="C798" s="85" t="s">
        <v>73</v>
      </c>
      <c r="D798" s="93">
        <v>11</v>
      </c>
      <c r="E798" s="121">
        <v>35731370</v>
      </c>
      <c r="F798" s="121">
        <v>35731370</v>
      </c>
      <c r="G798" s="413" t="s">
        <v>529</v>
      </c>
      <c r="H798" s="392">
        <v>0</v>
      </c>
      <c r="I798" s="121">
        <v>8222200</v>
      </c>
      <c r="J798" s="121">
        <v>8207235</v>
      </c>
      <c r="K798" s="121">
        <v>14965</v>
      </c>
      <c r="L798" s="121">
        <v>-14965</v>
      </c>
      <c r="M798" s="413" t="s">
        <v>529</v>
      </c>
    </row>
    <row r="799" spans="1:13" ht="15.5" outlineLevel="1" x14ac:dyDescent="0.35">
      <c r="A799" s="93" t="s">
        <v>228</v>
      </c>
      <c r="B799" s="86" t="s">
        <v>222</v>
      </c>
      <c r="C799" s="85" t="s">
        <v>145</v>
      </c>
      <c r="D799" s="93">
        <v>92</v>
      </c>
      <c r="E799" s="121">
        <v>2713598</v>
      </c>
      <c r="F799" s="121">
        <v>2713598</v>
      </c>
      <c r="G799" s="413" t="s">
        <v>529</v>
      </c>
      <c r="H799" s="392">
        <v>0</v>
      </c>
      <c r="I799" s="121">
        <v>217201</v>
      </c>
      <c r="J799" s="121">
        <v>217050</v>
      </c>
      <c r="K799" s="121">
        <v>151</v>
      </c>
      <c r="L799" s="121">
        <v>-151</v>
      </c>
      <c r="M799" s="413" t="s">
        <v>529</v>
      </c>
    </row>
    <row r="800" spans="1:13" ht="34" customHeight="1" outlineLevel="2" x14ac:dyDescent="0.35">
      <c r="A800" s="93" t="s">
        <v>228</v>
      </c>
      <c r="B800" s="86" t="s">
        <v>316</v>
      </c>
      <c r="C800" s="85" t="s">
        <v>317</v>
      </c>
      <c r="D800" s="93">
        <v>156</v>
      </c>
      <c r="E800" s="121">
        <v>5772216</v>
      </c>
      <c r="F800" s="121">
        <v>5772216</v>
      </c>
      <c r="G800" s="413" t="s">
        <v>529</v>
      </c>
      <c r="H800" s="392">
        <v>0</v>
      </c>
      <c r="I800" s="121">
        <v>136699</v>
      </c>
      <c r="J800" s="121">
        <v>136651</v>
      </c>
      <c r="K800" s="121">
        <v>48</v>
      </c>
      <c r="L800" s="121">
        <v>-48</v>
      </c>
      <c r="M800" s="413" t="s">
        <v>529</v>
      </c>
    </row>
    <row r="801" spans="1:13" ht="15.5" outlineLevel="2" x14ac:dyDescent="0.35">
      <c r="A801" s="93" t="s">
        <v>228</v>
      </c>
      <c r="B801" s="86" t="s">
        <v>282</v>
      </c>
      <c r="C801" s="85" t="s">
        <v>283</v>
      </c>
      <c r="D801" s="93">
        <v>58</v>
      </c>
      <c r="E801" s="121">
        <v>2051761</v>
      </c>
      <c r="F801" s="121">
        <v>2051761</v>
      </c>
      <c r="G801" s="413" t="s">
        <v>529</v>
      </c>
      <c r="H801" s="392">
        <v>0</v>
      </c>
      <c r="I801" s="121">
        <v>64789</v>
      </c>
      <c r="J801" s="121">
        <v>64485</v>
      </c>
      <c r="K801" s="121">
        <v>304</v>
      </c>
      <c r="L801" s="121">
        <v>-304</v>
      </c>
      <c r="M801" s="413" t="s">
        <v>529</v>
      </c>
    </row>
    <row r="802" spans="1:13" ht="15" customHeight="1" outlineLevel="2" x14ac:dyDescent="0.35">
      <c r="A802" s="137" t="s">
        <v>229</v>
      </c>
      <c r="B802" s="429" t="s">
        <v>529</v>
      </c>
      <c r="C802" s="430" t="s">
        <v>529</v>
      </c>
      <c r="D802" s="409" t="s">
        <v>529</v>
      </c>
      <c r="E802" s="138">
        <f>SUBTOTAL(109,school199697[Program
Costs])</f>
        <v>77997537</v>
      </c>
      <c r="F802" s="138">
        <f>SUBTOTAL(109,school199697[Less: Net Payments and Offsets 8])</f>
        <v>75747948</v>
      </c>
      <c r="G802" s="414" t="s">
        <v>552</v>
      </c>
      <c r="H802" s="138">
        <f>SUBTOTAL(109,school199697[Accounts Payable
Balance])</f>
        <v>2249589</v>
      </c>
      <c r="I802" s="138">
        <f>SUBTOTAL(109,school199697[Established
Accounts Receivable])</f>
        <v>8640889</v>
      </c>
      <c r="J802" s="138">
        <f>SUBTOTAL(109,school199697[Less: Recovered Amount])</f>
        <v>8625421</v>
      </c>
      <c r="K802" s="138">
        <f>SUBTOTAL(109,school199697[Accounts Receivable
Balance])</f>
        <v>15468</v>
      </c>
      <c r="L802" s="138">
        <f>SUBTOTAL(109,school199697[Net
Balance])</f>
        <v>2234121</v>
      </c>
      <c r="M802" s="414" t="s">
        <v>552</v>
      </c>
    </row>
    <row r="803" spans="1:13" ht="15" customHeight="1" outlineLevel="2" x14ac:dyDescent="0.35">
      <c r="A803" s="386" t="s">
        <v>540</v>
      </c>
      <c r="B803" s="139"/>
      <c r="C803" s="139"/>
      <c r="D803" s="139"/>
      <c r="E803" s="140"/>
      <c r="F803" s="140"/>
      <c r="G803" s="140"/>
      <c r="H803" s="140"/>
      <c r="I803" s="140"/>
      <c r="J803" s="140"/>
      <c r="K803" s="140"/>
      <c r="L803" s="140"/>
      <c r="M803" s="476"/>
    </row>
    <row r="804" spans="1:13" ht="50" customHeight="1" outlineLevel="1" x14ac:dyDescent="0.35">
      <c r="A804" s="457" t="s">
        <v>11</v>
      </c>
      <c r="B804" s="300" t="s">
        <v>12</v>
      </c>
      <c r="C804" s="158" t="s">
        <v>0</v>
      </c>
      <c r="D804" s="300" t="s">
        <v>132</v>
      </c>
      <c r="E804" s="458" t="s">
        <v>125</v>
      </c>
      <c r="F804" s="423" t="s">
        <v>614</v>
      </c>
      <c r="G804" s="424" t="s">
        <v>531</v>
      </c>
      <c r="H804" s="422" t="s">
        <v>495</v>
      </c>
      <c r="I804" s="422" t="s">
        <v>496</v>
      </c>
      <c r="J804" s="458" t="s">
        <v>134</v>
      </c>
      <c r="K804" s="422" t="s">
        <v>497</v>
      </c>
      <c r="L804" s="458" t="s">
        <v>133</v>
      </c>
      <c r="M804" s="459" t="s">
        <v>532</v>
      </c>
    </row>
    <row r="805" spans="1:13" ht="15" customHeight="1" outlineLevel="2" x14ac:dyDescent="0.35">
      <c r="A805" s="93" t="s">
        <v>230</v>
      </c>
      <c r="B805" s="86" t="s">
        <v>312</v>
      </c>
      <c r="C805" s="85" t="s">
        <v>64</v>
      </c>
      <c r="D805" s="93">
        <v>123</v>
      </c>
      <c r="E805" s="121">
        <v>2063016</v>
      </c>
      <c r="F805" s="121">
        <v>2063016</v>
      </c>
      <c r="G805" s="413" t="s">
        <v>529</v>
      </c>
      <c r="H805" s="392">
        <v>0</v>
      </c>
      <c r="I805" s="121">
        <v>691837</v>
      </c>
      <c r="J805" s="121">
        <v>691774</v>
      </c>
      <c r="K805" s="121">
        <v>63</v>
      </c>
      <c r="L805" s="121">
        <v>-63</v>
      </c>
      <c r="M805" s="451" t="s">
        <v>529</v>
      </c>
    </row>
    <row r="806" spans="1:13" ht="31" customHeight="1" outlineLevel="2" x14ac:dyDescent="0.35">
      <c r="A806" s="93" t="s">
        <v>230</v>
      </c>
      <c r="B806" s="86" t="s">
        <v>268</v>
      </c>
      <c r="C806" s="85" t="s">
        <v>266</v>
      </c>
      <c r="D806" s="93">
        <v>348</v>
      </c>
      <c r="E806" s="121">
        <v>30064772</v>
      </c>
      <c r="F806" s="121">
        <v>27948374</v>
      </c>
      <c r="G806" s="413" t="s">
        <v>529</v>
      </c>
      <c r="H806" s="121">
        <v>2116398</v>
      </c>
      <c r="I806" s="392">
        <v>0</v>
      </c>
      <c r="J806" s="392">
        <v>0</v>
      </c>
      <c r="K806" s="392">
        <v>0</v>
      </c>
      <c r="L806" s="121">
        <v>2116398</v>
      </c>
      <c r="M806" s="451" t="s">
        <v>529</v>
      </c>
    </row>
    <row r="807" spans="1:13" ht="31" outlineLevel="1" x14ac:dyDescent="0.35">
      <c r="A807" s="93" t="s">
        <v>230</v>
      </c>
      <c r="B807" s="86" t="s">
        <v>72</v>
      </c>
      <c r="C807" s="85" t="s">
        <v>73</v>
      </c>
      <c r="D807" s="93">
        <v>11</v>
      </c>
      <c r="E807" s="121">
        <v>31593705</v>
      </c>
      <c r="F807" s="121">
        <v>31593705</v>
      </c>
      <c r="G807" s="413" t="s">
        <v>529</v>
      </c>
      <c r="H807" s="392">
        <v>0</v>
      </c>
      <c r="I807" s="121">
        <v>9201086</v>
      </c>
      <c r="J807" s="121">
        <v>9191407</v>
      </c>
      <c r="K807" s="121">
        <v>9679</v>
      </c>
      <c r="L807" s="121">
        <v>-9679</v>
      </c>
      <c r="M807" s="451" t="s">
        <v>529</v>
      </c>
    </row>
    <row r="808" spans="1:13" ht="15.5" outlineLevel="2" x14ac:dyDescent="0.35">
      <c r="A808" s="93" t="s">
        <v>230</v>
      </c>
      <c r="B808" s="86" t="s">
        <v>326</v>
      </c>
      <c r="C808" s="85" t="s">
        <v>327</v>
      </c>
      <c r="D808" s="93">
        <v>79</v>
      </c>
      <c r="E808" s="121">
        <v>2929406</v>
      </c>
      <c r="F808" s="121">
        <v>2929406</v>
      </c>
      <c r="G808" s="413" t="s">
        <v>529</v>
      </c>
      <c r="H808" s="392">
        <v>0</v>
      </c>
      <c r="I808" s="121">
        <v>60858</v>
      </c>
      <c r="J808" s="121">
        <v>60790</v>
      </c>
      <c r="K808" s="121">
        <v>68</v>
      </c>
      <c r="L808" s="121">
        <v>-68</v>
      </c>
      <c r="M808" s="451" t="s">
        <v>529</v>
      </c>
    </row>
    <row r="809" spans="1:13" ht="32.5" customHeight="1" outlineLevel="2" x14ac:dyDescent="0.35">
      <c r="A809" s="93" t="s">
        <v>230</v>
      </c>
      <c r="B809" s="86" t="s">
        <v>314</v>
      </c>
      <c r="C809" s="85" t="s">
        <v>306</v>
      </c>
      <c r="D809" s="93">
        <v>75</v>
      </c>
      <c r="E809" s="121">
        <v>7354211</v>
      </c>
      <c r="F809" s="121">
        <v>7354211</v>
      </c>
      <c r="G809" s="413" t="s">
        <v>529</v>
      </c>
      <c r="H809" s="392">
        <v>0</v>
      </c>
      <c r="I809" s="121">
        <v>62469</v>
      </c>
      <c r="J809" s="121">
        <v>62179</v>
      </c>
      <c r="K809" s="121">
        <v>290</v>
      </c>
      <c r="L809" s="121">
        <v>-290</v>
      </c>
      <c r="M809" s="451" t="s">
        <v>529</v>
      </c>
    </row>
    <row r="810" spans="1:13" ht="15.5" outlineLevel="1" x14ac:dyDescent="0.35">
      <c r="A810" s="93" t="s">
        <v>230</v>
      </c>
      <c r="B810" s="86" t="s">
        <v>222</v>
      </c>
      <c r="C810" s="85" t="s">
        <v>145</v>
      </c>
      <c r="D810" s="93">
        <v>92</v>
      </c>
      <c r="E810" s="121">
        <v>1774560</v>
      </c>
      <c r="F810" s="121">
        <v>1774560</v>
      </c>
      <c r="G810" s="413" t="s">
        <v>529</v>
      </c>
      <c r="H810" s="392">
        <v>0</v>
      </c>
      <c r="I810" s="121">
        <v>208523</v>
      </c>
      <c r="J810" s="121">
        <v>208225</v>
      </c>
      <c r="K810" s="121">
        <v>298</v>
      </c>
      <c r="L810" s="121">
        <v>-298</v>
      </c>
      <c r="M810" s="451" t="s">
        <v>529</v>
      </c>
    </row>
    <row r="811" spans="1:13" ht="32" customHeight="1" outlineLevel="2" x14ac:dyDescent="0.35">
      <c r="A811" s="93" t="s">
        <v>230</v>
      </c>
      <c r="B811" s="86" t="s">
        <v>316</v>
      </c>
      <c r="C811" s="85" t="s">
        <v>317</v>
      </c>
      <c r="D811" s="93">
        <v>156</v>
      </c>
      <c r="E811" s="121">
        <v>4726009</v>
      </c>
      <c r="F811" s="121">
        <v>4726009</v>
      </c>
      <c r="G811" s="413" t="s">
        <v>529</v>
      </c>
      <c r="H811" s="392">
        <v>0</v>
      </c>
      <c r="I811" s="121">
        <v>86368</v>
      </c>
      <c r="J811" s="121">
        <v>86324</v>
      </c>
      <c r="K811" s="121">
        <v>44</v>
      </c>
      <c r="L811" s="121">
        <v>-44</v>
      </c>
      <c r="M811" s="451" t="s">
        <v>529</v>
      </c>
    </row>
    <row r="812" spans="1:13" ht="15" customHeight="1" outlineLevel="2" x14ac:dyDescent="0.35">
      <c r="A812" s="93" t="s">
        <v>230</v>
      </c>
      <c r="B812" s="86" t="s">
        <v>424</v>
      </c>
      <c r="C812" s="85" t="s">
        <v>328</v>
      </c>
      <c r="D812" s="93">
        <v>115</v>
      </c>
      <c r="E812" s="121">
        <v>562926</v>
      </c>
      <c r="F812" s="121">
        <v>562926</v>
      </c>
      <c r="G812" s="413" t="s">
        <v>529</v>
      </c>
      <c r="H812" s="392">
        <v>0</v>
      </c>
      <c r="I812" s="121">
        <v>219834</v>
      </c>
      <c r="J812" s="121">
        <v>219565</v>
      </c>
      <c r="K812" s="121">
        <v>269</v>
      </c>
      <c r="L812" s="121">
        <v>-269</v>
      </c>
      <c r="M812" s="451" t="s">
        <v>529</v>
      </c>
    </row>
    <row r="813" spans="1:13" ht="15.5" outlineLevel="1" x14ac:dyDescent="0.35">
      <c r="A813" s="137" t="s">
        <v>231</v>
      </c>
      <c r="B813" s="429" t="s">
        <v>529</v>
      </c>
      <c r="C813" s="430" t="s">
        <v>529</v>
      </c>
      <c r="D813" s="409" t="s">
        <v>529</v>
      </c>
      <c r="E813" s="138">
        <f>SUBTOTAL(109,school199596[Program
Costs])</f>
        <v>81068605</v>
      </c>
      <c r="F813" s="138">
        <f>SUBTOTAL(109,school199596[Less: Net Payments and Offsets 8])</f>
        <v>78952207</v>
      </c>
      <c r="G813" s="414" t="s">
        <v>552</v>
      </c>
      <c r="H813" s="138">
        <f>SUBTOTAL(109,school199596[Accounts Payable
Balance])</f>
        <v>2116398</v>
      </c>
      <c r="I813" s="138">
        <f>SUBTOTAL(109,school199596[Established
Accounts Receivable])</f>
        <v>10530975</v>
      </c>
      <c r="J813" s="138">
        <f>SUBTOTAL(109,school199596[Less: Recovered Amount])</f>
        <v>10520264</v>
      </c>
      <c r="K813" s="138">
        <f>SUBTOTAL(109,school199596[Accounts Receivable
Balance])</f>
        <v>10711</v>
      </c>
      <c r="L813" s="138">
        <f>SUBTOTAL(109,school199596[Net
Balance])</f>
        <v>2105687</v>
      </c>
      <c r="M813" s="414" t="s">
        <v>552</v>
      </c>
    </row>
    <row r="814" spans="1:13" ht="15.5" outlineLevel="1" x14ac:dyDescent="0.35">
      <c r="A814" s="386" t="s">
        <v>540</v>
      </c>
      <c r="B814" s="404"/>
      <c r="C814" s="135"/>
      <c r="D814" s="405"/>
      <c r="E814" s="406"/>
      <c r="F814" s="406"/>
      <c r="G814" s="406"/>
      <c r="H814" s="406"/>
      <c r="I814" s="406"/>
      <c r="J814" s="406"/>
      <c r="K814" s="406"/>
      <c r="L814" s="406"/>
      <c r="M814" s="406"/>
    </row>
    <row r="815" spans="1:13" ht="50" customHeight="1" outlineLevel="1" x14ac:dyDescent="0.35">
      <c r="A815" s="457" t="s">
        <v>11</v>
      </c>
      <c r="B815" s="300" t="s">
        <v>12</v>
      </c>
      <c r="C815" s="158" t="s">
        <v>0</v>
      </c>
      <c r="D815" s="300" t="s">
        <v>132</v>
      </c>
      <c r="E815" s="458" t="s">
        <v>125</v>
      </c>
      <c r="F815" s="423" t="s">
        <v>614</v>
      </c>
      <c r="G815" s="424" t="s">
        <v>531</v>
      </c>
      <c r="H815" s="422" t="s">
        <v>495</v>
      </c>
      <c r="I815" s="422" t="s">
        <v>496</v>
      </c>
      <c r="J815" s="458" t="s">
        <v>134</v>
      </c>
      <c r="K815" s="422" t="s">
        <v>497</v>
      </c>
      <c r="L815" s="458" t="s">
        <v>133</v>
      </c>
      <c r="M815" s="459" t="s">
        <v>532</v>
      </c>
    </row>
    <row r="816" spans="1:13" ht="31" outlineLevel="1" x14ac:dyDescent="0.35">
      <c r="A816" s="93" t="s">
        <v>232</v>
      </c>
      <c r="B816" s="86" t="s">
        <v>268</v>
      </c>
      <c r="C816" s="85" t="s">
        <v>266</v>
      </c>
      <c r="D816" s="93">
        <v>348</v>
      </c>
      <c r="E816" s="121">
        <v>28400653</v>
      </c>
      <c r="F816" s="121">
        <v>26404035</v>
      </c>
      <c r="G816" s="413" t="s">
        <v>529</v>
      </c>
      <c r="H816" s="121">
        <v>1996618</v>
      </c>
      <c r="I816" s="392">
        <v>0</v>
      </c>
      <c r="J816" s="392">
        <v>0</v>
      </c>
      <c r="K816" s="392">
        <v>0</v>
      </c>
      <c r="L816" s="121">
        <v>1996618</v>
      </c>
      <c r="M816" s="451" t="s">
        <v>529</v>
      </c>
    </row>
    <row r="817" spans="1:13" ht="15" customHeight="1" outlineLevel="2" x14ac:dyDescent="0.35">
      <c r="A817" s="93" t="s">
        <v>232</v>
      </c>
      <c r="B817" s="86" t="s">
        <v>222</v>
      </c>
      <c r="C817" s="85" t="s">
        <v>145</v>
      </c>
      <c r="D817" s="93">
        <v>92</v>
      </c>
      <c r="E817" s="121">
        <v>1128612</v>
      </c>
      <c r="F817" s="121">
        <v>1128612</v>
      </c>
      <c r="G817" s="413" t="s">
        <v>529</v>
      </c>
      <c r="H817" s="392">
        <v>0</v>
      </c>
      <c r="I817" s="121">
        <v>2880</v>
      </c>
      <c r="J817" s="121">
        <v>2634</v>
      </c>
      <c r="K817" s="121">
        <v>246</v>
      </c>
      <c r="L817" s="121">
        <v>-246</v>
      </c>
      <c r="M817" s="451" t="s">
        <v>529</v>
      </c>
    </row>
    <row r="818" spans="1:13" ht="15.5" outlineLevel="1" x14ac:dyDescent="0.35">
      <c r="A818" s="93" t="s">
        <v>232</v>
      </c>
      <c r="B818" s="86" t="s">
        <v>299</v>
      </c>
      <c r="C818" s="85" t="s">
        <v>300</v>
      </c>
      <c r="D818" s="93">
        <v>151</v>
      </c>
      <c r="E818" s="121">
        <v>544631</v>
      </c>
      <c r="F818" s="121">
        <v>544631</v>
      </c>
      <c r="G818" s="413" t="s">
        <v>529</v>
      </c>
      <c r="H818" s="392">
        <v>0</v>
      </c>
      <c r="I818" s="121">
        <v>3055</v>
      </c>
      <c r="J818" s="121">
        <v>2643</v>
      </c>
      <c r="K818" s="121">
        <v>412</v>
      </c>
      <c r="L818" s="121">
        <v>-412</v>
      </c>
      <c r="M818" s="451" t="s">
        <v>529</v>
      </c>
    </row>
    <row r="819" spans="1:13" ht="15" customHeight="1" outlineLevel="2" x14ac:dyDescent="0.35">
      <c r="A819" s="93" t="s">
        <v>232</v>
      </c>
      <c r="B819" s="86" t="s">
        <v>316</v>
      </c>
      <c r="C819" s="85" t="s">
        <v>317</v>
      </c>
      <c r="D819" s="93">
        <v>156</v>
      </c>
      <c r="E819" s="121">
        <v>4230530</v>
      </c>
      <c r="F819" s="121">
        <v>4230530</v>
      </c>
      <c r="G819" s="413" t="s">
        <v>529</v>
      </c>
      <c r="H819" s="392">
        <v>0</v>
      </c>
      <c r="I819" s="121">
        <v>73525</v>
      </c>
      <c r="J819" s="121">
        <v>73477</v>
      </c>
      <c r="K819" s="121">
        <v>48</v>
      </c>
      <c r="L819" s="121">
        <v>-48</v>
      </c>
      <c r="M819" s="451" t="s">
        <v>529</v>
      </c>
    </row>
    <row r="820" spans="1:13" ht="15.5" outlineLevel="1" x14ac:dyDescent="0.35">
      <c r="A820" s="137" t="s">
        <v>233</v>
      </c>
      <c r="B820" s="426" t="s">
        <v>529</v>
      </c>
      <c r="C820" s="427" t="s">
        <v>529</v>
      </c>
      <c r="D820" s="428" t="s">
        <v>529</v>
      </c>
      <c r="E820" s="138">
        <f>SUBTOTAL(109,school199495[Program
Costs])</f>
        <v>34304426</v>
      </c>
      <c r="F820" s="138">
        <f>SUBTOTAL(109,school199495[Less: Net Payments and Offsets 8])</f>
        <v>32307808</v>
      </c>
      <c r="G820" s="414" t="s">
        <v>552</v>
      </c>
      <c r="H820" s="138">
        <f>SUBTOTAL(109,school199495[Accounts Payable
Balance])</f>
        <v>1996618</v>
      </c>
      <c r="I820" s="138">
        <f>SUBTOTAL(109,school199495[Established
Accounts Receivable])</f>
        <v>79460</v>
      </c>
      <c r="J820" s="138">
        <f>SUBTOTAL(109,school199495[Less: Recovered Amount])</f>
        <v>78754</v>
      </c>
      <c r="K820" s="138">
        <f>SUBTOTAL(109,school199495[Accounts Receivable
Balance])</f>
        <v>706</v>
      </c>
      <c r="L820" s="138">
        <f>SUBTOTAL(109,school199495[Net
Balance])</f>
        <v>1995912</v>
      </c>
      <c r="M820" s="414" t="s">
        <v>552</v>
      </c>
    </row>
    <row r="821" spans="1:13" ht="15.5" outlineLevel="1" x14ac:dyDescent="0.35">
      <c r="A821" s="386" t="s">
        <v>540</v>
      </c>
      <c r="B821" s="139"/>
      <c r="C821" s="139"/>
      <c r="D821" s="139"/>
      <c r="E821" s="140"/>
      <c r="F821" s="140"/>
      <c r="G821" s="140"/>
      <c r="H821" s="140"/>
      <c r="I821" s="140"/>
      <c r="J821" s="140"/>
      <c r="K821" s="140"/>
      <c r="L821" s="140"/>
      <c r="M821" s="476"/>
    </row>
    <row r="822" spans="1:13" ht="50" customHeight="1" outlineLevel="2" x14ac:dyDescent="0.35">
      <c r="A822" s="457" t="s">
        <v>11</v>
      </c>
      <c r="B822" s="300" t="s">
        <v>12</v>
      </c>
      <c r="C822" s="158" t="s">
        <v>0</v>
      </c>
      <c r="D822" s="300" t="s">
        <v>132</v>
      </c>
      <c r="E822" s="458" t="s">
        <v>125</v>
      </c>
      <c r="F822" s="423" t="s">
        <v>614</v>
      </c>
      <c r="G822" s="424" t="s">
        <v>531</v>
      </c>
      <c r="H822" s="422" t="s">
        <v>495</v>
      </c>
      <c r="I822" s="422" t="s">
        <v>496</v>
      </c>
      <c r="J822" s="458" t="s">
        <v>134</v>
      </c>
      <c r="K822" s="422" t="s">
        <v>497</v>
      </c>
      <c r="L822" s="458" t="s">
        <v>133</v>
      </c>
      <c r="M822" s="459" t="s">
        <v>532</v>
      </c>
    </row>
    <row r="823" spans="1:13" ht="31" outlineLevel="1" x14ac:dyDescent="0.35">
      <c r="A823" s="93" t="s">
        <v>329</v>
      </c>
      <c r="B823" s="86" t="s">
        <v>268</v>
      </c>
      <c r="C823" s="85" t="s">
        <v>266</v>
      </c>
      <c r="D823" s="93">
        <v>348</v>
      </c>
      <c r="E823" s="121">
        <v>27596496</v>
      </c>
      <c r="F823" s="121">
        <v>25255912</v>
      </c>
      <c r="G823" s="413" t="s">
        <v>529</v>
      </c>
      <c r="H823" s="121">
        <v>2340584</v>
      </c>
      <c r="I823" s="392">
        <v>0</v>
      </c>
      <c r="J823" s="392">
        <v>0</v>
      </c>
      <c r="K823" s="392">
        <v>0</v>
      </c>
      <c r="L823" s="121">
        <v>2340584</v>
      </c>
      <c r="M823" s="451" t="s">
        <v>529</v>
      </c>
    </row>
    <row r="824" spans="1:13" ht="31" x14ac:dyDescent="0.35">
      <c r="A824" s="93" t="s">
        <v>329</v>
      </c>
      <c r="B824" s="86" t="s">
        <v>72</v>
      </c>
      <c r="C824" s="85" t="s">
        <v>73</v>
      </c>
      <c r="D824" s="93">
        <v>11</v>
      </c>
      <c r="E824" s="121">
        <v>29969495</v>
      </c>
      <c r="F824" s="121">
        <v>29969495</v>
      </c>
      <c r="G824" s="413" t="s">
        <v>529</v>
      </c>
      <c r="H824" s="392">
        <v>0</v>
      </c>
      <c r="I824" s="121">
        <v>3859762</v>
      </c>
      <c r="J824" s="121">
        <v>3792203</v>
      </c>
      <c r="K824" s="121">
        <v>67559</v>
      </c>
      <c r="L824" s="121">
        <v>-67559</v>
      </c>
      <c r="M824" s="451" t="s">
        <v>529</v>
      </c>
    </row>
    <row r="825" spans="1:13" ht="15.5" x14ac:dyDescent="0.35">
      <c r="A825" s="93" t="s">
        <v>329</v>
      </c>
      <c r="B825" s="86" t="s">
        <v>222</v>
      </c>
      <c r="C825" s="85" t="s">
        <v>145</v>
      </c>
      <c r="D825" s="93">
        <v>92</v>
      </c>
      <c r="E825" s="121">
        <v>748308</v>
      </c>
      <c r="F825" s="121">
        <v>748308</v>
      </c>
      <c r="G825" s="413" t="s">
        <v>529</v>
      </c>
      <c r="H825" s="392">
        <v>0</v>
      </c>
      <c r="I825" s="121">
        <v>551</v>
      </c>
      <c r="J825" s="392">
        <v>0</v>
      </c>
      <c r="K825" s="121">
        <v>551</v>
      </c>
      <c r="L825" s="121">
        <v>-551</v>
      </c>
      <c r="M825" s="451" t="s">
        <v>529</v>
      </c>
    </row>
    <row r="826" spans="1:13" ht="31" x14ac:dyDescent="0.35">
      <c r="A826" s="93" t="s">
        <v>329</v>
      </c>
      <c r="B826" s="86" t="s">
        <v>316</v>
      </c>
      <c r="C826" s="85" t="s">
        <v>317</v>
      </c>
      <c r="D826" s="93">
        <v>156</v>
      </c>
      <c r="E826" s="121">
        <v>2184496</v>
      </c>
      <c r="F826" s="121">
        <v>2184496</v>
      </c>
      <c r="G826" s="413" t="s">
        <v>529</v>
      </c>
      <c r="H826" s="392">
        <v>0</v>
      </c>
      <c r="I826" s="121">
        <v>32867</v>
      </c>
      <c r="J826" s="121">
        <v>32835</v>
      </c>
      <c r="K826" s="121">
        <v>32</v>
      </c>
      <c r="L826" s="121">
        <v>-32</v>
      </c>
      <c r="M826" s="451" t="s">
        <v>529</v>
      </c>
    </row>
    <row r="827" spans="1:13" ht="15.5" x14ac:dyDescent="0.35">
      <c r="A827" s="137" t="s">
        <v>402</v>
      </c>
      <c r="B827" s="429" t="s">
        <v>529</v>
      </c>
      <c r="C827" s="430" t="s">
        <v>529</v>
      </c>
      <c r="D827" s="409" t="s">
        <v>529</v>
      </c>
      <c r="E827" s="138">
        <f>SUBTOTAL(109,school199394[Program
Costs])</f>
        <v>60498795</v>
      </c>
      <c r="F827" s="138">
        <f>SUBTOTAL(109,school199394[Less: Net Payments and Offsets 8])</f>
        <v>58158211</v>
      </c>
      <c r="G827" s="414" t="s">
        <v>552</v>
      </c>
      <c r="H827" s="138">
        <f>SUBTOTAL(109,school199394[Accounts Payable
Balance])</f>
        <v>2340584</v>
      </c>
      <c r="I827" s="138">
        <f>SUBTOTAL(109,school199394[Established
Accounts Receivable])</f>
        <v>3893180</v>
      </c>
      <c r="J827" s="138">
        <f>SUBTOTAL(109,school199394[Less: Recovered Amount])</f>
        <v>3825038</v>
      </c>
      <c r="K827" s="138">
        <f>SUBTOTAL(109,school199394[Accounts Receivable
Balance])</f>
        <v>68142</v>
      </c>
      <c r="L827" s="138">
        <f>SUBTOTAL(109,school199394[Net
Balance])</f>
        <v>2272442</v>
      </c>
      <c r="M827" s="414" t="s">
        <v>552</v>
      </c>
    </row>
    <row r="828" spans="1:13" ht="15.5" x14ac:dyDescent="0.35">
      <c r="A828" s="386" t="s">
        <v>540</v>
      </c>
      <c r="B828" s="139"/>
      <c r="C828" s="139"/>
      <c r="D828" s="139"/>
      <c r="E828" s="140"/>
      <c r="F828" s="140"/>
      <c r="G828" s="140"/>
      <c r="H828" s="140"/>
      <c r="I828" s="140"/>
      <c r="J828" s="140"/>
      <c r="K828" s="140"/>
      <c r="L828" s="140"/>
      <c r="M828" s="476"/>
    </row>
    <row r="829" spans="1:13" ht="50" customHeight="1" x14ac:dyDescent="0.35">
      <c r="A829" s="457" t="s">
        <v>11</v>
      </c>
      <c r="B829" s="300" t="s">
        <v>12</v>
      </c>
      <c r="C829" s="158" t="s">
        <v>0</v>
      </c>
      <c r="D829" s="300" t="s">
        <v>132</v>
      </c>
      <c r="E829" s="458" t="s">
        <v>125</v>
      </c>
      <c r="F829" s="423" t="s">
        <v>614</v>
      </c>
      <c r="G829" s="424" t="s">
        <v>531</v>
      </c>
      <c r="H829" s="422" t="s">
        <v>495</v>
      </c>
      <c r="I829" s="422" t="s">
        <v>496</v>
      </c>
      <c r="J829" s="458" t="s">
        <v>134</v>
      </c>
      <c r="K829" s="422" t="s">
        <v>497</v>
      </c>
      <c r="L829" s="458" t="s">
        <v>133</v>
      </c>
      <c r="M829" s="459" t="s">
        <v>532</v>
      </c>
    </row>
    <row r="830" spans="1:13" ht="15.5" x14ac:dyDescent="0.35">
      <c r="A830" s="93" t="s">
        <v>234</v>
      </c>
      <c r="B830" s="86" t="s">
        <v>330</v>
      </c>
      <c r="C830" s="85" t="s">
        <v>331</v>
      </c>
      <c r="D830" s="93">
        <v>114</v>
      </c>
      <c r="E830" s="121">
        <v>11846195</v>
      </c>
      <c r="F830" s="121">
        <v>11846195</v>
      </c>
      <c r="G830" s="413" t="s">
        <v>529</v>
      </c>
      <c r="H830" s="392">
        <v>0</v>
      </c>
      <c r="I830" s="121">
        <v>1179938</v>
      </c>
      <c r="J830" s="121">
        <v>1179552</v>
      </c>
      <c r="K830" s="121">
        <v>386</v>
      </c>
      <c r="L830" s="121">
        <v>-386</v>
      </c>
      <c r="M830" s="451" t="s">
        <v>529</v>
      </c>
    </row>
    <row r="831" spans="1:13" ht="31" x14ac:dyDescent="0.35">
      <c r="A831" s="93" t="s">
        <v>234</v>
      </c>
      <c r="B831" s="86" t="s">
        <v>72</v>
      </c>
      <c r="C831" s="85" t="s">
        <v>73</v>
      </c>
      <c r="D831" s="93">
        <v>11</v>
      </c>
      <c r="E831" s="121">
        <v>29309462</v>
      </c>
      <c r="F831" s="121">
        <v>29309462</v>
      </c>
      <c r="G831" s="413" t="s">
        <v>529</v>
      </c>
      <c r="H831" s="392">
        <v>0</v>
      </c>
      <c r="I831" s="121">
        <v>3004258</v>
      </c>
      <c r="J831" s="121">
        <v>2983106</v>
      </c>
      <c r="K831" s="121">
        <v>21152</v>
      </c>
      <c r="L831" s="121">
        <v>-21152</v>
      </c>
      <c r="M831" s="451" t="s">
        <v>529</v>
      </c>
    </row>
    <row r="832" spans="1:13" ht="15.5" x14ac:dyDescent="0.35">
      <c r="A832" s="93" t="s">
        <v>234</v>
      </c>
      <c r="B832" s="86" t="s">
        <v>326</v>
      </c>
      <c r="C832" s="85" t="s">
        <v>327</v>
      </c>
      <c r="D832" s="93">
        <v>79</v>
      </c>
      <c r="E832" s="121">
        <v>1853410</v>
      </c>
      <c r="F832" s="121">
        <v>1853410</v>
      </c>
      <c r="G832" s="413" t="s">
        <v>529</v>
      </c>
      <c r="H832" s="392">
        <v>0</v>
      </c>
      <c r="I832" s="121">
        <v>654070</v>
      </c>
      <c r="J832" s="121">
        <v>649037</v>
      </c>
      <c r="K832" s="121">
        <v>5033</v>
      </c>
      <c r="L832" s="121">
        <v>-5033</v>
      </c>
      <c r="M832" s="451" t="s">
        <v>529</v>
      </c>
    </row>
    <row r="833" spans="1:13" ht="15.5" x14ac:dyDescent="0.35">
      <c r="A833" s="137" t="s">
        <v>237</v>
      </c>
      <c r="B833" s="429" t="s">
        <v>529</v>
      </c>
      <c r="C833" s="430" t="s">
        <v>529</v>
      </c>
      <c r="D833" s="409" t="s">
        <v>529</v>
      </c>
      <c r="E833" s="138">
        <f>SUBTOTAL(109,school199293[Program
Costs])</f>
        <v>43009067</v>
      </c>
      <c r="F833" s="138">
        <f>SUBTOTAL(109,school199293[Less: Net Payments and Offsets 8])</f>
        <v>43009067</v>
      </c>
      <c r="G833" s="414" t="s">
        <v>552</v>
      </c>
      <c r="H833" s="456" t="s">
        <v>615</v>
      </c>
      <c r="I833" s="138">
        <f>SUBTOTAL(109,school199293[Established
Accounts Receivable])</f>
        <v>4838266</v>
      </c>
      <c r="J833" s="138">
        <f>SUBTOTAL(109,school199293[Less: Recovered Amount])</f>
        <v>4811695</v>
      </c>
      <c r="K833" s="138">
        <f>SUBTOTAL(109,school199293[Accounts Receivable
Balance])</f>
        <v>26571</v>
      </c>
      <c r="L833" s="138">
        <f>SUBTOTAL(109,school199293[Net
Balance])</f>
        <v>-26571</v>
      </c>
      <c r="M833" s="414" t="s">
        <v>552</v>
      </c>
    </row>
    <row r="834" spans="1:13" ht="15.5" x14ac:dyDescent="0.35">
      <c r="A834" s="386" t="s">
        <v>540</v>
      </c>
      <c r="B834" s="139"/>
      <c r="C834" s="139"/>
      <c r="D834" s="139"/>
      <c r="E834" s="140"/>
      <c r="F834" s="140"/>
      <c r="G834" s="140"/>
      <c r="H834" s="140"/>
      <c r="I834" s="140"/>
      <c r="J834" s="140"/>
      <c r="K834" s="140"/>
      <c r="L834" s="140"/>
      <c r="M834" s="476"/>
    </row>
    <row r="835" spans="1:13" ht="50" customHeight="1" x14ac:dyDescent="0.35">
      <c r="A835" s="457" t="s">
        <v>11</v>
      </c>
      <c r="B835" s="300" t="s">
        <v>12</v>
      </c>
      <c r="C835" s="158" t="s">
        <v>0</v>
      </c>
      <c r="D835" s="300" t="s">
        <v>132</v>
      </c>
      <c r="E835" s="458" t="s">
        <v>125</v>
      </c>
      <c r="F835" s="423" t="s">
        <v>614</v>
      </c>
      <c r="G835" s="424" t="s">
        <v>531</v>
      </c>
      <c r="H835" s="422" t="s">
        <v>495</v>
      </c>
      <c r="I835" s="422" t="s">
        <v>496</v>
      </c>
      <c r="J835" s="458" t="s">
        <v>134</v>
      </c>
      <c r="K835" s="422" t="s">
        <v>497</v>
      </c>
      <c r="L835" s="458" t="s">
        <v>133</v>
      </c>
      <c r="M835" s="459" t="s">
        <v>532</v>
      </c>
    </row>
    <row r="836" spans="1:13" ht="15.5" x14ac:dyDescent="0.35">
      <c r="A836" s="93" t="s">
        <v>238</v>
      </c>
      <c r="B836" s="86" t="s">
        <v>330</v>
      </c>
      <c r="C836" s="85" t="s">
        <v>331</v>
      </c>
      <c r="D836" s="93">
        <v>114</v>
      </c>
      <c r="E836" s="121">
        <v>10650345</v>
      </c>
      <c r="F836" s="121">
        <v>10650345</v>
      </c>
      <c r="G836" s="413" t="s">
        <v>529</v>
      </c>
      <c r="H836" s="392">
        <v>0</v>
      </c>
      <c r="I836" s="121">
        <v>1058329</v>
      </c>
      <c r="J836" s="121">
        <v>1057915</v>
      </c>
      <c r="K836" s="121">
        <v>414</v>
      </c>
      <c r="L836" s="121">
        <v>-414</v>
      </c>
      <c r="M836" s="451" t="s">
        <v>529</v>
      </c>
    </row>
    <row r="837" spans="1:13" ht="15.5" x14ac:dyDescent="0.35">
      <c r="A837" s="93" t="s">
        <v>238</v>
      </c>
      <c r="B837" s="86" t="s">
        <v>222</v>
      </c>
      <c r="C837" s="85" t="s">
        <v>145</v>
      </c>
      <c r="D837" s="93">
        <v>92</v>
      </c>
      <c r="E837" s="121">
        <v>869812</v>
      </c>
      <c r="F837" s="121">
        <v>869812</v>
      </c>
      <c r="G837" s="413" t="s">
        <v>529</v>
      </c>
      <c r="H837" s="392">
        <v>0</v>
      </c>
      <c r="I837" s="121">
        <v>302710</v>
      </c>
      <c r="J837" s="121">
        <v>302634</v>
      </c>
      <c r="K837" s="121">
        <v>76</v>
      </c>
      <c r="L837" s="121">
        <v>-76</v>
      </c>
      <c r="M837" s="451" t="s">
        <v>529</v>
      </c>
    </row>
    <row r="838" spans="1:13" ht="15.5" x14ac:dyDescent="0.35">
      <c r="A838" s="137" t="s">
        <v>241</v>
      </c>
      <c r="B838" s="429" t="s">
        <v>529</v>
      </c>
      <c r="C838" s="430" t="s">
        <v>529</v>
      </c>
      <c r="D838" s="409" t="s">
        <v>529</v>
      </c>
      <c r="E838" s="138">
        <f>SUBTOTAL(109,school199192[Program
Costs])</f>
        <v>11520157</v>
      </c>
      <c r="F838" s="138">
        <f>SUBTOTAL(109,school199192[Less: Net Payments and Offsets 8])</f>
        <v>11520157</v>
      </c>
      <c r="G838" s="414" t="s">
        <v>552</v>
      </c>
      <c r="H838" s="456" t="s">
        <v>615</v>
      </c>
      <c r="I838" s="138">
        <f>SUBTOTAL(109,school199192[Established
Accounts Receivable])</f>
        <v>1361039</v>
      </c>
      <c r="J838" s="138">
        <f>SUBTOTAL(109,school199192[Less: Recovered Amount])</f>
        <v>1360549</v>
      </c>
      <c r="K838" s="138">
        <f>SUBTOTAL(109,school199192[Accounts Receivable
Balance])</f>
        <v>490</v>
      </c>
      <c r="L838" s="138">
        <f>SUBTOTAL(109,school199192[Net
Balance])</f>
        <v>-490</v>
      </c>
      <c r="M838" s="414" t="s">
        <v>552</v>
      </c>
    </row>
    <row r="839" spans="1:13" ht="15.5" x14ac:dyDescent="0.35">
      <c r="A839" s="386" t="s">
        <v>540</v>
      </c>
      <c r="B839" s="139"/>
      <c r="C839" s="139"/>
      <c r="D839" s="139"/>
      <c r="E839" s="140"/>
      <c r="F839" s="140"/>
      <c r="G839" s="140"/>
      <c r="H839" s="140"/>
      <c r="I839" s="140"/>
      <c r="J839" s="140"/>
      <c r="K839" s="140"/>
      <c r="L839" s="140"/>
      <c r="M839" s="476"/>
    </row>
    <row r="840" spans="1:13" ht="50" customHeight="1" x14ac:dyDescent="0.35">
      <c r="A840" s="457" t="s">
        <v>11</v>
      </c>
      <c r="B840" s="300" t="s">
        <v>12</v>
      </c>
      <c r="C840" s="158" t="s">
        <v>0</v>
      </c>
      <c r="D840" s="300" t="s">
        <v>132</v>
      </c>
      <c r="E840" s="458" t="s">
        <v>125</v>
      </c>
      <c r="F840" s="423" t="s">
        <v>614</v>
      </c>
      <c r="G840" s="424" t="s">
        <v>531</v>
      </c>
      <c r="H840" s="422" t="s">
        <v>495</v>
      </c>
      <c r="I840" s="422" t="s">
        <v>496</v>
      </c>
      <c r="J840" s="458" t="s">
        <v>134</v>
      </c>
      <c r="K840" s="422" t="s">
        <v>497</v>
      </c>
      <c r="L840" s="458" t="s">
        <v>133</v>
      </c>
      <c r="M840" s="459" t="s">
        <v>532</v>
      </c>
    </row>
    <row r="841" spans="1:13" ht="15.5" x14ac:dyDescent="0.35">
      <c r="A841" s="93" t="s">
        <v>332</v>
      </c>
      <c r="B841" s="86" t="s">
        <v>330</v>
      </c>
      <c r="C841" s="85" t="s">
        <v>331</v>
      </c>
      <c r="D841" s="93">
        <v>114</v>
      </c>
      <c r="E841" s="121">
        <v>9961940</v>
      </c>
      <c r="F841" s="121">
        <v>9961940</v>
      </c>
      <c r="G841" s="413" t="s">
        <v>529</v>
      </c>
      <c r="H841" s="392">
        <v>0</v>
      </c>
      <c r="I841" s="121">
        <v>1019995</v>
      </c>
      <c r="J841" s="121">
        <v>1019595</v>
      </c>
      <c r="K841" s="121">
        <v>400</v>
      </c>
      <c r="L841" s="121">
        <v>-400</v>
      </c>
      <c r="M841" s="451" t="s">
        <v>529</v>
      </c>
    </row>
    <row r="842" spans="1:13" ht="15.5" x14ac:dyDescent="0.35">
      <c r="A842" s="93" t="s">
        <v>332</v>
      </c>
      <c r="B842" s="86" t="s">
        <v>291</v>
      </c>
      <c r="C842" s="85" t="s">
        <v>93</v>
      </c>
      <c r="D842" s="93">
        <v>26</v>
      </c>
      <c r="E842" s="121">
        <v>5435894</v>
      </c>
      <c r="F842" s="121">
        <v>5435894</v>
      </c>
      <c r="G842" s="413" t="s">
        <v>529</v>
      </c>
      <c r="H842" s="392">
        <v>0</v>
      </c>
      <c r="I842" s="121">
        <v>2940929</v>
      </c>
      <c r="J842" s="121">
        <v>2591660</v>
      </c>
      <c r="K842" s="121">
        <v>349269</v>
      </c>
      <c r="L842" s="121">
        <v>-349269</v>
      </c>
      <c r="M842" s="451" t="s">
        <v>529</v>
      </c>
    </row>
    <row r="843" spans="1:13" ht="15.5" x14ac:dyDescent="0.35">
      <c r="A843" s="137" t="s">
        <v>403</v>
      </c>
      <c r="B843" s="429" t="s">
        <v>529</v>
      </c>
      <c r="C843" s="430" t="s">
        <v>529</v>
      </c>
      <c r="D843" s="409" t="s">
        <v>529</v>
      </c>
      <c r="E843" s="138">
        <f>SUBTOTAL(109,school199091[Program
Costs])</f>
        <v>15397834</v>
      </c>
      <c r="F843" s="138">
        <f>SUBTOTAL(109,school199091[Less: Net Payments and Offsets 8])</f>
        <v>15397834</v>
      </c>
      <c r="G843" s="414" t="s">
        <v>552</v>
      </c>
      <c r="H843" s="456" t="s">
        <v>615</v>
      </c>
      <c r="I843" s="138">
        <f>SUBTOTAL(109,school199091[Established
Accounts Receivable])</f>
        <v>3960924</v>
      </c>
      <c r="J843" s="138">
        <f>SUBTOTAL(109,school199091[Less: Recovered Amount])</f>
        <v>3611255</v>
      </c>
      <c r="K843" s="138">
        <f>SUBTOTAL(109,school199091[Accounts Receivable
Balance])</f>
        <v>349669</v>
      </c>
      <c r="L843" s="138">
        <f>SUBTOTAL(109,school199091[Net
Balance])</f>
        <v>-349669</v>
      </c>
      <c r="M843" s="414" t="s">
        <v>552</v>
      </c>
    </row>
    <row r="844" spans="1:13" ht="15.5" x14ac:dyDescent="0.35">
      <c r="A844" s="386" t="s">
        <v>540</v>
      </c>
      <c r="B844" s="139"/>
      <c r="C844" s="139"/>
      <c r="D844" s="139"/>
      <c r="E844" s="140"/>
      <c r="F844" s="140"/>
      <c r="G844" s="140"/>
      <c r="H844" s="140"/>
      <c r="I844" s="140"/>
      <c r="J844" s="140"/>
      <c r="K844" s="140"/>
      <c r="L844" s="140"/>
      <c r="M844" s="476"/>
    </row>
    <row r="845" spans="1:13" ht="50" customHeight="1" x14ac:dyDescent="0.35">
      <c r="A845" s="457" t="s">
        <v>11</v>
      </c>
      <c r="B845" s="300" t="s">
        <v>12</v>
      </c>
      <c r="C845" s="158" t="s">
        <v>0</v>
      </c>
      <c r="D845" s="300" t="s">
        <v>132</v>
      </c>
      <c r="E845" s="458" t="s">
        <v>125</v>
      </c>
      <c r="F845" s="423" t="s">
        <v>614</v>
      </c>
      <c r="G845" s="424" t="s">
        <v>531</v>
      </c>
      <c r="H845" s="422" t="s">
        <v>495</v>
      </c>
      <c r="I845" s="422" t="s">
        <v>496</v>
      </c>
      <c r="J845" s="458" t="s">
        <v>134</v>
      </c>
      <c r="K845" s="422" t="s">
        <v>497</v>
      </c>
      <c r="L845" s="458" t="s">
        <v>133</v>
      </c>
      <c r="M845" s="459" t="s">
        <v>532</v>
      </c>
    </row>
    <row r="846" spans="1:13" ht="15.5" x14ac:dyDescent="0.35">
      <c r="A846" s="93" t="s">
        <v>333</v>
      </c>
      <c r="B846" s="86" t="s">
        <v>330</v>
      </c>
      <c r="C846" s="85" t="s">
        <v>331</v>
      </c>
      <c r="D846" s="93">
        <v>114</v>
      </c>
      <c r="E846" s="121">
        <v>9684270</v>
      </c>
      <c r="F846" s="121">
        <v>9684270</v>
      </c>
      <c r="G846" s="413" t="s">
        <v>529</v>
      </c>
      <c r="H846" s="392">
        <v>0</v>
      </c>
      <c r="I846" s="121">
        <v>954100</v>
      </c>
      <c r="J846" s="121">
        <v>953623</v>
      </c>
      <c r="K846" s="121">
        <v>477</v>
      </c>
      <c r="L846" s="121">
        <v>-477</v>
      </c>
      <c r="M846" s="451" t="s">
        <v>529</v>
      </c>
    </row>
    <row r="847" spans="1:13" ht="15.5" x14ac:dyDescent="0.35">
      <c r="A847" s="93" t="s">
        <v>333</v>
      </c>
      <c r="B847" s="86" t="s">
        <v>291</v>
      </c>
      <c r="C847" s="85" t="s">
        <v>93</v>
      </c>
      <c r="D847" s="93">
        <v>26</v>
      </c>
      <c r="E847" s="121">
        <v>8260170</v>
      </c>
      <c r="F847" s="121">
        <v>8260170</v>
      </c>
      <c r="G847" s="413" t="s">
        <v>529</v>
      </c>
      <c r="H847" s="392">
        <v>0</v>
      </c>
      <c r="I847" s="121">
        <v>611477</v>
      </c>
      <c r="J847" s="121">
        <v>571387</v>
      </c>
      <c r="K847" s="121">
        <v>40090</v>
      </c>
      <c r="L847" s="121">
        <v>-40090</v>
      </c>
      <c r="M847" s="451" t="s">
        <v>529</v>
      </c>
    </row>
    <row r="848" spans="1:13" ht="15.5" x14ac:dyDescent="0.35">
      <c r="A848" s="137" t="s">
        <v>404</v>
      </c>
      <c r="B848" s="429" t="s">
        <v>529</v>
      </c>
      <c r="C848" s="430" t="s">
        <v>529</v>
      </c>
      <c r="D848" s="409" t="s">
        <v>529</v>
      </c>
      <c r="E848" s="138">
        <f>SUBTOTAL(109,school198990[Program
Costs])</f>
        <v>17944440</v>
      </c>
      <c r="F848" s="138">
        <f>SUBTOTAL(109,school198990[Less: Net Payments and Offsets 8])</f>
        <v>17944440</v>
      </c>
      <c r="G848" s="414" t="s">
        <v>552</v>
      </c>
      <c r="H848" s="456" t="s">
        <v>615</v>
      </c>
      <c r="I848" s="138">
        <f>SUBTOTAL(109,school198990[Established
Accounts Receivable])</f>
        <v>1565577</v>
      </c>
      <c r="J848" s="138">
        <f>SUBTOTAL(109,school198990[Less: Recovered Amount])</f>
        <v>1525010</v>
      </c>
      <c r="K848" s="138">
        <f>SUBTOTAL(109,school198990[Accounts Receivable
Balance])</f>
        <v>40567</v>
      </c>
      <c r="L848" s="138">
        <f>SUBTOTAL(109,school198990[Net
Balance])</f>
        <v>-40567</v>
      </c>
      <c r="M848" s="414" t="s">
        <v>552</v>
      </c>
    </row>
    <row r="849" spans="1:13" ht="15.5" x14ac:dyDescent="0.35">
      <c r="A849" s="386" t="s">
        <v>540</v>
      </c>
      <c r="B849" s="139"/>
      <c r="C849" s="139"/>
      <c r="D849" s="139"/>
      <c r="E849" s="140"/>
      <c r="F849" s="140"/>
      <c r="G849" s="140"/>
      <c r="H849" s="140"/>
      <c r="I849" s="140"/>
      <c r="J849" s="140"/>
      <c r="K849" s="140"/>
      <c r="L849" s="140"/>
      <c r="M849" s="476"/>
    </row>
    <row r="850" spans="1:13" ht="50" customHeight="1" x14ac:dyDescent="0.35">
      <c r="A850" s="457" t="s">
        <v>11</v>
      </c>
      <c r="B850" s="300" t="s">
        <v>12</v>
      </c>
      <c r="C850" s="158" t="s">
        <v>0</v>
      </c>
      <c r="D850" s="300" t="s">
        <v>132</v>
      </c>
      <c r="E850" s="458" t="s">
        <v>125</v>
      </c>
      <c r="F850" s="423" t="s">
        <v>614</v>
      </c>
      <c r="G850" s="424" t="s">
        <v>531</v>
      </c>
      <c r="H850" s="422" t="s">
        <v>495</v>
      </c>
      <c r="I850" s="422" t="s">
        <v>496</v>
      </c>
      <c r="J850" s="458" t="s">
        <v>134</v>
      </c>
      <c r="K850" s="422" t="s">
        <v>497</v>
      </c>
      <c r="L850" s="458" t="s">
        <v>133</v>
      </c>
      <c r="M850" s="459" t="s">
        <v>532</v>
      </c>
    </row>
    <row r="851" spans="1:13" ht="15.5" x14ac:dyDescent="0.35">
      <c r="A851" s="93" t="s">
        <v>334</v>
      </c>
      <c r="B851" s="86" t="s">
        <v>330</v>
      </c>
      <c r="C851" s="85" t="s">
        <v>331</v>
      </c>
      <c r="D851" s="93">
        <v>114</v>
      </c>
      <c r="E851" s="121">
        <v>8195968</v>
      </c>
      <c r="F851" s="121">
        <v>8195968</v>
      </c>
      <c r="G851" s="413" t="s">
        <v>529</v>
      </c>
      <c r="H851" s="392">
        <v>0</v>
      </c>
      <c r="I851" s="121">
        <v>880183</v>
      </c>
      <c r="J851" s="121">
        <v>879682</v>
      </c>
      <c r="K851" s="121">
        <v>501</v>
      </c>
      <c r="L851" s="121">
        <v>-501</v>
      </c>
      <c r="M851" s="451" t="s">
        <v>529</v>
      </c>
    </row>
    <row r="852" spans="1:13" ht="15.5" x14ac:dyDescent="0.35">
      <c r="A852" s="137" t="s">
        <v>405</v>
      </c>
      <c r="B852" s="429" t="s">
        <v>529</v>
      </c>
      <c r="C852" s="430" t="s">
        <v>529</v>
      </c>
      <c r="D852" s="409" t="s">
        <v>529</v>
      </c>
      <c r="E852" s="138">
        <f>SUBTOTAL(109,school198889[Program
Costs])</f>
        <v>8195968</v>
      </c>
      <c r="F852" s="138">
        <f>SUBTOTAL(109,school198889[Less: Net Payments and Offsets 8])</f>
        <v>8195968</v>
      </c>
      <c r="G852" s="414" t="s">
        <v>552</v>
      </c>
      <c r="H852" s="456" t="s">
        <v>615</v>
      </c>
      <c r="I852" s="138">
        <f>SUBTOTAL(109,school198889[Established
Accounts Receivable])</f>
        <v>880183</v>
      </c>
      <c r="J852" s="138">
        <f>SUBTOTAL(109,school198889[Less: Recovered Amount])</f>
        <v>879682</v>
      </c>
      <c r="K852" s="138">
        <f>SUBTOTAL(109,school198889[Accounts Receivable
Balance])</f>
        <v>501</v>
      </c>
      <c r="L852" s="138">
        <f>SUBTOTAL(109,school198889[Net
Balance])</f>
        <v>-501</v>
      </c>
      <c r="M852" s="414" t="s">
        <v>552</v>
      </c>
    </row>
    <row r="853" spans="1:13" ht="15.5" x14ac:dyDescent="0.35">
      <c r="A853" s="386" t="s">
        <v>540</v>
      </c>
      <c r="B853" s="139"/>
      <c r="C853" s="139"/>
      <c r="D853" s="139"/>
      <c r="E853" s="140"/>
      <c r="F853" s="140"/>
      <c r="G853" s="140"/>
      <c r="H853" s="140"/>
      <c r="I853" s="140"/>
      <c r="J853" s="140"/>
      <c r="K853" s="140"/>
      <c r="L853" s="140"/>
      <c r="M853" s="476"/>
    </row>
    <row r="854" spans="1:13" ht="50" customHeight="1" x14ac:dyDescent="0.35">
      <c r="A854" s="457" t="s">
        <v>11</v>
      </c>
      <c r="B854" s="300" t="s">
        <v>12</v>
      </c>
      <c r="C854" s="158" t="s">
        <v>0</v>
      </c>
      <c r="D854" s="300" t="s">
        <v>132</v>
      </c>
      <c r="E854" s="458" t="s">
        <v>125</v>
      </c>
      <c r="F854" s="423" t="s">
        <v>614</v>
      </c>
      <c r="G854" s="424" t="s">
        <v>531</v>
      </c>
      <c r="H854" s="422" t="s">
        <v>495</v>
      </c>
      <c r="I854" s="422" t="s">
        <v>496</v>
      </c>
      <c r="J854" s="458" t="s">
        <v>134</v>
      </c>
      <c r="K854" s="422" t="s">
        <v>497</v>
      </c>
      <c r="L854" s="458" t="s">
        <v>133</v>
      </c>
      <c r="M854" s="459" t="s">
        <v>532</v>
      </c>
    </row>
    <row r="855" spans="1:13" ht="15.5" x14ac:dyDescent="0.35">
      <c r="A855" s="93" t="s">
        <v>335</v>
      </c>
      <c r="B855" s="86" t="s">
        <v>330</v>
      </c>
      <c r="C855" s="85" t="s">
        <v>331</v>
      </c>
      <c r="D855" s="93">
        <v>114</v>
      </c>
      <c r="E855" s="121">
        <v>8055062</v>
      </c>
      <c r="F855" s="121">
        <v>8055062</v>
      </c>
      <c r="G855" s="413" t="s">
        <v>529</v>
      </c>
      <c r="H855" s="392">
        <v>0</v>
      </c>
      <c r="I855" s="121">
        <v>803598</v>
      </c>
      <c r="J855" s="121">
        <v>803123</v>
      </c>
      <c r="K855" s="121">
        <v>475</v>
      </c>
      <c r="L855" s="121">
        <v>-475</v>
      </c>
      <c r="M855" s="451" t="s">
        <v>529</v>
      </c>
    </row>
    <row r="856" spans="1:13" ht="15.5" x14ac:dyDescent="0.35">
      <c r="A856" s="137" t="s">
        <v>406</v>
      </c>
      <c r="B856" s="429" t="s">
        <v>529</v>
      </c>
      <c r="C856" s="430" t="s">
        <v>529</v>
      </c>
      <c r="D856" s="409" t="s">
        <v>529</v>
      </c>
      <c r="E856" s="138">
        <f>SUBTOTAL(109,school198788[Program
Costs])</f>
        <v>8055062</v>
      </c>
      <c r="F856" s="138">
        <f>SUBTOTAL(109,school198788[Less: Net Payments and Offsets 8])</f>
        <v>8055062</v>
      </c>
      <c r="G856" s="414" t="s">
        <v>552</v>
      </c>
      <c r="H856" s="456" t="s">
        <v>615</v>
      </c>
      <c r="I856" s="138">
        <f>SUBTOTAL(109,school198788[Established
Accounts Receivable])</f>
        <v>803598</v>
      </c>
      <c r="J856" s="138">
        <f>SUBTOTAL(109,school198788[Less: Recovered Amount])</f>
        <v>803123</v>
      </c>
      <c r="K856" s="138">
        <f>SUBTOTAL(109,school198788[Accounts Receivable
Balance])</f>
        <v>475</v>
      </c>
      <c r="L856" s="138">
        <f>SUBTOTAL(109,school198788[Net
Balance])</f>
        <v>-475</v>
      </c>
      <c r="M856" s="414" t="s">
        <v>552</v>
      </c>
    </row>
    <row r="857" spans="1:13" ht="15.5" x14ac:dyDescent="0.35">
      <c r="A857" s="386" t="s">
        <v>540</v>
      </c>
      <c r="B857" s="139"/>
      <c r="C857" s="139"/>
      <c r="D857" s="139"/>
      <c r="E857" s="140"/>
      <c r="F857" s="140"/>
      <c r="G857" s="140"/>
      <c r="H857" s="140"/>
      <c r="I857" s="140"/>
      <c r="J857" s="140"/>
      <c r="K857" s="140"/>
      <c r="L857" s="140"/>
      <c r="M857" s="476"/>
    </row>
    <row r="858" spans="1:13" ht="50" customHeight="1" x14ac:dyDescent="0.35">
      <c r="A858" s="457" t="s">
        <v>11</v>
      </c>
      <c r="B858" s="300" t="s">
        <v>12</v>
      </c>
      <c r="C858" s="158" t="s">
        <v>0</v>
      </c>
      <c r="D858" s="300" t="s">
        <v>132</v>
      </c>
      <c r="E858" s="458" t="s">
        <v>125</v>
      </c>
      <c r="F858" s="423" t="s">
        <v>614</v>
      </c>
      <c r="G858" s="424" t="s">
        <v>531</v>
      </c>
      <c r="H858" s="422" t="s">
        <v>495</v>
      </c>
      <c r="I858" s="422" t="s">
        <v>496</v>
      </c>
      <c r="J858" s="458" t="s">
        <v>134</v>
      </c>
      <c r="K858" s="422" t="s">
        <v>497</v>
      </c>
      <c r="L858" s="458" t="s">
        <v>133</v>
      </c>
      <c r="M858" s="459" t="s">
        <v>532</v>
      </c>
    </row>
    <row r="859" spans="1:13" ht="15.5" x14ac:dyDescent="0.35">
      <c r="A859" s="93" t="s">
        <v>336</v>
      </c>
      <c r="B859" s="86" t="s">
        <v>330</v>
      </c>
      <c r="C859" s="85" t="s">
        <v>331</v>
      </c>
      <c r="D859" s="93">
        <v>114</v>
      </c>
      <c r="E859" s="121">
        <v>7376797</v>
      </c>
      <c r="F859" s="121">
        <v>7376797</v>
      </c>
      <c r="G859" s="413" t="s">
        <v>529</v>
      </c>
      <c r="H859" s="392">
        <v>0</v>
      </c>
      <c r="I859" s="121">
        <v>727817</v>
      </c>
      <c r="J859" s="121">
        <v>726917</v>
      </c>
      <c r="K859" s="121">
        <v>900</v>
      </c>
      <c r="L859" s="121">
        <v>-900</v>
      </c>
      <c r="M859" s="451" t="s">
        <v>529</v>
      </c>
    </row>
    <row r="860" spans="1:13" ht="15.5" x14ac:dyDescent="0.35">
      <c r="A860" s="137" t="s">
        <v>407</v>
      </c>
      <c r="B860" s="429" t="s">
        <v>529</v>
      </c>
      <c r="C860" s="430" t="s">
        <v>529</v>
      </c>
      <c r="D860" s="409" t="s">
        <v>529</v>
      </c>
      <c r="E860" s="138">
        <f>SUBTOTAL(109,school198687[Program
Costs])</f>
        <v>7376797</v>
      </c>
      <c r="F860" s="138">
        <f>SUBTOTAL(109,school198687[Less: Net Payments and Offsets 8])</f>
        <v>7376797</v>
      </c>
      <c r="G860" s="414" t="s">
        <v>552</v>
      </c>
      <c r="H860" s="456" t="s">
        <v>615</v>
      </c>
      <c r="I860" s="138">
        <f>SUBTOTAL(109,school198687[Established
Accounts Receivable])</f>
        <v>727817</v>
      </c>
      <c r="J860" s="138">
        <f>SUBTOTAL(109,school198687[Less: Recovered Amount])</f>
        <v>726917</v>
      </c>
      <c r="K860" s="138">
        <f>SUBTOTAL(109,school198687[Accounts Receivable
Balance])</f>
        <v>900</v>
      </c>
      <c r="L860" s="138">
        <f>SUBTOTAL(109,school198687[Net
Balance])</f>
        <v>-900</v>
      </c>
      <c r="M860" s="477" t="s">
        <v>552</v>
      </c>
    </row>
    <row r="861" spans="1:13" ht="15.5" x14ac:dyDescent="0.35">
      <c r="A861" s="386" t="s">
        <v>540</v>
      </c>
      <c r="B861" s="139"/>
      <c r="C861" s="139"/>
      <c r="D861" s="139"/>
      <c r="E861" s="140"/>
      <c r="F861" s="140"/>
      <c r="G861" s="140"/>
      <c r="H861" s="140"/>
      <c r="I861" s="140"/>
      <c r="J861" s="140"/>
      <c r="K861" s="140"/>
      <c r="L861" s="140"/>
      <c r="M861" s="476"/>
    </row>
    <row r="862" spans="1:13" ht="50" customHeight="1" x14ac:dyDescent="0.35">
      <c r="A862" s="457" t="s">
        <v>11</v>
      </c>
      <c r="B862" s="300" t="s">
        <v>12</v>
      </c>
      <c r="C862" s="158" t="s">
        <v>0</v>
      </c>
      <c r="D862" s="300" t="s">
        <v>132</v>
      </c>
      <c r="E862" s="458" t="s">
        <v>125</v>
      </c>
      <c r="F862" s="423" t="s">
        <v>614</v>
      </c>
      <c r="G862" s="424" t="s">
        <v>531</v>
      </c>
      <c r="H862" s="422" t="s">
        <v>495</v>
      </c>
      <c r="I862" s="422" t="s">
        <v>496</v>
      </c>
      <c r="J862" s="458" t="s">
        <v>134</v>
      </c>
      <c r="K862" s="422" t="s">
        <v>497</v>
      </c>
      <c r="L862" s="458" t="s">
        <v>133</v>
      </c>
      <c r="M862" s="459" t="s">
        <v>532</v>
      </c>
    </row>
    <row r="863" spans="1:13" ht="15.5" x14ac:dyDescent="0.35">
      <c r="A863" s="93" t="s">
        <v>337</v>
      </c>
      <c r="B863" s="86" t="s">
        <v>330</v>
      </c>
      <c r="C863" s="85" t="s">
        <v>331</v>
      </c>
      <c r="D863" s="93">
        <v>114</v>
      </c>
      <c r="E863" s="121">
        <v>7513308</v>
      </c>
      <c r="F863" s="121">
        <v>7513308</v>
      </c>
      <c r="G863" s="413" t="s">
        <v>529</v>
      </c>
      <c r="H863" s="392">
        <v>0</v>
      </c>
      <c r="I863" s="121">
        <v>588899</v>
      </c>
      <c r="J863" s="121">
        <v>588367</v>
      </c>
      <c r="K863" s="121">
        <v>532</v>
      </c>
      <c r="L863" s="121">
        <v>-532</v>
      </c>
      <c r="M863" s="451" t="s">
        <v>529</v>
      </c>
    </row>
    <row r="864" spans="1:13" ht="15.5" x14ac:dyDescent="0.35">
      <c r="A864" s="463" t="s">
        <v>408</v>
      </c>
      <c r="B864" s="464" t="s">
        <v>529</v>
      </c>
      <c r="C864" s="465" t="s">
        <v>529</v>
      </c>
      <c r="D864" s="466" t="s">
        <v>529</v>
      </c>
      <c r="E864" s="467">
        <f>SUBTOTAL(109,school198586[Program
Costs])</f>
        <v>7513308</v>
      </c>
      <c r="F864" s="467">
        <f>SUBTOTAL(109,school198586[Less: Net Payments and Offsets 8])</f>
        <v>7513308</v>
      </c>
      <c r="G864" s="468" t="s">
        <v>552</v>
      </c>
      <c r="H864" s="469" t="s">
        <v>615</v>
      </c>
      <c r="I864" s="467">
        <f>SUBTOTAL(109,school198586[Established
Accounts Receivable])</f>
        <v>588899</v>
      </c>
      <c r="J864" s="467">
        <f>SUBTOTAL(109,school198586[Less: Recovered Amount])</f>
        <v>588367</v>
      </c>
      <c r="K864" s="467">
        <f>SUBTOTAL(109,school198586[Accounts Receivable
Balance])</f>
        <v>532</v>
      </c>
      <c r="L864" s="467">
        <f>SUBTOTAL(109,school198586[Net
Balance])</f>
        <v>-532</v>
      </c>
      <c r="M864" s="475" t="s">
        <v>552</v>
      </c>
    </row>
    <row r="865" spans="1:13" ht="15.5" x14ac:dyDescent="0.35">
      <c r="A865" s="386" t="s">
        <v>540</v>
      </c>
      <c r="B865" s="429"/>
      <c r="C865" s="430"/>
      <c r="D865" s="409"/>
      <c r="E865" s="138"/>
      <c r="F865" s="138"/>
      <c r="G865" s="414"/>
      <c r="H865" s="138"/>
      <c r="I865" s="138"/>
      <c r="J865" s="138"/>
      <c r="K865" s="138"/>
      <c r="L865" s="138"/>
      <c r="M865" s="433"/>
    </row>
    <row r="866" spans="1:13" ht="50" customHeight="1" x14ac:dyDescent="0.35">
      <c r="A866" s="457" t="s">
        <v>11</v>
      </c>
      <c r="B866" s="300" t="s">
        <v>12</v>
      </c>
      <c r="C866" s="158" t="s">
        <v>0</v>
      </c>
      <c r="D866" s="300" t="s">
        <v>132</v>
      </c>
      <c r="E866" s="458" t="s">
        <v>125</v>
      </c>
      <c r="F866" s="423" t="s">
        <v>614</v>
      </c>
      <c r="G866" s="424" t="s">
        <v>531</v>
      </c>
      <c r="H866" s="422" t="s">
        <v>495</v>
      </c>
      <c r="I866" s="422" t="s">
        <v>496</v>
      </c>
      <c r="J866" s="458" t="s">
        <v>134</v>
      </c>
      <c r="K866" s="422" t="s">
        <v>497</v>
      </c>
      <c r="L866" s="458" t="s">
        <v>133</v>
      </c>
      <c r="M866" s="462" t="s">
        <v>532</v>
      </c>
    </row>
    <row r="867" spans="1:13" s="461" customFormat="1" ht="15.5" x14ac:dyDescent="0.35">
      <c r="A867" s="93" t="s">
        <v>414</v>
      </c>
      <c r="B867" s="431" t="s">
        <v>529</v>
      </c>
      <c r="C867" s="420" t="s">
        <v>529</v>
      </c>
      <c r="D867" s="421" t="s">
        <v>529</v>
      </c>
      <c r="E867" s="121">
        <f>school201819[[#Totals],[Program
Costs]]</f>
        <v>4130891</v>
      </c>
      <c r="F867" s="440" t="str">
        <f>school201819[[#Totals],[Less: Net Payments and Offsets 8]]</f>
        <v xml:space="preserve">$0 </v>
      </c>
      <c r="G867" s="415" t="s">
        <v>529</v>
      </c>
      <c r="H867" s="121">
        <f>school201819[[#Totals],[Accounts Payable
Balance]]</f>
        <v>4130891</v>
      </c>
      <c r="I867" s="440" t="str">
        <f>school201819[[#Totals],[Established
Accounts Receivable]]</f>
        <v xml:space="preserve">$0 </v>
      </c>
      <c r="J867" s="440" t="str">
        <f>school201819[[#Totals],[Less: Recovered Amount]]</f>
        <v xml:space="preserve">$0 </v>
      </c>
      <c r="K867" s="440" t="str">
        <f>school201819[[#Totals],[Accounts Receivable
Balance]]</f>
        <v xml:space="preserve">$0 </v>
      </c>
      <c r="L867" s="121">
        <f>school201819[[#Totals],[Net
Balance]]</f>
        <v>4130891</v>
      </c>
      <c r="M867" s="474" t="s">
        <v>529</v>
      </c>
    </row>
    <row r="868" spans="1:13" s="461" customFormat="1" ht="15.5" x14ac:dyDescent="0.35">
      <c r="A868" s="93" t="s">
        <v>399</v>
      </c>
      <c r="B868" s="431" t="s">
        <v>529</v>
      </c>
      <c r="C868" s="420" t="s">
        <v>529</v>
      </c>
      <c r="D868" s="421" t="s">
        <v>529</v>
      </c>
      <c r="E868" s="121">
        <f>school201718[[#Totals],[Program
Costs]]</f>
        <v>5358461</v>
      </c>
      <c r="F868" s="121">
        <f>school201718[[#Totals],[Less: Net Payments and Offsets 8]]</f>
        <v>32000</v>
      </c>
      <c r="G868" s="415" t="s">
        <v>529</v>
      </c>
      <c r="H868" s="121">
        <f>school201718[[#Totals],[Accounts Payable
Balance]]</f>
        <v>5326461</v>
      </c>
      <c r="I868" s="121">
        <f>school201718[[#Totals],[Established
Accounts Receivable]]</f>
        <v>1000</v>
      </c>
      <c r="J868" s="440" t="str">
        <f>school201718[[#Totals],[Less: Recovered Amount]]</f>
        <v>$0</v>
      </c>
      <c r="K868" s="121">
        <f>school201718[[#Totals],[Accounts Receivable
Balance]]</f>
        <v>1000</v>
      </c>
      <c r="L868" s="121">
        <f>school201718[[#Totals],[Net
Balance]]</f>
        <v>5325461</v>
      </c>
      <c r="M868" s="474" t="s">
        <v>529</v>
      </c>
    </row>
    <row r="869" spans="1:13" s="461" customFormat="1" ht="15.5" x14ac:dyDescent="0.35">
      <c r="A869" s="93" t="s">
        <v>4</v>
      </c>
      <c r="B869" s="431" t="s">
        <v>529</v>
      </c>
      <c r="C869" s="420" t="s">
        <v>529</v>
      </c>
      <c r="D869" s="421" t="s">
        <v>529</v>
      </c>
      <c r="E869" s="121">
        <f>school201617[[#Totals],[Program
Costs]]</f>
        <v>23599212</v>
      </c>
      <c r="F869" s="121">
        <f>school201617[[#Totals],[Less: Net Payments and Offsets 8]]</f>
        <v>10967524</v>
      </c>
      <c r="G869" s="415" t="s">
        <v>529</v>
      </c>
      <c r="H869" s="121">
        <f>school201617[[#Totals],[Accounts Payable
Balance]]</f>
        <v>12631688</v>
      </c>
      <c r="I869" s="440" t="str">
        <f>school201617[[#Totals],[Established
Accounts Receivable]]</f>
        <v>$0</v>
      </c>
      <c r="J869" s="440" t="str">
        <f>school201617[[#Totals],[Less: Recovered Amount]]</f>
        <v>$0</v>
      </c>
      <c r="K869" s="440" t="str">
        <f>school201617[[#Totals],[Accounts Receivable
Balance]]</f>
        <v>$0</v>
      </c>
      <c r="L869" s="121">
        <f>school201617[[#Totals],[Net
Balance]]</f>
        <v>12631688</v>
      </c>
      <c r="M869" s="474" t="s">
        <v>529</v>
      </c>
    </row>
    <row r="870" spans="1:13" s="461" customFormat="1" ht="15.5" x14ac:dyDescent="0.35">
      <c r="A870" s="93" t="s">
        <v>2</v>
      </c>
      <c r="B870" s="431" t="s">
        <v>529</v>
      </c>
      <c r="C870" s="420" t="s">
        <v>529</v>
      </c>
      <c r="D870" s="421" t="s">
        <v>529</v>
      </c>
      <c r="E870" s="121">
        <f>school201516[[#Totals],[Program
Costs]]</f>
        <v>47442733</v>
      </c>
      <c r="F870" s="121">
        <f>school201516[[#Totals],[Less: Net Payments and Offsets 8]]</f>
        <v>28463721</v>
      </c>
      <c r="G870" s="415" t="s">
        <v>529</v>
      </c>
      <c r="H870" s="121">
        <f>school201516[[#Totals],[Accounts Payable
Balance]]</f>
        <v>18979012</v>
      </c>
      <c r="I870" s="121">
        <f>school201516[[#Totals],[Established
Accounts Receivable]]</f>
        <v>1000</v>
      </c>
      <c r="J870" s="440" t="str">
        <f>school201516[[#Totals],[Less: Recovered Amount]]</f>
        <v>$0</v>
      </c>
      <c r="K870" s="121">
        <f>school201516[[#Totals],[Accounts Receivable
Balance]]</f>
        <v>1000</v>
      </c>
      <c r="L870" s="121">
        <f>school201516[[#Totals],[Net
Balance]]</f>
        <v>18978012</v>
      </c>
      <c r="M870" s="474" t="s">
        <v>529</v>
      </c>
    </row>
    <row r="871" spans="1:13" s="461" customFormat="1" ht="15.5" x14ac:dyDescent="0.35">
      <c r="A871" s="93" t="s">
        <v>5</v>
      </c>
      <c r="B871" s="431" t="s">
        <v>529</v>
      </c>
      <c r="C871" s="420" t="s">
        <v>529</v>
      </c>
      <c r="D871" s="421" t="s">
        <v>529</v>
      </c>
      <c r="E871" s="121">
        <f>school201415[[#Totals],[Program
Costs]]</f>
        <v>85596289</v>
      </c>
      <c r="F871" s="121">
        <f>school201415[[#Totals],[Less: Net Payments and Offsets 8]]</f>
        <v>54123611</v>
      </c>
      <c r="G871" s="415" t="s">
        <v>529</v>
      </c>
      <c r="H871" s="121">
        <f>school201415[[#Totals],[Accounts Payable
Balance]]</f>
        <v>31472678</v>
      </c>
      <c r="I871" s="440" t="str">
        <f>school201415[[#Totals],[Established
Accounts Receivable]]</f>
        <v>$0</v>
      </c>
      <c r="J871" s="440" t="str">
        <f>school201415[[#Totals],[Less: Recovered Amount]]</f>
        <v>$0</v>
      </c>
      <c r="K871" s="440" t="str">
        <f>school201415[[#Totals],[Accounts Receivable
Balance]]</f>
        <v>$0</v>
      </c>
      <c r="L871" s="121">
        <f>school201415[[#Totals],[Net
Balance]]</f>
        <v>31472678</v>
      </c>
      <c r="M871" s="474" t="s">
        <v>529</v>
      </c>
    </row>
    <row r="872" spans="1:13" s="461" customFormat="1" ht="15.5" x14ac:dyDescent="0.35">
      <c r="A872" s="93" t="s">
        <v>140</v>
      </c>
      <c r="B872" s="431" t="s">
        <v>529</v>
      </c>
      <c r="C872" s="420" t="s">
        <v>529</v>
      </c>
      <c r="D872" s="421" t="s">
        <v>529</v>
      </c>
      <c r="E872" s="121">
        <f>school201314[[#Totals],[Program
Costs]]</f>
        <v>104033942</v>
      </c>
      <c r="F872" s="121">
        <f>school201314[[#Totals],[Less: Net Payments and Offsets 8]]</f>
        <v>81562333</v>
      </c>
      <c r="G872" s="415" t="s">
        <v>529</v>
      </c>
      <c r="H872" s="121">
        <f>school201314[[#Totals],[Accounts Payable
Balance]]</f>
        <v>22471609</v>
      </c>
      <c r="I872" s="440" t="str">
        <f>school201314[[#Totals],[Established
Accounts Receivable]]</f>
        <v>$0</v>
      </c>
      <c r="J872" s="440" t="str">
        <f>school201314[[#Totals],[Less: Recovered Amount]]</f>
        <v>$0</v>
      </c>
      <c r="K872" s="440" t="str">
        <f>school201314[[#Totals],[Accounts Receivable
Balance]]</f>
        <v>$0</v>
      </c>
      <c r="L872" s="121">
        <f>school201314[[#Totals],[Net
Balance]]</f>
        <v>22471609</v>
      </c>
      <c r="M872" s="474" t="s">
        <v>529</v>
      </c>
    </row>
    <row r="873" spans="1:13" s="461" customFormat="1" ht="15.5" x14ac:dyDescent="0.35">
      <c r="A873" s="93" t="s">
        <v>3</v>
      </c>
      <c r="B873" s="431" t="s">
        <v>529</v>
      </c>
      <c r="C873" s="420" t="s">
        <v>529</v>
      </c>
      <c r="D873" s="421" t="s">
        <v>529</v>
      </c>
      <c r="E873" s="121">
        <f>school201213[[#Totals],[Program
Costs]]</f>
        <v>257181148</v>
      </c>
      <c r="F873" s="121">
        <f>school201213[[#Totals],[Less: Net Payments and Offsets 8]]</f>
        <v>143344942</v>
      </c>
      <c r="G873" s="415" t="s">
        <v>529</v>
      </c>
      <c r="H873" s="121">
        <f>school201213[[#Totals],[Accounts Payable
Balance]]</f>
        <v>113836206</v>
      </c>
      <c r="I873" s="121">
        <f>school201213[[#Totals],[Established
Accounts Receivable]]</f>
        <v>1000</v>
      </c>
      <c r="J873" s="121">
        <f>school201213[[#Totals],[Less: Recovered Amount]]</f>
        <v>1000</v>
      </c>
      <c r="K873" s="440" t="str">
        <f>school201213[[#Totals],[Accounts Receivable
Balance]]</f>
        <v>$0</v>
      </c>
      <c r="L873" s="121">
        <f>school201213[[#Totals],[Net
Balance]]</f>
        <v>113836206</v>
      </c>
      <c r="M873" s="474" t="s">
        <v>529</v>
      </c>
    </row>
    <row r="874" spans="1:13" s="461" customFormat="1" ht="15.5" x14ac:dyDescent="0.35">
      <c r="A874" s="93" t="s">
        <v>143</v>
      </c>
      <c r="B874" s="431" t="s">
        <v>529</v>
      </c>
      <c r="C874" s="420" t="s">
        <v>529</v>
      </c>
      <c r="D874" s="421" t="s">
        <v>529</v>
      </c>
      <c r="E874" s="121">
        <f>school201112[[#Totals],[Program
Costs]]</f>
        <v>417214426</v>
      </c>
      <c r="F874" s="121">
        <f>school201112[[#Totals],[Less: Net Payments and Offsets 8]]</f>
        <v>279527311</v>
      </c>
      <c r="G874" s="415" t="s">
        <v>529</v>
      </c>
      <c r="H874" s="121">
        <f>school201112[[#Totals],[Accounts Payable
Balance]]</f>
        <v>137687115</v>
      </c>
      <c r="I874" s="440" t="str">
        <f>school201112[[#Totals],[Established
Accounts Receivable]]</f>
        <v>$0</v>
      </c>
      <c r="J874" s="440" t="str">
        <f>school201112[[#Totals],[Less: Recovered Amount]]</f>
        <v>$0</v>
      </c>
      <c r="K874" s="440" t="str">
        <f>school201112[[#Totals],[Accounts Receivable
Balance]]</f>
        <v>$0</v>
      </c>
      <c r="L874" s="121">
        <f>school201112[[#Totals],[Net
Balance]]</f>
        <v>137687115</v>
      </c>
      <c r="M874" s="474" t="s">
        <v>529</v>
      </c>
    </row>
    <row r="875" spans="1:13" s="461" customFormat="1" ht="15.5" x14ac:dyDescent="0.35">
      <c r="A875" s="93" t="s">
        <v>41</v>
      </c>
      <c r="B875" s="431" t="s">
        <v>529</v>
      </c>
      <c r="C875" s="420" t="s">
        <v>529</v>
      </c>
      <c r="D875" s="421" t="s">
        <v>529</v>
      </c>
      <c r="E875" s="121">
        <f>school201011[[#Totals],[Program
Costs]]</f>
        <v>426537951</v>
      </c>
      <c r="F875" s="121">
        <f>school201011[[#Totals],[Less: Net Payments and Offsets 8]]</f>
        <v>301477254</v>
      </c>
      <c r="G875" s="415" t="s">
        <v>529</v>
      </c>
      <c r="H875" s="121">
        <f>school201011[[#Totals],[Accounts Payable
Balance]]</f>
        <v>125060697</v>
      </c>
      <c r="I875" s="440" t="str">
        <f>school201011[[#Totals],[Established
Accounts Receivable]]</f>
        <v>$0</v>
      </c>
      <c r="J875" s="440" t="str">
        <f>school201011[[#Totals],[Less: Recovered Amount]]</f>
        <v>$0</v>
      </c>
      <c r="K875" s="440" t="str">
        <f>school201011[[#Totals],[Accounts Receivable
Balance]]</f>
        <v>$0</v>
      </c>
      <c r="L875" s="121">
        <f>school201011[[#Totals],[Net
Balance]]</f>
        <v>125060697</v>
      </c>
      <c r="M875" s="474" t="s">
        <v>529</v>
      </c>
    </row>
    <row r="876" spans="1:13" s="461" customFormat="1" ht="15.5" x14ac:dyDescent="0.35">
      <c r="A876" s="93" t="s">
        <v>44</v>
      </c>
      <c r="B876" s="431" t="s">
        <v>529</v>
      </c>
      <c r="C876" s="420" t="s">
        <v>529</v>
      </c>
      <c r="D876" s="421" t="s">
        <v>529</v>
      </c>
      <c r="E876" s="121">
        <f>school200910[[#Totals],[Program
Costs]]</f>
        <v>470276090</v>
      </c>
      <c r="F876" s="121">
        <f>school200910[[#Totals],[Less: Net Payments and Offsets 8]]</f>
        <v>363490392</v>
      </c>
      <c r="G876" s="415" t="s">
        <v>529</v>
      </c>
      <c r="H876" s="121">
        <f>school200910[[#Totals],[Accounts Payable
Balance]]</f>
        <v>106785698</v>
      </c>
      <c r="I876" s="121">
        <f>school200910[[#Totals],[Established
Accounts Receivable]]</f>
        <v>740238</v>
      </c>
      <c r="J876" s="121">
        <f>school200910[[#Totals],[Less: Recovered Amount]]</f>
        <v>33523</v>
      </c>
      <c r="K876" s="121">
        <f>school200910[[#Totals],[Accounts Receivable
Balance]]</f>
        <v>706715</v>
      </c>
      <c r="L876" s="121">
        <f>school200910[[#Totals],[Net
Balance]]</f>
        <v>106078983</v>
      </c>
      <c r="M876" s="474" t="s">
        <v>529</v>
      </c>
    </row>
    <row r="877" spans="1:13" s="461" customFormat="1" ht="15.5" x14ac:dyDescent="0.35">
      <c r="A877" s="93" t="s">
        <v>45</v>
      </c>
      <c r="B877" s="431" t="s">
        <v>529</v>
      </c>
      <c r="C877" s="420" t="s">
        <v>529</v>
      </c>
      <c r="D877" s="421" t="s">
        <v>529</v>
      </c>
      <c r="E877" s="121">
        <f>school200809[[#Totals],[Program
Costs]]</f>
        <v>479114940</v>
      </c>
      <c r="F877" s="121">
        <f>school200809[[#Totals],[Less: Net Payments and Offsets 8]]</f>
        <v>380599458</v>
      </c>
      <c r="G877" s="415" t="s">
        <v>529</v>
      </c>
      <c r="H877" s="121">
        <f>school200809[[#Totals],[Accounts Payable
Balance]]</f>
        <v>98515482</v>
      </c>
      <c r="I877" s="121">
        <f>school200809[[#Totals],[Established
Accounts Receivable]]</f>
        <v>2272295</v>
      </c>
      <c r="J877" s="121">
        <f>school200809[[#Totals],[Less: Recovered Amount]]</f>
        <v>295119</v>
      </c>
      <c r="K877" s="121">
        <f>school200809[[#Totals],[Accounts Receivable
Balance]]</f>
        <v>1977176</v>
      </c>
      <c r="L877" s="121">
        <f>school200809[[#Totals],[Net
Balance]]</f>
        <v>96538306</v>
      </c>
      <c r="M877" s="474" t="s">
        <v>529</v>
      </c>
    </row>
    <row r="878" spans="1:13" s="461" customFormat="1" ht="15.5" x14ac:dyDescent="0.35">
      <c r="A878" s="93" t="s">
        <v>46</v>
      </c>
      <c r="B878" s="431" t="s">
        <v>529</v>
      </c>
      <c r="C878" s="420" t="s">
        <v>529</v>
      </c>
      <c r="D878" s="421" t="s">
        <v>529</v>
      </c>
      <c r="E878" s="121">
        <f>school200708[[#Totals],[Program
Costs]]</f>
        <v>479521182</v>
      </c>
      <c r="F878" s="121">
        <f>school200708[[#Totals],[Less: Net Payments and Offsets 8]]</f>
        <v>392806553</v>
      </c>
      <c r="G878" s="415" t="s">
        <v>529</v>
      </c>
      <c r="H878" s="121">
        <f>school200708[[#Totals],[Accounts Payable
Balance]]</f>
        <v>86714629</v>
      </c>
      <c r="I878" s="121">
        <f>school200708[[#Totals],[Established
Accounts Receivable]]</f>
        <v>1087600</v>
      </c>
      <c r="J878" s="121">
        <f>school200708[[#Totals],[Less: Recovered Amount]]</f>
        <v>1086573</v>
      </c>
      <c r="K878" s="121">
        <f>school200708[[#Totals],[Accounts Receivable
Balance]]</f>
        <v>1027</v>
      </c>
      <c r="L878" s="121">
        <f>school200708[[#Totals],[Net
Balance]]</f>
        <v>86713602</v>
      </c>
      <c r="M878" s="474" t="s">
        <v>529</v>
      </c>
    </row>
    <row r="879" spans="1:13" s="461" customFormat="1" ht="15.5" x14ac:dyDescent="0.35">
      <c r="A879" s="93" t="s">
        <v>47</v>
      </c>
      <c r="B879" s="431" t="s">
        <v>529</v>
      </c>
      <c r="C879" s="420" t="s">
        <v>529</v>
      </c>
      <c r="D879" s="421" t="s">
        <v>529</v>
      </c>
      <c r="E879" s="121">
        <f>school200607[[#Totals],[Program
Costs]]</f>
        <v>453651870</v>
      </c>
      <c r="F879" s="121">
        <f>school200607[[#Totals],[Less: Net Payments and Offsets 8]]</f>
        <v>394141865</v>
      </c>
      <c r="G879" s="415" t="s">
        <v>529</v>
      </c>
      <c r="H879" s="121">
        <f>school200607[[#Totals],[Accounts Payable
Balance]]</f>
        <v>59510005</v>
      </c>
      <c r="I879" s="121">
        <f>school200607[[#Totals],[Established
Accounts Receivable]]</f>
        <v>2341878</v>
      </c>
      <c r="J879" s="121">
        <f>school200607[[#Totals],[Less: Recovered Amount]]</f>
        <v>1649405</v>
      </c>
      <c r="K879" s="121">
        <f>school200607[[#Totals],[Accounts Receivable
Balance]]</f>
        <v>692473</v>
      </c>
      <c r="L879" s="121">
        <f>school200607[[#Totals],[Net
Balance]]</f>
        <v>58817532</v>
      </c>
      <c r="M879" s="474" t="s">
        <v>529</v>
      </c>
    </row>
    <row r="880" spans="1:13" s="461" customFormat="1" ht="15.5" x14ac:dyDescent="0.35">
      <c r="A880" s="93" t="s">
        <v>48</v>
      </c>
      <c r="B880" s="431" t="s">
        <v>529</v>
      </c>
      <c r="C880" s="420" t="s">
        <v>529</v>
      </c>
      <c r="D880" s="421" t="s">
        <v>529</v>
      </c>
      <c r="E880" s="121">
        <f>school200506[[#Totals],[Program
Costs]]</f>
        <v>427207125</v>
      </c>
      <c r="F880" s="121">
        <f>school200506[[#Totals],[Less: Net Payments and Offsets 8]]</f>
        <v>382189807</v>
      </c>
      <c r="G880" s="415" t="s">
        <v>529</v>
      </c>
      <c r="H880" s="121">
        <f>school200506[[#Totals],[Accounts Payable
Balance]]</f>
        <v>45017318</v>
      </c>
      <c r="I880" s="121">
        <f>school200506[[#Totals],[Established
Accounts Receivable]]</f>
        <v>12998953</v>
      </c>
      <c r="J880" s="121">
        <f>school200506[[#Totals],[Less: Recovered Amount]]</f>
        <v>10179156</v>
      </c>
      <c r="K880" s="121">
        <f>school200506[[#Totals],[Accounts Receivable
Balance]]</f>
        <v>2819797</v>
      </c>
      <c r="L880" s="121">
        <f>school200506[[#Totals],[Net
Balance]]</f>
        <v>42197521</v>
      </c>
      <c r="M880" s="474" t="s">
        <v>529</v>
      </c>
    </row>
    <row r="881" spans="1:13" s="461" customFormat="1" ht="15.5" x14ac:dyDescent="0.35">
      <c r="A881" s="93" t="s">
        <v>49</v>
      </c>
      <c r="B881" s="431" t="s">
        <v>529</v>
      </c>
      <c r="C881" s="420" t="s">
        <v>529</v>
      </c>
      <c r="D881" s="421" t="s">
        <v>529</v>
      </c>
      <c r="E881" s="121">
        <f>school200405[[#Totals],[Program
Costs]]</f>
        <v>370755137</v>
      </c>
      <c r="F881" s="121">
        <f>school200405[[#Totals],[Less: Net Payments and Offsets 8]]</f>
        <v>346625327</v>
      </c>
      <c r="G881" s="415" t="s">
        <v>529</v>
      </c>
      <c r="H881" s="121">
        <f>school200405[[#Totals],[Accounts Payable
Balance]]</f>
        <v>24129810</v>
      </c>
      <c r="I881" s="121">
        <f>school200405[[#Totals],[Established
Accounts Receivable]]</f>
        <v>6102299</v>
      </c>
      <c r="J881" s="121">
        <f>school200405[[#Totals],[Less: Recovered Amount]]</f>
        <v>3709101</v>
      </c>
      <c r="K881" s="121">
        <f>school200405[[#Totals],[Accounts Receivable
Balance]]</f>
        <v>2393198</v>
      </c>
      <c r="L881" s="121">
        <f>school200405[[#Totals],[Net
Balance]]</f>
        <v>21736612</v>
      </c>
      <c r="M881" s="474" t="s">
        <v>529</v>
      </c>
    </row>
    <row r="882" spans="1:13" s="461" customFormat="1" ht="15.5" x14ac:dyDescent="0.35">
      <c r="A882" s="93" t="s">
        <v>50</v>
      </c>
      <c r="B882" s="431" t="s">
        <v>529</v>
      </c>
      <c r="C882" s="420" t="s">
        <v>529</v>
      </c>
      <c r="D882" s="421" t="s">
        <v>529</v>
      </c>
      <c r="E882" s="121">
        <f>school200304[[#Totals],[Program
Costs]]</f>
        <v>307781613</v>
      </c>
      <c r="F882" s="121">
        <f>school200304[[#Totals],[Less: Net Payments and Offsets 8]]</f>
        <v>293368546</v>
      </c>
      <c r="G882" s="415" t="s">
        <v>529</v>
      </c>
      <c r="H882" s="121">
        <f>school200304[[#Totals],[Accounts Payable
Balance]]</f>
        <v>14413067</v>
      </c>
      <c r="I882" s="121">
        <f>school200304[[#Totals],[Established
Accounts Receivable]]</f>
        <v>3551141</v>
      </c>
      <c r="J882" s="121">
        <f>school200304[[#Totals],[Less: Recovered Amount]]</f>
        <v>1620797</v>
      </c>
      <c r="K882" s="121">
        <f>school200304[[#Totals],[Accounts Receivable
Balance]]</f>
        <v>1930344</v>
      </c>
      <c r="L882" s="121">
        <f>school200304[[#Totals],[Net
Balance]]</f>
        <v>12482723</v>
      </c>
      <c r="M882" s="474" t="s">
        <v>529</v>
      </c>
    </row>
    <row r="883" spans="1:13" s="461" customFormat="1" ht="15.5" x14ac:dyDescent="0.35">
      <c r="A883" s="93" t="s">
        <v>51</v>
      </c>
      <c r="B883" s="431" t="s">
        <v>529</v>
      </c>
      <c r="C883" s="420" t="s">
        <v>529</v>
      </c>
      <c r="D883" s="421" t="s">
        <v>529</v>
      </c>
      <c r="E883" s="121">
        <f>school200203[[#Totals],[Program
Costs]]</f>
        <v>321301010</v>
      </c>
      <c r="F883" s="121">
        <f>school200203[[#Totals],[Less: Net Payments and Offsets 8]]</f>
        <v>313038200</v>
      </c>
      <c r="G883" s="415" t="s">
        <v>529</v>
      </c>
      <c r="H883" s="121">
        <f>school200203[[#Totals],[Accounts Payable
Balance]]</f>
        <v>8262810</v>
      </c>
      <c r="I883" s="121">
        <f>school200203[[#Totals],[Established
Accounts Receivable]]</f>
        <v>30205577</v>
      </c>
      <c r="J883" s="121">
        <f>school200203[[#Totals],[Less: Recovered Amount]]</f>
        <v>4562729</v>
      </c>
      <c r="K883" s="121">
        <f>school200203[[#Totals],[Accounts Receivable
Balance]]</f>
        <v>25642848</v>
      </c>
      <c r="L883" s="121">
        <f>school200203[[#Totals],[Net
Balance]]</f>
        <v>-17380038</v>
      </c>
      <c r="M883" s="474" t="s">
        <v>529</v>
      </c>
    </row>
    <row r="884" spans="1:13" s="461" customFormat="1" ht="15.5" x14ac:dyDescent="0.35">
      <c r="A884" s="93" t="s">
        <v>52</v>
      </c>
      <c r="B884" s="431" t="s">
        <v>529</v>
      </c>
      <c r="C884" s="420" t="s">
        <v>529</v>
      </c>
      <c r="D884" s="421" t="s">
        <v>529</v>
      </c>
      <c r="E884" s="121">
        <f>school200102[[#Totals],[Program
Costs]]</f>
        <v>397097007</v>
      </c>
      <c r="F884" s="121">
        <f>school200102[[#Totals],[Less: Net Payments and Offsets 8]]</f>
        <v>392062400</v>
      </c>
      <c r="G884" s="415" t="s">
        <v>529</v>
      </c>
      <c r="H884" s="121">
        <f>school200102[[#Totals],[Accounts Payable
Balance]]</f>
        <v>5034607</v>
      </c>
      <c r="I884" s="121">
        <f>school200102[[#Totals],[Established
Accounts Receivable]]</f>
        <v>49635549</v>
      </c>
      <c r="J884" s="121">
        <f>school200102[[#Totals],[Less: Recovered Amount]]</f>
        <v>36119171</v>
      </c>
      <c r="K884" s="121">
        <f>school200102[[#Totals],[Accounts Receivable
Balance]]</f>
        <v>13516378</v>
      </c>
      <c r="L884" s="121">
        <f>school200102[[#Totals],[Net
Balance]]</f>
        <v>-8481771</v>
      </c>
      <c r="M884" s="474" t="s">
        <v>529</v>
      </c>
    </row>
    <row r="885" spans="1:13" s="461" customFormat="1" ht="15.5" x14ac:dyDescent="0.35">
      <c r="A885" s="93" t="s">
        <v>53</v>
      </c>
      <c r="B885" s="431" t="s">
        <v>529</v>
      </c>
      <c r="C885" s="420" t="s">
        <v>529</v>
      </c>
      <c r="D885" s="421" t="s">
        <v>529</v>
      </c>
      <c r="E885" s="121">
        <f>school200001[[#Totals],[Program
Costs]]</f>
        <v>306231013</v>
      </c>
      <c r="F885" s="121">
        <f>school200001[[#Totals],[Less: Net Payments and Offsets 8]]</f>
        <v>302749655</v>
      </c>
      <c r="G885" s="415" t="s">
        <v>529</v>
      </c>
      <c r="H885" s="121">
        <f>school200001[[#Totals],[Accounts Payable
Balance]]</f>
        <v>3481358</v>
      </c>
      <c r="I885" s="121">
        <f>school200001[[#Totals],[Established
Accounts Receivable]]</f>
        <v>21213288</v>
      </c>
      <c r="J885" s="121">
        <f>school200001[[#Totals],[Less: Recovered Amount]]</f>
        <v>21091402</v>
      </c>
      <c r="K885" s="121">
        <f>school200001[[#Totals],[Accounts Receivable
Balance]]</f>
        <v>121886</v>
      </c>
      <c r="L885" s="121">
        <f>school200001[[#Totals],[Net
Balance]]</f>
        <v>3359472</v>
      </c>
      <c r="M885" s="474" t="s">
        <v>529</v>
      </c>
    </row>
    <row r="886" spans="1:13" s="461" customFormat="1" ht="15.5" x14ac:dyDescent="0.35">
      <c r="A886" s="93" t="s">
        <v>54</v>
      </c>
      <c r="B886" s="431" t="s">
        <v>529</v>
      </c>
      <c r="C886" s="420" t="s">
        <v>529</v>
      </c>
      <c r="D886" s="421" t="s">
        <v>529</v>
      </c>
      <c r="E886" s="121">
        <f>school199900[[#Totals],[Program
Costs]]</f>
        <v>271888512</v>
      </c>
      <c r="F886" s="121">
        <f>school199900[[#Totals],[Less: Net Payments and Offsets 8]]</f>
        <v>268969947</v>
      </c>
      <c r="G886" s="415" t="s">
        <v>529</v>
      </c>
      <c r="H886" s="121">
        <f>school199900[[#Totals],[Accounts Payable
Balance]]</f>
        <v>2918565</v>
      </c>
      <c r="I886" s="121">
        <f>school199900[[#Totals],[Established
Accounts Receivable]]</f>
        <v>7805759</v>
      </c>
      <c r="J886" s="121">
        <f>school199900[[#Totals],[Less: Recovered Amount]]</f>
        <v>7767455</v>
      </c>
      <c r="K886" s="121">
        <f>school199900[[#Totals],[Accounts Receivable
Balance]]</f>
        <v>38304</v>
      </c>
      <c r="L886" s="121">
        <f>school199900[[#Totals],[Net
Balance]]</f>
        <v>2880261</v>
      </c>
      <c r="M886" s="474" t="s">
        <v>529</v>
      </c>
    </row>
    <row r="887" spans="1:13" s="461" customFormat="1" ht="15.5" x14ac:dyDescent="0.35">
      <c r="A887" s="93" t="s">
        <v>221</v>
      </c>
      <c r="B887" s="431" t="s">
        <v>529</v>
      </c>
      <c r="C887" s="420" t="s">
        <v>529</v>
      </c>
      <c r="D887" s="421" t="s">
        <v>529</v>
      </c>
      <c r="E887" s="121">
        <f>school199899[[#Totals],[Program
Costs]]</f>
        <v>206780256</v>
      </c>
      <c r="F887" s="121">
        <f>school199899[[#Totals],[Less: Net Payments and Offsets 8]]</f>
        <v>204404230</v>
      </c>
      <c r="G887" s="415" t="s">
        <v>529</v>
      </c>
      <c r="H887" s="121">
        <f>school199899[[#Totals],[Accounts Payable
Balance]]</f>
        <v>2376026</v>
      </c>
      <c r="I887" s="121">
        <f>school199899[[#Totals],[Established
Accounts Receivable]]</f>
        <v>9671809</v>
      </c>
      <c r="J887" s="121">
        <f>school199899[[#Totals],[Less: Recovered Amount]]</f>
        <v>8335922</v>
      </c>
      <c r="K887" s="121">
        <f>school199899[[#Totals],[Accounts Receivable
Balance]]</f>
        <v>1335887</v>
      </c>
      <c r="L887" s="121">
        <f>school199899[[#Totals],[Net
Balance]]</f>
        <v>1040139</v>
      </c>
      <c r="M887" s="474" t="s">
        <v>529</v>
      </c>
    </row>
    <row r="888" spans="1:13" s="461" customFormat="1" ht="15.5" x14ac:dyDescent="0.35">
      <c r="A888" s="93" t="s">
        <v>226</v>
      </c>
      <c r="B888" s="431" t="s">
        <v>529</v>
      </c>
      <c r="C888" s="420" t="s">
        <v>529</v>
      </c>
      <c r="D888" s="421" t="s">
        <v>529</v>
      </c>
      <c r="E888" s="121">
        <f>school199798[[#Totals],[Program
Costs]]</f>
        <v>96766913</v>
      </c>
      <c r="F888" s="121">
        <f>school199798[[#Totals],[Less: Net Payments and Offsets 8]]</f>
        <v>94441109</v>
      </c>
      <c r="G888" s="415" t="s">
        <v>529</v>
      </c>
      <c r="H888" s="121">
        <f>school199798[[#Totals],[Accounts Payable
Balance]]</f>
        <v>2325804</v>
      </c>
      <c r="I888" s="121">
        <f>school199798[[#Totals],[Established
Accounts Receivable]]</f>
        <v>9346050</v>
      </c>
      <c r="J888" s="121">
        <f>school199798[[#Totals],[Less: Recovered Amount]]</f>
        <v>9332615</v>
      </c>
      <c r="K888" s="121">
        <f>school199798[[#Totals],[Accounts Receivable
Balance]]</f>
        <v>13435</v>
      </c>
      <c r="L888" s="121">
        <f>school199798[[#Totals],[Net
Balance]]</f>
        <v>2312369</v>
      </c>
      <c r="M888" s="474" t="s">
        <v>529</v>
      </c>
    </row>
    <row r="889" spans="1:13" s="461" customFormat="1" ht="15.5" x14ac:dyDescent="0.35">
      <c r="A889" s="93" t="s">
        <v>228</v>
      </c>
      <c r="B889" s="431" t="s">
        <v>529</v>
      </c>
      <c r="C889" s="420" t="s">
        <v>529</v>
      </c>
      <c r="D889" s="421" t="s">
        <v>529</v>
      </c>
      <c r="E889" s="121">
        <f>school199697[[#Totals],[Program
Costs]]</f>
        <v>77997537</v>
      </c>
      <c r="F889" s="121">
        <f>school199697[[#Totals],[Less: Net Payments and Offsets 8]]</f>
        <v>75747948</v>
      </c>
      <c r="G889" s="415" t="s">
        <v>529</v>
      </c>
      <c r="H889" s="121">
        <f>school199697[[#Totals],[Accounts Payable
Balance]]</f>
        <v>2249589</v>
      </c>
      <c r="I889" s="121">
        <f>school199697[[#Totals],[Established
Accounts Receivable]]</f>
        <v>8640889</v>
      </c>
      <c r="J889" s="121">
        <f>school199697[[#Totals],[Less: Recovered Amount]]</f>
        <v>8625421</v>
      </c>
      <c r="K889" s="121">
        <f>school199697[[#Totals],[Accounts Receivable
Balance]]</f>
        <v>15468</v>
      </c>
      <c r="L889" s="121">
        <f>school199697[[#Totals],[Net
Balance]]</f>
        <v>2234121</v>
      </c>
      <c r="M889" s="474" t="s">
        <v>529</v>
      </c>
    </row>
    <row r="890" spans="1:13" s="461" customFormat="1" ht="15.5" x14ac:dyDescent="0.35">
      <c r="A890" s="93" t="s">
        <v>230</v>
      </c>
      <c r="B890" s="431" t="s">
        <v>529</v>
      </c>
      <c r="C890" s="420" t="s">
        <v>529</v>
      </c>
      <c r="D890" s="421" t="s">
        <v>529</v>
      </c>
      <c r="E890" s="121">
        <f>school199596[[#Totals],[Program
Costs]]</f>
        <v>81068605</v>
      </c>
      <c r="F890" s="121">
        <f>school199596[[#Totals],[Less: Net Payments and Offsets 8]]</f>
        <v>78952207</v>
      </c>
      <c r="G890" s="415" t="s">
        <v>529</v>
      </c>
      <c r="H890" s="121">
        <f>school199596[[#Totals],[Accounts Payable
Balance]]</f>
        <v>2116398</v>
      </c>
      <c r="I890" s="121">
        <f>school199596[[#Totals],[Established
Accounts Receivable]]</f>
        <v>10530975</v>
      </c>
      <c r="J890" s="121">
        <f>school199596[[#Totals],[Less: Recovered Amount]]</f>
        <v>10520264</v>
      </c>
      <c r="K890" s="121">
        <f>school199596[[#Totals],[Accounts Receivable
Balance]]</f>
        <v>10711</v>
      </c>
      <c r="L890" s="121">
        <f>school199596[[#Totals],[Net
Balance]]</f>
        <v>2105687</v>
      </c>
      <c r="M890" s="474" t="s">
        <v>529</v>
      </c>
    </row>
    <row r="891" spans="1:13" s="461" customFormat="1" ht="15.5" x14ac:dyDescent="0.35">
      <c r="A891" s="93" t="s">
        <v>232</v>
      </c>
      <c r="B891" s="431" t="s">
        <v>529</v>
      </c>
      <c r="C891" s="420" t="s">
        <v>529</v>
      </c>
      <c r="D891" s="421" t="s">
        <v>529</v>
      </c>
      <c r="E891" s="121">
        <f>school199495[[#Totals],[Program
Costs]]</f>
        <v>34304426</v>
      </c>
      <c r="F891" s="121">
        <f>school199495[[#Totals],[Less: Net Payments and Offsets 8]]</f>
        <v>32307808</v>
      </c>
      <c r="G891" s="415" t="s">
        <v>529</v>
      </c>
      <c r="H891" s="121">
        <f>school199495[[#Totals],[Accounts Payable
Balance]]</f>
        <v>1996618</v>
      </c>
      <c r="I891" s="121">
        <f>school199495[[#Totals],[Established
Accounts Receivable]]</f>
        <v>79460</v>
      </c>
      <c r="J891" s="121">
        <f>school199495[[#Totals],[Less: Recovered Amount]]</f>
        <v>78754</v>
      </c>
      <c r="K891" s="121">
        <f>school199495[[#Totals],[Accounts Receivable
Balance]]</f>
        <v>706</v>
      </c>
      <c r="L891" s="121">
        <f>school199495[[#Totals],[Net
Balance]]</f>
        <v>1995912</v>
      </c>
      <c r="M891" s="474" t="s">
        <v>529</v>
      </c>
    </row>
    <row r="892" spans="1:13" s="461" customFormat="1" ht="15.5" x14ac:dyDescent="0.35">
      <c r="A892" s="470" t="s">
        <v>329</v>
      </c>
      <c r="B892" s="471" t="s">
        <v>529</v>
      </c>
      <c r="C892" s="472" t="s">
        <v>529</v>
      </c>
      <c r="D892" s="445" t="s">
        <v>529</v>
      </c>
      <c r="E892" s="473">
        <f>school199394[[#Totals],[Program
Costs]]</f>
        <v>60498795</v>
      </c>
      <c r="F892" s="473">
        <f>school199394[[#Totals],[Less: Net Payments and Offsets 8]]</f>
        <v>58158211</v>
      </c>
      <c r="G892" s="415" t="s">
        <v>529</v>
      </c>
      <c r="H892" s="473">
        <f>school199394[[#Totals],[Accounts Payable
Balance]]</f>
        <v>2340584</v>
      </c>
      <c r="I892" s="473">
        <f>school199394[[#Totals],[Established
Accounts Receivable]]</f>
        <v>3893180</v>
      </c>
      <c r="J892" s="473">
        <f>school199394[[#Totals],[Less: Recovered Amount]]</f>
        <v>3825038</v>
      </c>
      <c r="K892" s="473">
        <f>school199394[[#Totals],[Accounts Receivable
Balance]]</f>
        <v>68142</v>
      </c>
      <c r="L892" s="473">
        <f>school199394[[#Totals],[Net
Balance]]</f>
        <v>2272442</v>
      </c>
      <c r="M892" s="474" t="s">
        <v>529</v>
      </c>
    </row>
    <row r="893" spans="1:13" s="461" customFormat="1" ht="15.5" x14ac:dyDescent="0.35">
      <c r="A893" s="93" t="s">
        <v>234</v>
      </c>
      <c r="B893" s="431" t="s">
        <v>529</v>
      </c>
      <c r="C893" s="420" t="s">
        <v>529</v>
      </c>
      <c r="D893" s="421" t="s">
        <v>529</v>
      </c>
      <c r="E893" s="124">
        <f>school199293[[#Totals],[Program
Costs]]</f>
        <v>43009067</v>
      </c>
      <c r="F893" s="121">
        <f>school199293[[#Totals],[Less: Net Payments and Offsets 8]]</f>
        <v>43009067</v>
      </c>
      <c r="G893" s="415" t="s">
        <v>529</v>
      </c>
      <c r="H893" s="440" t="str">
        <f>school199293[[#Totals],[Accounts Payable
Balance]]</f>
        <v>$0</v>
      </c>
      <c r="I893" s="121">
        <f>school199293[[#Totals],[Established
Accounts Receivable]]</f>
        <v>4838266</v>
      </c>
      <c r="J893" s="121">
        <f>school199293[[#Totals],[Less: Recovered Amount]]</f>
        <v>4811695</v>
      </c>
      <c r="K893" s="121">
        <f>school199293[[#Totals],[Accounts Receivable
Balance]]</f>
        <v>26571</v>
      </c>
      <c r="L893" s="121">
        <f>school199293[[#Totals],[Net
Balance]]</f>
        <v>-26571</v>
      </c>
      <c r="M893" s="474" t="s">
        <v>529</v>
      </c>
    </row>
    <row r="894" spans="1:13" s="461" customFormat="1" ht="15.5" x14ac:dyDescent="0.35">
      <c r="A894" s="93" t="s">
        <v>238</v>
      </c>
      <c r="B894" s="431" t="s">
        <v>529</v>
      </c>
      <c r="C894" s="420" t="s">
        <v>529</v>
      </c>
      <c r="D894" s="421" t="s">
        <v>529</v>
      </c>
      <c r="E894" s="124">
        <f>school199192[[#Totals],[Program
Costs]]</f>
        <v>11520157</v>
      </c>
      <c r="F894" s="121">
        <f>school199192[[#Totals],[Less: Net Payments and Offsets 8]]</f>
        <v>11520157</v>
      </c>
      <c r="G894" s="415" t="s">
        <v>529</v>
      </c>
      <c r="H894" s="440" t="str">
        <f>school199192[[#Totals],[Accounts Payable
Balance]]</f>
        <v>$0</v>
      </c>
      <c r="I894" s="121">
        <f>school199192[[#Totals],[Established
Accounts Receivable]]</f>
        <v>1361039</v>
      </c>
      <c r="J894" s="121">
        <f>school199192[[#Totals],[Less: Recovered Amount]]</f>
        <v>1360549</v>
      </c>
      <c r="K894" s="121">
        <f>school199192[[#Totals],[Accounts Receivable
Balance]]</f>
        <v>490</v>
      </c>
      <c r="L894" s="121">
        <f>school199192[[#Totals],[Net
Balance]]</f>
        <v>-490</v>
      </c>
      <c r="M894" s="474" t="s">
        <v>529</v>
      </c>
    </row>
    <row r="895" spans="1:13" ht="15.5" x14ac:dyDescent="0.35">
      <c r="A895" s="93" t="s">
        <v>332</v>
      </c>
      <c r="B895" s="431" t="s">
        <v>529</v>
      </c>
      <c r="C895" s="420" t="s">
        <v>529</v>
      </c>
      <c r="D895" s="421" t="s">
        <v>529</v>
      </c>
      <c r="E895" s="124">
        <f>school199091[[#Totals],[Program
Costs]]</f>
        <v>15397834</v>
      </c>
      <c r="F895" s="121">
        <f>school199091[[#Totals],[Less: Net Payments and Offsets 8]]</f>
        <v>15397834</v>
      </c>
      <c r="G895" s="415" t="s">
        <v>529</v>
      </c>
      <c r="H895" s="440" t="str">
        <f>school199091[[#Totals],[Accounts Payable
Balance]]</f>
        <v>$0</v>
      </c>
      <c r="I895" s="121">
        <f>school199091[[#Totals],[Established
Accounts Receivable]]</f>
        <v>3960924</v>
      </c>
      <c r="J895" s="121">
        <f>school199091[[#Totals],[Less: Recovered Amount]]</f>
        <v>3611255</v>
      </c>
      <c r="K895" s="121">
        <f>school199091[[#Totals],[Accounts Receivable
Balance]]</f>
        <v>349669</v>
      </c>
      <c r="L895" s="121">
        <f>school199091[[#Totals],[Net
Balance]]</f>
        <v>-349669</v>
      </c>
      <c r="M895" s="474" t="s">
        <v>529</v>
      </c>
    </row>
    <row r="896" spans="1:13" s="461" customFormat="1" ht="15.5" x14ac:dyDescent="0.35">
      <c r="A896" s="93" t="s">
        <v>333</v>
      </c>
      <c r="B896" s="431" t="s">
        <v>529</v>
      </c>
      <c r="C896" s="420" t="s">
        <v>529</v>
      </c>
      <c r="D896" s="421" t="s">
        <v>529</v>
      </c>
      <c r="E896" s="124">
        <f>school198990[[#Totals],[Program
Costs]]</f>
        <v>17944440</v>
      </c>
      <c r="F896" s="121">
        <f>school198990[[#Totals],[Less: Net Payments and Offsets 8]]</f>
        <v>17944440</v>
      </c>
      <c r="G896" s="415" t="s">
        <v>529</v>
      </c>
      <c r="H896" s="440" t="str">
        <f>school198990[[#Totals],[Accounts Payable
Balance]]</f>
        <v>$0</v>
      </c>
      <c r="I896" s="121">
        <f>school198990[[#Totals],[Established
Accounts Receivable]]</f>
        <v>1565577</v>
      </c>
      <c r="J896" s="121">
        <f>school198990[[#Totals],[Less: Recovered Amount]]</f>
        <v>1525010</v>
      </c>
      <c r="K896" s="121">
        <f>school198990[[#Totals],[Accounts Receivable
Balance]]</f>
        <v>40567</v>
      </c>
      <c r="L896" s="121">
        <f>school198990[[#Totals],[Net
Balance]]</f>
        <v>-40567</v>
      </c>
      <c r="M896" s="474" t="s">
        <v>529</v>
      </c>
    </row>
    <row r="897" spans="1:13" s="461" customFormat="1" ht="15.5" x14ac:dyDescent="0.35">
      <c r="A897" s="93" t="s">
        <v>334</v>
      </c>
      <c r="B897" s="431" t="s">
        <v>529</v>
      </c>
      <c r="C897" s="420" t="s">
        <v>529</v>
      </c>
      <c r="D897" s="421" t="s">
        <v>529</v>
      </c>
      <c r="E897" s="124">
        <f>school198889[[#Totals],[Program
Costs]]</f>
        <v>8195968</v>
      </c>
      <c r="F897" s="121">
        <f>school198889[[#Totals],[Less: Net Payments and Offsets 8]]</f>
        <v>8195968</v>
      </c>
      <c r="G897" s="415" t="s">
        <v>529</v>
      </c>
      <c r="H897" s="440" t="str">
        <f>school198889[[#Totals],[Accounts Payable
Balance]]</f>
        <v>$0</v>
      </c>
      <c r="I897" s="121">
        <f>school198889[[#Totals],[Established
Accounts Receivable]]</f>
        <v>880183</v>
      </c>
      <c r="J897" s="121">
        <f>school198889[[#Totals],[Less: Recovered Amount]]</f>
        <v>879682</v>
      </c>
      <c r="K897" s="121">
        <f>school198889[[#Totals],[Accounts Receivable
Balance]]</f>
        <v>501</v>
      </c>
      <c r="L897" s="121">
        <f>school198889[[#Totals],[Net
Balance]]</f>
        <v>-501</v>
      </c>
      <c r="M897" s="474" t="s">
        <v>529</v>
      </c>
    </row>
    <row r="898" spans="1:13" s="461" customFormat="1" ht="15.5" x14ac:dyDescent="0.35">
      <c r="A898" s="93" t="s">
        <v>335</v>
      </c>
      <c r="B898" s="431" t="s">
        <v>529</v>
      </c>
      <c r="C898" s="420" t="s">
        <v>529</v>
      </c>
      <c r="D898" s="421" t="s">
        <v>529</v>
      </c>
      <c r="E898" s="124">
        <f>school198788[[#Totals],[Program
Costs]]</f>
        <v>8055062</v>
      </c>
      <c r="F898" s="121">
        <f>school198788[[#Totals],[Less: Net Payments and Offsets 8]]</f>
        <v>8055062</v>
      </c>
      <c r="G898" s="415" t="s">
        <v>529</v>
      </c>
      <c r="H898" s="440" t="str">
        <f>school198788[[#Totals],[Accounts Payable
Balance]]</f>
        <v>$0</v>
      </c>
      <c r="I898" s="121">
        <f>school198788[[#Totals],[Established
Accounts Receivable]]</f>
        <v>803598</v>
      </c>
      <c r="J898" s="121">
        <f>school198788[[#Totals],[Less: Recovered Amount]]</f>
        <v>803123</v>
      </c>
      <c r="K898" s="121">
        <f>school198788[[#Totals],[Accounts Receivable
Balance]]</f>
        <v>475</v>
      </c>
      <c r="L898" s="121">
        <f>school198788[[#Totals],[Net
Balance]]</f>
        <v>-475</v>
      </c>
      <c r="M898" s="474" t="s">
        <v>529</v>
      </c>
    </row>
    <row r="899" spans="1:13" s="461" customFormat="1" ht="15.5" x14ac:dyDescent="0.35">
      <c r="A899" s="93" t="s">
        <v>336</v>
      </c>
      <c r="B899" s="431" t="s">
        <v>529</v>
      </c>
      <c r="C899" s="420" t="s">
        <v>529</v>
      </c>
      <c r="D899" s="421" t="s">
        <v>529</v>
      </c>
      <c r="E899" s="124">
        <f>school198687[[#Totals],[Program
Costs]]</f>
        <v>7376797</v>
      </c>
      <c r="F899" s="121">
        <f>school198687[[#Totals],[Less: Net Payments and Offsets 8]]</f>
        <v>7376797</v>
      </c>
      <c r="G899" s="415" t="s">
        <v>529</v>
      </c>
      <c r="H899" s="440" t="str">
        <f>school198687[[#Totals],[Accounts Payable
Balance]]</f>
        <v>$0</v>
      </c>
      <c r="I899" s="121">
        <f>school198687[[#Totals],[Established
Accounts Receivable]]</f>
        <v>727817</v>
      </c>
      <c r="J899" s="121">
        <f>school198687[[#Totals],[Less: Recovered Amount]]</f>
        <v>726917</v>
      </c>
      <c r="K899" s="121">
        <f>school198687[[#Totals],[Accounts Receivable
Balance]]</f>
        <v>900</v>
      </c>
      <c r="L899" s="121">
        <f>school198687[[#Totals],[Net
Balance]]</f>
        <v>-900</v>
      </c>
      <c r="M899" s="474" t="s">
        <v>529</v>
      </c>
    </row>
    <row r="900" spans="1:13" s="461" customFormat="1" ht="15.5" x14ac:dyDescent="0.35">
      <c r="A900" s="93" t="s">
        <v>337</v>
      </c>
      <c r="B900" s="431" t="s">
        <v>529</v>
      </c>
      <c r="C900" s="420" t="s">
        <v>529</v>
      </c>
      <c r="D900" s="421" t="s">
        <v>529</v>
      </c>
      <c r="E900" s="124">
        <f>school198586[[#Totals],[Program
Costs]]</f>
        <v>7513308</v>
      </c>
      <c r="F900" s="121">
        <f>school198586[[#Totals],[Less: Net Payments and Offsets 8]]</f>
        <v>7513308</v>
      </c>
      <c r="G900" s="415" t="s">
        <v>529</v>
      </c>
      <c r="H900" s="440" t="str">
        <f>school198586[[#Totals],[Accounts Payable
Balance]]</f>
        <v>$0</v>
      </c>
      <c r="I900" s="121">
        <f>school198586[[#Totals],[Established
Accounts Receivable]]</f>
        <v>588899</v>
      </c>
      <c r="J900" s="121">
        <f>school198586[[#Totals],[Less: Recovered Amount]]</f>
        <v>588367</v>
      </c>
      <c r="K900" s="121">
        <f>school198586[[#Totals],[Accounts Receivable
Balance]]</f>
        <v>532</v>
      </c>
      <c r="L900" s="121">
        <f>school198586[[#Totals],[Net
Balance]]</f>
        <v>-532</v>
      </c>
      <c r="M900" s="474" t="s">
        <v>529</v>
      </c>
    </row>
    <row r="901" spans="1:13" ht="17.5" x14ac:dyDescent="0.35">
      <c r="A901" s="137" t="s">
        <v>122</v>
      </c>
      <c r="B901" s="429" t="s">
        <v>529</v>
      </c>
      <c r="C901" s="430" t="s">
        <v>529</v>
      </c>
      <c r="D901" s="409" t="s">
        <v>529</v>
      </c>
      <c r="E901" s="138">
        <f>SUBTOTAL(109,schoolgrandtotal[Program
Costs])</f>
        <v>6332349717</v>
      </c>
      <c r="F901" s="138">
        <f>SUBTOTAL(109,schoolgrandtotal[Less: Net Payments and Offsets 8])</f>
        <v>5392564992</v>
      </c>
      <c r="G901" s="412" t="s">
        <v>552</v>
      </c>
      <c r="H901" s="138">
        <f>SUBTOTAL(109,schoolgrandtotal[Accounts Payable
Balance])</f>
        <v>939784725</v>
      </c>
      <c r="I901" s="138">
        <f>SUBTOTAL(109,schoolgrandtotal[Established
Accounts Receivable])</f>
        <v>194846243</v>
      </c>
      <c r="J901" s="138">
        <f>SUBTOTAL(109,schoolgrandtotal[Less: Recovered Amount])</f>
        <v>143140043</v>
      </c>
      <c r="K901" s="138">
        <f>SUBTOTAL(109,schoolgrandtotal[Accounts Receivable
Balance])</f>
        <v>51706200</v>
      </c>
      <c r="L901" s="138">
        <f>SUBTOTAL(109,schoolgrandtotal[Net
Balance])</f>
        <v>888078525</v>
      </c>
      <c r="M901" s="481" t="s">
        <v>616</v>
      </c>
    </row>
    <row r="902" spans="1:13" ht="15" customHeight="1" x14ac:dyDescent="0.35">
      <c r="A902" s="436" t="s">
        <v>612</v>
      </c>
      <c r="B902" s="129"/>
      <c r="C902" s="129"/>
      <c r="D902" s="129"/>
      <c r="E902" s="129"/>
      <c r="F902" s="129"/>
      <c r="G902" s="129"/>
      <c r="H902" s="129"/>
      <c r="I902" s="129"/>
      <c r="J902" s="129"/>
      <c r="K902" s="129"/>
      <c r="L902" s="129"/>
      <c r="M902" s="398"/>
    </row>
    <row r="903" spans="1:13" ht="18.5" x14ac:dyDescent="0.35">
      <c r="A903" s="478" t="s">
        <v>617</v>
      </c>
    </row>
  </sheetData>
  <hyperlinks>
    <hyperlink ref="F2" location="'Schedule B1-Schools'!A902" tooltip="This hyperlink will take you to the referenced footnote-footnote 8" display="Less: Net Payments and Offsets 8"/>
    <hyperlink ref="M901" location="'Schedule B1-Schools'!A903" tooltip="This hyperlink will take you to the referenced footnote-footnote 8" display="8"/>
  </hyperlinks>
  <printOptions horizontalCentered="1" gridLines="1"/>
  <pageMargins left="0.3" right="0.3" top="1.1000000000000001" bottom="0.75" header="0.3" footer="0.1"/>
  <pageSetup scale="61" fitToHeight="0" orientation="landscape" r:id="rId1"/>
  <headerFooter>
    <oddHeader>&amp;C&amp;"Arial,Bold"&amp;12State Controller's Office
Schedule B1: Detail of Funded State-Mandated Programs by Fiscal Year
As of April 1, 2020</oddHeader>
    <oddFooter>&amp;L&amp;"Arial,Regular"&amp;12Schedule B1: Detail of Funded State-Mandated Programs by Fiscal Year
School Districts&amp;R&amp;"Arial,Regular"&amp;12Page &amp;P of &amp;N</oddFooter>
  </headerFooter>
  <legacyDrawing r:id="rId2"/>
  <tableParts count="35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70"/>
  <sheetViews>
    <sheetView zoomScaleNormal="100" workbookViewId="0">
      <selection activeCell="A169" sqref="A169"/>
    </sheetView>
  </sheetViews>
  <sheetFormatPr defaultColWidth="9.1796875" defaultRowHeight="14.5" outlineLevelRow="2" x14ac:dyDescent="0.35"/>
  <cols>
    <col min="1" max="1" width="37" style="4" customWidth="1"/>
    <col min="2" max="2" width="35.7265625" style="14" customWidth="1"/>
    <col min="3" max="3" width="12.6328125" style="15" customWidth="1"/>
    <col min="4" max="4" width="14.6328125" style="4" customWidth="1"/>
    <col min="5" max="6" width="17.6328125" style="25" customWidth="1"/>
    <col min="7" max="7" width="2.6328125" style="25" customWidth="1"/>
    <col min="8" max="8" width="17.6328125" style="25" customWidth="1"/>
    <col min="9" max="10" width="15.6328125" style="25" customWidth="1"/>
    <col min="11" max="12" width="17.6328125" style="25" customWidth="1"/>
    <col min="13" max="13" width="2.6328125" style="2" customWidth="1"/>
    <col min="14" max="16384" width="9.1796875" style="2"/>
  </cols>
  <sheetData>
    <row r="1" spans="1:13" ht="54" x14ac:dyDescent="0.4">
      <c r="A1" s="66" t="s">
        <v>526</v>
      </c>
      <c r="B1" s="57"/>
      <c r="C1" s="54"/>
      <c r="D1" s="54"/>
      <c r="E1" s="55"/>
      <c r="F1" s="55"/>
      <c r="G1" s="55"/>
      <c r="H1" s="55"/>
      <c r="I1" s="55"/>
      <c r="J1" s="55"/>
      <c r="K1" s="55"/>
      <c r="L1" s="55"/>
      <c r="M1" s="54"/>
    </row>
    <row r="2" spans="1:13" s="3" customFormat="1" ht="50" customHeight="1" outlineLevel="1" x14ac:dyDescent="0.35">
      <c r="A2" s="67" t="s">
        <v>11</v>
      </c>
      <c r="B2" s="67" t="s">
        <v>12</v>
      </c>
      <c r="C2" s="67" t="s">
        <v>0</v>
      </c>
      <c r="D2" s="67" t="s">
        <v>132</v>
      </c>
      <c r="E2" s="403" t="s">
        <v>125</v>
      </c>
      <c r="F2" s="480" t="s">
        <v>625</v>
      </c>
      <c r="G2" s="479" t="s">
        <v>624</v>
      </c>
      <c r="H2" s="403" t="s">
        <v>495</v>
      </c>
      <c r="I2" s="403" t="s">
        <v>496</v>
      </c>
      <c r="J2" s="403" t="s">
        <v>134</v>
      </c>
      <c r="K2" s="403" t="s">
        <v>497</v>
      </c>
      <c r="L2" s="403" t="s">
        <v>133</v>
      </c>
      <c r="M2" s="411" t="s">
        <v>532</v>
      </c>
    </row>
    <row r="3" spans="1:13" ht="38" customHeight="1" outlineLevel="2" x14ac:dyDescent="0.35">
      <c r="A3" s="93" t="s">
        <v>5</v>
      </c>
      <c r="B3" s="86" t="s">
        <v>72</v>
      </c>
      <c r="C3" s="85" t="s">
        <v>73</v>
      </c>
      <c r="D3" s="93">
        <v>232</v>
      </c>
      <c r="E3" s="121">
        <v>54721</v>
      </c>
      <c r="F3" s="121">
        <v>8356</v>
      </c>
      <c r="G3" s="413" t="s">
        <v>529</v>
      </c>
      <c r="H3" s="121">
        <v>46365</v>
      </c>
      <c r="I3" s="392">
        <v>0</v>
      </c>
      <c r="J3" s="392">
        <v>0</v>
      </c>
      <c r="K3" s="392">
        <v>0</v>
      </c>
      <c r="L3" s="121">
        <v>46365</v>
      </c>
      <c r="M3" s="421" t="s">
        <v>529</v>
      </c>
    </row>
    <row r="4" spans="1:13" ht="30" customHeight="1" outlineLevel="2" x14ac:dyDescent="0.35">
      <c r="A4" s="93" t="s">
        <v>5</v>
      </c>
      <c r="B4" s="86" t="s">
        <v>338</v>
      </c>
      <c r="C4" s="85" t="s">
        <v>253</v>
      </c>
      <c r="D4" s="93">
        <v>267</v>
      </c>
      <c r="E4" s="121">
        <v>321143</v>
      </c>
      <c r="F4" s="121">
        <v>121251</v>
      </c>
      <c r="G4" s="413" t="s">
        <v>529</v>
      </c>
      <c r="H4" s="121">
        <v>199892</v>
      </c>
      <c r="I4" s="392">
        <v>0</v>
      </c>
      <c r="J4" s="392">
        <v>0</v>
      </c>
      <c r="K4" s="392">
        <v>0</v>
      </c>
      <c r="L4" s="121">
        <v>199892</v>
      </c>
      <c r="M4" s="421" t="s">
        <v>529</v>
      </c>
    </row>
    <row r="5" spans="1:13" ht="15.5" outlineLevel="2" x14ac:dyDescent="0.35">
      <c r="A5" s="93" t="s">
        <v>5</v>
      </c>
      <c r="B5" s="86" t="s">
        <v>339</v>
      </c>
      <c r="C5" s="85" t="s">
        <v>340</v>
      </c>
      <c r="D5" s="93">
        <v>347</v>
      </c>
      <c r="E5" s="392">
        <v>0</v>
      </c>
      <c r="F5" s="392">
        <v>0</v>
      </c>
      <c r="G5" s="413" t="s">
        <v>529</v>
      </c>
      <c r="H5" s="392">
        <v>0</v>
      </c>
      <c r="I5" s="121">
        <v>1000</v>
      </c>
      <c r="J5" s="392">
        <v>0</v>
      </c>
      <c r="K5" s="121">
        <v>1000</v>
      </c>
      <c r="L5" s="121">
        <v>-1000</v>
      </c>
      <c r="M5" s="421" t="s">
        <v>529</v>
      </c>
    </row>
    <row r="6" spans="1:13" ht="15.5" outlineLevel="1" x14ac:dyDescent="0.35">
      <c r="A6" s="137" t="s">
        <v>139</v>
      </c>
      <c r="B6" s="429" t="s">
        <v>529</v>
      </c>
      <c r="C6" s="430" t="s">
        <v>529</v>
      </c>
      <c r="D6" s="409" t="s">
        <v>529</v>
      </c>
      <c r="E6" s="138">
        <f>SUBTOTAL(109,college201415[Program
Costs])</f>
        <v>375864</v>
      </c>
      <c r="F6" s="138">
        <f>SUBTOTAL(109,college201415[Less: Net Payments and Offsets 9])</f>
        <v>129607</v>
      </c>
      <c r="G6" s="414" t="s">
        <v>552</v>
      </c>
      <c r="H6" s="138">
        <f>SUBTOTAL(109,college201415[Accounts Payable
Balance])</f>
        <v>246257</v>
      </c>
      <c r="I6" s="138">
        <f>SUBTOTAL(109,college201415[Established
Accounts Receivable])</f>
        <v>1000</v>
      </c>
      <c r="J6" s="456" t="s">
        <v>615</v>
      </c>
      <c r="K6" s="138">
        <f>SUBTOTAL(109,college201415[Accounts Receivable
Balance])</f>
        <v>1000</v>
      </c>
      <c r="L6" s="138">
        <f>SUBTOTAL(109,college201415[Net
Balance])</f>
        <v>245257</v>
      </c>
      <c r="M6" s="412" t="s">
        <v>552</v>
      </c>
    </row>
    <row r="7" spans="1:13" ht="15.5" outlineLevel="1" x14ac:dyDescent="0.35">
      <c r="A7" s="386" t="s">
        <v>540</v>
      </c>
      <c r="B7" s="139"/>
      <c r="C7" s="139"/>
      <c r="D7" s="139"/>
      <c r="E7" s="140"/>
      <c r="F7" s="140"/>
      <c r="G7" s="140"/>
      <c r="H7" s="140"/>
      <c r="I7" s="140"/>
      <c r="J7" s="140"/>
      <c r="K7" s="140"/>
      <c r="L7" s="140"/>
      <c r="M7" s="483"/>
    </row>
    <row r="8" spans="1:13" ht="50" customHeight="1" outlineLevel="2" x14ac:dyDescent="0.35">
      <c r="A8" s="299" t="s">
        <v>11</v>
      </c>
      <c r="B8" s="158" t="s">
        <v>12</v>
      </c>
      <c r="C8" s="158" t="s">
        <v>0</v>
      </c>
      <c r="D8" s="158" t="s">
        <v>132</v>
      </c>
      <c r="E8" s="422" t="s">
        <v>125</v>
      </c>
      <c r="F8" s="423" t="s">
        <v>620</v>
      </c>
      <c r="G8" s="424" t="s">
        <v>531</v>
      </c>
      <c r="H8" s="422" t="s">
        <v>495</v>
      </c>
      <c r="I8" s="422" t="s">
        <v>496</v>
      </c>
      <c r="J8" s="422" t="s">
        <v>134</v>
      </c>
      <c r="K8" s="422" t="s">
        <v>497</v>
      </c>
      <c r="L8" s="422" t="s">
        <v>133</v>
      </c>
      <c r="M8" s="425" t="s">
        <v>532</v>
      </c>
    </row>
    <row r="9" spans="1:13" ht="15.5" outlineLevel="2" x14ac:dyDescent="0.35">
      <c r="A9" s="93" t="s">
        <v>140</v>
      </c>
      <c r="B9" s="86" t="s">
        <v>151</v>
      </c>
      <c r="C9" s="85" t="s">
        <v>152</v>
      </c>
      <c r="D9" s="93">
        <v>355</v>
      </c>
      <c r="E9" s="121">
        <v>67945</v>
      </c>
      <c r="F9" s="121">
        <v>38765</v>
      </c>
      <c r="G9" s="413" t="s">
        <v>529</v>
      </c>
      <c r="H9" s="121">
        <v>29180</v>
      </c>
      <c r="I9" s="392">
        <v>0</v>
      </c>
      <c r="J9" s="392">
        <v>0</v>
      </c>
      <c r="K9" s="392">
        <v>0</v>
      </c>
      <c r="L9" s="121">
        <v>29180</v>
      </c>
      <c r="M9" s="420" t="s">
        <v>529</v>
      </c>
    </row>
    <row r="10" spans="1:13" ht="35.5" customHeight="1" outlineLevel="2" x14ac:dyDescent="0.35">
      <c r="A10" s="93" t="s">
        <v>140</v>
      </c>
      <c r="B10" s="86" t="s">
        <v>72</v>
      </c>
      <c r="C10" s="85" t="s">
        <v>73</v>
      </c>
      <c r="D10" s="93">
        <v>232</v>
      </c>
      <c r="E10" s="121">
        <v>488941</v>
      </c>
      <c r="F10" s="121">
        <v>439154</v>
      </c>
      <c r="G10" s="413" t="s">
        <v>529</v>
      </c>
      <c r="H10" s="121">
        <v>49787</v>
      </c>
      <c r="I10" s="392">
        <v>0</v>
      </c>
      <c r="J10" s="392">
        <v>0</v>
      </c>
      <c r="K10" s="392">
        <v>0</v>
      </c>
      <c r="L10" s="121">
        <v>49787</v>
      </c>
      <c r="M10" s="420" t="s">
        <v>529</v>
      </c>
    </row>
    <row r="11" spans="1:13" ht="35" customHeight="1" outlineLevel="2" x14ac:dyDescent="0.35">
      <c r="A11" s="93" t="s">
        <v>140</v>
      </c>
      <c r="B11" s="86" t="s">
        <v>338</v>
      </c>
      <c r="C11" s="85" t="s">
        <v>253</v>
      </c>
      <c r="D11" s="93">
        <v>267</v>
      </c>
      <c r="E11" s="121">
        <v>390536</v>
      </c>
      <c r="F11" s="121">
        <v>241191</v>
      </c>
      <c r="G11" s="413" t="s">
        <v>529</v>
      </c>
      <c r="H11" s="121">
        <v>149345</v>
      </c>
      <c r="I11" s="392">
        <v>0</v>
      </c>
      <c r="J11" s="392">
        <v>0</v>
      </c>
      <c r="K11" s="392">
        <v>0</v>
      </c>
      <c r="L11" s="121">
        <v>149345</v>
      </c>
      <c r="M11" s="420" t="s">
        <v>529</v>
      </c>
    </row>
    <row r="12" spans="1:13" ht="15.5" outlineLevel="1" x14ac:dyDescent="0.35">
      <c r="A12" s="93" t="s">
        <v>140</v>
      </c>
      <c r="B12" s="86" t="s">
        <v>339</v>
      </c>
      <c r="C12" s="85" t="s">
        <v>340</v>
      </c>
      <c r="D12" s="93">
        <v>347</v>
      </c>
      <c r="E12" s="392">
        <v>0</v>
      </c>
      <c r="F12" s="392">
        <v>0</v>
      </c>
      <c r="G12" s="413" t="s">
        <v>529</v>
      </c>
      <c r="H12" s="392">
        <v>0</v>
      </c>
      <c r="I12" s="121">
        <v>1000</v>
      </c>
      <c r="J12" s="392">
        <v>0</v>
      </c>
      <c r="K12" s="121">
        <v>1000</v>
      </c>
      <c r="L12" s="121">
        <v>-1000</v>
      </c>
      <c r="M12" s="420" t="s">
        <v>529</v>
      </c>
    </row>
    <row r="13" spans="1:13" ht="15" customHeight="1" outlineLevel="2" x14ac:dyDescent="0.35">
      <c r="A13" s="137" t="s">
        <v>141</v>
      </c>
      <c r="B13" s="429" t="s">
        <v>529</v>
      </c>
      <c r="C13" s="430" t="s">
        <v>529</v>
      </c>
      <c r="D13" s="409" t="s">
        <v>529</v>
      </c>
      <c r="E13" s="138">
        <f>SUBTOTAL(109,college201314[Program
Costs])</f>
        <v>947422</v>
      </c>
      <c r="F13" s="138">
        <f>SUBTOTAL(109,college201314[Less: Net Payments and Offsets 9])</f>
        <v>719110</v>
      </c>
      <c r="G13" s="414" t="s">
        <v>552</v>
      </c>
      <c r="H13" s="138">
        <f>SUBTOTAL(109,college201314[Accounts Payable
Balance])</f>
        <v>228312</v>
      </c>
      <c r="I13" s="138">
        <f>SUBTOTAL(109,college201314[Established
Accounts Receivable])</f>
        <v>1000</v>
      </c>
      <c r="J13" s="456" t="s">
        <v>615</v>
      </c>
      <c r="K13" s="138">
        <f>SUBTOTAL(109,college201314[Accounts Receivable
Balance])</f>
        <v>1000</v>
      </c>
      <c r="L13" s="138">
        <f>SUBTOTAL(109,college201314[Net
Balance])</f>
        <v>227312</v>
      </c>
      <c r="M13" s="414" t="s">
        <v>552</v>
      </c>
    </row>
    <row r="14" spans="1:13" ht="15" customHeight="1" outlineLevel="2" x14ac:dyDescent="0.35">
      <c r="A14" s="386" t="s">
        <v>540</v>
      </c>
      <c r="B14" s="139"/>
      <c r="C14" s="139"/>
      <c r="D14" s="139"/>
      <c r="E14" s="140"/>
      <c r="F14" s="140"/>
      <c r="G14" s="140"/>
      <c r="H14" s="140"/>
      <c r="I14" s="140"/>
      <c r="J14" s="140"/>
      <c r="K14" s="140"/>
      <c r="L14" s="140"/>
      <c r="M14" s="483"/>
    </row>
    <row r="15" spans="1:13" ht="50" customHeight="1" outlineLevel="2" x14ac:dyDescent="0.35">
      <c r="A15" s="299" t="s">
        <v>11</v>
      </c>
      <c r="B15" s="158" t="s">
        <v>12</v>
      </c>
      <c r="C15" s="158" t="s">
        <v>0</v>
      </c>
      <c r="D15" s="158" t="s">
        <v>132</v>
      </c>
      <c r="E15" s="422" t="s">
        <v>125</v>
      </c>
      <c r="F15" s="423" t="s">
        <v>620</v>
      </c>
      <c r="G15" s="424" t="s">
        <v>531</v>
      </c>
      <c r="H15" s="422" t="s">
        <v>495</v>
      </c>
      <c r="I15" s="422" t="s">
        <v>496</v>
      </c>
      <c r="J15" s="422" t="s">
        <v>134</v>
      </c>
      <c r="K15" s="422" t="s">
        <v>497</v>
      </c>
      <c r="L15" s="422" t="s">
        <v>133</v>
      </c>
      <c r="M15" s="425" t="s">
        <v>532</v>
      </c>
    </row>
    <row r="16" spans="1:13" ht="15" customHeight="1" outlineLevel="2" x14ac:dyDescent="0.35">
      <c r="A16" s="93" t="s">
        <v>3</v>
      </c>
      <c r="B16" s="86" t="s">
        <v>151</v>
      </c>
      <c r="C16" s="85" t="s">
        <v>152</v>
      </c>
      <c r="D16" s="93">
        <v>355</v>
      </c>
      <c r="E16" s="121">
        <v>33830</v>
      </c>
      <c r="F16" s="121">
        <v>15629</v>
      </c>
      <c r="G16" s="413" t="s">
        <v>529</v>
      </c>
      <c r="H16" s="121">
        <v>18201</v>
      </c>
      <c r="I16" s="392">
        <v>0</v>
      </c>
      <c r="J16" s="392">
        <v>0</v>
      </c>
      <c r="K16" s="392">
        <v>0</v>
      </c>
      <c r="L16" s="121">
        <v>18201</v>
      </c>
      <c r="M16" s="413" t="s">
        <v>529</v>
      </c>
    </row>
    <row r="17" spans="1:13" ht="31" customHeight="1" outlineLevel="2" x14ac:dyDescent="0.35">
      <c r="A17" s="93" t="s">
        <v>3</v>
      </c>
      <c r="B17" s="86" t="s">
        <v>72</v>
      </c>
      <c r="C17" s="85" t="s">
        <v>73</v>
      </c>
      <c r="D17" s="93">
        <v>232</v>
      </c>
      <c r="E17" s="121">
        <v>233153</v>
      </c>
      <c r="F17" s="121">
        <v>161629</v>
      </c>
      <c r="G17" s="413" t="s">
        <v>529</v>
      </c>
      <c r="H17" s="121">
        <v>71524</v>
      </c>
      <c r="I17" s="392">
        <v>0</v>
      </c>
      <c r="J17" s="392">
        <v>0</v>
      </c>
      <c r="K17" s="392">
        <v>0</v>
      </c>
      <c r="L17" s="121">
        <v>71524</v>
      </c>
      <c r="M17" s="413" t="s">
        <v>529</v>
      </c>
    </row>
    <row r="18" spans="1:13" ht="29.5" customHeight="1" outlineLevel="2" x14ac:dyDescent="0.35">
      <c r="A18" s="93" t="s">
        <v>3</v>
      </c>
      <c r="B18" s="86" t="s">
        <v>338</v>
      </c>
      <c r="C18" s="85" t="s">
        <v>253</v>
      </c>
      <c r="D18" s="93">
        <v>267</v>
      </c>
      <c r="E18" s="121">
        <v>536777</v>
      </c>
      <c r="F18" s="121">
        <v>237059</v>
      </c>
      <c r="G18" s="413" t="s">
        <v>529</v>
      </c>
      <c r="H18" s="121">
        <v>299718</v>
      </c>
      <c r="I18" s="392">
        <v>0</v>
      </c>
      <c r="J18" s="392">
        <v>0</v>
      </c>
      <c r="K18" s="392">
        <v>0</v>
      </c>
      <c r="L18" s="121">
        <v>299718</v>
      </c>
      <c r="M18" s="413" t="s">
        <v>529</v>
      </c>
    </row>
    <row r="19" spans="1:13" ht="31.5" customHeight="1" outlineLevel="2" x14ac:dyDescent="0.35">
      <c r="A19" s="93" t="s">
        <v>3</v>
      </c>
      <c r="B19" s="86" t="s">
        <v>267</v>
      </c>
      <c r="C19" s="85" t="s">
        <v>156</v>
      </c>
      <c r="D19" s="93">
        <v>320</v>
      </c>
      <c r="E19" s="121">
        <v>75416</v>
      </c>
      <c r="F19" s="121">
        <v>57555</v>
      </c>
      <c r="G19" s="413" t="s">
        <v>529</v>
      </c>
      <c r="H19" s="121">
        <v>17861</v>
      </c>
      <c r="I19" s="392">
        <v>0</v>
      </c>
      <c r="J19" s="392">
        <v>0</v>
      </c>
      <c r="K19" s="392">
        <v>0</v>
      </c>
      <c r="L19" s="121">
        <v>17861</v>
      </c>
      <c r="M19" s="413" t="s">
        <v>529</v>
      </c>
    </row>
    <row r="20" spans="1:13" ht="15.5" outlineLevel="1" x14ac:dyDescent="0.35">
      <c r="A20" s="93" t="s">
        <v>3</v>
      </c>
      <c r="B20" s="86" t="s">
        <v>339</v>
      </c>
      <c r="C20" s="85" t="s">
        <v>340</v>
      </c>
      <c r="D20" s="93">
        <v>347</v>
      </c>
      <c r="E20" s="392">
        <v>0</v>
      </c>
      <c r="F20" s="392">
        <v>0</v>
      </c>
      <c r="G20" s="413" t="s">
        <v>529</v>
      </c>
      <c r="H20" s="392">
        <v>0</v>
      </c>
      <c r="I20" s="121">
        <v>1000</v>
      </c>
      <c r="J20" s="392">
        <v>0</v>
      </c>
      <c r="K20" s="121">
        <v>1000</v>
      </c>
      <c r="L20" s="121">
        <v>-1000</v>
      </c>
      <c r="M20" s="413" t="s">
        <v>529</v>
      </c>
    </row>
    <row r="21" spans="1:13" ht="15" customHeight="1" outlineLevel="2" x14ac:dyDescent="0.35">
      <c r="A21" s="93" t="s">
        <v>3</v>
      </c>
      <c r="B21" s="86" t="s">
        <v>341</v>
      </c>
      <c r="C21" s="85" t="s">
        <v>145</v>
      </c>
      <c r="D21" s="93">
        <v>238</v>
      </c>
      <c r="E21" s="121">
        <v>77295</v>
      </c>
      <c r="F21" s="121">
        <v>69101</v>
      </c>
      <c r="G21" s="413" t="s">
        <v>529</v>
      </c>
      <c r="H21" s="121">
        <v>8194</v>
      </c>
      <c r="I21" s="392">
        <v>0</v>
      </c>
      <c r="J21" s="392">
        <v>0</v>
      </c>
      <c r="K21" s="392">
        <v>0</v>
      </c>
      <c r="L21" s="121">
        <v>8194</v>
      </c>
      <c r="M21" s="413" t="s">
        <v>529</v>
      </c>
    </row>
    <row r="22" spans="1:13" ht="15.5" outlineLevel="2" x14ac:dyDescent="0.35">
      <c r="A22" s="137" t="s">
        <v>142</v>
      </c>
      <c r="B22" s="429" t="s">
        <v>529</v>
      </c>
      <c r="C22" s="430" t="s">
        <v>529</v>
      </c>
      <c r="D22" s="409" t="s">
        <v>529</v>
      </c>
      <c r="E22" s="138">
        <f>SUBTOTAL(109,college201213[Program
Costs])</f>
        <v>956471</v>
      </c>
      <c r="F22" s="138">
        <f>SUBTOTAL(109,college201213[Less: Net Payments and Offsets 9])</f>
        <v>540973</v>
      </c>
      <c r="G22" s="414" t="s">
        <v>552</v>
      </c>
      <c r="H22" s="138">
        <f>SUBTOTAL(109,college201213[Accounts Payable
Balance])</f>
        <v>415498</v>
      </c>
      <c r="I22" s="138">
        <f>SUBTOTAL(109,college201213[Established
Accounts Receivable])</f>
        <v>1000</v>
      </c>
      <c r="J22" s="456" t="s">
        <v>615</v>
      </c>
      <c r="K22" s="138">
        <f>SUBTOTAL(109,college201213[Accounts Receivable
Balance])</f>
        <v>1000</v>
      </c>
      <c r="L22" s="138">
        <f>SUBTOTAL(109,college201213[Net
Balance])</f>
        <v>414498</v>
      </c>
      <c r="M22" s="414" t="s">
        <v>552</v>
      </c>
    </row>
    <row r="23" spans="1:13" ht="15.5" outlineLevel="2" x14ac:dyDescent="0.35">
      <c r="A23" s="386" t="s">
        <v>540</v>
      </c>
      <c r="B23" s="139"/>
      <c r="C23" s="139"/>
      <c r="D23" s="139"/>
      <c r="E23" s="140"/>
      <c r="F23" s="140"/>
      <c r="G23" s="140"/>
      <c r="H23" s="140"/>
      <c r="I23" s="140"/>
      <c r="J23" s="140"/>
      <c r="K23" s="140"/>
      <c r="L23" s="140"/>
      <c r="M23" s="483"/>
    </row>
    <row r="24" spans="1:13" ht="50" customHeight="1" outlineLevel="2" x14ac:dyDescent="0.35">
      <c r="A24" s="299" t="s">
        <v>11</v>
      </c>
      <c r="B24" s="158" t="s">
        <v>12</v>
      </c>
      <c r="C24" s="158" t="s">
        <v>0</v>
      </c>
      <c r="D24" s="158" t="s">
        <v>132</v>
      </c>
      <c r="E24" s="422" t="s">
        <v>125</v>
      </c>
      <c r="F24" s="423" t="s">
        <v>620</v>
      </c>
      <c r="G24" s="424" t="s">
        <v>531</v>
      </c>
      <c r="H24" s="422" t="s">
        <v>495</v>
      </c>
      <c r="I24" s="422" t="s">
        <v>496</v>
      </c>
      <c r="J24" s="422" t="s">
        <v>134</v>
      </c>
      <c r="K24" s="422" t="s">
        <v>497</v>
      </c>
      <c r="L24" s="422" t="s">
        <v>133</v>
      </c>
      <c r="M24" s="425" t="s">
        <v>532</v>
      </c>
    </row>
    <row r="25" spans="1:13" ht="15" customHeight="1" outlineLevel="2" x14ac:dyDescent="0.35">
      <c r="A25" s="93" t="s">
        <v>143</v>
      </c>
      <c r="B25" s="86" t="s">
        <v>151</v>
      </c>
      <c r="C25" s="85" t="s">
        <v>152</v>
      </c>
      <c r="D25" s="93">
        <v>355</v>
      </c>
      <c r="E25" s="121">
        <v>61153</v>
      </c>
      <c r="F25" s="121">
        <v>42166</v>
      </c>
      <c r="G25" s="413" t="s">
        <v>529</v>
      </c>
      <c r="H25" s="121">
        <v>18987</v>
      </c>
      <c r="I25" s="392">
        <v>0</v>
      </c>
      <c r="J25" s="392">
        <v>0</v>
      </c>
      <c r="K25" s="392">
        <v>0</v>
      </c>
      <c r="L25" s="121">
        <v>18987</v>
      </c>
      <c r="M25" s="420" t="s">
        <v>529</v>
      </c>
    </row>
    <row r="26" spans="1:13" ht="45" customHeight="1" outlineLevel="2" x14ac:dyDescent="0.35">
      <c r="A26" s="93" t="s">
        <v>143</v>
      </c>
      <c r="B26" s="86" t="s">
        <v>67</v>
      </c>
      <c r="C26" s="85" t="s">
        <v>68</v>
      </c>
      <c r="D26" s="93">
        <v>287</v>
      </c>
      <c r="E26" s="121">
        <v>30729</v>
      </c>
      <c r="F26" s="121">
        <v>27607</v>
      </c>
      <c r="G26" s="413" t="s">
        <v>529</v>
      </c>
      <c r="H26" s="121">
        <v>3122</v>
      </c>
      <c r="I26" s="392">
        <v>0</v>
      </c>
      <c r="J26" s="392">
        <v>0</v>
      </c>
      <c r="K26" s="392">
        <v>0</v>
      </c>
      <c r="L26" s="121">
        <v>3122</v>
      </c>
      <c r="M26" s="420" t="s">
        <v>529</v>
      </c>
    </row>
    <row r="27" spans="1:13" ht="34" customHeight="1" outlineLevel="2" x14ac:dyDescent="0.35">
      <c r="A27" s="93" t="s">
        <v>143</v>
      </c>
      <c r="B27" s="86" t="s">
        <v>72</v>
      </c>
      <c r="C27" s="85" t="s">
        <v>73</v>
      </c>
      <c r="D27" s="93">
        <v>232</v>
      </c>
      <c r="E27" s="121">
        <v>3644350</v>
      </c>
      <c r="F27" s="121">
        <v>3393229</v>
      </c>
      <c r="G27" s="413" t="s">
        <v>529</v>
      </c>
      <c r="H27" s="121">
        <v>251121</v>
      </c>
      <c r="I27" s="392">
        <v>0</v>
      </c>
      <c r="J27" s="392">
        <v>0</v>
      </c>
      <c r="K27" s="392">
        <v>0</v>
      </c>
      <c r="L27" s="121">
        <v>251121</v>
      </c>
      <c r="M27" s="420" t="s">
        <v>529</v>
      </c>
    </row>
    <row r="28" spans="1:13" ht="15.5" outlineLevel="2" x14ac:dyDescent="0.35">
      <c r="A28" s="93" t="s">
        <v>143</v>
      </c>
      <c r="B28" s="86" t="s">
        <v>342</v>
      </c>
      <c r="C28" s="85" t="s">
        <v>343</v>
      </c>
      <c r="D28" s="93">
        <v>332</v>
      </c>
      <c r="E28" s="121">
        <v>141970</v>
      </c>
      <c r="F28" s="121">
        <v>64245</v>
      </c>
      <c r="G28" s="413" t="s">
        <v>529</v>
      </c>
      <c r="H28" s="121">
        <v>77725</v>
      </c>
      <c r="I28" s="392">
        <v>0</v>
      </c>
      <c r="J28" s="392">
        <v>0</v>
      </c>
      <c r="K28" s="392">
        <v>0</v>
      </c>
      <c r="L28" s="121">
        <v>77725</v>
      </c>
      <c r="M28" s="420" t="s">
        <v>529</v>
      </c>
    </row>
    <row r="29" spans="1:13" ht="50.5" customHeight="1" outlineLevel="2" x14ac:dyDescent="0.35">
      <c r="A29" s="93" t="s">
        <v>143</v>
      </c>
      <c r="B29" s="86" t="s">
        <v>417</v>
      </c>
      <c r="C29" s="85" t="s">
        <v>266</v>
      </c>
      <c r="D29" s="93">
        <v>340</v>
      </c>
      <c r="E29" s="121">
        <v>713298</v>
      </c>
      <c r="F29" s="121">
        <v>377169</v>
      </c>
      <c r="G29" s="413" t="s">
        <v>529</v>
      </c>
      <c r="H29" s="121">
        <v>336129</v>
      </c>
      <c r="I29" s="392">
        <v>0</v>
      </c>
      <c r="J29" s="392">
        <v>0</v>
      </c>
      <c r="K29" s="392">
        <v>0</v>
      </c>
      <c r="L29" s="121">
        <v>336129</v>
      </c>
      <c r="M29" s="420" t="s">
        <v>529</v>
      </c>
    </row>
    <row r="30" spans="1:13" ht="32" customHeight="1" outlineLevel="2" x14ac:dyDescent="0.35">
      <c r="A30" s="93" t="s">
        <v>143</v>
      </c>
      <c r="B30" s="86" t="s">
        <v>338</v>
      </c>
      <c r="C30" s="85" t="s">
        <v>253</v>
      </c>
      <c r="D30" s="93">
        <v>267</v>
      </c>
      <c r="E30" s="121">
        <v>3224800</v>
      </c>
      <c r="F30" s="121">
        <v>2788812</v>
      </c>
      <c r="G30" s="413" t="s">
        <v>529</v>
      </c>
      <c r="H30" s="121">
        <v>435988</v>
      </c>
      <c r="I30" s="392">
        <v>0</v>
      </c>
      <c r="J30" s="392">
        <v>0</v>
      </c>
      <c r="K30" s="392">
        <v>0</v>
      </c>
      <c r="L30" s="121">
        <v>435988</v>
      </c>
      <c r="M30" s="420" t="s">
        <v>529</v>
      </c>
    </row>
    <row r="31" spans="1:13" ht="31.5" customHeight="1" outlineLevel="2" x14ac:dyDescent="0.35">
      <c r="A31" s="93" t="s">
        <v>143</v>
      </c>
      <c r="B31" s="86" t="s">
        <v>418</v>
      </c>
      <c r="C31" s="85" t="s">
        <v>344</v>
      </c>
      <c r="D31" s="93">
        <v>234</v>
      </c>
      <c r="E31" s="121">
        <v>5088326</v>
      </c>
      <c r="F31" s="121">
        <v>4545035</v>
      </c>
      <c r="G31" s="413" t="s">
        <v>529</v>
      </c>
      <c r="H31" s="121">
        <v>543291</v>
      </c>
      <c r="I31" s="392">
        <v>0</v>
      </c>
      <c r="J31" s="392">
        <v>0</v>
      </c>
      <c r="K31" s="392">
        <v>0</v>
      </c>
      <c r="L31" s="121">
        <v>543291</v>
      </c>
      <c r="M31" s="420" t="s">
        <v>529</v>
      </c>
    </row>
    <row r="32" spans="1:13" ht="32" customHeight="1" outlineLevel="2" x14ac:dyDescent="0.35">
      <c r="A32" s="93" t="s">
        <v>143</v>
      </c>
      <c r="B32" s="86" t="s">
        <v>267</v>
      </c>
      <c r="C32" s="85" t="s">
        <v>156</v>
      </c>
      <c r="D32" s="93">
        <v>320</v>
      </c>
      <c r="E32" s="121">
        <v>594187</v>
      </c>
      <c r="F32" s="121">
        <v>511243</v>
      </c>
      <c r="G32" s="413" t="s">
        <v>529</v>
      </c>
      <c r="H32" s="121">
        <v>82944</v>
      </c>
      <c r="I32" s="392">
        <v>0</v>
      </c>
      <c r="J32" s="392">
        <v>0</v>
      </c>
      <c r="K32" s="392">
        <v>0</v>
      </c>
      <c r="L32" s="121">
        <v>82944</v>
      </c>
      <c r="M32" s="420" t="s">
        <v>529</v>
      </c>
    </row>
    <row r="33" spans="1:13" ht="15.5" outlineLevel="1" x14ac:dyDescent="0.35">
      <c r="A33" s="93" t="s">
        <v>143</v>
      </c>
      <c r="B33" s="86" t="s">
        <v>339</v>
      </c>
      <c r="C33" s="85" t="s">
        <v>340</v>
      </c>
      <c r="D33" s="93">
        <v>347</v>
      </c>
      <c r="E33" s="121">
        <v>8924336</v>
      </c>
      <c r="F33" s="121">
        <v>3891706</v>
      </c>
      <c r="G33" s="413" t="s">
        <v>529</v>
      </c>
      <c r="H33" s="121">
        <v>5032630</v>
      </c>
      <c r="I33" s="392">
        <v>0</v>
      </c>
      <c r="J33" s="392">
        <v>0</v>
      </c>
      <c r="K33" s="392">
        <v>0</v>
      </c>
      <c r="L33" s="121">
        <v>5032630</v>
      </c>
      <c r="M33" s="420" t="s">
        <v>529</v>
      </c>
    </row>
    <row r="34" spans="1:13" ht="15" customHeight="1" outlineLevel="2" x14ac:dyDescent="0.35">
      <c r="A34" s="93" t="s">
        <v>143</v>
      </c>
      <c r="B34" s="86" t="s">
        <v>341</v>
      </c>
      <c r="C34" s="85" t="s">
        <v>145</v>
      </c>
      <c r="D34" s="93">
        <v>238</v>
      </c>
      <c r="E34" s="121">
        <v>1362137</v>
      </c>
      <c r="F34" s="121">
        <v>1151679</v>
      </c>
      <c r="G34" s="413" t="s">
        <v>529</v>
      </c>
      <c r="H34" s="121">
        <v>210458</v>
      </c>
      <c r="I34" s="392">
        <v>0</v>
      </c>
      <c r="J34" s="392">
        <v>0</v>
      </c>
      <c r="K34" s="392">
        <v>0</v>
      </c>
      <c r="L34" s="121">
        <v>210458</v>
      </c>
      <c r="M34" s="420" t="s">
        <v>529</v>
      </c>
    </row>
    <row r="35" spans="1:13" ht="15.5" outlineLevel="2" x14ac:dyDescent="0.35">
      <c r="A35" s="93" t="s">
        <v>143</v>
      </c>
      <c r="B35" s="86" t="s">
        <v>345</v>
      </c>
      <c r="C35" s="85" t="s">
        <v>91</v>
      </c>
      <c r="D35" s="93">
        <v>301</v>
      </c>
      <c r="E35" s="121">
        <v>705908</v>
      </c>
      <c r="F35" s="121">
        <v>664522</v>
      </c>
      <c r="G35" s="413" t="s">
        <v>529</v>
      </c>
      <c r="H35" s="121">
        <v>41386</v>
      </c>
      <c r="I35" s="392">
        <v>0</v>
      </c>
      <c r="J35" s="392">
        <v>0</v>
      </c>
      <c r="K35" s="392">
        <v>0</v>
      </c>
      <c r="L35" s="121">
        <v>41386</v>
      </c>
      <c r="M35" s="420" t="s">
        <v>529</v>
      </c>
    </row>
    <row r="36" spans="1:13" ht="15.5" outlineLevel="2" x14ac:dyDescent="0.35">
      <c r="A36" s="137" t="s">
        <v>146</v>
      </c>
      <c r="B36" s="429" t="s">
        <v>529</v>
      </c>
      <c r="C36" s="430" t="s">
        <v>529</v>
      </c>
      <c r="D36" s="409" t="s">
        <v>529</v>
      </c>
      <c r="E36" s="138">
        <f>SUBTOTAL(109,college201112[Program
Costs])</f>
        <v>24491194</v>
      </c>
      <c r="F36" s="138">
        <f>SUBTOTAL(109,college201112[Less: Net Payments and Offsets 9])</f>
        <v>17457413</v>
      </c>
      <c r="G36" s="414" t="s">
        <v>552</v>
      </c>
      <c r="H36" s="138">
        <f>SUBTOTAL(109,college201112[Accounts Payable
Balance])</f>
        <v>7033781</v>
      </c>
      <c r="I36" s="456" t="s">
        <v>615</v>
      </c>
      <c r="J36" s="456" t="s">
        <v>615</v>
      </c>
      <c r="K36" s="456" t="s">
        <v>615</v>
      </c>
      <c r="L36" s="138">
        <f>SUBTOTAL(109,college201112[Net
Balance])</f>
        <v>7033781</v>
      </c>
      <c r="M36" s="414" t="s">
        <v>552</v>
      </c>
    </row>
    <row r="37" spans="1:13" ht="15.5" outlineLevel="2" x14ac:dyDescent="0.35">
      <c r="A37" s="386" t="s">
        <v>540</v>
      </c>
      <c r="B37" s="139"/>
      <c r="C37" s="139"/>
      <c r="D37" s="139"/>
      <c r="E37" s="140"/>
      <c r="F37" s="140"/>
      <c r="G37" s="140"/>
      <c r="H37" s="140"/>
      <c r="I37" s="140"/>
      <c r="J37" s="140"/>
      <c r="K37" s="140"/>
      <c r="L37" s="140"/>
      <c r="M37" s="483"/>
    </row>
    <row r="38" spans="1:13" ht="50" customHeight="1" outlineLevel="2" x14ac:dyDescent="0.35">
      <c r="A38" s="299" t="s">
        <v>11</v>
      </c>
      <c r="B38" s="158" t="s">
        <v>12</v>
      </c>
      <c r="C38" s="158" t="s">
        <v>0</v>
      </c>
      <c r="D38" s="158" t="s">
        <v>132</v>
      </c>
      <c r="E38" s="422" t="s">
        <v>125</v>
      </c>
      <c r="F38" s="423" t="s">
        <v>620</v>
      </c>
      <c r="G38" s="424" t="s">
        <v>531</v>
      </c>
      <c r="H38" s="422" t="s">
        <v>495</v>
      </c>
      <c r="I38" s="422" t="s">
        <v>496</v>
      </c>
      <c r="J38" s="422" t="s">
        <v>134</v>
      </c>
      <c r="K38" s="422" t="s">
        <v>497</v>
      </c>
      <c r="L38" s="422" t="s">
        <v>133</v>
      </c>
      <c r="M38" s="425" t="s">
        <v>532</v>
      </c>
    </row>
    <row r="39" spans="1:13" ht="15.5" outlineLevel="2" x14ac:dyDescent="0.35">
      <c r="A39" s="93" t="s">
        <v>41</v>
      </c>
      <c r="B39" s="86" t="s">
        <v>151</v>
      </c>
      <c r="C39" s="85" t="s">
        <v>152</v>
      </c>
      <c r="D39" s="93">
        <v>355</v>
      </c>
      <c r="E39" s="121">
        <v>10348</v>
      </c>
      <c r="F39" s="121">
        <v>7533</v>
      </c>
      <c r="G39" s="413" t="s">
        <v>529</v>
      </c>
      <c r="H39" s="121">
        <v>2815</v>
      </c>
      <c r="I39" s="392">
        <v>0</v>
      </c>
      <c r="J39" s="392">
        <v>0</v>
      </c>
      <c r="K39" s="392">
        <v>0</v>
      </c>
      <c r="L39" s="121">
        <v>2815</v>
      </c>
      <c r="M39" s="420" t="s">
        <v>529</v>
      </c>
    </row>
    <row r="40" spans="1:13" ht="47.5" customHeight="1" outlineLevel="2" x14ac:dyDescent="0.35">
      <c r="A40" s="93" t="s">
        <v>41</v>
      </c>
      <c r="B40" s="86" t="s">
        <v>67</v>
      </c>
      <c r="C40" s="85" t="s">
        <v>68</v>
      </c>
      <c r="D40" s="93">
        <v>287</v>
      </c>
      <c r="E40" s="121">
        <v>40850</v>
      </c>
      <c r="F40" s="121">
        <v>38469</v>
      </c>
      <c r="G40" s="413" t="s">
        <v>529</v>
      </c>
      <c r="H40" s="121">
        <v>2381</v>
      </c>
      <c r="I40" s="392">
        <v>0</v>
      </c>
      <c r="J40" s="392">
        <v>0</v>
      </c>
      <c r="K40" s="392">
        <v>0</v>
      </c>
      <c r="L40" s="121">
        <v>2381</v>
      </c>
      <c r="M40" s="420" t="s">
        <v>529</v>
      </c>
    </row>
    <row r="41" spans="1:13" ht="30" customHeight="1" outlineLevel="2" x14ac:dyDescent="0.35">
      <c r="A41" s="93" t="s">
        <v>41</v>
      </c>
      <c r="B41" s="86" t="s">
        <v>72</v>
      </c>
      <c r="C41" s="85" t="s">
        <v>73</v>
      </c>
      <c r="D41" s="93">
        <v>232</v>
      </c>
      <c r="E41" s="121">
        <v>3804239</v>
      </c>
      <c r="F41" s="121">
        <v>3628460</v>
      </c>
      <c r="G41" s="413" t="s">
        <v>529</v>
      </c>
      <c r="H41" s="121">
        <v>175779</v>
      </c>
      <c r="I41" s="392">
        <v>0</v>
      </c>
      <c r="J41" s="392">
        <v>0</v>
      </c>
      <c r="K41" s="392">
        <v>0</v>
      </c>
      <c r="L41" s="121">
        <v>175779</v>
      </c>
      <c r="M41" s="420" t="s">
        <v>529</v>
      </c>
    </row>
    <row r="42" spans="1:13" ht="15" customHeight="1" outlineLevel="2" x14ac:dyDescent="0.35">
      <c r="A42" s="93" t="s">
        <v>41</v>
      </c>
      <c r="B42" s="86" t="s">
        <v>342</v>
      </c>
      <c r="C42" s="85" t="s">
        <v>343</v>
      </c>
      <c r="D42" s="93">
        <v>332</v>
      </c>
      <c r="E42" s="121">
        <v>79698</v>
      </c>
      <c r="F42" s="121">
        <v>46173</v>
      </c>
      <c r="G42" s="413" t="s">
        <v>529</v>
      </c>
      <c r="H42" s="121">
        <v>33525</v>
      </c>
      <c r="I42" s="392">
        <v>0</v>
      </c>
      <c r="J42" s="392">
        <v>0</v>
      </c>
      <c r="K42" s="392">
        <v>0</v>
      </c>
      <c r="L42" s="121">
        <v>33525</v>
      </c>
      <c r="M42" s="420" t="s">
        <v>529</v>
      </c>
    </row>
    <row r="43" spans="1:13" ht="48.5" customHeight="1" outlineLevel="2" x14ac:dyDescent="0.35">
      <c r="A43" s="93" t="s">
        <v>41</v>
      </c>
      <c r="B43" s="86" t="s">
        <v>417</v>
      </c>
      <c r="C43" s="85" t="s">
        <v>266</v>
      </c>
      <c r="D43" s="93">
        <v>340</v>
      </c>
      <c r="E43" s="121">
        <v>543779</v>
      </c>
      <c r="F43" s="121">
        <v>325401</v>
      </c>
      <c r="G43" s="413" t="s">
        <v>529</v>
      </c>
      <c r="H43" s="121">
        <v>218378</v>
      </c>
      <c r="I43" s="392">
        <v>0</v>
      </c>
      <c r="J43" s="392">
        <v>0</v>
      </c>
      <c r="K43" s="392">
        <v>0</v>
      </c>
      <c r="L43" s="121">
        <v>218378</v>
      </c>
      <c r="M43" s="420" t="s">
        <v>529</v>
      </c>
    </row>
    <row r="44" spans="1:13" ht="35" customHeight="1" outlineLevel="2" x14ac:dyDescent="0.35">
      <c r="A44" s="93" t="s">
        <v>41</v>
      </c>
      <c r="B44" s="86" t="s">
        <v>338</v>
      </c>
      <c r="C44" s="85" t="s">
        <v>253</v>
      </c>
      <c r="D44" s="93">
        <v>267</v>
      </c>
      <c r="E44" s="121">
        <v>5522032</v>
      </c>
      <c r="F44" s="121">
        <v>4634414</v>
      </c>
      <c r="G44" s="413" t="s">
        <v>529</v>
      </c>
      <c r="H44" s="121">
        <v>887618</v>
      </c>
      <c r="I44" s="392">
        <v>0</v>
      </c>
      <c r="J44" s="392">
        <v>0</v>
      </c>
      <c r="K44" s="392">
        <v>0</v>
      </c>
      <c r="L44" s="121">
        <v>887618</v>
      </c>
      <c r="M44" s="420" t="s">
        <v>529</v>
      </c>
    </row>
    <row r="45" spans="1:13" ht="32.5" customHeight="1" outlineLevel="2" x14ac:dyDescent="0.35">
      <c r="A45" s="93" t="s">
        <v>41</v>
      </c>
      <c r="B45" s="86" t="s">
        <v>418</v>
      </c>
      <c r="C45" s="85" t="s">
        <v>344</v>
      </c>
      <c r="D45" s="93">
        <v>234</v>
      </c>
      <c r="E45" s="121">
        <v>5636135</v>
      </c>
      <c r="F45" s="121">
        <v>5483671</v>
      </c>
      <c r="G45" s="413" t="s">
        <v>529</v>
      </c>
      <c r="H45" s="121">
        <v>152464</v>
      </c>
      <c r="I45" s="392">
        <v>0</v>
      </c>
      <c r="J45" s="392">
        <v>0</v>
      </c>
      <c r="K45" s="392">
        <v>0</v>
      </c>
      <c r="L45" s="121">
        <v>152464</v>
      </c>
      <c r="M45" s="420" t="s">
        <v>529</v>
      </c>
    </row>
    <row r="46" spans="1:13" ht="15" customHeight="1" outlineLevel="2" x14ac:dyDescent="0.35">
      <c r="A46" s="93" t="s">
        <v>41</v>
      </c>
      <c r="B46" s="86" t="s">
        <v>346</v>
      </c>
      <c r="C46" s="85" t="s">
        <v>347</v>
      </c>
      <c r="D46" s="93">
        <v>256</v>
      </c>
      <c r="E46" s="121">
        <v>292934</v>
      </c>
      <c r="F46" s="121">
        <v>269889</v>
      </c>
      <c r="G46" s="413" t="s">
        <v>529</v>
      </c>
      <c r="H46" s="121">
        <v>23045</v>
      </c>
      <c r="I46" s="392">
        <v>0</v>
      </c>
      <c r="J46" s="392">
        <v>0</v>
      </c>
      <c r="K46" s="392">
        <v>0</v>
      </c>
      <c r="L46" s="121">
        <v>23045</v>
      </c>
      <c r="M46" s="420" t="s">
        <v>529</v>
      </c>
    </row>
    <row r="47" spans="1:13" ht="15.5" outlineLevel="1" x14ac:dyDescent="0.35">
      <c r="A47" s="93" t="s">
        <v>41</v>
      </c>
      <c r="B47" s="86" t="s">
        <v>155</v>
      </c>
      <c r="C47" s="85" t="s">
        <v>156</v>
      </c>
      <c r="D47" s="93">
        <v>237</v>
      </c>
      <c r="E47" s="121">
        <v>676281</v>
      </c>
      <c r="F47" s="121">
        <v>627596</v>
      </c>
      <c r="G47" s="413" t="s">
        <v>529</v>
      </c>
      <c r="H47" s="121">
        <v>48685</v>
      </c>
      <c r="I47" s="392">
        <v>0</v>
      </c>
      <c r="J47" s="392">
        <v>0</v>
      </c>
      <c r="K47" s="392">
        <v>0</v>
      </c>
      <c r="L47" s="121">
        <v>48685</v>
      </c>
      <c r="M47" s="420" t="s">
        <v>529</v>
      </c>
    </row>
    <row r="48" spans="1:13" ht="15.5" outlineLevel="2" x14ac:dyDescent="0.35">
      <c r="A48" s="93" t="s">
        <v>41</v>
      </c>
      <c r="B48" s="86" t="s">
        <v>339</v>
      </c>
      <c r="C48" s="85" t="s">
        <v>340</v>
      </c>
      <c r="D48" s="93">
        <v>347</v>
      </c>
      <c r="E48" s="121">
        <v>8383446</v>
      </c>
      <c r="F48" s="121">
        <v>4698840</v>
      </c>
      <c r="G48" s="413" t="s">
        <v>529</v>
      </c>
      <c r="H48" s="121">
        <v>3684606</v>
      </c>
      <c r="I48" s="392">
        <v>0</v>
      </c>
      <c r="J48" s="392">
        <v>0</v>
      </c>
      <c r="K48" s="392">
        <v>0</v>
      </c>
      <c r="L48" s="121">
        <v>3684606</v>
      </c>
      <c r="M48" s="420" t="s">
        <v>529</v>
      </c>
    </row>
    <row r="49" spans="1:13" ht="15" customHeight="1" outlineLevel="2" x14ac:dyDescent="0.35">
      <c r="A49" s="93" t="s">
        <v>41</v>
      </c>
      <c r="B49" s="86" t="s">
        <v>341</v>
      </c>
      <c r="C49" s="85" t="s">
        <v>145</v>
      </c>
      <c r="D49" s="93">
        <v>238</v>
      </c>
      <c r="E49" s="121">
        <v>1420015</v>
      </c>
      <c r="F49" s="121">
        <v>1360205</v>
      </c>
      <c r="G49" s="413" t="s">
        <v>529</v>
      </c>
      <c r="H49" s="121">
        <v>59810</v>
      </c>
      <c r="I49" s="392">
        <v>0</v>
      </c>
      <c r="J49" s="392">
        <v>0</v>
      </c>
      <c r="K49" s="392">
        <v>0</v>
      </c>
      <c r="L49" s="121">
        <v>59810</v>
      </c>
      <c r="M49" s="420" t="s">
        <v>529</v>
      </c>
    </row>
    <row r="50" spans="1:13" ht="15.5" outlineLevel="2" x14ac:dyDescent="0.35">
      <c r="A50" s="93" t="s">
        <v>41</v>
      </c>
      <c r="B50" s="86" t="s">
        <v>345</v>
      </c>
      <c r="C50" s="85" t="s">
        <v>91</v>
      </c>
      <c r="D50" s="93">
        <v>301</v>
      </c>
      <c r="E50" s="121">
        <v>915059</v>
      </c>
      <c r="F50" s="121">
        <v>873666</v>
      </c>
      <c r="G50" s="413" t="s">
        <v>529</v>
      </c>
      <c r="H50" s="121">
        <v>41393</v>
      </c>
      <c r="I50" s="392">
        <v>0</v>
      </c>
      <c r="J50" s="392">
        <v>0</v>
      </c>
      <c r="K50" s="392">
        <v>0</v>
      </c>
      <c r="L50" s="121">
        <v>41393</v>
      </c>
      <c r="M50" s="420" t="s">
        <v>529</v>
      </c>
    </row>
    <row r="51" spans="1:13" ht="15" customHeight="1" outlineLevel="2" x14ac:dyDescent="0.35">
      <c r="A51" s="137" t="s">
        <v>159</v>
      </c>
      <c r="B51" s="429" t="s">
        <v>529</v>
      </c>
      <c r="C51" s="430" t="s">
        <v>529</v>
      </c>
      <c r="D51" s="409" t="s">
        <v>529</v>
      </c>
      <c r="E51" s="138">
        <f>SUBTOTAL(109,college201011[Program
Costs])</f>
        <v>27324816</v>
      </c>
      <c r="F51" s="138">
        <f>SUBTOTAL(109,college201011[Less: Net Payments and Offsets 9])</f>
        <v>21994317</v>
      </c>
      <c r="G51" s="414" t="s">
        <v>552</v>
      </c>
      <c r="H51" s="138">
        <f>SUBTOTAL(109,college201011[Accounts Payable
Balance])</f>
        <v>5330499</v>
      </c>
      <c r="I51" s="456" t="s">
        <v>615</v>
      </c>
      <c r="J51" s="456" t="s">
        <v>615</v>
      </c>
      <c r="K51" s="456" t="s">
        <v>615</v>
      </c>
      <c r="L51" s="138">
        <f>SUBTOTAL(109,college201011[Net
Balance])</f>
        <v>5330499</v>
      </c>
      <c r="M51" s="414" t="s">
        <v>552</v>
      </c>
    </row>
    <row r="52" spans="1:13" ht="15" customHeight="1" outlineLevel="2" x14ac:dyDescent="0.35">
      <c r="A52" s="386" t="s">
        <v>540</v>
      </c>
      <c r="B52" s="404"/>
      <c r="C52" s="135"/>
      <c r="D52" s="405"/>
      <c r="E52" s="406"/>
      <c r="F52" s="406"/>
      <c r="G52" s="406"/>
      <c r="H52" s="406"/>
      <c r="I52" s="406"/>
      <c r="J52" s="406"/>
      <c r="K52" s="406"/>
      <c r="L52" s="406"/>
      <c r="M52" s="406"/>
    </row>
    <row r="53" spans="1:13" ht="50" customHeight="1" outlineLevel="2" x14ac:dyDescent="0.35">
      <c r="A53" s="299" t="s">
        <v>11</v>
      </c>
      <c r="B53" s="158" t="s">
        <v>12</v>
      </c>
      <c r="C53" s="158" t="s">
        <v>0</v>
      </c>
      <c r="D53" s="158" t="s">
        <v>132</v>
      </c>
      <c r="E53" s="422" t="s">
        <v>125</v>
      </c>
      <c r="F53" s="423" t="s">
        <v>620</v>
      </c>
      <c r="G53" s="424" t="s">
        <v>531</v>
      </c>
      <c r="H53" s="422" t="s">
        <v>495</v>
      </c>
      <c r="I53" s="422" t="s">
        <v>496</v>
      </c>
      <c r="J53" s="422" t="s">
        <v>134</v>
      </c>
      <c r="K53" s="422" t="s">
        <v>497</v>
      </c>
      <c r="L53" s="422" t="s">
        <v>133</v>
      </c>
      <c r="M53" s="425" t="s">
        <v>532</v>
      </c>
    </row>
    <row r="54" spans="1:13" ht="32" customHeight="1" outlineLevel="2" x14ac:dyDescent="0.35">
      <c r="A54" s="93" t="s">
        <v>44</v>
      </c>
      <c r="B54" s="86" t="s">
        <v>72</v>
      </c>
      <c r="C54" s="85" t="s">
        <v>73</v>
      </c>
      <c r="D54" s="93">
        <v>232</v>
      </c>
      <c r="E54" s="121">
        <v>4567806</v>
      </c>
      <c r="F54" s="121">
        <v>4329618</v>
      </c>
      <c r="G54" s="413" t="s">
        <v>529</v>
      </c>
      <c r="H54" s="121">
        <v>238188</v>
      </c>
      <c r="I54" s="121">
        <v>4602</v>
      </c>
      <c r="J54" s="392">
        <v>0</v>
      </c>
      <c r="K54" s="121">
        <v>4602</v>
      </c>
      <c r="L54" s="121">
        <v>233586</v>
      </c>
      <c r="M54" s="420" t="s">
        <v>529</v>
      </c>
    </row>
    <row r="55" spans="1:13" ht="15" customHeight="1" outlineLevel="2" x14ac:dyDescent="0.35">
      <c r="A55" s="93" t="s">
        <v>44</v>
      </c>
      <c r="B55" s="86" t="s">
        <v>342</v>
      </c>
      <c r="C55" s="85" t="s">
        <v>343</v>
      </c>
      <c r="D55" s="93">
        <v>332</v>
      </c>
      <c r="E55" s="121">
        <v>79988</v>
      </c>
      <c r="F55" s="121">
        <v>39713</v>
      </c>
      <c r="G55" s="413" t="s">
        <v>529</v>
      </c>
      <c r="H55" s="121">
        <v>40275</v>
      </c>
      <c r="I55" s="392">
        <v>0</v>
      </c>
      <c r="J55" s="392">
        <v>0</v>
      </c>
      <c r="K55" s="392">
        <v>0</v>
      </c>
      <c r="L55" s="121">
        <v>40275</v>
      </c>
      <c r="M55" s="420" t="s">
        <v>529</v>
      </c>
    </row>
    <row r="56" spans="1:13" ht="50" customHeight="1" outlineLevel="2" x14ac:dyDescent="0.35">
      <c r="A56" s="93" t="s">
        <v>44</v>
      </c>
      <c r="B56" s="86" t="s">
        <v>417</v>
      </c>
      <c r="C56" s="85" t="s">
        <v>266</v>
      </c>
      <c r="D56" s="93">
        <v>340</v>
      </c>
      <c r="E56" s="121">
        <v>631179</v>
      </c>
      <c r="F56" s="121">
        <v>359567</v>
      </c>
      <c r="G56" s="413" t="s">
        <v>529</v>
      </c>
      <c r="H56" s="121">
        <v>271612</v>
      </c>
      <c r="I56" s="392">
        <v>0</v>
      </c>
      <c r="J56" s="392">
        <v>0</v>
      </c>
      <c r="K56" s="392">
        <v>0</v>
      </c>
      <c r="L56" s="121">
        <v>271612</v>
      </c>
      <c r="M56" s="420" t="s">
        <v>529</v>
      </c>
    </row>
    <row r="57" spans="1:13" ht="30.5" customHeight="1" outlineLevel="2" x14ac:dyDescent="0.35">
      <c r="A57" s="93" t="s">
        <v>44</v>
      </c>
      <c r="B57" s="86" t="s">
        <v>338</v>
      </c>
      <c r="C57" s="85" t="s">
        <v>253</v>
      </c>
      <c r="D57" s="93">
        <v>267</v>
      </c>
      <c r="E57" s="121">
        <v>7294856</v>
      </c>
      <c r="F57" s="121">
        <v>6212480</v>
      </c>
      <c r="G57" s="413" t="s">
        <v>529</v>
      </c>
      <c r="H57" s="121">
        <v>1082376</v>
      </c>
      <c r="I57" s="121">
        <v>1598277</v>
      </c>
      <c r="J57" s="392">
        <v>0</v>
      </c>
      <c r="K57" s="121">
        <v>1598277</v>
      </c>
      <c r="L57" s="121">
        <v>-515901</v>
      </c>
      <c r="M57" s="420" t="s">
        <v>529</v>
      </c>
    </row>
    <row r="58" spans="1:13" ht="32" customHeight="1" outlineLevel="2" x14ac:dyDescent="0.35">
      <c r="A58" s="93" t="s">
        <v>44</v>
      </c>
      <c r="B58" s="86" t="s">
        <v>418</v>
      </c>
      <c r="C58" s="85" t="s">
        <v>344</v>
      </c>
      <c r="D58" s="93">
        <v>234</v>
      </c>
      <c r="E58" s="121">
        <v>3066366</v>
      </c>
      <c r="F58" s="121">
        <v>3066366</v>
      </c>
      <c r="G58" s="413" t="s">
        <v>529</v>
      </c>
      <c r="H58" s="392">
        <v>0</v>
      </c>
      <c r="I58" s="121">
        <v>1619834</v>
      </c>
      <c r="J58" s="121">
        <v>258603</v>
      </c>
      <c r="K58" s="121">
        <v>1361231</v>
      </c>
      <c r="L58" s="121">
        <v>-1361231</v>
      </c>
      <c r="M58" s="420" t="s">
        <v>529</v>
      </c>
    </row>
    <row r="59" spans="1:13" ht="15" customHeight="1" outlineLevel="2" x14ac:dyDescent="0.35">
      <c r="A59" s="93" t="s">
        <v>44</v>
      </c>
      <c r="B59" s="86" t="s">
        <v>346</v>
      </c>
      <c r="C59" s="85" t="s">
        <v>347</v>
      </c>
      <c r="D59" s="93">
        <v>256</v>
      </c>
      <c r="E59" s="121">
        <v>1006042</v>
      </c>
      <c r="F59" s="121">
        <v>922624</v>
      </c>
      <c r="G59" s="413" t="s">
        <v>529</v>
      </c>
      <c r="H59" s="121">
        <v>83418</v>
      </c>
      <c r="I59" s="392">
        <v>0</v>
      </c>
      <c r="J59" s="392">
        <v>0</v>
      </c>
      <c r="K59" s="392">
        <v>0</v>
      </c>
      <c r="L59" s="121">
        <v>83418</v>
      </c>
      <c r="M59" s="420" t="s">
        <v>529</v>
      </c>
    </row>
    <row r="60" spans="1:13" ht="15.5" outlineLevel="1" x14ac:dyDescent="0.35">
      <c r="A60" s="93" t="s">
        <v>44</v>
      </c>
      <c r="B60" s="86" t="s">
        <v>155</v>
      </c>
      <c r="C60" s="85" t="s">
        <v>156</v>
      </c>
      <c r="D60" s="93">
        <v>237</v>
      </c>
      <c r="E60" s="121">
        <v>684534</v>
      </c>
      <c r="F60" s="121">
        <v>639450</v>
      </c>
      <c r="G60" s="413" t="s">
        <v>529</v>
      </c>
      <c r="H60" s="121">
        <v>45084</v>
      </c>
      <c r="I60" s="392">
        <v>0</v>
      </c>
      <c r="J60" s="392">
        <v>0</v>
      </c>
      <c r="K60" s="392">
        <v>0</v>
      </c>
      <c r="L60" s="121">
        <v>45084</v>
      </c>
      <c r="M60" s="420" t="s">
        <v>529</v>
      </c>
    </row>
    <row r="61" spans="1:13" ht="15" customHeight="1" outlineLevel="2" x14ac:dyDescent="0.35">
      <c r="A61" s="93" t="s">
        <v>44</v>
      </c>
      <c r="B61" s="86" t="s">
        <v>339</v>
      </c>
      <c r="C61" s="85" t="s">
        <v>340</v>
      </c>
      <c r="D61" s="93">
        <v>347</v>
      </c>
      <c r="E61" s="121">
        <v>8293111</v>
      </c>
      <c r="F61" s="121">
        <v>4524963</v>
      </c>
      <c r="G61" s="413" t="s">
        <v>529</v>
      </c>
      <c r="H61" s="121">
        <v>3768148</v>
      </c>
      <c r="I61" s="392">
        <v>0</v>
      </c>
      <c r="J61" s="392">
        <v>0</v>
      </c>
      <c r="K61" s="392">
        <v>0</v>
      </c>
      <c r="L61" s="121">
        <v>3768148</v>
      </c>
      <c r="M61" s="420" t="s">
        <v>529</v>
      </c>
    </row>
    <row r="62" spans="1:13" ht="15.5" outlineLevel="2" x14ac:dyDescent="0.35">
      <c r="A62" s="93" t="s">
        <v>44</v>
      </c>
      <c r="B62" s="86" t="s">
        <v>341</v>
      </c>
      <c r="C62" s="85" t="s">
        <v>145</v>
      </c>
      <c r="D62" s="93">
        <v>238</v>
      </c>
      <c r="E62" s="121">
        <v>1286379</v>
      </c>
      <c r="F62" s="121">
        <v>1227586</v>
      </c>
      <c r="G62" s="413" t="s">
        <v>529</v>
      </c>
      <c r="H62" s="121">
        <v>58793</v>
      </c>
      <c r="I62" s="392">
        <v>0</v>
      </c>
      <c r="J62" s="392">
        <v>0</v>
      </c>
      <c r="K62" s="392">
        <v>0</v>
      </c>
      <c r="L62" s="121">
        <v>58793</v>
      </c>
      <c r="M62" s="420" t="s">
        <v>529</v>
      </c>
    </row>
    <row r="63" spans="1:13" ht="15" customHeight="1" outlineLevel="2" x14ac:dyDescent="0.35">
      <c r="A63" s="93" t="s">
        <v>44</v>
      </c>
      <c r="B63" s="86" t="s">
        <v>348</v>
      </c>
      <c r="C63" s="85" t="s">
        <v>349</v>
      </c>
      <c r="D63" s="93">
        <v>247</v>
      </c>
      <c r="E63" s="121">
        <v>1421</v>
      </c>
      <c r="F63" s="392">
        <v>0</v>
      </c>
      <c r="G63" s="413" t="s">
        <v>529</v>
      </c>
      <c r="H63" s="121">
        <v>1421</v>
      </c>
      <c r="I63" s="392">
        <v>0</v>
      </c>
      <c r="J63" s="392">
        <v>0</v>
      </c>
      <c r="K63" s="392">
        <v>0</v>
      </c>
      <c r="L63" s="121">
        <v>1421</v>
      </c>
      <c r="M63" s="420" t="s">
        <v>529</v>
      </c>
    </row>
    <row r="64" spans="1:13" ht="15.5" outlineLevel="2" x14ac:dyDescent="0.35">
      <c r="A64" s="93" t="s">
        <v>44</v>
      </c>
      <c r="B64" s="86" t="s">
        <v>345</v>
      </c>
      <c r="C64" s="85" t="s">
        <v>91</v>
      </c>
      <c r="D64" s="93">
        <v>301</v>
      </c>
      <c r="E64" s="121">
        <v>702378</v>
      </c>
      <c r="F64" s="121">
        <v>684557</v>
      </c>
      <c r="G64" s="413" t="s">
        <v>529</v>
      </c>
      <c r="H64" s="121">
        <v>17821</v>
      </c>
      <c r="I64" s="392">
        <v>0</v>
      </c>
      <c r="J64" s="392">
        <v>0</v>
      </c>
      <c r="K64" s="392">
        <v>0</v>
      </c>
      <c r="L64" s="121">
        <v>17821</v>
      </c>
      <c r="M64" s="420" t="s">
        <v>529</v>
      </c>
    </row>
    <row r="65" spans="1:13" ht="15" customHeight="1" outlineLevel="2" x14ac:dyDescent="0.35">
      <c r="A65" s="137" t="s">
        <v>192</v>
      </c>
      <c r="B65" s="429" t="s">
        <v>529</v>
      </c>
      <c r="C65" s="430" t="s">
        <v>529</v>
      </c>
      <c r="D65" s="409" t="s">
        <v>529</v>
      </c>
      <c r="E65" s="138">
        <f>SUBTOTAL(109,college200910[Program
Costs])</f>
        <v>27614060</v>
      </c>
      <c r="F65" s="138">
        <f>SUBTOTAL(109,college200910[Less: Net Payments and Offsets 9])</f>
        <v>22006924</v>
      </c>
      <c r="G65" s="414" t="s">
        <v>552</v>
      </c>
      <c r="H65" s="138">
        <f>SUBTOTAL(109,college200910[Accounts Payable
Balance])</f>
        <v>5607136</v>
      </c>
      <c r="I65" s="138">
        <f>SUBTOTAL(109,college200910[Established
Accounts Receivable])</f>
        <v>3222713</v>
      </c>
      <c r="J65" s="138">
        <f>SUBTOTAL(109,college200910[Less: Recovered Amount])</f>
        <v>258603</v>
      </c>
      <c r="K65" s="138">
        <f>SUBTOTAL(109,college200910[Accounts Receivable
Balance])</f>
        <v>2964110</v>
      </c>
      <c r="L65" s="138">
        <f>SUBTOTAL(109,college200910[Net
Balance])</f>
        <v>2643026</v>
      </c>
      <c r="M65" s="414" t="s">
        <v>552</v>
      </c>
    </row>
    <row r="66" spans="1:13" ht="15" customHeight="1" outlineLevel="2" x14ac:dyDescent="0.35">
      <c r="A66" s="386" t="s">
        <v>540</v>
      </c>
      <c r="B66" s="404"/>
      <c r="C66" s="135"/>
      <c r="D66" s="405"/>
      <c r="E66" s="406"/>
      <c r="F66" s="406"/>
      <c r="G66" s="406"/>
      <c r="H66" s="406"/>
      <c r="I66" s="406"/>
      <c r="J66" s="406"/>
      <c r="K66" s="406"/>
      <c r="L66" s="406"/>
      <c r="M66" s="406"/>
    </row>
    <row r="67" spans="1:13" ht="50" customHeight="1" outlineLevel="2" x14ac:dyDescent="0.35">
      <c r="A67" s="299" t="s">
        <v>11</v>
      </c>
      <c r="B67" s="158" t="s">
        <v>12</v>
      </c>
      <c r="C67" s="158" t="s">
        <v>0</v>
      </c>
      <c r="D67" s="158" t="s">
        <v>132</v>
      </c>
      <c r="E67" s="422" t="s">
        <v>125</v>
      </c>
      <c r="F67" s="423" t="s">
        <v>620</v>
      </c>
      <c r="G67" s="424" t="s">
        <v>531</v>
      </c>
      <c r="H67" s="422" t="s">
        <v>495</v>
      </c>
      <c r="I67" s="422" t="s">
        <v>496</v>
      </c>
      <c r="J67" s="422" t="s">
        <v>134</v>
      </c>
      <c r="K67" s="422" t="s">
        <v>497</v>
      </c>
      <c r="L67" s="422" t="s">
        <v>133</v>
      </c>
      <c r="M67" s="425" t="s">
        <v>532</v>
      </c>
    </row>
    <row r="68" spans="1:13" ht="15" customHeight="1" outlineLevel="2" x14ac:dyDescent="0.35">
      <c r="A68" s="93" t="s">
        <v>45</v>
      </c>
      <c r="B68" s="86" t="s">
        <v>350</v>
      </c>
      <c r="C68" s="85" t="s">
        <v>351</v>
      </c>
      <c r="D68" s="93">
        <v>302</v>
      </c>
      <c r="E68" s="121">
        <v>23555</v>
      </c>
      <c r="F68" s="121">
        <v>21884</v>
      </c>
      <c r="G68" s="413" t="s">
        <v>529</v>
      </c>
      <c r="H68" s="121">
        <v>1671</v>
      </c>
      <c r="I68" s="392">
        <v>0</v>
      </c>
      <c r="J68" s="392">
        <v>0</v>
      </c>
      <c r="K68" s="392">
        <v>0</v>
      </c>
      <c r="L68" s="121">
        <v>1671</v>
      </c>
      <c r="M68" s="420" t="s">
        <v>529</v>
      </c>
    </row>
    <row r="69" spans="1:13" ht="32.5" customHeight="1" outlineLevel="2" x14ac:dyDescent="0.35">
      <c r="A69" s="93" t="s">
        <v>45</v>
      </c>
      <c r="B69" s="86" t="s">
        <v>72</v>
      </c>
      <c r="C69" s="85" t="s">
        <v>73</v>
      </c>
      <c r="D69" s="93">
        <v>232</v>
      </c>
      <c r="E69" s="121">
        <v>4843233</v>
      </c>
      <c r="F69" s="121">
        <v>4456303</v>
      </c>
      <c r="G69" s="413" t="s">
        <v>529</v>
      </c>
      <c r="H69" s="121">
        <v>386930</v>
      </c>
      <c r="I69" s="392">
        <v>0</v>
      </c>
      <c r="J69" s="392">
        <v>0</v>
      </c>
      <c r="K69" s="392">
        <v>0</v>
      </c>
      <c r="L69" s="121">
        <v>386930</v>
      </c>
      <c r="M69" s="420" t="s">
        <v>529</v>
      </c>
    </row>
    <row r="70" spans="1:13" ht="15.5" outlineLevel="2" x14ac:dyDescent="0.35">
      <c r="A70" s="93" t="s">
        <v>45</v>
      </c>
      <c r="B70" s="86" t="s">
        <v>342</v>
      </c>
      <c r="C70" s="85" t="s">
        <v>343</v>
      </c>
      <c r="D70" s="93">
        <v>332</v>
      </c>
      <c r="E70" s="121">
        <v>89808</v>
      </c>
      <c r="F70" s="121">
        <v>61908</v>
      </c>
      <c r="G70" s="413" t="s">
        <v>529</v>
      </c>
      <c r="H70" s="121">
        <v>27900</v>
      </c>
      <c r="I70" s="392">
        <v>0</v>
      </c>
      <c r="J70" s="392">
        <v>0</v>
      </c>
      <c r="K70" s="392">
        <v>0</v>
      </c>
      <c r="L70" s="121">
        <v>27900</v>
      </c>
      <c r="M70" s="420" t="s">
        <v>529</v>
      </c>
    </row>
    <row r="71" spans="1:13" ht="49.5" customHeight="1" outlineLevel="2" x14ac:dyDescent="0.35">
      <c r="A71" s="93" t="s">
        <v>45</v>
      </c>
      <c r="B71" s="86" t="s">
        <v>417</v>
      </c>
      <c r="C71" s="85" t="s">
        <v>266</v>
      </c>
      <c r="D71" s="93">
        <v>340</v>
      </c>
      <c r="E71" s="121">
        <v>670349</v>
      </c>
      <c r="F71" s="121">
        <v>425366</v>
      </c>
      <c r="G71" s="413" t="s">
        <v>529</v>
      </c>
      <c r="H71" s="121">
        <v>244983</v>
      </c>
      <c r="I71" s="392">
        <v>0</v>
      </c>
      <c r="J71" s="392">
        <v>0</v>
      </c>
      <c r="K71" s="392">
        <v>0</v>
      </c>
      <c r="L71" s="121">
        <v>244983</v>
      </c>
      <c r="M71" s="420" t="s">
        <v>529</v>
      </c>
    </row>
    <row r="72" spans="1:13" ht="34" customHeight="1" outlineLevel="2" x14ac:dyDescent="0.35">
      <c r="A72" s="93" t="s">
        <v>45</v>
      </c>
      <c r="B72" s="86" t="s">
        <v>338</v>
      </c>
      <c r="C72" s="85" t="s">
        <v>253</v>
      </c>
      <c r="D72" s="93">
        <v>267</v>
      </c>
      <c r="E72" s="121">
        <v>9022099</v>
      </c>
      <c r="F72" s="121">
        <v>7892605</v>
      </c>
      <c r="G72" s="413" t="s">
        <v>529</v>
      </c>
      <c r="H72" s="121">
        <v>1129494</v>
      </c>
      <c r="I72" s="121">
        <v>1993995</v>
      </c>
      <c r="J72" s="392">
        <v>0</v>
      </c>
      <c r="K72" s="121">
        <v>1993995</v>
      </c>
      <c r="L72" s="121">
        <v>-864501</v>
      </c>
      <c r="M72" s="420" t="s">
        <v>529</v>
      </c>
    </row>
    <row r="73" spans="1:13" ht="34.5" customHeight="1" outlineLevel="2" x14ac:dyDescent="0.35">
      <c r="A73" s="93" t="s">
        <v>45</v>
      </c>
      <c r="B73" s="86" t="s">
        <v>418</v>
      </c>
      <c r="C73" s="85" t="s">
        <v>344</v>
      </c>
      <c r="D73" s="93">
        <v>234</v>
      </c>
      <c r="E73" s="121">
        <v>2737981</v>
      </c>
      <c r="F73" s="121">
        <v>2737981</v>
      </c>
      <c r="G73" s="413" t="s">
        <v>529</v>
      </c>
      <c r="H73" s="392">
        <v>0</v>
      </c>
      <c r="I73" s="121">
        <v>3372799</v>
      </c>
      <c r="J73" s="121">
        <v>384373</v>
      </c>
      <c r="K73" s="121">
        <v>2988426</v>
      </c>
      <c r="L73" s="121">
        <v>-2988426</v>
      </c>
      <c r="M73" s="420" t="s">
        <v>529</v>
      </c>
    </row>
    <row r="74" spans="1:13" ht="15.5" outlineLevel="1" x14ac:dyDescent="0.35">
      <c r="A74" s="93" t="s">
        <v>45</v>
      </c>
      <c r="B74" s="86" t="s">
        <v>346</v>
      </c>
      <c r="C74" s="85" t="s">
        <v>347</v>
      </c>
      <c r="D74" s="93">
        <v>256</v>
      </c>
      <c r="E74" s="121">
        <v>1281525</v>
      </c>
      <c r="F74" s="121">
        <v>1201370</v>
      </c>
      <c r="G74" s="413" t="s">
        <v>529</v>
      </c>
      <c r="H74" s="121">
        <v>80155</v>
      </c>
      <c r="I74" s="392">
        <v>0</v>
      </c>
      <c r="J74" s="392">
        <v>0</v>
      </c>
      <c r="K74" s="392">
        <v>0</v>
      </c>
      <c r="L74" s="121">
        <v>80155</v>
      </c>
      <c r="M74" s="420" t="s">
        <v>529</v>
      </c>
    </row>
    <row r="75" spans="1:13" ht="15" customHeight="1" outlineLevel="2" x14ac:dyDescent="0.35">
      <c r="A75" s="93" t="s">
        <v>45</v>
      </c>
      <c r="B75" s="86" t="s">
        <v>155</v>
      </c>
      <c r="C75" s="85" t="s">
        <v>156</v>
      </c>
      <c r="D75" s="93">
        <v>237</v>
      </c>
      <c r="E75" s="121">
        <v>775809</v>
      </c>
      <c r="F75" s="121">
        <v>695244</v>
      </c>
      <c r="G75" s="413" t="s">
        <v>529</v>
      </c>
      <c r="H75" s="121">
        <v>80565</v>
      </c>
      <c r="I75" s="392">
        <v>0</v>
      </c>
      <c r="J75" s="392">
        <v>0</v>
      </c>
      <c r="K75" s="392">
        <v>0</v>
      </c>
      <c r="L75" s="121">
        <v>80565</v>
      </c>
      <c r="M75" s="420" t="s">
        <v>529</v>
      </c>
    </row>
    <row r="76" spans="1:13" ht="15" customHeight="1" outlineLevel="2" x14ac:dyDescent="0.35">
      <c r="A76" s="93" t="s">
        <v>45</v>
      </c>
      <c r="B76" s="86" t="s">
        <v>339</v>
      </c>
      <c r="C76" s="85" t="s">
        <v>340</v>
      </c>
      <c r="D76" s="93">
        <v>347</v>
      </c>
      <c r="E76" s="121">
        <v>8892497</v>
      </c>
      <c r="F76" s="121">
        <v>4301488</v>
      </c>
      <c r="G76" s="413" t="s">
        <v>529</v>
      </c>
      <c r="H76" s="121">
        <v>4591009</v>
      </c>
      <c r="I76" s="392">
        <v>0</v>
      </c>
      <c r="J76" s="392">
        <v>0</v>
      </c>
      <c r="K76" s="392">
        <v>0</v>
      </c>
      <c r="L76" s="121">
        <v>4591009</v>
      </c>
      <c r="M76" s="420" t="s">
        <v>529</v>
      </c>
    </row>
    <row r="77" spans="1:13" ht="15" customHeight="1" outlineLevel="2" x14ac:dyDescent="0.35">
      <c r="A77" s="93" t="s">
        <v>45</v>
      </c>
      <c r="B77" s="86" t="s">
        <v>341</v>
      </c>
      <c r="C77" s="85" t="s">
        <v>145</v>
      </c>
      <c r="D77" s="93">
        <v>238</v>
      </c>
      <c r="E77" s="121">
        <v>1264692</v>
      </c>
      <c r="F77" s="121">
        <v>1186953</v>
      </c>
      <c r="G77" s="413" t="s">
        <v>529</v>
      </c>
      <c r="H77" s="121">
        <v>77739</v>
      </c>
      <c r="I77" s="392">
        <v>0</v>
      </c>
      <c r="J77" s="392">
        <v>0</v>
      </c>
      <c r="K77" s="392">
        <v>0</v>
      </c>
      <c r="L77" s="121">
        <v>77739</v>
      </c>
      <c r="M77" s="420" t="s">
        <v>529</v>
      </c>
    </row>
    <row r="78" spans="1:13" ht="30" customHeight="1" outlineLevel="2" x14ac:dyDescent="0.35">
      <c r="A78" s="93" t="s">
        <v>45</v>
      </c>
      <c r="B78" s="86" t="s">
        <v>352</v>
      </c>
      <c r="C78" s="85" t="s">
        <v>353</v>
      </c>
      <c r="D78" s="93">
        <v>294</v>
      </c>
      <c r="E78" s="121">
        <v>14940</v>
      </c>
      <c r="F78" s="121">
        <v>14140</v>
      </c>
      <c r="G78" s="413" t="s">
        <v>529</v>
      </c>
      <c r="H78" s="121">
        <v>800</v>
      </c>
      <c r="I78" s="392">
        <v>0</v>
      </c>
      <c r="J78" s="392">
        <v>0</v>
      </c>
      <c r="K78" s="392">
        <v>0</v>
      </c>
      <c r="L78" s="121">
        <v>800</v>
      </c>
      <c r="M78" s="420" t="s">
        <v>529</v>
      </c>
    </row>
    <row r="79" spans="1:13" ht="15.5" outlineLevel="2" x14ac:dyDescent="0.35">
      <c r="A79" s="93" t="s">
        <v>45</v>
      </c>
      <c r="B79" s="86" t="s">
        <v>345</v>
      </c>
      <c r="C79" s="85" t="s">
        <v>91</v>
      </c>
      <c r="D79" s="93">
        <v>301</v>
      </c>
      <c r="E79" s="121">
        <v>642515</v>
      </c>
      <c r="F79" s="121">
        <v>637504</v>
      </c>
      <c r="G79" s="413" t="s">
        <v>529</v>
      </c>
      <c r="H79" s="121">
        <v>5011</v>
      </c>
      <c r="I79" s="392">
        <v>0</v>
      </c>
      <c r="J79" s="392">
        <v>0</v>
      </c>
      <c r="K79" s="392">
        <v>0</v>
      </c>
      <c r="L79" s="121">
        <v>5011</v>
      </c>
      <c r="M79" s="420" t="s">
        <v>529</v>
      </c>
    </row>
    <row r="80" spans="1:13" ht="15" customHeight="1" outlineLevel="2" x14ac:dyDescent="0.35">
      <c r="A80" s="137" t="s">
        <v>203</v>
      </c>
      <c r="B80" s="429" t="s">
        <v>529</v>
      </c>
      <c r="C80" s="430" t="s">
        <v>529</v>
      </c>
      <c r="D80" s="409" t="s">
        <v>529</v>
      </c>
      <c r="E80" s="138">
        <f>SUBTOTAL(109,college200809[Program
Costs])</f>
        <v>30259003</v>
      </c>
      <c r="F80" s="138">
        <f>SUBTOTAL(109,college200809[Less: Net Payments and Offsets 9])</f>
        <v>23632746</v>
      </c>
      <c r="G80" s="414" t="s">
        <v>552</v>
      </c>
      <c r="H80" s="138">
        <f>SUBTOTAL(109,college200809[Accounts Payable
Balance])</f>
        <v>6626257</v>
      </c>
      <c r="I80" s="138">
        <f>SUBTOTAL(109,college200809[Established
Accounts Receivable])</f>
        <v>5366794</v>
      </c>
      <c r="J80" s="138">
        <f>SUBTOTAL(109,college200809[Less: Recovered Amount])</f>
        <v>384373</v>
      </c>
      <c r="K80" s="138">
        <f>SUBTOTAL(109,college200809[Accounts Receivable
Balance])</f>
        <v>4982421</v>
      </c>
      <c r="L80" s="138">
        <f>SUBTOTAL(109,college200809[Net
Balance])</f>
        <v>1643836</v>
      </c>
      <c r="M80" s="414" t="s">
        <v>552</v>
      </c>
    </row>
    <row r="81" spans="1:13" ht="15" customHeight="1" outlineLevel="2" x14ac:dyDescent="0.35">
      <c r="A81" s="386" t="s">
        <v>540</v>
      </c>
      <c r="B81" s="139"/>
      <c r="C81" s="139"/>
      <c r="D81" s="139"/>
      <c r="E81" s="140"/>
      <c r="F81" s="140"/>
      <c r="G81" s="140"/>
      <c r="H81" s="140"/>
      <c r="I81" s="140"/>
      <c r="J81" s="140"/>
      <c r="K81" s="140"/>
      <c r="L81" s="140"/>
      <c r="M81" s="483"/>
    </row>
    <row r="82" spans="1:13" ht="50" customHeight="1" outlineLevel="2" x14ac:dyDescent="0.35">
      <c r="A82" s="299" t="s">
        <v>11</v>
      </c>
      <c r="B82" s="158" t="s">
        <v>12</v>
      </c>
      <c r="C82" s="158" t="s">
        <v>0</v>
      </c>
      <c r="D82" s="158" t="s">
        <v>132</v>
      </c>
      <c r="E82" s="422" t="s">
        <v>125</v>
      </c>
      <c r="F82" s="423" t="s">
        <v>620</v>
      </c>
      <c r="G82" s="424" t="s">
        <v>531</v>
      </c>
      <c r="H82" s="422" t="s">
        <v>495</v>
      </c>
      <c r="I82" s="422" t="s">
        <v>496</v>
      </c>
      <c r="J82" s="422" t="s">
        <v>134</v>
      </c>
      <c r="K82" s="422" t="s">
        <v>497</v>
      </c>
      <c r="L82" s="422" t="s">
        <v>133</v>
      </c>
      <c r="M82" s="425" t="s">
        <v>532</v>
      </c>
    </row>
    <row r="83" spans="1:13" ht="15" customHeight="1" outlineLevel="2" x14ac:dyDescent="0.35">
      <c r="A83" s="93" t="s">
        <v>46</v>
      </c>
      <c r="B83" s="86" t="s">
        <v>276</v>
      </c>
      <c r="C83" s="85" t="s">
        <v>277</v>
      </c>
      <c r="D83" s="93">
        <v>270</v>
      </c>
      <c r="E83" s="121">
        <v>107612</v>
      </c>
      <c r="F83" s="121">
        <v>104977</v>
      </c>
      <c r="G83" s="413" t="s">
        <v>529</v>
      </c>
      <c r="H83" s="121">
        <v>2635</v>
      </c>
      <c r="I83" s="392">
        <v>0</v>
      </c>
      <c r="J83" s="392">
        <v>0</v>
      </c>
      <c r="K83" s="392">
        <v>0</v>
      </c>
      <c r="L83" s="121">
        <v>2635</v>
      </c>
      <c r="M83" s="413" t="s">
        <v>529</v>
      </c>
    </row>
    <row r="84" spans="1:13" ht="15.5" outlineLevel="2" x14ac:dyDescent="0.35">
      <c r="A84" s="93" t="s">
        <v>46</v>
      </c>
      <c r="B84" s="86" t="s">
        <v>350</v>
      </c>
      <c r="C84" s="85" t="s">
        <v>351</v>
      </c>
      <c r="D84" s="93">
        <v>302</v>
      </c>
      <c r="E84" s="121">
        <v>23844</v>
      </c>
      <c r="F84" s="121">
        <v>22129</v>
      </c>
      <c r="G84" s="413" t="s">
        <v>529</v>
      </c>
      <c r="H84" s="121">
        <v>1715</v>
      </c>
      <c r="I84" s="392">
        <v>0</v>
      </c>
      <c r="J84" s="392">
        <v>0</v>
      </c>
      <c r="K84" s="392">
        <v>0</v>
      </c>
      <c r="L84" s="121">
        <v>1715</v>
      </c>
      <c r="M84" s="413" t="s">
        <v>529</v>
      </c>
    </row>
    <row r="85" spans="1:13" ht="15" customHeight="1" outlineLevel="2" x14ac:dyDescent="0.35">
      <c r="A85" s="93" t="s">
        <v>46</v>
      </c>
      <c r="B85" s="86" t="s">
        <v>151</v>
      </c>
      <c r="C85" s="85" t="s">
        <v>152</v>
      </c>
      <c r="D85" s="93">
        <v>355</v>
      </c>
      <c r="E85" s="121">
        <v>2144</v>
      </c>
      <c r="F85" s="392">
        <v>0</v>
      </c>
      <c r="G85" s="413" t="s">
        <v>529</v>
      </c>
      <c r="H85" s="121">
        <v>2144</v>
      </c>
      <c r="I85" s="392">
        <v>0</v>
      </c>
      <c r="J85" s="392">
        <v>0</v>
      </c>
      <c r="K85" s="392">
        <v>0</v>
      </c>
      <c r="L85" s="121">
        <v>2144</v>
      </c>
      <c r="M85" s="413" t="s">
        <v>529</v>
      </c>
    </row>
    <row r="86" spans="1:13" ht="46.5" customHeight="1" outlineLevel="2" x14ac:dyDescent="0.35">
      <c r="A86" s="93" t="s">
        <v>46</v>
      </c>
      <c r="B86" s="86" t="s">
        <v>67</v>
      </c>
      <c r="C86" s="85" t="s">
        <v>68</v>
      </c>
      <c r="D86" s="93">
        <v>287</v>
      </c>
      <c r="E86" s="121">
        <v>65504</v>
      </c>
      <c r="F86" s="121">
        <v>63745</v>
      </c>
      <c r="G86" s="413" t="s">
        <v>529</v>
      </c>
      <c r="H86" s="121">
        <v>1759</v>
      </c>
      <c r="I86" s="392">
        <v>0</v>
      </c>
      <c r="J86" s="392">
        <v>0</v>
      </c>
      <c r="K86" s="392">
        <v>0</v>
      </c>
      <c r="L86" s="121">
        <v>1759</v>
      </c>
      <c r="M86" s="413" t="s">
        <v>529</v>
      </c>
    </row>
    <row r="87" spans="1:13" ht="33" customHeight="1" outlineLevel="2" x14ac:dyDescent="0.35">
      <c r="A87" s="93" t="s">
        <v>46</v>
      </c>
      <c r="B87" s="86" t="s">
        <v>72</v>
      </c>
      <c r="C87" s="85" t="s">
        <v>73</v>
      </c>
      <c r="D87" s="93">
        <v>232</v>
      </c>
      <c r="E87" s="121">
        <v>5564747</v>
      </c>
      <c r="F87" s="121">
        <v>5268364</v>
      </c>
      <c r="G87" s="413" t="s">
        <v>529</v>
      </c>
      <c r="H87" s="121">
        <v>296383</v>
      </c>
      <c r="I87" s="121">
        <v>87483</v>
      </c>
      <c r="J87" s="121">
        <v>87483</v>
      </c>
      <c r="K87" s="392">
        <v>0</v>
      </c>
      <c r="L87" s="121">
        <v>296383</v>
      </c>
      <c r="M87" s="413" t="s">
        <v>529</v>
      </c>
    </row>
    <row r="88" spans="1:13" ht="15" customHeight="1" outlineLevel="2" x14ac:dyDescent="0.35">
      <c r="A88" s="93" t="s">
        <v>46</v>
      </c>
      <c r="B88" s="86" t="s">
        <v>342</v>
      </c>
      <c r="C88" s="85" t="s">
        <v>343</v>
      </c>
      <c r="D88" s="93">
        <v>332</v>
      </c>
      <c r="E88" s="121">
        <v>95735</v>
      </c>
      <c r="F88" s="121">
        <v>51635</v>
      </c>
      <c r="G88" s="413" t="s">
        <v>529</v>
      </c>
      <c r="H88" s="121">
        <v>44100</v>
      </c>
      <c r="I88" s="392">
        <v>0</v>
      </c>
      <c r="J88" s="392">
        <v>0</v>
      </c>
      <c r="K88" s="392">
        <v>0</v>
      </c>
      <c r="L88" s="121">
        <v>44100</v>
      </c>
      <c r="M88" s="413" t="s">
        <v>529</v>
      </c>
    </row>
    <row r="89" spans="1:13" ht="47" customHeight="1" outlineLevel="2" x14ac:dyDescent="0.35">
      <c r="A89" s="93" t="s">
        <v>46</v>
      </c>
      <c r="B89" s="86" t="s">
        <v>417</v>
      </c>
      <c r="C89" s="85" t="s">
        <v>266</v>
      </c>
      <c r="D89" s="93">
        <v>340</v>
      </c>
      <c r="E89" s="121">
        <v>767662</v>
      </c>
      <c r="F89" s="121">
        <v>490496</v>
      </c>
      <c r="G89" s="413" t="s">
        <v>529</v>
      </c>
      <c r="H89" s="121">
        <v>277166</v>
      </c>
      <c r="I89" s="392">
        <v>0</v>
      </c>
      <c r="J89" s="392">
        <v>0</v>
      </c>
      <c r="K89" s="392">
        <v>0</v>
      </c>
      <c r="L89" s="121">
        <v>277166</v>
      </c>
      <c r="M89" s="413" t="s">
        <v>529</v>
      </c>
    </row>
    <row r="90" spans="1:13" ht="30.5" customHeight="1" outlineLevel="2" x14ac:dyDescent="0.35">
      <c r="A90" s="93" t="s">
        <v>46</v>
      </c>
      <c r="B90" s="86" t="s">
        <v>338</v>
      </c>
      <c r="C90" s="85" t="s">
        <v>253</v>
      </c>
      <c r="D90" s="93">
        <v>267</v>
      </c>
      <c r="E90" s="121">
        <v>6981108</v>
      </c>
      <c r="F90" s="121">
        <v>5974151</v>
      </c>
      <c r="G90" s="413" t="s">
        <v>529</v>
      </c>
      <c r="H90" s="121">
        <v>1006957</v>
      </c>
      <c r="I90" s="392">
        <v>0</v>
      </c>
      <c r="J90" s="392">
        <v>0</v>
      </c>
      <c r="K90" s="392">
        <v>0</v>
      </c>
      <c r="L90" s="121">
        <v>1006957</v>
      </c>
      <c r="M90" s="413" t="s">
        <v>529</v>
      </c>
    </row>
    <row r="91" spans="1:13" ht="31" outlineLevel="1" x14ac:dyDescent="0.35">
      <c r="A91" s="93" t="s">
        <v>46</v>
      </c>
      <c r="B91" s="86" t="s">
        <v>418</v>
      </c>
      <c r="C91" s="85" t="s">
        <v>344</v>
      </c>
      <c r="D91" s="93">
        <v>234</v>
      </c>
      <c r="E91" s="121">
        <v>2553039</v>
      </c>
      <c r="F91" s="121">
        <v>2553039</v>
      </c>
      <c r="G91" s="413" t="s">
        <v>529</v>
      </c>
      <c r="H91" s="392">
        <v>0</v>
      </c>
      <c r="I91" s="121">
        <v>2583827</v>
      </c>
      <c r="J91" s="121">
        <v>926649</v>
      </c>
      <c r="K91" s="121">
        <v>1657178</v>
      </c>
      <c r="L91" s="121">
        <v>-1657178</v>
      </c>
      <c r="M91" s="413" t="s">
        <v>529</v>
      </c>
    </row>
    <row r="92" spans="1:13" ht="15" customHeight="1" outlineLevel="2" x14ac:dyDescent="0.35">
      <c r="A92" s="93" t="s">
        <v>46</v>
      </c>
      <c r="B92" s="86" t="s">
        <v>346</v>
      </c>
      <c r="C92" s="85" t="s">
        <v>347</v>
      </c>
      <c r="D92" s="93">
        <v>256</v>
      </c>
      <c r="E92" s="121">
        <v>923669</v>
      </c>
      <c r="F92" s="121">
        <v>848634</v>
      </c>
      <c r="G92" s="413" t="s">
        <v>529</v>
      </c>
      <c r="H92" s="121">
        <v>75035</v>
      </c>
      <c r="I92" s="392">
        <v>0</v>
      </c>
      <c r="J92" s="392">
        <v>0</v>
      </c>
      <c r="K92" s="392">
        <v>0</v>
      </c>
      <c r="L92" s="121">
        <v>75035</v>
      </c>
      <c r="M92" s="413" t="s">
        <v>529</v>
      </c>
    </row>
    <row r="93" spans="1:13" ht="15" customHeight="1" outlineLevel="2" x14ac:dyDescent="0.35">
      <c r="A93" s="93" t="s">
        <v>46</v>
      </c>
      <c r="B93" s="86" t="s">
        <v>155</v>
      </c>
      <c r="C93" s="85" t="s">
        <v>156</v>
      </c>
      <c r="D93" s="93">
        <v>237</v>
      </c>
      <c r="E93" s="121">
        <v>707987</v>
      </c>
      <c r="F93" s="121">
        <v>634644</v>
      </c>
      <c r="G93" s="413" t="s">
        <v>529</v>
      </c>
      <c r="H93" s="121">
        <v>73343</v>
      </c>
      <c r="I93" s="392">
        <v>0</v>
      </c>
      <c r="J93" s="392">
        <v>0</v>
      </c>
      <c r="K93" s="392">
        <v>0</v>
      </c>
      <c r="L93" s="121">
        <v>73343</v>
      </c>
      <c r="M93" s="413" t="s">
        <v>529</v>
      </c>
    </row>
    <row r="94" spans="1:13" ht="15.5" outlineLevel="2" x14ac:dyDescent="0.35">
      <c r="A94" s="93" t="s">
        <v>46</v>
      </c>
      <c r="B94" s="86" t="s">
        <v>339</v>
      </c>
      <c r="C94" s="85" t="s">
        <v>340</v>
      </c>
      <c r="D94" s="93">
        <v>347</v>
      </c>
      <c r="E94" s="121">
        <v>8320560</v>
      </c>
      <c r="F94" s="121">
        <v>4204110</v>
      </c>
      <c r="G94" s="413" t="s">
        <v>529</v>
      </c>
      <c r="H94" s="121">
        <v>4116450</v>
      </c>
      <c r="I94" s="392">
        <v>0</v>
      </c>
      <c r="J94" s="392">
        <v>0</v>
      </c>
      <c r="K94" s="392">
        <v>0</v>
      </c>
      <c r="L94" s="121">
        <v>4116450</v>
      </c>
      <c r="M94" s="413" t="s">
        <v>529</v>
      </c>
    </row>
    <row r="95" spans="1:13" ht="15" customHeight="1" outlineLevel="2" x14ac:dyDescent="0.35">
      <c r="A95" s="93" t="s">
        <v>46</v>
      </c>
      <c r="B95" s="86" t="s">
        <v>341</v>
      </c>
      <c r="C95" s="85" t="s">
        <v>145</v>
      </c>
      <c r="D95" s="93">
        <v>238</v>
      </c>
      <c r="E95" s="121">
        <v>1134100</v>
      </c>
      <c r="F95" s="121">
        <v>1049929</v>
      </c>
      <c r="G95" s="413" t="s">
        <v>529</v>
      </c>
      <c r="H95" s="121">
        <v>84171</v>
      </c>
      <c r="I95" s="392">
        <v>0</v>
      </c>
      <c r="J95" s="392">
        <v>0</v>
      </c>
      <c r="K95" s="392">
        <v>0</v>
      </c>
      <c r="L95" s="121">
        <v>84171</v>
      </c>
      <c r="M95" s="413" t="s">
        <v>529</v>
      </c>
    </row>
    <row r="96" spans="1:13" ht="30" customHeight="1" outlineLevel="2" x14ac:dyDescent="0.35">
      <c r="A96" s="93" t="s">
        <v>46</v>
      </c>
      <c r="B96" s="86" t="s">
        <v>352</v>
      </c>
      <c r="C96" s="85" t="s">
        <v>353</v>
      </c>
      <c r="D96" s="93">
        <v>294</v>
      </c>
      <c r="E96" s="121">
        <v>28548</v>
      </c>
      <c r="F96" s="121">
        <v>11337</v>
      </c>
      <c r="G96" s="413" t="s">
        <v>529</v>
      </c>
      <c r="H96" s="121">
        <v>17211</v>
      </c>
      <c r="I96" s="392">
        <v>0</v>
      </c>
      <c r="J96" s="392">
        <v>0</v>
      </c>
      <c r="K96" s="392">
        <v>0</v>
      </c>
      <c r="L96" s="121">
        <v>17211</v>
      </c>
      <c r="M96" s="413" t="s">
        <v>529</v>
      </c>
    </row>
    <row r="97" spans="1:13" ht="15" customHeight="1" outlineLevel="2" x14ac:dyDescent="0.35">
      <c r="A97" s="93" t="s">
        <v>46</v>
      </c>
      <c r="B97" s="86" t="s">
        <v>345</v>
      </c>
      <c r="C97" s="85" t="s">
        <v>91</v>
      </c>
      <c r="D97" s="93">
        <v>301</v>
      </c>
      <c r="E97" s="121">
        <v>825469</v>
      </c>
      <c r="F97" s="121">
        <v>820584</v>
      </c>
      <c r="G97" s="413" t="s">
        <v>529</v>
      </c>
      <c r="H97" s="121">
        <v>4885</v>
      </c>
      <c r="I97" s="392">
        <v>0</v>
      </c>
      <c r="J97" s="392">
        <v>0</v>
      </c>
      <c r="K97" s="392">
        <v>0</v>
      </c>
      <c r="L97" s="121">
        <v>4885</v>
      </c>
      <c r="M97" s="413" t="s">
        <v>529</v>
      </c>
    </row>
    <row r="98" spans="1:13" ht="15" customHeight="1" outlineLevel="2" x14ac:dyDescent="0.35">
      <c r="A98" s="137" t="s">
        <v>208</v>
      </c>
      <c r="B98" s="426" t="s">
        <v>529</v>
      </c>
      <c r="C98" s="427" t="s">
        <v>529</v>
      </c>
      <c r="D98" s="428" t="s">
        <v>529</v>
      </c>
      <c r="E98" s="138">
        <f>SUBTOTAL(109,college200708[Program
Costs])</f>
        <v>28101728</v>
      </c>
      <c r="F98" s="138">
        <f>SUBTOTAL(109,college200708[Less: Net Payments and Offsets 9])</f>
        <v>22097774</v>
      </c>
      <c r="G98" s="414" t="s">
        <v>552</v>
      </c>
      <c r="H98" s="138">
        <f>SUBTOTAL(109,college200708[Accounts Payable
Balance])</f>
        <v>6003954</v>
      </c>
      <c r="I98" s="138">
        <f>SUBTOTAL(109,college200708[Established
Accounts Receivable])</f>
        <v>2671310</v>
      </c>
      <c r="J98" s="138">
        <f>SUBTOTAL(109,college200708[Less: Recovered Amount])</f>
        <v>1014132</v>
      </c>
      <c r="K98" s="138">
        <f>SUBTOTAL(109,college200708[Accounts Receivable
Balance])</f>
        <v>1657178</v>
      </c>
      <c r="L98" s="138">
        <f>SUBTOTAL(109,college200708[Net
Balance])</f>
        <v>4346776</v>
      </c>
      <c r="M98" s="414" t="s">
        <v>552</v>
      </c>
    </row>
    <row r="99" spans="1:13" ht="15" customHeight="1" outlineLevel="2" x14ac:dyDescent="0.35">
      <c r="A99" s="386" t="s">
        <v>540</v>
      </c>
      <c r="B99" s="139"/>
      <c r="C99" s="139"/>
      <c r="D99" s="139"/>
      <c r="E99" s="140"/>
      <c r="F99" s="140"/>
      <c r="G99" s="140"/>
      <c r="H99" s="140"/>
      <c r="I99" s="140"/>
      <c r="J99" s="140"/>
      <c r="K99" s="140"/>
      <c r="L99" s="140"/>
      <c r="M99" s="483"/>
    </row>
    <row r="100" spans="1:13" ht="50" customHeight="1" outlineLevel="2" x14ac:dyDescent="0.35">
      <c r="A100" s="299" t="s">
        <v>11</v>
      </c>
      <c r="B100" s="158" t="s">
        <v>12</v>
      </c>
      <c r="C100" s="158" t="s">
        <v>0</v>
      </c>
      <c r="D100" s="158" t="s">
        <v>132</v>
      </c>
      <c r="E100" s="422" t="s">
        <v>125</v>
      </c>
      <c r="F100" s="423" t="s">
        <v>620</v>
      </c>
      <c r="G100" s="424" t="s">
        <v>531</v>
      </c>
      <c r="H100" s="422" t="s">
        <v>495</v>
      </c>
      <c r="I100" s="422" t="s">
        <v>496</v>
      </c>
      <c r="J100" s="422" t="s">
        <v>134</v>
      </c>
      <c r="K100" s="422" t="s">
        <v>497</v>
      </c>
      <c r="L100" s="422" t="s">
        <v>133</v>
      </c>
      <c r="M100" s="425" t="s">
        <v>532</v>
      </c>
    </row>
    <row r="101" spans="1:13" ht="15.5" outlineLevel="1" x14ac:dyDescent="0.35">
      <c r="A101" s="93" t="s">
        <v>47</v>
      </c>
      <c r="B101" s="86" t="s">
        <v>276</v>
      </c>
      <c r="C101" s="85" t="s">
        <v>277</v>
      </c>
      <c r="D101" s="93">
        <v>270</v>
      </c>
      <c r="E101" s="121">
        <v>83423</v>
      </c>
      <c r="F101" s="121">
        <v>81632</v>
      </c>
      <c r="G101" s="413" t="s">
        <v>529</v>
      </c>
      <c r="H101" s="121">
        <v>1791</v>
      </c>
      <c r="I101" s="392">
        <v>0</v>
      </c>
      <c r="J101" s="392">
        <v>0</v>
      </c>
      <c r="K101" s="392">
        <v>0</v>
      </c>
      <c r="L101" s="121">
        <v>1791</v>
      </c>
      <c r="M101" s="420" t="s">
        <v>529</v>
      </c>
    </row>
    <row r="102" spans="1:13" ht="15.5" outlineLevel="2" x14ac:dyDescent="0.35">
      <c r="A102" s="93" t="s">
        <v>47</v>
      </c>
      <c r="B102" s="86" t="s">
        <v>350</v>
      </c>
      <c r="C102" s="85" t="s">
        <v>351</v>
      </c>
      <c r="D102" s="93">
        <v>302</v>
      </c>
      <c r="E102" s="121">
        <v>21582</v>
      </c>
      <c r="F102" s="121">
        <v>19807</v>
      </c>
      <c r="G102" s="413" t="s">
        <v>529</v>
      </c>
      <c r="H102" s="121">
        <v>1775</v>
      </c>
      <c r="I102" s="392">
        <v>0</v>
      </c>
      <c r="J102" s="392">
        <v>0</v>
      </c>
      <c r="K102" s="392">
        <v>0</v>
      </c>
      <c r="L102" s="121">
        <v>1775</v>
      </c>
      <c r="M102" s="420" t="s">
        <v>529</v>
      </c>
    </row>
    <row r="103" spans="1:13" ht="50" customHeight="1" outlineLevel="2" x14ac:dyDescent="0.35">
      <c r="A103" s="93" t="s">
        <v>47</v>
      </c>
      <c r="B103" s="86" t="s">
        <v>67</v>
      </c>
      <c r="C103" s="85" t="s">
        <v>68</v>
      </c>
      <c r="D103" s="93">
        <v>287</v>
      </c>
      <c r="E103" s="121">
        <v>57897</v>
      </c>
      <c r="F103" s="121">
        <v>56416</v>
      </c>
      <c r="G103" s="413" t="s">
        <v>529</v>
      </c>
      <c r="H103" s="121">
        <v>1481</v>
      </c>
      <c r="I103" s="392">
        <v>0</v>
      </c>
      <c r="J103" s="392">
        <v>0</v>
      </c>
      <c r="K103" s="392">
        <v>0</v>
      </c>
      <c r="L103" s="121">
        <v>1481</v>
      </c>
      <c r="M103" s="420" t="s">
        <v>529</v>
      </c>
    </row>
    <row r="104" spans="1:13" ht="32.5" customHeight="1" outlineLevel="2" x14ac:dyDescent="0.35">
      <c r="A104" s="93" t="s">
        <v>47</v>
      </c>
      <c r="B104" s="86" t="s">
        <v>338</v>
      </c>
      <c r="C104" s="85" t="s">
        <v>253</v>
      </c>
      <c r="D104" s="93">
        <v>267</v>
      </c>
      <c r="E104" s="121">
        <v>4248500</v>
      </c>
      <c r="F104" s="121">
        <v>3796742</v>
      </c>
      <c r="G104" s="413" t="s">
        <v>529</v>
      </c>
      <c r="H104" s="121">
        <v>451758</v>
      </c>
      <c r="I104" s="392">
        <v>0</v>
      </c>
      <c r="J104" s="392">
        <v>0</v>
      </c>
      <c r="K104" s="392">
        <v>0</v>
      </c>
      <c r="L104" s="121">
        <v>451758</v>
      </c>
      <c r="M104" s="420" t="s">
        <v>529</v>
      </c>
    </row>
    <row r="105" spans="1:13" ht="31" outlineLevel="1" x14ac:dyDescent="0.35">
      <c r="A105" s="93" t="s">
        <v>47</v>
      </c>
      <c r="B105" s="86" t="s">
        <v>418</v>
      </c>
      <c r="C105" s="85" t="s">
        <v>344</v>
      </c>
      <c r="D105" s="93">
        <v>234</v>
      </c>
      <c r="E105" s="121">
        <v>2117214</v>
      </c>
      <c r="F105" s="121">
        <v>2079660</v>
      </c>
      <c r="G105" s="413" t="s">
        <v>529</v>
      </c>
      <c r="H105" s="121">
        <v>37554</v>
      </c>
      <c r="I105" s="121">
        <v>3094765</v>
      </c>
      <c r="J105" s="121">
        <v>2027098</v>
      </c>
      <c r="K105" s="121">
        <v>1067667</v>
      </c>
      <c r="L105" s="121">
        <v>-1030113</v>
      </c>
      <c r="M105" s="420" t="s">
        <v>529</v>
      </c>
    </row>
    <row r="106" spans="1:13" ht="15" customHeight="1" outlineLevel="2" x14ac:dyDescent="0.35">
      <c r="A106" s="93" t="s">
        <v>47</v>
      </c>
      <c r="B106" s="86" t="s">
        <v>155</v>
      </c>
      <c r="C106" s="85" t="s">
        <v>156</v>
      </c>
      <c r="D106" s="93">
        <v>237</v>
      </c>
      <c r="E106" s="121">
        <v>853887</v>
      </c>
      <c r="F106" s="121">
        <v>840901</v>
      </c>
      <c r="G106" s="413" t="s">
        <v>529</v>
      </c>
      <c r="H106" s="121">
        <v>12986</v>
      </c>
      <c r="I106" s="392">
        <v>0</v>
      </c>
      <c r="J106" s="392">
        <v>0</v>
      </c>
      <c r="K106" s="392">
        <v>0</v>
      </c>
      <c r="L106" s="121">
        <v>12986</v>
      </c>
      <c r="M106" s="420" t="s">
        <v>529</v>
      </c>
    </row>
    <row r="107" spans="1:13" ht="15.5" outlineLevel="1" x14ac:dyDescent="0.35">
      <c r="A107" s="93" t="s">
        <v>47</v>
      </c>
      <c r="B107" s="86" t="s">
        <v>339</v>
      </c>
      <c r="C107" s="85" t="s">
        <v>340</v>
      </c>
      <c r="D107" s="93">
        <v>347</v>
      </c>
      <c r="E107" s="121">
        <v>7483021</v>
      </c>
      <c r="F107" s="121">
        <v>6266346</v>
      </c>
      <c r="G107" s="413" t="s">
        <v>529</v>
      </c>
      <c r="H107" s="121">
        <v>1216675</v>
      </c>
      <c r="I107" s="392">
        <v>0</v>
      </c>
      <c r="J107" s="392">
        <v>0</v>
      </c>
      <c r="K107" s="392">
        <v>0</v>
      </c>
      <c r="L107" s="121">
        <v>1216675</v>
      </c>
      <c r="M107" s="420" t="s">
        <v>529</v>
      </c>
    </row>
    <row r="108" spans="1:13" ht="15.5" outlineLevel="2" x14ac:dyDescent="0.35">
      <c r="A108" s="93" t="s">
        <v>47</v>
      </c>
      <c r="B108" s="86" t="s">
        <v>341</v>
      </c>
      <c r="C108" s="85" t="s">
        <v>145</v>
      </c>
      <c r="D108" s="93">
        <v>238</v>
      </c>
      <c r="E108" s="121">
        <v>977889</v>
      </c>
      <c r="F108" s="121">
        <v>963273</v>
      </c>
      <c r="G108" s="413" t="s">
        <v>529</v>
      </c>
      <c r="H108" s="121">
        <v>14616</v>
      </c>
      <c r="I108" s="392">
        <v>0</v>
      </c>
      <c r="J108" s="392">
        <v>0</v>
      </c>
      <c r="K108" s="392">
        <v>0</v>
      </c>
      <c r="L108" s="121">
        <v>14616</v>
      </c>
      <c r="M108" s="420" t="s">
        <v>529</v>
      </c>
    </row>
    <row r="109" spans="1:13" ht="15.5" outlineLevel="2" x14ac:dyDescent="0.35">
      <c r="A109" s="137" t="s">
        <v>209</v>
      </c>
      <c r="B109" s="429" t="s">
        <v>529</v>
      </c>
      <c r="C109" s="430" t="s">
        <v>529</v>
      </c>
      <c r="D109" s="409" t="s">
        <v>529</v>
      </c>
      <c r="E109" s="138">
        <f>SUBTOTAL(109,college200607[Program
Costs])</f>
        <v>15843413</v>
      </c>
      <c r="F109" s="138">
        <f>SUBTOTAL(109,college200607[Less: Net Payments and Offsets 9])</f>
        <v>14104777</v>
      </c>
      <c r="G109" s="414" t="s">
        <v>552</v>
      </c>
      <c r="H109" s="138">
        <f>SUBTOTAL(109,college200607[Accounts Payable
Balance])</f>
        <v>1738636</v>
      </c>
      <c r="I109" s="138">
        <f>SUBTOTAL(109,college200607[Established
Accounts Receivable])</f>
        <v>3094765</v>
      </c>
      <c r="J109" s="138">
        <f>SUBTOTAL(109,college200607[Less: Recovered Amount])</f>
        <v>2027098</v>
      </c>
      <c r="K109" s="138">
        <f>SUBTOTAL(109,college200607[Accounts Receivable
Balance])</f>
        <v>1067667</v>
      </c>
      <c r="L109" s="138">
        <f>SUBTOTAL(109,college200607[Net
Balance])</f>
        <v>670969</v>
      </c>
      <c r="M109" s="414" t="s">
        <v>552</v>
      </c>
    </row>
    <row r="110" spans="1:13" ht="15.5" outlineLevel="2" x14ac:dyDescent="0.35">
      <c r="A110" s="386" t="s">
        <v>540</v>
      </c>
      <c r="B110" s="139"/>
      <c r="C110" s="139"/>
      <c r="D110" s="139"/>
      <c r="E110" s="140"/>
      <c r="F110" s="140"/>
      <c r="G110" s="140"/>
      <c r="H110" s="140"/>
      <c r="I110" s="140"/>
      <c r="J110" s="140"/>
      <c r="K110" s="140"/>
      <c r="L110" s="140"/>
      <c r="M110" s="483"/>
    </row>
    <row r="111" spans="1:13" ht="50" customHeight="1" outlineLevel="2" x14ac:dyDescent="0.35">
      <c r="A111" s="299" t="s">
        <v>11</v>
      </c>
      <c r="B111" s="158" t="s">
        <v>12</v>
      </c>
      <c r="C111" s="158" t="s">
        <v>0</v>
      </c>
      <c r="D111" s="158" t="s">
        <v>132</v>
      </c>
      <c r="E111" s="422" t="s">
        <v>125</v>
      </c>
      <c r="F111" s="423" t="s">
        <v>620</v>
      </c>
      <c r="G111" s="424" t="s">
        <v>531</v>
      </c>
      <c r="H111" s="422" t="s">
        <v>495</v>
      </c>
      <c r="I111" s="422" t="s">
        <v>496</v>
      </c>
      <c r="J111" s="422" t="s">
        <v>134</v>
      </c>
      <c r="K111" s="422" t="s">
        <v>497</v>
      </c>
      <c r="L111" s="422" t="s">
        <v>133</v>
      </c>
      <c r="M111" s="425" t="s">
        <v>532</v>
      </c>
    </row>
    <row r="112" spans="1:13" ht="31" outlineLevel="1" x14ac:dyDescent="0.35">
      <c r="A112" s="93" t="s">
        <v>48</v>
      </c>
      <c r="B112" s="86" t="s">
        <v>418</v>
      </c>
      <c r="C112" s="85" t="s">
        <v>344</v>
      </c>
      <c r="D112" s="93">
        <v>234</v>
      </c>
      <c r="E112" s="121">
        <v>3298552</v>
      </c>
      <c r="F112" s="121">
        <v>3211845</v>
      </c>
      <c r="G112" s="413" t="s">
        <v>529</v>
      </c>
      <c r="H112" s="121">
        <v>86707</v>
      </c>
      <c r="I112" s="392">
        <v>0</v>
      </c>
      <c r="J112" s="392">
        <v>0</v>
      </c>
      <c r="K112" s="392">
        <v>0</v>
      </c>
      <c r="L112" s="121">
        <v>86707</v>
      </c>
      <c r="M112" s="413" t="s">
        <v>529</v>
      </c>
    </row>
    <row r="113" spans="1:13" ht="15.5" outlineLevel="2" x14ac:dyDescent="0.35">
      <c r="A113" s="93" t="s">
        <v>48</v>
      </c>
      <c r="B113" s="86" t="s">
        <v>155</v>
      </c>
      <c r="C113" s="85" t="s">
        <v>156</v>
      </c>
      <c r="D113" s="93">
        <v>237</v>
      </c>
      <c r="E113" s="121">
        <v>892507</v>
      </c>
      <c r="F113" s="121">
        <v>892507</v>
      </c>
      <c r="G113" s="413" t="s">
        <v>529</v>
      </c>
      <c r="H113" s="392">
        <v>0</v>
      </c>
      <c r="I113" s="121">
        <v>159704</v>
      </c>
      <c r="J113" s="121">
        <v>145885</v>
      </c>
      <c r="K113" s="121">
        <v>13819</v>
      </c>
      <c r="L113" s="121">
        <v>-13819</v>
      </c>
      <c r="M113" s="413" t="s">
        <v>529</v>
      </c>
    </row>
    <row r="114" spans="1:13" ht="15.5" outlineLevel="2" x14ac:dyDescent="0.35">
      <c r="A114" s="93" t="s">
        <v>48</v>
      </c>
      <c r="B114" s="86" t="s">
        <v>341</v>
      </c>
      <c r="C114" s="85" t="s">
        <v>145</v>
      </c>
      <c r="D114" s="93">
        <v>238</v>
      </c>
      <c r="E114" s="121">
        <v>916470</v>
      </c>
      <c r="F114" s="121">
        <v>916470</v>
      </c>
      <c r="G114" s="413" t="s">
        <v>529</v>
      </c>
      <c r="H114" s="392">
        <v>0</v>
      </c>
      <c r="I114" s="121">
        <v>146531</v>
      </c>
      <c r="J114" s="121">
        <v>105462</v>
      </c>
      <c r="K114" s="121">
        <v>41069</v>
      </c>
      <c r="L114" s="121">
        <v>-41069</v>
      </c>
      <c r="M114" s="413" t="s">
        <v>529</v>
      </c>
    </row>
    <row r="115" spans="1:13" ht="15" customHeight="1" outlineLevel="2" x14ac:dyDescent="0.35">
      <c r="A115" s="137" t="s">
        <v>210</v>
      </c>
      <c r="B115" s="429" t="s">
        <v>529</v>
      </c>
      <c r="C115" s="430" t="s">
        <v>529</v>
      </c>
      <c r="D115" s="409" t="s">
        <v>529</v>
      </c>
      <c r="E115" s="138">
        <f>SUBTOTAL(109,college200506[Program
Costs])</f>
        <v>5107529</v>
      </c>
      <c r="F115" s="138">
        <f>SUBTOTAL(109,college200506[Less: Net Payments and Offsets 9])</f>
        <v>5020822</v>
      </c>
      <c r="G115" s="414" t="s">
        <v>552</v>
      </c>
      <c r="H115" s="138">
        <f>SUBTOTAL(109,college200506[Accounts Payable
Balance])</f>
        <v>86707</v>
      </c>
      <c r="I115" s="138">
        <f>SUBTOTAL(109,college200506[Established
Accounts Receivable])</f>
        <v>306235</v>
      </c>
      <c r="J115" s="138">
        <f>SUBTOTAL(109,college200506[Less: Recovered Amount])</f>
        <v>251347</v>
      </c>
      <c r="K115" s="138">
        <f>SUBTOTAL(109,college200506[Accounts Receivable
Balance])</f>
        <v>54888</v>
      </c>
      <c r="L115" s="138">
        <f>SUBTOTAL(109,college200506[Net
Balance])</f>
        <v>31819</v>
      </c>
      <c r="M115" s="414" t="s">
        <v>552</v>
      </c>
    </row>
    <row r="116" spans="1:13" ht="15" customHeight="1" outlineLevel="2" x14ac:dyDescent="0.35">
      <c r="A116" s="386" t="s">
        <v>540</v>
      </c>
      <c r="B116" s="139"/>
      <c r="C116" s="139"/>
      <c r="D116" s="139"/>
      <c r="E116" s="140"/>
      <c r="F116" s="140"/>
      <c r="G116" s="140"/>
      <c r="H116" s="140"/>
      <c r="I116" s="140"/>
      <c r="J116" s="140"/>
      <c r="K116" s="140"/>
      <c r="L116" s="140"/>
      <c r="M116" s="483"/>
    </row>
    <row r="117" spans="1:13" ht="50" customHeight="1" outlineLevel="1" x14ac:dyDescent="0.35">
      <c r="A117" s="299" t="s">
        <v>11</v>
      </c>
      <c r="B117" s="158" t="s">
        <v>12</v>
      </c>
      <c r="C117" s="158" t="s">
        <v>0</v>
      </c>
      <c r="D117" s="158" t="s">
        <v>132</v>
      </c>
      <c r="E117" s="422" t="s">
        <v>125</v>
      </c>
      <c r="F117" s="423" t="s">
        <v>620</v>
      </c>
      <c r="G117" s="424" t="s">
        <v>531</v>
      </c>
      <c r="H117" s="422" t="s">
        <v>495</v>
      </c>
      <c r="I117" s="422" t="s">
        <v>496</v>
      </c>
      <c r="J117" s="422" t="s">
        <v>134</v>
      </c>
      <c r="K117" s="422" t="s">
        <v>497</v>
      </c>
      <c r="L117" s="422" t="s">
        <v>133</v>
      </c>
      <c r="M117" s="425" t="s">
        <v>532</v>
      </c>
    </row>
    <row r="118" spans="1:13" ht="15" customHeight="1" outlineLevel="2" x14ac:dyDescent="0.35">
      <c r="A118" s="93" t="s">
        <v>50</v>
      </c>
      <c r="B118" s="86" t="s">
        <v>346</v>
      </c>
      <c r="C118" s="85" t="s">
        <v>347</v>
      </c>
      <c r="D118" s="93">
        <v>256</v>
      </c>
      <c r="E118" s="121">
        <v>948601</v>
      </c>
      <c r="F118" s="121">
        <v>934582</v>
      </c>
      <c r="G118" s="413" t="s">
        <v>529</v>
      </c>
      <c r="H118" s="121">
        <v>14019</v>
      </c>
      <c r="I118" s="121">
        <v>408288</v>
      </c>
      <c r="J118" s="121">
        <v>408288</v>
      </c>
      <c r="K118" s="392">
        <v>0</v>
      </c>
      <c r="L118" s="121">
        <v>14019</v>
      </c>
      <c r="M118" s="420" t="s">
        <v>529</v>
      </c>
    </row>
    <row r="119" spans="1:13" ht="15.5" outlineLevel="1" x14ac:dyDescent="0.35">
      <c r="A119" s="137" t="s">
        <v>212</v>
      </c>
      <c r="B119" s="429" t="s">
        <v>529</v>
      </c>
      <c r="C119" s="430" t="s">
        <v>529</v>
      </c>
      <c r="D119" s="409" t="s">
        <v>529</v>
      </c>
      <c r="E119" s="138">
        <f>SUBTOTAL(109,college200304[Program
Costs])</f>
        <v>948601</v>
      </c>
      <c r="F119" s="138">
        <f>SUBTOTAL(109,college200304[Less: Net Payments and Offsets 9])</f>
        <v>934582</v>
      </c>
      <c r="G119" s="414" t="s">
        <v>552</v>
      </c>
      <c r="H119" s="138">
        <f>SUBTOTAL(109,college200304[Accounts Payable
Balance])</f>
        <v>14019</v>
      </c>
      <c r="I119" s="138">
        <f>SUBTOTAL(109,college200304[Established
Accounts Receivable])</f>
        <v>408288</v>
      </c>
      <c r="J119" s="138">
        <f>SUBTOTAL(109,college200304[Less: Recovered Amount])</f>
        <v>408288</v>
      </c>
      <c r="K119" s="456" t="s">
        <v>615</v>
      </c>
      <c r="L119" s="138">
        <f>SUBTOTAL(109,college200304[Net
Balance])</f>
        <v>14019</v>
      </c>
      <c r="M119" s="414" t="s">
        <v>552</v>
      </c>
    </row>
    <row r="120" spans="1:13" ht="15.5" outlineLevel="1" x14ac:dyDescent="0.35">
      <c r="A120" s="386" t="s">
        <v>540</v>
      </c>
      <c r="B120" s="139"/>
      <c r="C120" s="139"/>
      <c r="D120" s="139"/>
      <c r="E120" s="140"/>
      <c r="F120" s="140"/>
      <c r="G120" s="140"/>
      <c r="H120" s="140"/>
      <c r="I120" s="140"/>
      <c r="J120" s="140"/>
      <c r="K120" s="140"/>
      <c r="L120" s="140"/>
      <c r="M120" s="483"/>
    </row>
    <row r="121" spans="1:13" ht="50" customHeight="1" outlineLevel="2" x14ac:dyDescent="0.35">
      <c r="A121" s="299" t="s">
        <v>11</v>
      </c>
      <c r="B121" s="158" t="s">
        <v>12</v>
      </c>
      <c r="C121" s="158" t="s">
        <v>0</v>
      </c>
      <c r="D121" s="158" t="s">
        <v>132</v>
      </c>
      <c r="E121" s="422" t="s">
        <v>125</v>
      </c>
      <c r="F121" s="423" t="s">
        <v>620</v>
      </c>
      <c r="G121" s="424" t="s">
        <v>531</v>
      </c>
      <c r="H121" s="422" t="s">
        <v>495</v>
      </c>
      <c r="I121" s="422" t="s">
        <v>496</v>
      </c>
      <c r="J121" s="422" t="s">
        <v>134</v>
      </c>
      <c r="K121" s="422" t="s">
        <v>497</v>
      </c>
      <c r="L121" s="422" t="s">
        <v>133</v>
      </c>
      <c r="M121" s="425" t="s">
        <v>532</v>
      </c>
    </row>
    <row r="122" spans="1:13" ht="36" customHeight="1" outlineLevel="1" x14ac:dyDescent="0.35">
      <c r="A122" s="93" t="s">
        <v>51</v>
      </c>
      <c r="B122" s="86" t="s">
        <v>72</v>
      </c>
      <c r="C122" s="85" t="s">
        <v>73</v>
      </c>
      <c r="D122" s="93">
        <v>232</v>
      </c>
      <c r="E122" s="121">
        <v>7841169</v>
      </c>
      <c r="F122" s="121">
        <v>7841169</v>
      </c>
      <c r="G122" s="413" t="s">
        <v>529</v>
      </c>
      <c r="H122" s="392">
        <v>0</v>
      </c>
      <c r="I122" s="121">
        <v>595489</v>
      </c>
      <c r="J122" s="121">
        <v>371172</v>
      </c>
      <c r="K122" s="121">
        <v>224317</v>
      </c>
      <c r="L122" s="121">
        <v>-224317</v>
      </c>
      <c r="M122" s="420" t="s">
        <v>529</v>
      </c>
    </row>
    <row r="123" spans="1:13" ht="32.5" customHeight="1" outlineLevel="2" x14ac:dyDescent="0.35">
      <c r="A123" s="93" t="s">
        <v>51</v>
      </c>
      <c r="B123" s="86" t="s">
        <v>418</v>
      </c>
      <c r="C123" s="85" t="s">
        <v>344</v>
      </c>
      <c r="D123" s="93">
        <v>234</v>
      </c>
      <c r="E123" s="121">
        <v>5439156</v>
      </c>
      <c r="F123" s="121">
        <v>5439156</v>
      </c>
      <c r="G123" s="413" t="s">
        <v>529</v>
      </c>
      <c r="H123" s="392">
        <v>0</v>
      </c>
      <c r="I123" s="121">
        <v>3547273</v>
      </c>
      <c r="J123" s="121">
        <v>2826984</v>
      </c>
      <c r="K123" s="121">
        <v>720289</v>
      </c>
      <c r="L123" s="121">
        <v>-720289</v>
      </c>
      <c r="M123" s="420" t="s">
        <v>529</v>
      </c>
    </row>
    <row r="124" spans="1:13" ht="15.5" outlineLevel="1" x14ac:dyDescent="0.35">
      <c r="A124" s="93" t="s">
        <v>51</v>
      </c>
      <c r="B124" s="86" t="s">
        <v>346</v>
      </c>
      <c r="C124" s="85" t="s">
        <v>347</v>
      </c>
      <c r="D124" s="93">
        <v>256</v>
      </c>
      <c r="E124" s="121">
        <v>1631298</v>
      </c>
      <c r="F124" s="121">
        <v>1618702</v>
      </c>
      <c r="G124" s="413" t="s">
        <v>529</v>
      </c>
      <c r="H124" s="121">
        <v>12596</v>
      </c>
      <c r="I124" s="121">
        <v>173451</v>
      </c>
      <c r="J124" s="121">
        <v>79181</v>
      </c>
      <c r="K124" s="121">
        <v>94270</v>
      </c>
      <c r="L124" s="121">
        <v>-81674</v>
      </c>
      <c r="M124" s="420" t="s">
        <v>529</v>
      </c>
    </row>
    <row r="125" spans="1:13" ht="15.5" x14ac:dyDescent="0.35">
      <c r="A125" s="137" t="s">
        <v>213</v>
      </c>
      <c r="B125" s="426" t="s">
        <v>529</v>
      </c>
      <c r="C125" s="427" t="s">
        <v>529</v>
      </c>
      <c r="D125" s="428" t="s">
        <v>529</v>
      </c>
      <c r="E125" s="138">
        <f>SUBTOTAL(109,college200203[Program
Costs])</f>
        <v>14911623</v>
      </c>
      <c r="F125" s="138">
        <f>SUBTOTAL(109,college200203[Less: Net Payments and Offsets 9])</f>
        <v>14899027</v>
      </c>
      <c r="G125" s="414" t="s">
        <v>552</v>
      </c>
      <c r="H125" s="138">
        <f>SUBTOTAL(109,college200203[Accounts Payable
Balance])</f>
        <v>12596</v>
      </c>
      <c r="I125" s="138">
        <f>SUBTOTAL(109,college200203[Established
Accounts Receivable])</f>
        <v>4316213</v>
      </c>
      <c r="J125" s="138">
        <f>SUBTOTAL(109,college200203[Less: Recovered Amount])</f>
        <v>3277337</v>
      </c>
      <c r="K125" s="138">
        <f>SUBTOTAL(109,college200203[Accounts Receivable
Balance])</f>
        <v>1038876</v>
      </c>
      <c r="L125" s="138">
        <f>SUBTOTAL(109,college200203[Net
Balance])</f>
        <v>-1026280</v>
      </c>
      <c r="M125" s="414" t="s">
        <v>552</v>
      </c>
    </row>
    <row r="126" spans="1:13" ht="15.5" x14ac:dyDescent="0.35">
      <c r="A126" s="386" t="s">
        <v>540</v>
      </c>
      <c r="B126" s="139"/>
      <c r="C126" s="139"/>
      <c r="D126" s="139"/>
      <c r="E126" s="140"/>
      <c r="F126" s="140"/>
      <c r="G126" s="140"/>
      <c r="H126" s="140"/>
      <c r="I126" s="140"/>
      <c r="J126" s="140"/>
      <c r="K126" s="140"/>
      <c r="L126" s="140"/>
      <c r="M126" s="483"/>
    </row>
    <row r="127" spans="1:13" ht="50" customHeight="1" x14ac:dyDescent="0.35">
      <c r="A127" s="299" t="s">
        <v>11</v>
      </c>
      <c r="B127" s="158" t="s">
        <v>12</v>
      </c>
      <c r="C127" s="158" t="s">
        <v>0</v>
      </c>
      <c r="D127" s="158" t="s">
        <v>132</v>
      </c>
      <c r="E127" s="422" t="s">
        <v>125</v>
      </c>
      <c r="F127" s="423" t="s">
        <v>620</v>
      </c>
      <c r="G127" s="424" t="s">
        <v>531</v>
      </c>
      <c r="H127" s="422" t="s">
        <v>495</v>
      </c>
      <c r="I127" s="422" t="s">
        <v>496</v>
      </c>
      <c r="J127" s="422" t="s">
        <v>134</v>
      </c>
      <c r="K127" s="422" t="s">
        <v>497</v>
      </c>
      <c r="L127" s="422" t="s">
        <v>133</v>
      </c>
      <c r="M127" s="425" t="s">
        <v>532</v>
      </c>
    </row>
    <row r="128" spans="1:13" ht="36.5" customHeight="1" x14ac:dyDescent="0.35">
      <c r="A128" s="93" t="s">
        <v>52</v>
      </c>
      <c r="B128" s="86" t="s">
        <v>72</v>
      </c>
      <c r="C128" s="85" t="s">
        <v>73</v>
      </c>
      <c r="D128" s="93">
        <v>232</v>
      </c>
      <c r="E128" s="121">
        <v>9111555</v>
      </c>
      <c r="F128" s="121">
        <v>9111555</v>
      </c>
      <c r="G128" s="413" t="s">
        <v>529</v>
      </c>
      <c r="H128" s="392">
        <v>0</v>
      </c>
      <c r="I128" s="121">
        <v>974170</v>
      </c>
      <c r="J128" s="121">
        <v>940305</v>
      </c>
      <c r="K128" s="121">
        <v>33865</v>
      </c>
      <c r="L128" s="121">
        <v>-33865</v>
      </c>
      <c r="M128" s="420" t="s">
        <v>529</v>
      </c>
    </row>
    <row r="129" spans="1:13" ht="31" x14ac:dyDescent="0.35">
      <c r="A129" s="93" t="s">
        <v>52</v>
      </c>
      <c r="B129" s="86" t="s">
        <v>418</v>
      </c>
      <c r="C129" s="85" t="s">
        <v>344</v>
      </c>
      <c r="D129" s="93">
        <v>234</v>
      </c>
      <c r="E129" s="121">
        <v>4879964</v>
      </c>
      <c r="F129" s="121">
        <v>4879964</v>
      </c>
      <c r="G129" s="413" t="s">
        <v>529</v>
      </c>
      <c r="H129" s="392">
        <v>0</v>
      </c>
      <c r="I129" s="121">
        <v>1191500</v>
      </c>
      <c r="J129" s="121">
        <v>934750</v>
      </c>
      <c r="K129" s="121">
        <v>256750</v>
      </c>
      <c r="L129" s="121">
        <v>-256750</v>
      </c>
      <c r="M129" s="420" t="s">
        <v>529</v>
      </c>
    </row>
    <row r="130" spans="1:13" ht="15.5" x14ac:dyDescent="0.35">
      <c r="A130" s="93" t="s">
        <v>52</v>
      </c>
      <c r="B130" s="86" t="s">
        <v>346</v>
      </c>
      <c r="C130" s="85" t="s">
        <v>347</v>
      </c>
      <c r="D130" s="93">
        <v>256</v>
      </c>
      <c r="E130" s="121">
        <v>1574646</v>
      </c>
      <c r="F130" s="121">
        <v>1570280</v>
      </c>
      <c r="G130" s="413" t="s">
        <v>529</v>
      </c>
      <c r="H130" s="121">
        <v>4366</v>
      </c>
      <c r="I130" s="121">
        <v>71971</v>
      </c>
      <c r="J130" s="121">
        <v>36921</v>
      </c>
      <c r="K130" s="121">
        <v>35050</v>
      </c>
      <c r="L130" s="121">
        <v>-30684</v>
      </c>
      <c r="M130" s="420" t="s">
        <v>529</v>
      </c>
    </row>
    <row r="131" spans="1:13" ht="15.5" x14ac:dyDescent="0.35">
      <c r="A131" s="137" t="s">
        <v>216</v>
      </c>
      <c r="B131" s="426" t="s">
        <v>529</v>
      </c>
      <c r="C131" s="427" t="s">
        <v>529</v>
      </c>
      <c r="D131" s="428" t="s">
        <v>529</v>
      </c>
      <c r="E131" s="138">
        <f>SUBTOTAL(109,college200102[Program
Costs])</f>
        <v>15566165</v>
      </c>
      <c r="F131" s="138">
        <f>SUBTOTAL(109,college200102[Less: Net Payments and Offsets 9])</f>
        <v>15561799</v>
      </c>
      <c r="G131" s="414" t="s">
        <v>552</v>
      </c>
      <c r="H131" s="138">
        <f>SUBTOTAL(109,college200102[Accounts Payable
Balance])</f>
        <v>4366</v>
      </c>
      <c r="I131" s="138">
        <f>SUBTOTAL(109,college200102[Established
Accounts Receivable])</f>
        <v>2237641</v>
      </c>
      <c r="J131" s="138">
        <f>SUBTOTAL(109,college200102[Less: Recovered Amount])</f>
        <v>1911976</v>
      </c>
      <c r="K131" s="138">
        <f>SUBTOTAL(109,college200102[Accounts Receivable
Balance])</f>
        <v>325665</v>
      </c>
      <c r="L131" s="138">
        <f>SUBTOTAL(109,college200102[Net
Balance])</f>
        <v>-321299</v>
      </c>
      <c r="M131" s="414" t="s">
        <v>552</v>
      </c>
    </row>
    <row r="132" spans="1:13" ht="15.5" x14ac:dyDescent="0.35">
      <c r="A132" s="386" t="s">
        <v>540</v>
      </c>
      <c r="B132" s="139"/>
      <c r="C132" s="139"/>
      <c r="D132" s="139"/>
      <c r="E132" s="140"/>
      <c r="F132" s="140"/>
      <c r="G132" s="140"/>
      <c r="H132" s="140"/>
      <c r="I132" s="140"/>
      <c r="J132" s="140"/>
      <c r="K132" s="140"/>
      <c r="L132" s="140"/>
      <c r="M132" s="483"/>
    </row>
    <row r="133" spans="1:13" ht="50" customHeight="1" x14ac:dyDescent="0.35">
      <c r="A133" s="299" t="s">
        <v>11</v>
      </c>
      <c r="B133" s="158" t="s">
        <v>12</v>
      </c>
      <c r="C133" s="158" t="s">
        <v>0</v>
      </c>
      <c r="D133" s="158" t="s">
        <v>132</v>
      </c>
      <c r="E133" s="422" t="s">
        <v>125</v>
      </c>
      <c r="F133" s="423" t="s">
        <v>620</v>
      </c>
      <c r="G133" s="424" t="s">
        <v>531</v>
      </c>
      <c r="H133" s="422" t="s">
        <v>495</v>
      </c>
      <c r="I133" s="422" t="s">
        <v>496</v>
      </c>
      <c r="J133" s="422" t="s">
        <v>134</v>
      </c>
      <c r="K133" s="422" t="s">
        <v>497</v>
      </c>
      <c r="L133" s="422" t="s">
        <v>133</v>
      </c>
      <c r="M133" s="425" t="s">
        <v>532</v>
      </c>
    </row>
    <row r="134" spans="1:13" ht="15.5" x14ac:dyDescent="0.35">
      <c r="A134" s="93" t="s">
        <v>53</v>
      </c>
      <c r="B134" s="86" t="s">
        <v>155</v>
      </c>
      <c r="C134" s="85" t="s">
        <v>156</v>
      </c>
      <c r="D134" s="93">
        <v>237</v>
      </c>
      <c r="E134" s="121">
        <v>614433</v>
      </c>
      <c r="F134" s="121">
        <v>614433</v>
      </c>
      <c r="G134" s="413" t="s">
        <v>529</v>
      </c>
      <c r="H134" s="392">
        <v>0</v>
      </c>
      <c r="I134" s="121">
        <v>11162</v>
      </c>
      <c r="J134" s="121">
        <v>9987</v>
      </c>
      <c r="K134" s="121">
        <v>1175</v>
      </c>
      <c r="L134" s="121">
        <v>-1175</v>
      </c>
      <c r="M134" s="420" t="s">
        <v>529</v>
      </c>
    </row>
    <row r="135" spans="1:13" ht="15.5" x14ac:dyDescent="0.35">
      <c r="A135" s="137" t="s">
        <v>217</v>
      </c>
      <c r="B135" s="429" t="s">
        <v>529</v>
      </c>
      <c r="C135" s="430" t="s">
        <v>529</v>
      </c>
      <c r="D135" s="409" t="s">
        <v>529</v>
      </c>
      <c r="E135" s="138">
        <f>SUBTOTAL(109,college200001[Program
Costs])</f>
        <v>614433</v>
      </c>
      <c r="F135" s="138">
        <f>SUBTOTAL(109,college200001[Less: Net Payments and Offsets 9])</f>
        <v>614433</v>
      </c>
      <c r="G135" s="414" t="s">
        <v>552</v>
      </c>
      <c r="H135" s="456" t="s">
        <v>615</v>
      </c>
      <c r="I135" s="138">
        <f>SUBTOTAL(109,college200001[Established
Accounts Receivable])</f>
        <v>11162</v>
      </c>
      <c r="J135" s="138">
        <f>SUBTOTAL(109,college200001[Less: Recovered Amount])</f>
        <v>9987</v>
      </c>
      <c r="K135" s="138">
        <f>SUBTOTAL(109,college200001[Accounts Receivable
Balance])</f>
        <v>1175</v>
      </c>
      <c r="L135" s="138">
        <f>SUBTOTAL(109,college200001[Net
Balance])</f>
        <v>-1175</v>
      </c>
      <c r="M135" s="414" t="s">
        <v>552</v>
      </c>
    </row>
    <row r="136" spans="1:13" ht="15.5" x14ac:dyDescent="0.35">
      <c r="A136" s="386" t="s">
        <v>540</v>
      </c>
      <c r="B136" s="139"/>
      <c r="C136" s="139"/>
      <c r="D136" s="139"/>
      <c r="E136" s="140"/>
      <c r="F136" s="140"/>
      <c r="G136" s="140"/>
      <c r="H136" s="140"/>
      <c r="I136" s="140"/>
      <c r="J136" s="140"/>
      <c r="K136" s="140"/>
      <c r="L136" s="140"/>
      <c r="M136" s="483"/>
    </row>
    <row r="137" spans="1:13" ht="50" customHeight="1" x14ac:dyDescent="0.35">
      <c r="A137" s="299" t="s">
        <v>11</v>
      </c>
      <c r="B137" s="158" t="s">
        <v>12</v>
      </c>
      <c r="C137" s="158" t="s">
        <v>0</v>
      </c>
      <c r="D137" s="158" t="s">
        <v>132</v>
      </c>
      <c r="E137" s="422" t="s">
        <v>125</v>
      </c>
      <c r="F137" s="423" t="s">
        <v>620</v>
      </c>
      <c r="G137" s="424" t="s">
        <v>531</v>
      </c>
      <c r="H137" s="422" t="s">
        <v>495</v>
      </c>
      <c r="I137" s="422" t="s">
        <v>496</v>
      </c>
      <c r="J137" s="422" t="s">
        <v>134</v>
      </c>
      <c r="K137" s="422" t="s">
        <v>497</v>
      </c>
      <c r="L137" s="422" t="s">
        <v>133</v>
      </c>
      <c r="M137" s="425" t="s">
        <v>532</v>
      </c>
    </row>
    <row r="138" spans="1:13" ht="15.5" x14ac:dyDescent="0.35">
      <c r="A138" s="93" t="s">
        <v>54</v>
      </c>
      <c r="B138" s="86" t="s">
        <v>155</v>
      </c>
      <c r="C138" s="85" t="s">
        <v>156</v>
      </c>
      <c r="D138" s="93">
        <v>237</v>
      </c>
      <c r="E138" s="121">
        <v>28469</v>
      </c>
      <c r="F138" s="121">
        <v>28469</v>
      </c>
      <c r="G138" s="413" t="s">
        <v>529</v>
      </c>
      <c r="H138" s="392">
        <v>0</v>
      </c>
      <c r="I138" s="121">
        <v>17658</v>
      </c>
      <c r="J138" s="121">
        <v>8829</v>
      </c>
      <c r="K138" s="121">
        <v>8829</v>
      </c>
      <c r="L138" s="121">
        <v>-8829</v>
      </c>
      <c r="M138" s="420" t="s">
        <v>529</v>
      </c>
    </row>
    <row r="139" spans="1:13" ht="15.5" x14ac:dyDescent="0.35">
      <c r="A139" s="137" t="s">
        <v>220</v>
      </c>
      <c r="B139" s="429" t="s">
        <v>529</v>
      </c>
      <c r="C139" s="430" t="s">
        <v>529</v>
      </c>
      <c r="D139" s="409" t="s">
        <v>529</v>
      </c>
      <c r="E139" s="138">
        <f>SUBTOTAL(109,college199900[Program
Costs])</f>
        <v>28469</v>
      </c>
      <c r="F139" s="138">
        <f>SUBTOTAL(109,college199900[Less: Net Payments and Offsets 9])</f>
        <v>28469</v>
      </c>
      <c r="G139" s="414" t="s">
        <v>552</v>
      </c>
      <c r="H139" s="456" t="s">
        <v>615</v>
      </c>
      <c r="I139" s="138">
        <f>SUBTOTAL(109,college199900[Established
Accounts Receivable])</f>
        <v>17658</v>
      </c>
      <c r="J139" s="138">
        <f>SUBTOTAL(109,college199900[Less: Recovered Amount])</f>
        <v>8829</v>
      </c>
      <c r="K139" s="138">
        <f>SUBTOTAL(109,college199900[Accounts Receivable
Balance])</f>
        <v>8829</v>
      </c>
      <c r="L139" s="138">
        <f>SUBTOTAL(109,college199900[Net
Balance])</f>
        <v>-8829</v>
      </c>
      <c r="M139" s="414" t="s">
        <v>552</v>
      </c>
    </row>
    <row r="140" spans="1:13" ht="15.5" x14ac:dyDescent="0.35">
      <c r="A140" s="386" t="s">
        <v>540</v>
      </c>
      <c r="B140" s="139"/>
      <c r="C140" s="139"/>
      <c r="D140" s="139"/>
      <c r="E140" s="140"/>
      <c r="F140" s="140"/>
      <c r="G140" s="140"/>
      <c r="H140" s="140"/>
      <c r="I140" s="140"/>
      <c r="J140" s="140"/>
      <c r="K140" s="140"/>
      <c r="L140" s="140"/>
      <c r="M140" s="483"/>
    </row>
    <row r="141" spans="1:13" ht="50" customHeight="1" x14ac:dyDescent="0.35">
      <c r="A141" s="299" t="s">
        <v>11</v>
      </c>
      <c r="B141" s="158" t="s">
        <v>12</v>
      </c>
      <c r="C141" s="158" t="s">
        <v>0</v>
      </c>
      <c r="D141" s="158" t="s">
        <v>132</v>
      </c>
      <c r="E141" s="422" t="s">
        <v>125</v>
      </c>
      <c r="F141" s="423" t="s">
        <v>620</v>
      </c>
      <c r="G141" s="424" t="s">
        <v>531</v>
      </c>
      <c r="H141" s="422" t="s">
        <v>495</v>
      </c>
      <c r="I141" s="422" t="s">
        <v>496</v>
      </c>
      <c r="J141" s="422" t="s">
        <v>134</v>
      </c>
      <c r="K141" s="422" t="s">
        <v>497</v>
      </c>
      <c r="L141" s="422" t="s">
        <v>133</v>
      </c>
      <c r="M141" s="425" t="s">
        <v>532</v>
      </c>
    </row>
    <row r="142" spans="1:13" ht="31" x14ac:dyDescent="0.35">
      <c r="A142" s="93" t="s">
        <v>221</v>
      </c>
      <c r="B142" s="86" t="s">
        <v>338</v>
      </c>
      <c r="C142" s="85" t="s">
        <v>253</v>
      </c>
      <c r="D142" s="93">
        <v>267</v>
      </c>
      <c r="E142" s="121">
        <v>3447372</v>
      </c>
      <c r="F142" s="121">
        <v>3447372</v>
      </c>
      <c r="G142" s="413" t="s">
        <v>529</v>
      </c>
      <c r="H142" s="392">
        <v>0</v>
      </c>
      <c r="I142" s="121">
        <v>2446054</v>
      </c>
      <c r="J142" s="121">
        <v>1758445</v>
      </c>
      <c r="K142" s="121">
        <v>687609</v>
      </c>
      <c r="L142" s="121">
        <v>-687609</v>
      </c>
      <c r="M142" s="420" t="s">
        <v>529</v>
      </c>
    </row>
    <row r="143" spans="1:13" ht="15.5" x14ac:dyDescent="0.35">
      <c r="A143" s="137" t="s">
        <v>225</v>
      </c>
      <c r="B143" s="426" t="s">
        <v>529</v>
      </c>
      <c r="C143" s="427" t="s">
        <v>529</v>
      </c>
      <c r="D143" s="428" t="s">
        <v>529</v>
      </c>
      <c r="E143" s="138">
        <f>SUBTOTAL(109,college199899[Program
Costs])</f>
        <v>3447372</v>
      </c>
      <c r="F143" s="138">
        <f>SUBTOTAL(109,college199899[Less: Net Payments and Offsets 9])</f>
        <v>3447372</v>
      </c>
      <c r="G143" s="414" t="s">
        <v>552</v>
      </c>
      <c r="H143" s="456" t="s">
        <v>615</v>
      </c>
      <c r="I143" s="138">
        <f>SUBTOTAL(109,college199899[Established
Accounts Receivable])</f>
        <v>2446054</v>
      </c>
      <c r="J143" s="138">
        <f>SUBTOTAL(109,college199899[Less: Recovered Amount])</f>
        <v>1758445</v>
      </c>
      <c r="K143" s="138">
        <f>SUBTOTAL(109,college199899[Accounts Receivable
Balance])</f>
        <v>687609</v>
      </c>
      <c r="L143" s="138">
        <f>SUBTOTAL(109,college199899[Net
Balance])</f>
        <v>-687609</v>
      </c>
      <c r="M143" s="414" t="s">
        <v>552</v>
      </c>
    </row>
    <row r="144" spans="1:13" ht="15.5" x14ac:dyDescent="0.35">
      <c r="A144" s="386" t="s">
        <v>540</v>
      </c>
      <c r="B144" s="96"/>
      <c r="C144" s="96"/>
      <c r="D144" s="96"/>
      <c r="E144" s="138"/>
      <c r="F144" s="138"/>
      <c r="G144" s="138"/>
      <c r="H144" s="138"/>
      <c r="I144" s="138"/>
      <c r="J144" s="138"/>
      <c r="K144" s="138"/>
      <c r="L144" s="138"/>
      <c r="M144" s="136"/>
    </row>
    <row r="145" spans="1:13" ht="50" customHeight="1" x14ac:dyDescent="0.35">
      <c r="A145" s="299" t="s">
        <v>11</v>
      </c>
      <c r="B145" s="158" t="s">
        <v>12</v>
      </c>
      <c r="C145" s="158" t="s">
        <v>0</v>
      </c>
      <c r="D145" s="158" t="s">
        <v>132</v>
      </c>
      <c r="E145" s="422" t="s">
        <v>125</v>
      </c>
      <c r="F145" s="423" t="s">
        <v>620</v>
      </c>
      <c r="G145" s="424" t="s">
        <v>531</v>
      </c>
      <c r="H145" s="422" t="s">
        <v>495</v>
      </c>
      <c r="I145" s="422" t="s">
        <v>496</v>
      </c>
      <c r="J145" s="422" t="s">
        <v>134</v>
      </c>
      <c r="K145" s="422" t="s">
        <v>497</v>
      </c>
      <c r="L145" s="422" t="s">
        <v>133</v>
      </c>
      <c r="M145" s="425" t="s">
        <v>532</v>
      </c>
    </row>
    <row r="146" spans="1:13" ht="15.5" x14ac:dyDescent="0.35">
      <c r="A146" s="93" t="s">
        <v>5</v>
      </c>
      <c r="B146" s="486" t="s">
        <v>529</v>
      </c>
      <c r="C146" s="486" t="s">
        <v>529</v>
      </c>
      <c r="D146" s="486" t="s">
        <v>529</v>
      </c>
      <c r="E146" s="148">
        <f>college201415[[#Totals],[Program
Costs]]</f>
        <v>375864</v>
      </c>
      <c r="F146" s="148">
        <f>college201415[[#Totals],[Less: Net Payments and Offsets 9]]</f>
        <v>129607</v>
      </c>
      <c r="G146" s="489" t="str">
        <f>college201415[[#Totals],[Comment: Community college districts did not receive one-time funding offsets.]]</f>
        <v xml:space="preserve"> N/A </v>
      </c>
      <c r="H146" s="148">
        <f>college201415[[#Totals],[Accounts Payable
Balance]]</f>
        <v>246257</v>
      </c>
      <c r="I146" s="148">
        <f>college201415[[#Totals],[Established
Accounts Receivable]]</f>
        <v>1000</v>
      </c>
      <c r="J146" s="485" t="str">
        <f>college201415[[#Totals],[Less: Recovered Amount]]</f>
        <v>$0</v>
      </c>
      <c r="K146" s="148">
        <f>college201415[[#Totals],[Accounts Receivable
Balance]]</f>
        <v>1000</v>
      </c>
      <c r="L146" s="148">
        <f>college201415[[#Totals],[Net
Balance]]</f>
        <v>245257</v>
      </c>
      <c r="M146" s="489" t="str">
        <f>college201415[[#Totals],[Comment2]]</f>
        <v xml:space="preserve"> N/A </v>
      </c>
    </row>
    <row r="147" spans="1:13" ht="15.5" x14ac:dyDescent="0.35">
      <c r="A147" s="93" t="s">
        <v>140</v>
      </c>
      <c r="B147" s="487" t="s">
        <v>529</v>
      </c>
      <c r="C147" s="487" t="s">
        <v>529</v>
      </c>
      <c r="D147" s="487" t="s">
        <v>529</v>
      </c>
      <c r="E147" s="121">
        <f>college201314[[#Totals],[Program
Costs]]</f>
        <v>947422</v>
      </c>
      <c r="F147" s="121">
        <f>college201314[[#Totals],[Less: Net Payments and Offsets 9]]</f>
        <v>719110</v>
      </c>
      <c r="G147" s="413" t="str">
        <f>college201314[[#Totals],[Comment]]</f>
        <v xml:space="preserve"> N/A </v>
      </c>
      <c r="H147" s="121">
        <f>college201314[[#Totals],[Accounts Payable
Balance]]</f>
        <v>228312</v>
      </c>
      <c r="I147" s="121">
        <f>college201314[[#Totals],[Established
Accounts Receivable]]</f>
        <v>1000</v>
      </c>
      <c r="J147" s="440" t="str">
        <f>college201314[[#Totals],[Less: Recovered Amount]]</f>
        <v>$0</v>
      </c>
      <c r="K147" s="121">
        <f>college201314[[#Totals],[Accounts Receivable
Balance]]</f>
        <v>1000</v>
      </c>
      <c r="L147" s="121">
        <f>college201314[[#Totals],[Net
Balance]]</f>
        <v>227312</v>
      </c>
      <c r="M147" s="413" t="str">
        <f>college201314[[#Totals],[Comment2]]</f>
        <v xml:space="preserve"> N/A </v>
      </c>
    </row>
    <row r="148" spans="1:13" ht="15.5" x14ac:dyDescent="0.35">
      <c r="A148" s="93" t="s">
        <v>3</v>
      </c>
      <c r="B148" s="487" t="s">
        <v>529</v>
      </c>
      <c r="C148" s="487" t="s">
        <v>529</v>
      </c>
      <c r="D148" s="487" t="s">
        <v>529</v>
      </c>
      <c r="E148" s="121">
        <f>college201213[[#Totals],[Program
Costs]]</f>
        <v>956471</v>
      </c>
      <c r="F148" s="121">
        <f>college201213[[#Totals],[Less: Net Payments and Offsets 9]]</f>
        <v>540973</v>
      </c>
      <c r="G148" s="413" t="str">
        <f>college201213[[#Totals],[Comment]]</f>
        <v xml:space="preserve"> N/A </v>
      </c>
      <c r="H148" s="121">
        <f>college201213[[#Totals],[Accounts Payable
Balance]]</f>
        <v>415498</v>
      </c>
      <c r="I148" s="121">
        <f>college201213[[#Totals],[Established
Accounts Receivable]]</f>
        <v>1000</v>
      </c>
      <c r="J148" s="440" t="str">
        <f>college201213[[#Totals],[Less: Recovered Amount]]</f>
        <v>$0</v>
      </c>
      <c r="K148" s="121">
        <f>college201213[[#Totals],[Accounts Receivable
Balance]]</f>
        <v>1000</v>
      </c>
      <c r="L148" s="121">
        <f>college201213[[#Totals],[Net
Balance]]</f>
        <v>414498</v>
      </c>
      <c r="M148" s="413" t="str">
        <f>college201213[[#Totals],[Comment2]]</f>
        <v xml:space="preserve"> N/A </v>
      </c>
    </row>
    <row r="149" spans="1:13" ht="15.5" x14ac:dyDescent="0.35">
      <c r="A149" s="93" t="s">
        <v>143</v>
      </c>
      <c r="B149" s="487" t="s">
        <v>529</v>
      </c>
      <c r="C149" s="487" t="s">
        <v>529</v>
      </c>
      <c r="D149" s="487" t="s">
        <v>529</v>
      </c>
      <c r="E149" s="121">
        <f>college201112[[#Totals],[Program
Costs]]</f>
        <v>24491194</v>
      </c>
      <c r="F149" s="121">
        <f>college201112[[#Totals],[Less: Net Payments and Offsets 9]]</f>
        <v>17457413</v>
      </c>
      <c r="G149" s="413" t="str">
        <f>college201112[[#Totals],[Comment]]</f>
        <v xml:space="preserve"> N/A </v>
      </c>
      <c r="H149" s="121">
        <f>college201112[[#Totals],[Accounts Payable
Balance]]</f>
        <v>7033781</v>
      </c>
      <c r="I149" s="440" t="str">
        <f>college201112[[#Totals],[Established
Accounts Receivable]]</f>
        <v>$0</v>
      </c>
      <c r="J149" s="440" t="str">
        <f>college201112[[#Totals],[Less: Recovered Amount]]</f>
        <v>$0</v>
      </c>
      <c r="K149" s="440" t="str">
        <f>college201112[[#Totals],[Accounts Receivable
Balance]]</f>
        <v>$0</v>
      </c>
      <c r="L149" s="121">
        <f>college201112[[#Totals],[Net
Balance]]</f>
        <v>7033781</v>
      </c>
      <c r="M149" s="413" t="str">
        <f>college201112[[#Totals],[Comment2]]</f>
        <v xml:space="preserve"> N/A </v>
      </c>
    </row>
    <row r="150" spans="1:13" ht="15.5" x14ac:dyDescent="0.35">
      <c r="A150" s="93" t="s">
        <v>41</v>
      </c>
      <c r="B150" s="487" t="s">
        <v>529</v>
      </c>
      <c r="C150" s="487" t="s">
        <v>529</v>
      </c>
      <c r="D150" s="487" t="s">
        <v>529</v>
      </c>
      <c r="E150" s="121">
        <f>college201011[[#Totals],[Program
Costs]]</f>
        <v>27324816</v>
      </c>
      <c r="F150" s="121">
        <f>college201011[[#Totals],[Less: Net Payments and Offsets 9]]</f>
        <v>21994317</v>
      </c>
      <c r="G150" s="413" t="str">
        <f>college201011[[#Totals],[Comment]]</f>
        <v xml:space="preserve"> N/A </v>
      </c>
      <c r="H150" s="121">
        <f>college201011[[#Totals],[Accounts Payable
Balance]]</f>
        <v>5330499</v>
      </c>
      <c r="I150" s="440" t="str">
        <f>college201011[[#Totals],[Established
Accounts Receivable]]</f>
        <v>$0</v>
      </c>
      <c r="J150" s="440" t="str">
        <f>college201011[[#Totals],[Less: Recovered Amount]]</f>
        <v>$0</v>
      </c>
      <c r="K150" s="440" t="str">
        <f>college201011[[#Totals],[Accounts Receivable
Balance]]</f>
        <v>$0</v>
      </c>
      <c r="L150" s="121">
        <f>college201011[[#Totals],[Net
Balance]]</f>
        <v>5330499</v>
      </c>
      <c r="M150" s="413" t="str">
        <f>college201011[[#Totals],[Comment2]]</f>
        <v xml:space="preserve"> N/A </v>
      </c>
    </row>
    <row r="151" spans="1:13" ht="15.5" x14ac:dyDescent="0.35">
      <c r="A151" s="93" t="s">
        <v>44</v>
      </c>
      <c r="B151" s="487" t="s">
        <v>529</v>
      </c>
      <c r="C151" s="487" t="s">
        <v>529</v>
      </c>
      <c r="D151" s="487" t="s">
        <v>529</v>
      </c>
      <c r="E151" s="121">
        <f>college200910[[#Totals],[Program
Costs]]</f>
        <v>27614060</v>
      </c>
      <c r="F151" s="121">
        <f>college200910[[#Totals],[Less: Net Payments and Offsets 9]]</f>
        <v>22006924</v>
      </c>
      <c r="G151" s="413" t="str">
        <f>college200910[[#Totals],[Comment]]</f>
        <v xml:space="preserve"> N/A </v>
      </c>
      <c r="H151" s="121">
        <f>college200910[[#Totals],[Accounts Payable
Balance]]</f>
        <v>5607136</v>
      </c>
      <c r="I151" s="121">
        <f>college200910[[#Totals],[Established
Accounts Receivable]]</f>
        <v>3222713</v>
      </c>
      <c r="J151" s="121">
        <f>college200910[[#Totals],[Less: Recovered Amount]]</f>
        <v>258603</v>
      </c>
      <c r="K151" s="121">
        <f>college200910[[#Totals],[Accounts Receivable
Balance]]</f>
        <v>2964110</v>
      </c>
      <c r="L151" s="121">
        <f>college200910[[#Totals],[Net
Balance]]</f>
        <v>2643026</v>
      </c>
      <c r="M151" s="413" t="str">
        <f>college200910[[#Totals],[Comment2]]</f>
        <v xml:space="preserve"> N/A </v>
      </c>
    </row>
    <row r="152" spans="1:13" ht="15.5" x14ac:dyDescent="0.35">
      <c r="A152" s="93" t="s">
        <v>45</v>
      </c>
      <c r="B152" s="487" t="s">
        <v>529</v>
      </c>
      <c r="C152" s="487" t="s">
        <v>529</v>
      </c>
      <c r="D152" s="487" t="s">
        <v>529</v>
      </c>
      <c r="E152" s="121">
        <f>college200809[[#Totals],[Program
Costs]]</f>
        <v>30259003</v>
      </c>
      <c r="F152" s="121">
        <f>college200809[[#Totals],[Less: Net Payments and Offsets 9]]</f>
        <v>23632746</v>
      </c>
      <c r="G152" s="413" t="str">
        <f>college200809[[#Totals],[Comment]]</f>
        <v xml:space="preserve"> N/A </v>
      </c>
      <c r="H152" s="121">
        <f>college200809[[#Totals],[Accounts Payable
Balance]]</f>
        <v>6626257</v>
      </c>
      <c r="I152" s="121">
        <f>college200809[[#Totals],[Established
Accounts Receivable]]</f>
        <v>5366794</v>
      </c>
      <c r="J152" s="121">
        <f>college200809[[#Totals],[Less: Recovered Amount]]</f>
        <v>384373</v>
      </c>
      <c r="K152" s="121">
        <f>college200809[[#Totals],[Accounts Receivable
Balance]]</f>
        <v>4982421</v>
      </c>
      <c r="L152" s="121">
        <f>college200809[[#Totals],[Net
Balance]]</f>
        <v>1643836</v>
      </c>
      <c r="M152" s="413" t="str">
        <f>college200809[[#Totals],[Comment2]]</f>
        <v xml:space="preserve"> N/A </v>
      </c>
    </row>
    <row r="153" spans="1:13" ht="15.5" x14ac:dyDescent="0.35">
      <c r="A153" s="93" t="s">
        <v>46</v>
      </c>
      <c r="B153" s="487" t="s">
        <v>529</v>
      </c>
      <c r="C153" s="487" t="s">
        <v>529</v>
      </c>
      <c r="D153" s="487" t="s">
        <v>529</v>
      </c>
      <c r="E153" s="121">
        <f>college200708[[#Totals],[Program
Costs]]</f>
        <v>28101728</v>
      </c>
      <c r="F153" s="121">
        <f>college200708[[#Totals],[Less: Net Payments and Offsets 9]]</f>
        <v>22097774</v>
      </c>
      <c r="G153" s="413" t="str">
        <f>college200708[[#Totals],[Comment]]</f>
        <v xml:space="preserve"> N/A </v>
      </c>
      <c r="H153" s="121">
        <f>college200708[[#Totals],[Accounts Payable
Balance]]</f>
        <v>6003954</v>
      </c>
      <c r="I153" s="121">
        <f>college200708[[#Totals],[Established
Accounts Receivable]]</f>
        <v>2671310</v>
      </c>
      <c r="J153" s="121">
        <f>college200708[[#Totals],[Less: Recovered Amount]]</f>
        <v>1014132</v>
      </c>
      <c r="K153" s="121">
        <f>college200708[[#Totals],[Accounts Receivable
Balance]]</f>
        <v>1657178</v>
      </c>
      <c r="L153" s="121">
        <f>college200708[[#Totals],[Net
Balance]]</f>
        <v>4346776</v>
      </c>
      <c r="M153" s="413" t="str">
        <f>college200708[[#Totals],[Comment2]]</f>
        <v xml:space="preserve"> N/A </v>
      </c>
    </row>
    <row r="154" spans="1:13" ht="15.5" x14ac:dyDescent="0.35">
      <c r="A154" s="93" t="s">
        <v>47</v>
      </c>
      <c r="B154" s="487" t="s">
        <v>529</v>
      </c>
      <c r="C154" s="487" t="s">
        <v>529</v>
      </c>
      <c r="D154" s="487" t="s">
        <v>529</v>
      </c>
      <c r="E154" s="121">
        <f>college200607[[#Totals],[Program
Costs]]</f>
        <v>15843413</v>
      </c>
      <c r="F154" s="121">
        <f>college200607[[#Totals],[Less: Net Payments and Offsets 9]]</f>
        <v>14104777</v>
      </c>
      <c r="G154" s="413" t="str">
        <f>college200607[[#Totals],[Comment]]</f>
        <v xml:space="preserve"> N/A </v>
      </c>
      <c r="H154" s="121">
        <f>college200607[[#Totals],[Accounts Payable
Balance]]</f>
        <v>1738636</v>
      </c>
      <c r="I154" s="121">
        <f>college200607[[#Totals],[Established
Accounts Receivable]]</f>
        <v>3094765</v>
      </c>
      <c r="J154" s="121">
        <f>college200607[[#Totals],[Less: Recovered Amount]]</f>
        <v>2027098</v>
      </c>
      <c r="K154" s="121">
        <f>college200607[[#Totals],[Accounts Receivable
Balance]]</f>
        <v>1067667</v>
      </c>
      <c r="L154" s="121">
        <f>college200607[[#Totals],[Net
Balance]]</f>
        <v>670969</v>
      </c>
      <c r="M154" s="413" t="str">
        <f>college200607[[#Totals],[Comment2]]</f>
        <v xml:space="preserve"> N/A </v>
      </c>
    </row>
    <row r="155" spans="1:13" ht="15.5" x14ac:dyDescent="0.35">
      <c r="A155" s="93" t="s">
        <v>48</v>
      </c>
      <c r="B155" s="487" t="s">
        <v>529</v>
      </c>
      <c r="C155" s="487" t="s">
        <v>529</v>
      </c>
      <c r="D155" s="487" t="s">
        <v>529</v>
      </c>
      <c r="E155" s="121">
        <f>college200506[[#Totals],[Program
Costs]]</f>
        <v>5107529</v>
      </c>
      <c r="F155" s="121">
        <f>college200506[[#Totals],[Less: Net Payments and Offsets 9]]</f>
        <v>5020822</v>
      </c>
      <c r="G155" s="413" t="str">
        <f>college200506[[#Totals],[Comment]]</f>
        <v xml:space="preserve"> N/A </v>
      </c>
      <c r="H155" s="121">
        <f>college200506[[#Totals],[Accounts Payable
Balance]]</f>
        <v>86707</v>
      </c>
      <c r="I155" s="121">
        <f>college200506[[#Totals],[Established
Accounts Receivable]]</f>
        <v>306235</v>
      </c>
      <c r="J155" s="121">
        <f>college200506[[#Totals],[Less: Recovered Amount]]</f>
        <v>251347</v>
      </c>
      <c r="K155" s="121">
        <f>college200506[[#Totals],[Accounts Receivable
Balance]]</f>
        <v>54888</v>
      </c>
      <c r="L155" s="121">
        <f>college200506[[#Totals],[Net
Balance]]</f>
        <v>31819</v>
      </c>
      <c r="M155" s="413" t="str">
        <f>college200506[[#Totals],[Comment2]]</f>
        <v xml:space="preserve"> N/A </v>
      </c>
    </row>
    <row r="156" spans="1:13" ht="15.5" x14ac:dyDescent="0.35">
      <c r="A156" s="93" t="s">
        <v>50</v>
      </c>
      <c r="B156" s="487" t="s">
        <v>529</v>
      </c>
      <c r="C156" s="487" t="s">
        <v>529</v>
      </c>
      <c r="D156" s="487" t="s">
        <v>529</v>
      </c>
      <c r="E156" s="121">
        <f>college200304[[#Totals],[Program
Costs]]</f>
        <v>948601</v>
      </c>
      <c r="F156" s="121">
        <f>college200304[[#Totals],[Less: Net Payments and Offsets 9]]</f>
        <v>934582</v>
      </c>
      <c r="G156" s="413" t="str">
        <f>college200304[[#Totals],[Comment]]</f>
        <v xml:space="preserve"> N/A </v>
      </c>
      <c r="H156" s="121">
        <f>college200304[[#Totals],[Accounts Payable
Balance]]</f>
        <v>14019</v>
      </c>
      <c r="I156" s="121">
        <f>college200304[[#Totals],[Established
Accounts Receivable]]</f>
        <v>408288</v>
      </c>
      <c r="J156" s="121">
        <f>college200304[[#Totals],[Less: Recovered Amount]]</f>
        <v>408288</v>
      </c>
      <c r="K156" s="440" t="str">
        <f>college200304[[#Totals],[Accounts Receivable
Balance]]</f>
        <v>$0</v>
      </c>
      <c r="L156" s="121">
        <f>college200304[[#Totals],[Net
Balance]]</f>
        <v>14019</v>
      </c>
      <c r="M156" s="413" t="str">
        <f>college200304[[#Totals],[Comment2]]</f>
        <v xml:space="preserve"> N/A </v>
      </c>
    </row>
    <row r="157" spans="1:13" ht="15.5" x14ac:dyDescent="0.35">
      <c r="A157" s="93" t="s">
        <v>51</v>
      </c>
      <c r="B157" s="487" t="s">
        <v>529</v>
      </c>
      <c r="C157" s="487" t="s">
        <v>529</v>
      </c>
      <c r="D157" s="487" t="s">
        <v>529</v>
      </c>
      <c r="E157" s="121">
        <f>college200203[[#Totals],[Program
Costs]]</f>
        <v>14911623</v>
      </c>
      <c r="F157" s="121">
        <f>college200203[[#Totals],[Less: Net Payments and Offsets 9]]</f>
        <v>14899027</v>
      </c>
      <c r="G157" s="413" t="str">
        <f>college200203[[#Totals],[Comment]]</f>
        <v xml:space="preserve"> N/A </v>
      </c>
      <c r="H157" s="121">
        <f>college200203[[#Totals],[Accounts Payable
Balance]]</f>
        <v>12596</v>
      </c>
      <c r="I157" s="121">
        <f>college200203[[#Totals],[Established
Accounts Receivable]]</f>
        <v>4316213</v>
      </c>
      <c r="J157" s="121">
        <f>college200203[[#Totals],[Less: Recovered Amount]]</f>
        <v>3277337</v>
      </c>
      <c r="K157" s="121">
        <f>college200203[[#Totals],[Accounts Receivable
Balance]]</f>
        <v>1038876</v>
      </c>
      <c r="L157" s="121">
        <f>college200203[[#Totals],[Net
Balance]]</f>
        <v>-1026280</v>
      </c>
      <c r="M157" s="413" t="str">
        <f>college200203[[#Totals],[Comment2]]</f>
        <v xml:space="preserve"> N/A </v>
      </c>
    </row>
    <row r="158" spans="1:13" ht="15.5" x14ac:dyDescent="0.35">
      <c r="A158" s="93" t="s">
        <v>52</v>
      </c>
      <c r="B158" s="487" t="s">
        <v>529</v>
      </c>
      <c r="C158" s="487" t="s">
        <v>529</v>
      </c>
      <c r="D158" s="487" t="s">
        <v>529</v>
      </c>
      <c r="E158" s="121">
        <f>college200102[[#Totals],[Program
Costs]]</f>
        <v>15566165</v>
      </c>
      <c r="F158" s="121">
        <f>college200102[[#Totals],[Less: Net Payments and Offsets 9]]</f>
        <v>15561799</v>
      </c>
      <c r="G158" s="413" t="str">
        <f>college200102[[#Totals],[Comment]]</f>
        <v xml:space="preserve"> N/A </v>
      </c>
      <c r="H158" s="121">
        <f>college200102[[#Totals],[Accounts Payable
Balance]]</f>
        <v>4366</v>
      </c>
      <c r="I158" s="121">
        <f>college200102[[#Totals],[Established
Accounts Receivable]]</f>
        <v>2237641</v>
      </c>
      <c r="J158" s="121">
        <f>college200102[[#Totals],[Less: Recovered Amount]]</f>
        <v>1911976</v>
      </c>
      <c r="K158" s="121">
        <f>college200102[[#Totals],[Accounts Receivable
Balance]]</f>
        <v>325665</v>
      </c>
      <c r="L158" s="121">
        <f>college200102[[#Totals],[Net
Balance]]</f>
        <v>-321299</v>
      </c>
      <c r="M158" s="413" t="str">
        <f>college200102[[#Totals],[Comment2]]</f>
        <v xml:space="preserve"> N/A </v>
      </c>
    </row>
    <row r="159" spans="1:13" ht="15.5" x14ac:dyDescent="0.35">
      <c r="A159" s="93" t="s">
        <v>53</v>
      </c>
      <c r="B159" s="487" t="s">
        <v>529</v>
      </c>
      <c r="C159" s="487" t="s">
        <v>529</v>
      </c>
      <c r="D159" s="487" t="s">
        <v>529</v>
      </c>
      <c r="E159" s="121">
        <f>college200001[[#Totals],[Program
Costs]]</f>
        <v>614433</v>
      </c>
      <c r="F159" s="121">
        <f>college200001[[#Totals],[Less: Net Payments and Offsets 9]]</f>
        <v>614433</v>
      </c>
      <c r="G159" s="413" t="str">
        <f>college200001[[#Totals],[Comment]]</f>
        <v xml:space="preserve"> N/A </v>
      </c>
      <c r="H159" s="440" t="str">
        <f>college200001[[#Totals],[Accounts Payable
Balance]]</f>
        <v>$0</v>
      </c>
      <c r="I159" s="121">
        <f>college200001[[#Totals],[Established
Accounts Receivable]]</f>
        <v>11162</v>
      </c>
      <c r="J159" s="121">
        <f>college200001[[#Totals],[Less: Recovered Amount]]</f>
        <v>9987</v>
      </c>
      <c r="K159" s="121">
        <f>college200001[[#Totals],[Accounts Receivable
Balance]]</f>
        <v>1175</v>
      </c>
      <c r="L159" s="121">
        <f>college200001[[#Totals],[Net
Balance]]</f>
        <v>-1175</v>
      </c>
      <c r="M159" s="413" t="str">
        <f>college200001[[#Totals],[Comment2]]</f>
        <v xml:space="preserve"> N/A </v>
      </c>
    </row>
    <row r="160" spans="1:13" ht="15.5" x14ac:dyDescent="0.35">
      <c r="A160" s="93" t="s">
        <v>54</v>
      </c>
      <c r="B160" s="487" t="s">
        <v>529</v>
      </c>
      <c r="C160" s="487" t="s">
        <v>529</v>
      </c>
      <c r="D160" s="487" t="s">
        <v>529</v>
      </c>
      <c r="E160" s="121">
        <f>college199900[[#Totals],[Program
Costs]]</f>
        <v>28469</v>
      </c>
      <c r="F160" s="121">
        <f>college199900[[#Totals],[Less: Net Payments and Offsets 9]]</f>
        <v>28469</v>
      </c>
      <c r="G160" s="413" t="str">
        <f>college199900[[#Totals],[Comment]]</f>
        <v xml:space="preserve"> N/A </v>
      </c>
      <c r="H160" s="440" t="str">
        <f>college199900[[#Totals],[Accounts Payable
Balance]]</f>
        <v>$0</v>
      </c>
      <c r="I160" s="121">
        <f>college199900[[#Totals],[Established
Accounts Receivable]]</f>
        <v>17658</v>
      </c>
      <c r="J160" s="121">
        <f>college199900[[#Totals],[Less: Recovered Amount]]</f>
        <v>8829</v>
      </c>
      <c r="K160" s="121">
        <f>college199900[[#Totals],[Accounts Receivable
Balance]]</f>
        <v>8829</v>
      </c>
      <c r="L160" s="121">
        <f>college199900[[#Totals],[Net
Balance]]</f>
        <v>-8829</v>
      </c>
      <c r="M160" s="413" t="str">
        <f>college199900[[#Totals],[Comment2]]</f>
        <v xml:space="preserve"> N/A </v>
      </c>
    </row>
    <row r="161" spans="1:13" ht="15.5" x14ac:dyDescent="0.35">
      <c r="A161" s="93" t="s">
        <v>221</v>
      </c>
      <c r="B161" s="487" t="s">
        <v>529</v>
      </c>
      <c r="C161" s="487" t="s">
        <v>529</v>
      </c>
      <c r="D161" s="487" t="s">
        <v>529</v>
      </c>
      <c r="E161" s="121">
        <f>college199899[[#Totals],[Program
Costs]]</f>
        <v>3447372</v>
      </c>
      <c r="F161" s="121">
        <f>college199899[[#Totals],[Less: Net Payments and Offsets 9]]</f>
        <v>3447372</v>
      </c>
      <c r="G161" s="413" t="str">
        <f>college199899[[#Totals],[Comment]]</f>
        <v xml:space="preserve"> N/A </v>
      </c>
      <c r="H161" s="440" t="str">
        <f>college199899[[#Totals],[Accounts Payable
Balance]]</f>
        <v>$0</v>
      </c>
      <c r="I161" s="121">
        <f>college199899[[#Totals],[Established
Accounts Receivable]]</f>
        <v>2446054</v>
      </c>
      <c r="J161" s="121">
        <f>college199899[[#Totals],[Less: Recovered Amount]]</f>
        <v>1758445</v>
      </c>
      <c r="K161" s="121">
        <f>college199899[[#Totals],[Accounts Receivable
Balance]]</f>
        <v>687609</v>
      </c>
      <c r="L161" s="121">
        <f>college199899[[#Totals],[Net
Balance]]</f>
        <v>-687609</v>
      </c>
      <c r="M161" s="413" t="str">
        <f>college199899[[#Totals],[Comment2]]</f>
        <v xml:space="preserve"> N/A </v>
      </c>
    </row>
    <row r="162" spans="1:13" ht="17.5" x14ac:dyDescent="0.35">
      <c r="A162" s="137" t="s">
        <v>131</v>
      </c>
      <c r="B162" s="488" t="s">
        <v>529</v>
      </c>
      <c r="C162" s="488" t="s">
        <v>529</v>
      </c>
      <c r="D162" s="488" t="s">
        <v>529</v>
      </c>
      <c r="E162" s="138">
        <f>SUBTOTAL(109,collegegrandtotal[Program
Costs])</f>
        <v>196538163</v>
      </c>
      <c r="F162" s="138">
        <f>SUBTOTAL(109,collegegrandtotal[Less: Net Payments and Offsets 9])</f>
        <v>163190145</v>
      </c>
      <c r="G162" s="414" t="s">
        <v>552</v>
      </c>
      <c r="H162" s="138">
        <f>SUBTOTAL(109,collegegrandtotal[Accounts Payable
Balance])</f>
        <v>33348018</v>
      </c>
      <c r="I162" s="138">
        <f>SUBTOTAL(109,collegegrandtotal[Established
Accounts Receivable])</f>
        <v>24101833</v>
      </c>
      <c r="J162" s="138">
        <f>SUBTOTAL(109,collegegrandtotal[Less: Recovered Amount])</f>
        <v>11310415</v>
      </c>
      <c r="K162" s="138">
        <f>SUBTOTAL(109,collegegrandtotal[Accounts Receivable
Balance])</f>
        <v>12791418</v>
      </c>
      <c r="L162" s="138">
        <f>SUBTOTAL(109,collegegrandtotal[Net
Balance])</f>
        <v>20556600</v>
      </c>
      <c r="M162" s="499" t="s">
        <v>621</v>
      </c>
    </row>
    <row r="163" spans="1:13" ht="15" customHeight="1" x14ac:dyDescent="0.35">
      <c r="A163" s="386" t="s">
        <v>540</v>
      </c>
      <c r="B163" s="484"/>
      <c r="C163" s="484"/>
      <c r="D163" s="484"/>
      <c r="E163" s="406"/>
      <c r="F163" s="406"/>
      <c r="G163" s="406"/>
      <c r="H163" s="406"/>
      <c r="I163" s="406"/>
      <c r="J163" s="406"/>
      <c r="K163" s="406"/>
      <c r="L163" s="406"/>
      <c r="M163" s="490"/>
    </row>
    <row r="164" spans="1:13" ht="50" customHeight="1" x14ac:dyDescent="0.35">
      <c r="A164" s="299" t="s">
        <v>622</v>
      </c>
      <c r="B164" s="158" t="s">
        <v>12</v>
      </c>
      <c r="C164" s="158" t="s">
        <v>0</v>
      </c>
      <c r="D164" s="158" t="s">
        <v>132</v>
      </c>
      <c r="E164" s="422" t="s">
        <v>125</v>
      </c>
      <c r="F164" s="423" t="s">
        <v>620</v>
      </c>
      <c r="G164" s="424" t="s">
        <v>531</v>
      </c>
      <c r="H164" s="422" t="s">
        <v>495</v>
      </c>
      <c r="I164" s="422" t="s">
        <v>496</v>
      </c>
      <c r="J164" s="422" t="s">
        <v>134</v>
      </c>
      <c r="K164" s="422" t="s">
        <v>497</v>
      </c>
      <c r="L164" s="422" t="s">
        <v>133</v>
      </c>
      <c r="M164" s="493" t="s">
        <v>532</v>
      </c>
    </row>
    <row r="165" spans="1:13" ht="15.5" customHeight="1" x14ac:dyDescent="0.35">
      <c r="A165" s="492" t="s">
        <v>1</v>
      </c>
      <c r="B165" s="434" t="s">
        <v>529</v>
      </c>
      <c r="C165" s="434" t="s">
        <v>529</v>
      </c>
      <c r="D165" s="434" t="s">
        <v>529</v>
      </c>
      <c r="E165" s="491">
        <f>localgrandtotal[[#Totals],[Program
Costs]]</f>
        <v>787696436</v>
      </c>
      <c r="F165" s="491">
        <f>localgrandtotal[[#Totals],[Less: Net Payments and Offsets 7]]</f>
        <v>406015161</v>
      </c>
      <c r="G165" s="496" t="str">
        <f>localgrandtotal[[#Totals],[Comment]]</f>
        <v xml:space="preserve"> N/A </v>
      </c>
      <c r="H165" s="491">
        <f>localgrandtotal[[#Totals],[Accounts Payable
Balance]]</f>
        <v>381681275</v>
      </c>
      <c r="I165" s="491">
        <f>localgrandtotal[[#Totals],[Established
Accounts Receivable]]</f>
        <v>52530318</v>
      </c>
      <c r="J165" s="491">
        <f>localgrandtotal[[#Totals],[Less: Recovered Amount]]</f>
        <v>50096143</v>
      </c>
      <c r="K165" s="491">
        <f>localgrandtotal[[#Totals],[Accounts Receivable
Balance]]</f>
        <v>2434175</v>
      </c>
      <c r="L165" s="491">
        <f>localgrandtotal[[#Totals],[Net
Balance]]</f>
        <v>379247100</v>
      </c>
      <c r="M165" s="496" t="s">
        <v>529</v>
      </c>
    </row>
    <row r="166" spans="1:13" ht="15.5" customHeight="1" x14ac:dyDescent="0.35">
      <c r="A166" s="304" t="s">
        <v>7</v>
      </c>
      <c r="B166" s="434" t="s">
        <v>529</v>
      </c>
      <c r="C166" s="434" t="s">
        <v>529</v>
      </c>
      <c r="D166" s="434" t="s">
        <v>529</v>
      </c>
      <c r="E166" s="491">
        <f>schoolgrandtotal[[#Totals],[Program
Costs]]</f>
        <v>6332349717</v>
      </c>
      <c r="F166" s="491">
        <f>schoolgrandtotal[[#Totals],[Less: Net Payments and Offsets 8]]</f>
        <v>5392564992</v>
      </c>
      <c r="G166" s="496" t="str">
        <f>schoolgrandtotal[[#Totals],[Comment]]</f>
        <v xml:space="preserve"> N/A </v>
      </c>
      <c r="H166" s="491">
        <f>schoolgrandtotal[[#Totals],[Accounts Payable
Balance]]</f>
        <v>939784725</v>
      </c>
      <c r="I166" s="491">
        <f>schoolgrandtotal[[#Totals],[Established
Accounts Receivable]]</f>
        <v>194846243</v>
      </c>
      <c r="J166" s="491">
        <f>schoolgrandtotal[[#Totals],[Less: Recovered Amount]]</f>
        <v>143140043</v>
      </c>
      <c r="K166" s="491">
        <f>schoolgrandtotal[[#Totals],[Accounts Receivable
Balance]]</f>
        <v>51706200</v>
      </c>
      <c r="L166" s="491">
        <f>schoolgrandtotal[[#Totals],[Net
Balance]]</f>
        <v>888078525</v>
      </c>
      <c r="M166" s="496" t="s">
        <v>529</v>
      </c>
    </row>
    <row r="167" spans="1:13" ht="15.5" x14ac:dyDescent="0.35">
      <c r="A167" s="305" t="s">
        <v>8</v>
      </c>
      <c r="B167" s="434" t="s">
        <v>529</v>
      </c>
      <c r="C167" s="434" t="s">
        <v>529</v>
      </c>
      <c r="D167" s="434" t="s">
        <v>529</v>
      </c>
      <c r="E167" s="145">
        <f>collegegrandtotal[[#Totals],[Program
Costs]]</f>
        <v>196538163</v>
      </c>
      <c r="F167" s="145">
        <f>collegegrandtotal[[#Totals],[Less: Net Payments and Offsets 9]]</f>
        <v>163190145</v>
      </c>
      <c r="G167" s="497" t="str">
        <f>collegegrandtotal[[#Totals],[Comment]]</f>
        <v xml:space="preserve"> N/A </v>
      </c>
      <c r="H167" s="145">
        <f>collegegrandtotal[[#Totals],[Accounts Payable
Balance]]</f>
        <v>33348018</v>
      </c>
      <c r="I167" s="145">
        <f>collegegrandtotal[[#Totals],[Established
Accounts Receivable]]</f>
        <v>24101833</v>
      </c>
      <c r="J167" s="145">
        <f>collegegrandtotal[[#Totals],[Less: Recovered Amount]]</f>
        <v>11310415</v>
      </c>
      <c r="K167" s="145">
        <f>collegegrandtotal[[#Totals],[Accounts Receivable
Balance]]</f>
        <v>12791418</v>
      </c>
      <c r="L167" s="145">
        <f>collegegrandtotal[[#Totals],[Net
Balance]]</f>
        <v>20556600</v>
      </c>
      <c r="M167" s="497" t="s">
        <v>529</v>
      </c>
    </row>
    <row r="168" spans="1:13" ht="15.5" x14ac:dyDescent="0.35">
      <c r="A168" s="137" t="s">
        <v>354</v>
      </c>
      <c r="B168" s="495" t="s">
        <v>529</v>
      </c>
      <c r="C168" s="495" t="s">
        <v>529</v>
      </c>
      <c r="D168" s="495" t="s">
        <v>529</v>
      </c>
      <c r="E168" s="494">
        <f>SUBTOTAL(109,totalfunded[Program
Costs])</f>
        <v>7316584316</v>
      </c>
      <c r="F168" s="494">
        <f>SUBTOTAL(109,totalfunded[Less: Net Payments and Offsets 9])</f>
        <v>5961770298</v>
      </c>
      <c r="G168" s="498" t="s">
        <v>552</v>
      </c>
      <c r="H168" s="494">
        <f>SUBTOTAL(109,totalfunded[Accounts Payable
Balance])</f>
        <v>1354814018</v>
      </c>
      <c r="I168" s="494">
        <f>SUBTOTAL(109,totalfunded[Established
Accounts Receivable])</f>
        <v>271478394</v>
      </c>
      <c r="J168" s="494">
        <f>SUBTOTAL(109,totalfunded[Less: Recovered Amount])</f>
        <v>204546601</v>
      </c>
      <c r="K168" s="494">
        <f>SUBTOTAL(109,totalfunded[Accounts Receivable
Balance])</f>
        <v>66931793</v>
      </c>
      <c r="L168" s="494">
        <f>SUBTOTAL(109,totalfunded[Net
Balance])</f>
        <v>1287882225</v>
      </c>
      <c r="M168" s="498" t="s">
        <v>552</v>
      </c>
    </row>
    <row r="169" spans="1:13" ht="15.5" x14ac:dyDescent="0.35">
      <c r="A169" s="436" t="s">
        <v>612</v>
      </c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</row>
    <row r="170" spans="1:13" ht="18.5" x14ac:dyDescent="0.35">
      <c r="A170" s="71" t="s">
        <v>623</v>
      </c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</row>
  </sheetData>
  <hyperlinks>
    <hyperlink ref="M162" location="'Schedule B1-Colleges'!A170" tooltip="This hyperlink will take you to the referenced footnote-footnote 9" display="9"/>
    <hyperlink ref="F2" location="'Schedule B1-Colleges'!A169" tooltip="This hyperlink will take you to the referenced footnote-footnote 9" display="Less: Net Payments and Offsets 9"/>
  </hyperlinks>
  <printOptions horizontalCentered="1" gridLines="1"/>
  <pageMargins left="0.3" right="0.3" top="1.1000000000000001" bottom="0.75" header="0.3" footer="0.1"/>
  <pageSetup scale="58" fitToHeight="0" orientation="landscape" r:id="rId1"/>
  <headerFooter>
    <oddHeader>&amp;C&amp;"Arial,Bold"&amp;12State Controller's Office
Schedule B1: Detail of Funded State-Mandated Programs by Fiscal Year
As of April 1, 2020</oddHeader>
    <oddFooter>&amp;L&amp;"Arial,Regular"&amp;12Schedule B1: Detail of Funded State-Mandated Programs by Fiscal Year 
Community College Districts&amp;R&amp;"Arial,Regular"&amp;12Page &amp;P of &amp;N</oddFooter>
  </headerFooter>
  <legacyDrawing r:id="rId2"/>
  <tableParts count="18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14</vt:i4>
      </vt:variant>
    </vt:vector>
  </HeadingPairs>
  <TitlesOfParts>
    <vt:vector size="26" baseType="lpstr">
      <vt:lpstr>Cover Page</vt:lpstr>
      <vt:lpstr>Table of Contents</vt:lpstr>
      <vt:lpstr>Schedule A-Summary</vt:lpstr>
      <vt:lpstr>Schedule A1-Local Agencies</vt:lpstr>
      <vt:lpstr>Schedule A1-Schools</vt:lpstr>
      <vt:lpstr>Schedule B-Summary</vt:lpstr>
      <vt:lpstr>Schedule B1-Local Agencies</vt:lpstr>
      <vt:lpstr>Schedule B1-Schools</vt:lpstr>
      <vt:lpstr>Schedule B1-Colleges</vt:lpstr>
      <vt:lpstr>Schedule B2-Local Agencies</vt:lpstr>
      <vt:lpstr>Schedule B2-Schools</vt:lpstr>
      <vt:lpstr>Schedule B2-Colleges</vt:lpstr>
      <vt:lpstr>'Schedule A1-Local Agencies'!Print_Area</vt:lpstr>
      <vt:lpstr>'Schedule A1-Schools'!Print_Area</vt:lpstr>
      <vt:lpstr>'Schedule A-Summary'!Print_Area</vt:lpstr>
      <vt:lpstr>'Schedule B1-Colleges'!Print_Area</vt:lpstr>
      <vt:lpstr>'Schedule B1-Local Agencies'!Print_Area</vt:lpstr>
      <vt:lpstr>'Schedule B1-Schools'!Print_Area</vt:lpstr>
      <vt:lpstr>'Schedule B2-Colleges'!Print_Area</vt:lpstr>
      <vt:lpstr>'Schedule B2-Local Agencies'!Print_Area</vt:lpstr>
      <vt:lpstr>'Schedule B2-Schools'!Print_Area</vt:lpstr>
      <vt:lpstr>'Schedule B-Summary'!Print_Area</vt:lpstr>
      <vt:lpstr>'Schedule A1-Schools'!Print_Titles</vt:lpstr>
      <vt:lpstr>'Schedule B2-Colleges'!Print_Titles</vt:lpstr>
      <vt:lpstr>'Schedule B2-Schools'!Print_Titles</vt:lpstr>
      <vt:lpstr>'Schedule B-Summary'!Print_Titles</vt:lpstr>
    </vt:vector>
  </TitlesOfParts>
  <Company>State Controller's Office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2020 State-Mandated Program Cost Report of Unpaid Claims and Deficiencies</dc:title>
  <dc:subject>ADA</dc:subject>
  <dc:creator>SCO</dc:creator>
  <cp:keywords>Deficiency</cp:keywords>
  <dc:description>ADA Compliance for Report of Unpaid Claims and Deficiencies.</dc:description>
  <cp:lastModifiedBy>Luc, Everett</cp:lastModifiedBy>
  <cp:lastPrinted>2020-05-28T18:07:36Z</cp:lastPrinted>
  <dcterms:created xsi:type="dcterms:W3CDTF">2018-10-02T23:13:50Z</dcterms:created>
  <dcterms:modified xsi:type="dcterms:W3CDTF">2020-06-02T20:47:44Z</dcterms:modified>
  <cp:category>Reporting</cp:category>
</cp:coreProperties>
</file>