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Annual Reports\Field Audit Findings Report (Jun)\2021\Final\ADA\Website\"/>
    </mc:Choice>
  </mc:AlternateContent>
  <bookViews>
    <workbookView xWindow="0" yWindow="0" windowWidth="20490" windowHeight="7020"/>
  </bookViews>
  <sheets>
    <sheet name="Cover Page" sheetId="4" r:id="rId1"/>
    <sheet name="Table of Contents" sheetId="3" r:id="rId2"/>
    <sheet name="Summary " sheetId="1" r:id="rId3"/>
    <sheet name="Local Agencies" sheetId="2" r:id="rId4"/>
    <sheet name="School Districts" sheetId="5" r:id="rId5"/>
    <sheet name="Community College Districts" sheetId="6" r:id="rId6"/>
  </sheets>
  <externalReferences>
    <externalReference r:id="rId7"/>
  </externalReferences>
  <definedNames>
    <definedName name="_xlnm.Print_Area" localSheetId="5">'Community College Districts'!$A$1:$N$426</definedName>
    <definedName name="_xlnm.Print_Area" localSheetId="3">'Local Agencies'!$A$1:$N$2094</definedName>
    <definedName name="_xlnm.Print_Area" localSheetId="4">'School Districts'!$A$1:$N$2016</definedName>
    <definedName name="_xlnm.Print_Area" localSheetId="2">'Summary '!$A$1:$F$36</definedName>
    <definedName name="_xlnm.Print_Titles" localSheetId="5">'Community College Districts'!$1:$1</definedName>
    <definedName name="_xlnm.Print_Titles" localSheetId="3">'Local Agencies'!$1:$1</definedName>
    <definedName name="_xlnm.Print_Titles" localSheetId="4">'School Districts'!$1:$1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6" l="1"/>
  <c r="D6" i="6"/>
  <c r="E6" i="6"/>
  <c r="F6" i="6"/>
  <c r="G6" i="6"/>
  <c r="H6" i="6"/>
  <c r="I6" i="6"/>
  <c r="J6" i="6"/>
  <c r="K6" i="6"/>
  <c r="L6" i="6"/>
  <c r="M6" i="6"/>
  <c r="N6" i="6"/>
  <c r="C21" i="6"/>
  <c r="K21" i="6"/>
  <c r="H21" i="6"/>
  <c r="C35" i="6"/>
  <c r="D35" i="6"/>
  <c r="E35" i="6"/>
  <c r="F35" i="6"/>
  <c r="G35" i="6"/>
  <c r="H35" i="6"/>
  <c r="I35" i="6"/>
  <c r="J35" i="6"/>
  <c r="K35" i="6"/>
  <c r="L35" i="6"/>
  <c r="M35" i="6"/>
  <c r="N35" i="6"/>
  <c r="C44" i="6"/>
  <c r="D44" i="6"/>
  <c r="E44" i="6"/>
  <c r="F44" i="6"/>
  <c r="G44" i="6"/>
  <c r="H44" i="6"/>
  <c r="I44" i="6"/>
  <c r="J44" i="6"/>
  <c r="K44" i="6"/>
  <c r="L44" i="6"/>
  <c r="M44" i="6"/>
  <c r="N44" i="6"/>
  <c r="C58" i="6"/>
  <c r="D58" i="6"/>
  <c r="E58" i="6"/>
  <c r="F58" i="6"/>
  <c r="G58" i="6"/>
  <c r="H58" i="6"/>
  <c r="I58" i="6"/>
  <c r="J58" i="6"/>
  <c r="K58" i="6"/>
  <c r="L58" i="6"/>
  <c r="M58" i="6"/>
  <c r="N58" i="6"/>
  <c r="C82" i="6"/>
  <c r="D82" i="6"/>
  <c r="E82" i="6"/>
  <c r="F82" i="6"/>
  <c r="G82" i="6"/>
  <c r="H82" i="6"/>
  <c r="I82" i="6"/>
  <c r="J82" i="6"/>
  <c r="K82" i="6"/>
  <c r="L82" i="6"/>
  <c r="M82" i="6"/>
  <c r="N82" i="6"/>
  <c r="C96" i="6"/>
  <c r="D96" i="6"/>
  <c r="E96" i="6"/>
  <c r="F96" i="6"/>
  <c r="G96" i="6"/>
  <c r="H96" i="6"/>
  <c r="I96" i="6"/>
  <c r="J96" i="6"/>
  <c r="K96" i="6"/>
  <c r="L96" i="6"/>
  <c r="M96" i="6"/>
  <c r="N96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I21" i="6" l="1"/>
  <c r="J21" i="6"/>
  <c r="G21" i="6"/>
  <c r="L21" i="6"/>
  <c r="D21" i="6"/>
  <c r="N21" i="6"/>
  <c r="F21" i="6"/>
  <c r="M21" i="6"/>
  <c r="E21" i="6"/>
  <c r="C12" i="5"/>
  <c r="D12" i="5"/>
  <c r="E12" i="5"/>
  <c r="F12" i="5"/>
  <c r="G12" i="5"/>
  <c r="H12" i="5"/>
  <c r="I12" i="5"/>
  <c r="J12" i="5"/>
  <c r="K12" i="5"/>
  <c r="L12" i="5"/>
  <c r="M12" i="5"/>
  <c r="N12" i="5"/>
  <c r="C33" i="5"/>
  <c r="D33" i="5"/>
  <c r="E33" i="5"/>
  <c r="F33" i="5"/>
  <c r="G33" i="5"/>
  <c r="H33" i="5"/>
  <c r="I33" i="5"/>
  <c r="J33" i="5"/>
  <c r="K33" i="5"/>
  <c r="L33" i="5"/>
  <c r="M33" i="5"/>
  <c r="N33" i="5"/>
  <c r="C48" i="5"/>
  <c r="D48" i="5"/>
  <c r="E48" i="5"/>
  <c r="F48" i="5"/>
  <c r="G48" i="5"/>
  <c r="H48" i="5"/>
  <c r="I48" i="5"/>
  <c r="J48" i="5"/>
  <c r="K48" i="5"/>
  <c r="L48" i="5"/>
  <c r="M48" i="5"/>
  <c r="N48" i="5"/>
  <c r="C63" i="5"/>
  <c r="D63" i="5"/>
  <c r="E63" i="5"/>
  <c r="F63" i="5"/>
  <c r="G63" i="5"/>
  <c r="H63" i="5"/>
  <c r="I63" i="5"/>
  <c r="J63" i="5"/>
  <c r="K63" i="5"/>
  <c r="L63" i="5"/>
  <c r="M63" i="5"/>
  <c r="N63" i="5"/>
  <c r="C88" i="5"/>
  <c r="D88" i="5"/>
  <c r="E88" i="5"/>
  <c r="F88" i="5"/>
  <c r="G88" i="5"/>
  <c r="H88" i="5"/>
  <c r="I88" i="5"/>
  <c r="J88" i="5"/>
  <c r="K88" i="5"/>
  <c r="L88" i="5"/>
  <c r="M88" i="5"/>
  <c r="N88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I1106" i="5"/>
  <c r="C1106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C1157" i="5"/>
  <c r="D1157" i="5"/>
  <c r="E1157" i="5"/>
  <c r="F1157" i="5"/>
  <c r="G1157" i="5"/>
  <c r="H1157" i="5"/>
  <c r="I1157" i="5"/>
  <c r="J1157" i="5"/>
  <c r="K1157" i="5"/>
  <c r="L1157" i="5"/>
  <c r="M1157" i="5"/>
  <c r="N1157" i="5"/>
  <c r="C1171" i="5"/>
  <c r="D1171" i="5"/>
  <c r="E1171" i="5"/>
  <c r="F1171" i="5"/>
  <c r="G1171" i="5"/>
  <c r="H1171" i="5"/>
  <c r="I1171" i="5"/>
  <c r="J1171" i="5"/>
  <c r="K1171" i="5"/>
  <c r="L1171" i="5"/>
  <c r="M1171" i="5"/>
  <c r="N1171" i="5"/>
  <c r="C1179" i="5"/>
  <c r="D1179" i="5"/>
  <c r="E1179" i="5"/>
  <c r="F1179" i="5"/>
  <c r="G1179" i="5"/>
  <c r="H1179" i="5"/>
  <c r="I1179" i="5"/>
  <c r="J1179" i="5"/>
  <c r="K1179" i="5"/>
  <c r="L1179" i="5"/>
  <c r="M1179" i="5"/>
  <c r="N1179" i="5"/>
  <c r="C1203" i="5"/>
  <c r="D1203" i="5"/>
  <c r="E1203" i="5"/>
  <c r="F1203" i="5"/>
  <c r="G1203" i="5"/>
  <c r="H1203" i="5"/>
  <c r="I1203" i="5"/>
  <c r="J1203" i="5"/>
  <c r="K1203" i="5"/>
  <c r="L1203" i="5"/>
  <c r="M1203" i="5"/>
  <c r="N1203" i="5"/>
  <c r="C1220" i="5"/>
  <c r="D1220" i="5"/>
  <c r="E1220" i="5"/>
  <c r="F1220" i="5"/>
  <c r="G1220" i="5"/>
  <c r="H1220" i="5"/>
  <c r="I1220" i="5"/>
  <c r="J1220" i="5"/>
  <c r="K1220" i="5"/>
  <c r="L1220" i="5"/>
  <c r="M1220" i="5"/>
  <c r="N1220" i="5"/>
  <c r="C1241" i="5"/>
  <c r="D1241" i="5"/>
  <c r="E1241" i="5"/>
  <c r="F1241" i="5"/>
  <c r="G1241" i="5"/>
  <c r="H1241" i="5"/>
  <c r="I1241" i="5"/>
  <c r="J1241" i="5"/>
  <c r="K1241" i="5"/>
  <c r="L1241" i="5"/>
  <c r="M1241" i="5"/>
  <c r="N1241" i="5"/>
  <c r="C1262" i="5"/>
  <c r="D1262" i="5"/>
  <c r="E1262" i="5"/>
  <c r="F1262" i="5"/>
  <c r="G1262" i="5"/>
  <c r="H1262" i="5"/>
  <c r="I1262" i="5"/>
  <c r="J1262" i="5"/>
  <c r="K1262" i="5"/>
  <c r="L1262" i="5"/>
  <c r="M1262" i="5"/>
  <c r="N1262" i="5"/>
  <c r="C1279" i="5"/>
  <c r="D1279" i="5"/>
  <c r="E1279" i="5"/>
  <c r="F1279" i="5"/>
  <c r="G1279" i="5"/>
  <c r="H1279" i="5"/>
  <c r="I1279" i="5"/>
  <c r="J1279" i="5"/>
  <c r="K1279" i="5"/>
  <c r="L1279" i="5"/>
  <c r="M1279" i="5"/>
  <c r="N1279" i="5"/>
  <c r="C1306" i="5"/>
  <c r="D1306" i="5"/>
  <c r="E1306" i="5"/>
  <c r="F1306" i="5"/>
  <c r="G1306" i="5"/>
  <c r="H1306" i="5"/>
  <c r="I1306" i="5"/>
  <c r="J1306" i="5"/>
  <c r="K1306" i="5"/>
  <c r="L1306" i="5"/>
  <c r="M1306" i="5"/>
  <c r="N1306" i="5"/>
  <c r="C1318" i="5"/>
  <c r="D1318" i="5"/>
  <c r="E1318" i="5"/>
  <c r="F1318" i="5"/>
  <c r="G1318" i="5"/>
  <c r="H1318" i="5"/>
  <c r="I1318" i="5"/>
  <c r="J1318" i="5"/>
  <c r="K1318" i="5"/>
  <c r="L1318" i="5"/>
  <c r="M1318" i="5"/>
  <c r="N1318" i="5"/>
  <c r="C1334" i="5"/>
  <c r="D1334" i="5"/>
  <c r="E1334" i="5"/>
  <c r="F1334" i="5"/>
  <c r="G1334" i="5"/>
  <c r="H1334" i="5"/>
  <c r="I1334" i="5"/>
  <c r="J1334" i="5"/>
  <c r="K1334" i="5"/>
  <c r="L1334" i="5"/>
  <c r="M1334" i="5"/>
  <c r="N1334" i="5"/>
  <c r="C1340" i="5"/>
  <c r="D1340" i="5"/>
  <c r="E1340" i="5"/>
  <c r="F1340" i="5"/>
  <c r="G1340" i="5"/>
  <c r="H1340" i="5"/>
  <c r="I1340" i="5"/>
  <c r="J1340" i="5"/>
  <c r="K1340" i="5"/>
  <c r="L1340" i="5"/>
  <c r="M1340" i="5"/>
  <c r="N1340" i="5"/>
  <c r="C1357" i="5"/>
  <c r="D1357" i="5"/>
  <c r="E1357" i="5"/>
  <c r="F1357" i="5"/>
  <c r="G1357" i="5"/>
  <c r="H1357" i="5"/>
  <c r="I1357" i="5"/>
  <c r="J1357" i="5"/>
  <c r="K1357" i="5"/>
  <c r="L1357" i="5"/>
  <c r="M1357" i="5"/>
  <c r="N1357" i="5"/>
  <c r="C1366" i="5"/>
  <c r="D1366" i="5"/>
  <c r="E1366" i="5"/>
  <c r="F1366" i="5"/>
  <c r="G1366" i="5"/>
  <c r="H1366" i="5"/>
  <c r="I1366" i="5"/>
  <c r="J1366" i="5"/>
  <c r="K1366" i="5"/>
  <c r="L1366" i="5"/>
  <c r="M1366" i="5"/>
  <c r="N1366" i="5"/>
  <c r="C1384" i="5"/>
  <c r="D1384" i="5"/>
  <c r="E1384" i="5"/>
  <c r="F1384" i="5"/>
  <c r="G1384" i="5"/>
  <c r="H1384" i="5"/>
  <c r="I1384" i="5"/>
  <c r="J1384" i="5"/>
  <c r="K1384" i="5"/>
  <c r="L1384" i="5"/>
  <c r="M1384" i="5"/>
  <c r="N1384" i="5"/>
  <c r="C1402" i="5"/>
  <c r="D1402" i="5"/>
  <c r="E1402" i="5"/>
  <c r="F1402" i="5"/>
  <c r="G1402" i="5"/>
  <c r="H1402" i="5"/>
  <c r="I1402" i="5"/>
  <c r="J1402" i="5"/>
  <c r="K1402" i="5"/>
  <c r="L1402" i="5"/>
  <c r="M1402" i="5"/>
  <c r="N1402" i="5"/>
  <c r="C1406" i="5"/>
  <c r="D1406" i="5"/>
  <c r="E1406" i="5"/>
  <c r="F1406" i="5"/>
  <c r="G1406" i="5"/>
  <c r="H1406" i="5"/>
  <c r="I1406" i="5"/>
  <c r="J1406" i="5"/>
  <c r="K1406" i="5"/>
  <c r="L1406" i="5"/>
  <c r="M1406" i="5"/>
  <c r="N1406" i="5"/>
  <c r="C1410" i="5"/>
  <c r="D1410" i="5"/>
  <c r="E1410" i="5"/>
  <c r="F1410" i="5"/>
  <c r="G1410" i="5"/>
  <c r="H1410" i="5"/>
  <c r="I1410" i="5"/>
  <c r="J1410" i="5"/>
  <c r="K1410" i="5"/>
  <c r="L1410" i="5"/>
  <c r="M1410" i="5"/>
  <c r="N1410" i="5"/>
  <c r="C1415" i="5"/>
  <c r="D1415" i="5"/>
  <c r="E1415" i="5"/>
  <c r="F1415" i="5"/>
  <c r="G1415" i="5"/>
  <c r="H1415" i="5"/>
  <c r="I1415" i="5"/>
  <c r="J1415" i="5"/>
  <c r="K1415" i="5"/>
  <c r="L1415" i="5"/>
  <c r="M1415" i="5"/>
  <c r="N1415" i="5"/>
  <c r="C1420" i="5"/>
  <c r="D1420" i="5"/>
  <c r="E1420" i="5"/>
  <c r="F1420" i="5"/>
  <c r="G1420" i="5"/>
  <c r="H1420" i="5"/>
  <c r="I1420" i="5"/>
  <c r="J1420" i="5"/>
  <c r="K1420" i="5"/>
  <c r="L1420" i="5"/>
  <c r="M1420" i="5"/>
  <c r="N1420" i="5"/>
  <c r="C1434" i="5"/>
  <c r="D1434" i="5"/>
  <c r="E1434" i="5"/>
  <c r="F1434" i="5"/>
  <c r="G1434" i="5"/>
  <c r="H1434" i="5"/>
  <c r="I1434" i="5"/>
  <c r="J1434" i="5"/>
  <c r="K1434" i="5"/>
  <c r="L1434" i="5"/>
  <c r="M1434" i="5"/>
  <c r="N1434" i="5"/>
  <c r="C1450" i="5"/>
  <c r="D1450" i="5"/>
  <c r="E1450" i="5"/>
  <c r="F1450" i="5"/>
  <c r="G1450" i="5"/>
  <c r="H1450" i="5"/>
  <c r="I1450" i="5"/>
  <c r="J1450" i="5"/>
  <c r="K1450" i="5"/>
  <c r="L1450" i="5"/>
  <c r="M1450" i="5"/>
  <c r="N1450" i="5"/>
  <c r="C1467" i="5"/>
  <c r="D1467" i="5"/>
  <c r="E1467" i="5"/>
  <c r="F1467" i="5"/>
  <c r="G1467" i="5"/>
  <c r="H1467" i="5"/>
  <c r="I1467" i="5"/>
  <c r="J1467" i="5"/>
  <c r="K1467" i="5"/>
  <c r="L1467" i="5"/>
  <c r="M1467" i="5"/>
  <c r="N1467" i="5"/>
  <c r="C1492" i="5"/>
  <c r="D1492" i="5"/>
  <c r="E1492" i="5"/>
  <c r="F1492" i="5"/>
  <c r="G1492" i="5"/>
  <c r="H1492" i="5"/>
  <c r="I1492" i="5"/>
  <c r="J1492" i="5"/>
  <c r="K1492" i="5"/>
  <c r="L1492" i="5"/>
  <c r="M1492" i="5"/>
  <c r="N1492" i="5"/>
  <c r="C1511" i="5"/>
  <c r="D1511" i="5"/>
  <c r="E1511" i="5"/>
  <c r="F1511" i="5"/>
  <c r="G1511" i="5"/>
  <c r="H1511" i="5"/>
  <c r="I1511" i="5"/>
  <c r="J1511" i="5"/>
  <c r="K1511" i="5"/>
  <c r="L1511" i="5"/>
  <c r="M1511" i="5"/>
  <c r="N1511" i="5"/>
  <c r="C1528" i="5"/>
  <c r="D1528" i="5"/>
  <c r="E1528" i="5"/>
  <c r="F1528" i="5"/>
  <c r="G1528" i="5"/>
  <c r="H1528" i="5"/>
  <c r="I1528" i="5"/>
  <c r="J1528" i="5"/>
  <c r="K1528" i="5"/>
  <c r="L1528" i="5"/>
  <c r="M1528" i="5"/>
  <c r="N1528" i="5"/>
  <c r="C1550" i="5"/>
  <c r="D1550" i="5"/>
  <c r="E1550" i="5"/>
  <c r="F1550" i="5"/>
  <c r="G1550" i="5"/>
  <c r="H1550" i="5"/>
  <c r="I1550" i="5"/>
  <c r="J1550" i="5"/>
  <c r="K1550" i="5"/>
  <c r="L1550" i="5"/>
  <c r="M1550" i="5"/>
  <c r="N1550" i="5"/>
  <c r="C1559" i="5"/>
  <c r="D1559" i="5"/>
  <c r="E1559" i="5"/>
  <c r="F1559" i="5"/>
  <c r="G1559" i="5"/>
  <c r="H1559" i="5"/>
  <c r="I1559" i="5"/>
  <c r="J1559" i="5"/>
  <c r="K1559" i="5"/>
  <c r="L1559" i="5"/>
  <c r="M1559" i="5"/>
  <c r="N1559" i="5"/>
  <c r="C1589" i="5"/>
  <c r="D1589" i="5"/>
  <c r="E1589" i="5"/>
  <c r="F1589" i="5"/>
  <c r="G1589" i="5"/>
  <c r="H1589" i="5"/>
  <c r="I1589" i="5"/>
  <c r="J1589" i="5"/>
  <c r="K1589" i="5"/>
  <c r="L1589" i="5"/>
  <c r="M1589" i="5"/>
  <c r="N1589" i="5"/>
  <c r="C1616" i="5"/>
  <c r="D1616" i="5"/>
  <c r="E1616" i="5"/>
  <c r="F1616" i="5"/>
  <c r="G1616" i="5"/>
  <c r="H1616" i="5"/>
  <c r="I1616" i="5"/>
  <c r="J1616" i="5"/>
  <c r="K1616" i="5"/>
  <c r="L1616" i="5"/>
  <c r="M1616" i="5"/>
  <c r="N1616" i="5"/>
  <c r="C1627" i="5"/>
  <c r="D1627" i="5"/>
  <c r="E1627" i="5"/>
  <c r="F1627" i="5"/>
  <c r="G1627" i="5"/>
  <c r="H1627" i="5"/>
  <c r="I1627" i="5"/>
  <c r="J1627" i="5"/>
  <c r="K1627" i="5"/>
  <c r="L1627" i="5"/>
  <c r="M1627" i="5"/>
  <c r="N1627" i="5"/>
  <c r="C1637" i="5"/>
  <c r="D1637" i="5"/>
  <c r="E1637" i="5"/>
  <c r="F1637" i="5"/>
  <c r="G1637" i="5"/>
  <c r="H1637" i="5"/>
  <c r="I1637" i="5"/>
  <c r="J1637" i="5"/>
  <c r="K1637" i="5"/>
  <c r="L1637" i="5"/>
  <c r="M1637" i="5"/>
  <c r="N1637" i="5"/>
  <c r="C1647" i="5"/>
  <c r="D1647" i="5"/>
  <c r="E1647" i="5"/>
  <c r="F1647" i="5"/>
  <c r="G1647" i="5"/>
  <c r="H1647" i="5"/>
  <c r="I1647" i="5"/>
  <c r="J1647" i="5"/>
  <c r="K1647" i="5"/>
  <c r="L1647" i="5"/>
  <c r="M1647" i="5"/>
  <c r="N1647" i="5"/>
  <c r="C1661" i="5"/>
  <c r="D1661" i="5"/>
  <c r="E1661" i="5"/>
  <c r="F1661" i="5"/>
  <c r="G1661" i="5"/>
  <c r="H1661" i="5"/>
  <c r="I1661" i="5"/>
  <c r="J1661" i="5"/>
  <c r="K1661" i="5"/>
  <c r="L1661" i="5"/>
  <c r="M1661" i="5"/>
  <c r="N1661" i="5"/>
  <c r="C1675" i="5"/>
  <c r="D1675" i="5"/>
  <c r="E1675" i="5"/>
  <c r="F1675" i="5"/>
  <c r="G1675" i="5"/>
  <c r="H1675" i="5"/>
  <c r="I1675" i="5"/>
  <c r="J1675" i="5"/>
  <c r="K1675" i="5"/>
  <c r="L1675" i="5"/>
  <c r="M1675" i="5"/>
  <c r="N1675" i="5"/>
  <c r="C1693" i="5"/>
  <c r="D1693" i="5"/>
  <c r="E1693" i="5"/>
  <c r="F1693" i="5"/>
  <c r="G1693" i="5"/>
  <c r="H1693" i="5"/>
  <c r="I1693" i="5"/>
  <c r="J1693" i="5"/>
  <c r="K1693" i="5"/>
  <c r="L1693" i="5"/>
  <c r="M1693" i="5"/>
  <c r="N1693" i="5"/>
  <c r="C1706" i="5"/>
  <c r="D1706" i="5"/>
  <c r="E1706" i="5"/>
  <c r="F1706" i="5"/>
  <c r="G1706" i="5"/>
  <c r="H1706" i="5"/>
  <c r="I1706" i="5"/>
  <c r="J1706" i="5"/>
  <c r="K1706" i="5"/>
  <c r="L1706" i="5"/>
  <c r="M1706" i="5"/>
  <c r="N1706" i="5"/>
  <c r="C1716" i="5"/>
  <c r="D1716" i="5"/>
  <c r="E1716" i="5"/>
  <c r="F1716" i="5"/>
  <c r="G1716" i="5"/>
  <c r="H1716" i="5"/>
  <c r="I1716" i="5"/>
  <c r="J1716" i="5"/>
  <c r="K1716" i="5"/>
  <c r="L1716" i="5"/>
  <c r="M1716" i="5"/>
  <c r="N1716" i="5"/>
  <c r="C1727" i="5"/>
  <c r="D1727" i="5"/>
  <c r="E1727" i="5"/>
  <c r="F1727" i="5"/>
  <c r="G1727" i="5"/>
  <c r="H1727" i="5"/>
  <c r="I1727" i="5"/>
  <c r="J1727" i="5"/>
  <c r="K1727" i="5"/>
  <c r="L1727" i="5"/>
  <c r="M1727" i="5"/>
  <c r="N1727" i="5"/>
  <c r="C1740" i="5"/>
  <c r="D1740" i="5"/>
  <c r="E1740" i="5"/>
  <c r="F1740" i="5"/>
  <c r="G1740" i="5"/>
  <c r="H1740" i="5"/>
  <c r="I1740" i="5"/>
  <c r="J1740" i="5"/>
  <c r="K1740" i="5"/>
  <c r="L1740" i="5"/>
  <c r="M1740" i="5"/>
  <c r="N1740" i="5"/>
  <c r="C1768" i="5"/>
  <c r="D1768" i="5"/>
  <c r="E1768" i="5"/>
  <c r="F1768" i="5"/>
  <c r="G1768" i="5"/>
  <c r="H1768" i="5"/>
  <c r="I1768" i="5"/>
  <c r="J1768" i="5"/>
  <c r="K1768" i="5"/>
  <c r="L1768" i="5"/>
  <c r="M1768" i="5"/>
  <c r="N1768" i="5"/>
  <c r="C1780" i="5"/>
  <c r="D1780" i="5"/>
  <c r="E1780" i="5"/>
  <c r="F1780" i="5"/>
  <c r="G1780" i="5"/>
  <c r="H1780" i="5"/>
  <c r="I1780" i="5"/>
  <c r="J1780" i="5"/>
  <c r="K1780" i="5"/>
  <c r="L1780" i="5"/>
  <c r="M1780" i="5"/>
  <c r="N1780" i="5"/>
  <c r="C1785" i="5"/>
  <c r="D1785" i="5"/>
  <c r="E1785" i="5"/>
  <c r="F1785" i="5"/>
  <c r="G1785" i="5"/>
  <c r="H1785" i="5"/>
  <c r="I1785" i="5"/>
  <c r="J1785" i="5"/>
  <c r="K1785" i="5"/>
  <c r="L1785" i="5"/>
  <c r="M1785" i="5"/>
  <c r="N1785" i="5"/>
  <c r="C1801" i="5"/>
  <c r="D1801" i="5"/>
  <c r="E1801" i="5"/>
  <c r="F1801" i="5"/>
  <c r="G1801" i="5"/>
  <c r="H1801" i="5"/>
  <c r="I1801" i="5"/>
  <c r="J1801" i="5"/>
  <c r="K1801" i="5"/>
  <c r="L1801" i="5"/>
  <c r="M1801" i="5"/>
  <c r="N1801" i="5"/>
  <c r="C1809" i="5"/>
  <c r="D1809" i="5"/>
  <c r="E1809" i="5"/>
  <c r="F1809" i="5"/>
  <c r="G1809" i="5"/>
  <c r="H1809" i="5"/>
  <c r="I1809" i="5"/>
  <c r="J1809" i="5"/>
  <c r="K1809" i="5"/>
  <c r="L1809" i="5"/>
  <c r="M1809" i="5"/>
  <c r="N1809" i="5"/>
  <c r="C1818" i="5"/>
  <c r="D1818" i="5"/>
  <c r="E1818" i="5"/>
  <c r="F1818" i="5"/>
  <c r="G1818" i="5"/>
  <c r="H1818" i="5"/>
  <c r="I1818" i="5"/>
  <c r="J1818" i="5"/>
  <c r="K1818" i="5"/>
  <c r="L1818" i="5"/>
  <c r="M1818" i="5"/>
  <c r="N1818" i="5"/>
  <c r="C1844" i="5"/>
  <c r="D1844" i="5"/>
  <c r="E1844" i="5"/>
  <c r="F1844" i="5"/>
  <c r="G1844" i="5"/>
  <c r="H1844" i="5"/>
  <c r="I1844" i="5"/>
  <c r="J1844" i="5"/>
  <c r="K1844" i="5"/>
  <c r="L1844" i="5"/>
  <c r="M1844" i="5"/>
  <c r="N1844" i="5"/>
  <c r="C1853" i="5"/>
  <c r="D1853" i="5"/>
  <c r="E1853" i="5"/>
  <c r="F1853" i="5"/>
  <c r="G1853" i="5"/>
  <c r="H1853" i="5"/>
  <c r="I1853" i="5"/>
  <c r="J1853" i="5"/>
  <c r="K1853" i="5"/>
  <c r="L1853" i="5"/>
  <c r="M1853" i="5"/>
  <c r="N1853" i="5"/>
  <c r="C1871" i="5"/>
  <c r="D1871" i="5"/>
  <c r="E1871" i="5"/>
  <c r="F1871" i="5"/>
  <c r="G1871" i="5"/>
  <c r="H1871" i="5"/>
  <c r="I1871" i="5"/>
  <c r="J1871" i="5"/>
  <c r="K1871" i="5"/>
  <c r="L1871" i="5"/>
  <c r="M1871" i="5"/>
  <c r="N1871" i="5"/>
  <c r="C1890" i="5"/>
  <c r="D1890" i="5"/>
  <c r="E1890" i="5"/>
  <c r="F1890" i="5"/>
  <c r="G1890" i="5"/>
  <c r="H1890" i="5"/>
  <c r="I1890" i="5"/>
  <c r="J1890" i="5"/>
  <c r="K1890" i="5"/>
  <c r="L1890" i="5"/>
  <c r="M1890" i="5"/>
  <c r="N1890" i="5"/>
  <c r="C2016" i="5"/>
  <c r="D2016" i="5"/>
  <c r="E2016" i="5"/>
  <c r="F2016" i="5"/>
  <c r="G2016" i="5"/>
  <c r="H2016" i="5"/>
  <c r="I2016" i="5"/>
  <c r="J2016" i="5"/>
  <c r="K2016" i="5"/>
  <c r="L2016" i="5"/>
  <c r="M2016" i="5"/>
  <c r="N2016" i="5"/>
  <c r="G1106" i="5" l="1"/>
  <c r="L1106" i="5"/>
  <c r="D1106" i="5"/>
  <c r="K1106" i="5"/>
  <c r="H1106" i="5"/>
  <c r="M1106" i="5"/>
  <c r="H1254" i="5"/>
  <c r="N1254" i="5"/>
  <c r="F1254" i="5"/>
  <c r="M1254" i="5"/>
  <c r="E1254" i="5"/>
  <c r="J1254" i="5"/>
  <c r="L1254" i="5"/>
  <c r="D1254" i="5"/>
  <c r="I1254" i="5"/>
  <c r="N1106" i="5"/>
  <c r="G1254" i="5"/>
  <c r="E1106" i="5"/>
  <c r="F1106" i="5"/>
  <c r="J1106" i="5"/>
  <c r="K1254" i="5"/>
  <c r="C1254" i="5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A1269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N452" i="2"/>
  <c r="N453" i="2" s="1"/>
  <c r="M452" i="2"/>
  <c r="M453" i="2" s="1"/>
  <c r="L452" i="2"/>
  <c r="L453" i="2" s="1"/>
  <c r="K452" i="2"/>
  <c r="K453" i="2" s="1"/>
  <c r="J452" i="2"/>
  <c r="J453" i="2" s="1"/>
  <c r="I452" i="2"/>
  <c r="I453" i="2" s="1"/>
  <c r="H452" i="2"/>
  <c r="H453" i="2" s="1"/>
  <c r="G452" i="2"/>
  <c r="G453" i="2" s="1"/>
  <c r="F452" i="2"/>
  <c r="F453" i="2" s="1"/>
  <c r="E452" i="2"/>
  <c r="E453" i="2" s="1"/>
  <c r="D452" i="2"/>
  <c r="D453" i="2" s="1"/>
  <c r="C452" i="2"/>
  <c r="C453" i="2" s="1"/>
  <c r="B452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A158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94" i="2"/>
  <c r="M94" i="2"/>
  <c r="L94" i="2"/>
  <c r="K94" i="2"/>
  <c r="J94" i="2"/>
  <c r="I94" i="2"/>
  <c r="H94" i="2"/>
  <c r="G94" i="2"/>
  <c r="F94" i="2"/>
  <c r="E94" i="2"/>
  <c r="D94" i="2"/>
  <c r="C94" i="2"/>
  <c r="N78" i="2"/>
  <c r="M78" i="2"/>
  <c r="L78" i="2"/>
  <c r="K78" i="2"/>
  <c r="J78" i="2"/>
  <c r="I78" i="2"/>
  <c r="H78" i="2"/>
  <c r="G78" i="2"/>
  <c r="F78" i="2"/>
  <c r="E78" i="2"/>
  <c r="D78" i="2"/>
  <c r="C78" i="2"/>
  <c r="N72" i="2"/>
  <c r="M72" i="2"/>
  <c r="L72" i="2"/>
  <c r="K72" i="2"/>
  <c r="J72" i="2"/>
  <c r="I72" i="2"/>
  <c r="H72" i="2"/>
  <c r="G72" i="2"/>
  <c r="F72" i="2"/>
  <c r="E72" i="2"/>
  <c r="D72" i="2"/>
  <c r="C72" i="2"/>
  <c r="N46" i="2"/>
  <c r="M46" i="2"/>
  <c r="L46" i="2"/>
  <c r="K46" i="2"/>
  <c r="J46" i="2"/>
  <c r="I46" i="2"/>
  <c r="H46" i="2"/>
  <c r="G46" i="2"/>
  <c r="F46" i="2"/>
  <c r="E46" i="2"/>
  <c r="D46" i="2"/>
  <c r="C46" i="2"/>
  <c r="N41" i="2"/>
  <c r="M41" i="2"/>
  <c r="L41" i="2"/>
  <c r="K41" i="2"/>
  <c r="J41" i="2"/>
  <c r="I41" i="2"/>
  <c r="H41" i="2"/>
  <c r="G41" i="2"/>
  <c r="F41" i="2"/>
  <c r="E41" i="2"/>
  <c r="D41" i="2"/>
  <c r="C41" i="2"/>
  <c r="N26" i="2"/>
  <c r="M26" i="2"/>
  <c r="L26" i="2"/>
  <c r="K26" i="2"/>
  <c r="J26" i="2"/>
  <c r="I26" i="2"/>
  <c r="H26" i="2"/>
  <c r="G26" i="2"/>
  <c r="F26" i="2"/>
  <c r="E26" i="2"/>
  <c r="D26" i="2"/>
  <c r="C26" i="2"/>
  <c r="F31" i="1" l="1"/>
  <c r="E31" i="1"/>
  <c r="D31" i="1"/>
  <c r="C31" i="1"/>
  <c r="F26" i="1"/>
  <c r="E26" i="1"/>
  <c r="D26" i="1"/>
  <c r="C26" i="1"/>
  <c r="F21" i="1"/>
  <c r="E21" i="1"/>
  <c r="D21" i="1"/>
  <c r="C21" i="1"/>
  <c r="F16" i="1"/>
  <c r="E16" i="1"/>
  <c r="D16" i="1"/>
  <c r="C16" i="1"/>
  <c r="F11" i="1"/>
  <c r="E11" i="1"/>
  <c r="D11" i="1"/>
  <c r="C11" i="1"/>
  <c r="F6" i="1"/>
  <c r="E6" i="1"/>
  <c r="D6" i="1"/>
  <c r="C6" i="1"/>
</calcChain>
</file>

<file path=xl/comments1.xml><?xml version="1.0" encoding="utf-8"?>
<comments xmlns="http://schemas.openxmlformats.org/spreadsheetml/2006/main">
  <authors>
    <author>Bui, Tin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Footnote 1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Footnote 2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Footnote 3</t>
        </r>
      </text>
    </comment>
  </commentList>
</comments>
</file>

<file path=xl/sharedStrings.xml><?xml version="1.0" encoding="utf-8"?>
<sst xmlns="http://schemas.openxmlformats.org/spreadsheetml/2006/main" count="12417" uniqueCount="686">
  <si>
    <t>State Controller's Office
Local Government Programs and Services Division
Local Reimbursements Section
Summary of State-Mandated Program Cost Report of Audit Findings
For the Period of April 1, 2020, through March 31, 2021</t>
  </si>
  <si>
    <t>Program Costs, Audit Adjustments and Balances</t>
  </si>
  <si>
    <t>Comments</t>
  </si>
  <si>
    <t>Local Agencies</t>
  </si>
  <si>
    <t>School Districts</t>
  </si>
  <si>
    <t>Community College Districts</t>
  </si>
  <si>
    <t>Grand Total</t>
  </si>
  <si>
    <t>Desk Reviews</t>
  </si>
  <si>
    <t>N/A</t>
  </si>
  <si>
    <t>Final Audits</t>
  </si>
  <si>
    <t>Other Adjustments¹</t>
  </si>
  <si>
    <t>Comment: Other adjustments are late filing penalties.</t>
  </si>
  <si>
    <t>Total Current Period Adjustments</t>
  </si>
  <si>
    <t>Please continue to next table.</t>
  </si>
  <si>
    <t>Total Prior Period Adjustments</t>
  </si>
  <si>
    <t>Total Cumulative Adjustments</t>
  </si>
  <si>
    <t>Total Program Costs</t>
  </si>
  <si>
    <t>Net Program Costs²</t>
  </si>
  <si>
    <t>Comment: Total Program Costs plus Total Cumulative Adjustments equals Net Program Costs.</t>
  </si>
  <si>
    <t>Payments and Offsets</t>
  </si>
  <si>
    <t>Total Accounts Payable Balance</t>
  </si>
  <si>
    <t>Established Accounts Receivable</t>
  </si>
  <si>
    <t>Recovered Accounts Receivable</t>
  </si>
  <si>
    <t>Total Accounts Receivable Balance</t>
  </si>
  <si>
    <t>Net Balance as of 03/31/2021³</t>
  </si>
  <si>
    <t xml:space="preserve"> Comment: Total Accounts Payable Balance less Total Accounts Receivable Balance equals Net Balance. </t>
  </si>
  <si>
    <r>
      <t xml:space="preserve">Footnotes:  </t>
    </r>
    <r>
      <rPr>
        <b/>
        <sz val="12"/>
        <color theme="0"/>
        <rFont val="Arial"/>
        <family val="2"/>
      </rPr>
      <t>(For those using screen readers these footnotes are identical to comments referenced in cells B5, B16, and B31.)</t>
    </r>
  </si>
  <si>
    <r>
      <rPr>
        <sz val="12"/>
        <rFont val="Calibri"/>
        <family val="2"/>
      </rPr>
      <t>¹</t>
    </r>
    <r>
      <rPr>
        <sz val="12"/>
        <rFont val="Arial"/>
        <family val="2"/>
      </rPr>
      <t xml:space="preserve"> Other adjustments are late filing penalties.</t>
    </r>
  </si>
  <si>
    <r>
      <rPr>
        <sz val="12"/>
        <rFont val="Calibri"/>
        <family val="2"/>
      </rPr>
      <t xml:space="preserve">² </t>
    </r>
    <r>
      <rPr>
        <sz val="12"/>
        <rFont val="Arial"/>
        <family val="2"/>
      </rPr>
      <t>Total Program Costs plus Total Cumulative Adjustments equals Net Program Costs.</t>
    </r>
  </si>
  <si>
    <r>
      <rPr>
        <sz val="12"/>
        <rFont val="Calibri"/>
        <family val="2"/>
      </rPr>
      <t>³</t>
    </r>
    <r>
      <rPr>
        <sz val="12"/>
        <rFont val="Arial"/>
        <family val="2"/>
      </rPr>
      <t xml:space="preserve"> Total Accounts Payable Balance less Total Accounts Receivable Balance equals Net Balance.</t>
    </r>
  </si>
  <si>
    <t>Please continue to next sheet.</t>
  </si>
  <si>
    <t>State Controller's Office
Local Government Programs and Services Division
Local Reimbursements Section
Detail of State-Mandated Program Cost Report of Audit Findings
For the Period of April 1, 2020, through March 31, 2021</t>
  </si>
  <si>
    <t>(A)
Program Name</t>
  </si>
  <si>
    <t>(B)
Fiscal 
Year</t>
  </si>
  <si>
    <t>(C)
Program
Costs</t>
  </si>
  <si>
    <t>(D)
Prior Period Adjustments</t>
  </si>
  <si>
    <t>(E)
Current Period Desk 
Reviews</t>
  </si>
  <si>
    <t>(F)
Current Period 
Final 
Audits</t>
  </si>
  <si>
    <t>(G)
Current Period 
Other Adjustments</t>
  </si>
  <si>
    <t>(H)
Net Program Costs
Sum (C through G)</t>
  </si>
  <si>
    <t>(I)
Payments
 and Offsets</t>
  </si>
  <si>
    <t>(J)
Accounts Payable Balance
(H + I)</t>
  </si>
  <si>
    <t>(K)
Established 
Accounts Receivable</t>
  </si>
  <si>
    <t>(L)
Recovered
 Accounts Receivable</t>
  </si>
  <si>
    <t>(M)
Accounts Receivable Balance
(K + L)</t>
  </si>
  <si>
    <t>(N)
Net Balance
(J minus M)</t>
  </si>
  <si>
    <t>Absentee Ballots (Program 2)</t>
  </si>
  <si>
    <t>2016-17</t>
  </si>
  <si>
    <t>2010-11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</si>
  <si>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</si>
  <si>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</si>
  <si>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</si>
  <si>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</si>
  <si>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</si>
  <si>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</si>
  <si>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</si>
  <si>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</si>
  <si>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</si>
  <si>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</si>
  <si>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</si>
  <si>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1998-99</t>
  </si>
  <si>
    <t>1997-98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</si>
  <si>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</si>
  <si>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</si>
  <si>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</si>
  <si>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</si>
  <si>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</si>
  <si>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</si>
  <si>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</si>
  <si>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</si>
  <si>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Total Program 2</t>
  </si>
  <si>
    <t>Absentee Ballots: Tabulation by Precinct (Program 248)</t>
  </si>
  <si>
    <t>Total Program 248</t>
  </si>
  <si>
    <t>Accounting for Local Revenue Realignments (Program 359)</t>
  </si>
  <si>
    <t>Total Program 359</t>
  </si>
  <si>
    <t>Administrative License Suspension (Program 246)</t>
  </si>
  <si>
    <t>2019-20</t>
  </si>
  <si>
    <t>2018-19</t>
  </si>
  <si>
    <t>2017-18</t>
  </si>
  <si>
    <t>2015-16</t>
  </si>
  <si>
    <t>2014-15</t>
  </si>
  <si>
    <t>2013-14</t>
  </si>
  <si>
    <t>2012-13</t>
  </si>
  <si>
    <t>2011-12</t>
  </si>
  <si>
    <t>Total Program 246</t>
  </si>
  <si>
    <t>Adult Felony Restitution (Program 3)</t>
  </si>
  <si>
    <t>Total Program 3</t>
  </si>
  <si>
    <t>AIDS Testing (Program 1)</t>
  </si>
  <si>
    <t>Total Program 1</t>
  </si>
  <si>
    <t>Airport Land Use Commissions/Plans (Program 178)</t>
  </si>
  <si>
    <t>Total Program 178</t>
  </si>
  <si>
    <t>Allocation of Property Tax Revenues (Program 152)</t>
  </si>
  <si>
    <t>Total Program 152</t>
  </si>
  <si>
    <t>Animal Adoption (Program 213)</t>
  </si>
  <si>
    <t>Total Program 213</t>
  </si>
  <si>
    <t>Binding Arbitration (Program 284)</t>
  </si>
  <si>
    <t>Brendon Maguire Act (Program 6)</t>
  </si>
  <si>
    <t>Total Program 6</t>
  </si>
  <si>
    <t>Business Tax Reporting Requirement (Program 7)</t>
  </si>
  <si>
    <t>1987-88</t>
  </si>
  <si>
    <t>1986-87</t>
  </si>
  <si>
    <t>Total Program 7</t>
  </si>
  <si>
    <t>California Fire Incident Reporting System (CFIRS) (Program 288)</t>
  </si>
  <si>
    <t>Total Program 288</t>
  </si>
  <si>
    <t>California Public Records Act (Program 353)</t>
  </si>
  <si>
    <t>Total Program 353</t>
  </si>
  <si>
    <t>Child Abuse Treatment Services Authorization and Case Management (Program 196)</t>
  </si>
  <si>
    <t>Total Program 196</t>
  </si>
  <si>
    <t>Conservatorship: Developmentally Disabled Adults (Program 67)</t>
  </si>
  <si>
    <t>Total Program 67</t>
  </si>
  <si>
    <t>Coroner's Costs (Program 88)</t>
  </si>
  <si>
    <t>Total Program 88</t>
  </si>
  <si>
    <t>County Treasury Oversight Committee (Program 207)</t>
  </si>
  <si>
    <t>Total Program 207</t>
  </si>
  <si>
    <t>Countywide Tax Rates (Program 90)</t>
  </si>
  <si>
    <t>1988-89</t>
  </si>
  <si>
    <t>Total Program 90</t>
  </si>
  <si>
    <t>Court Audits and Proration of Fines (Program 85)</t>
  </si>
  <si>
    <t>Total Program 85</t>
  </si>
  <si>
    <t>CPR Pocket Masks (Program 8)</t>
  </si>
  <si>
    <t>Total Program 8</t>
  </si>
  <si>
    <t>Crime Statistics Reports for the Department of Justice (Program 310)</t>
  </si>
  <si>
    <t>Total Program 310</t>
  </si>
  <si>
    <t>Crime Victims' Domestic Violence Incident Reports (Program 262)</t>
  </si>
  <si>
    <t>Total Program 262</t>
  </si>
  <si>
    <t>Crime Victims' Domestic Violence Incident Reports II (Program 306)</t>
  </si>
  <si>
    <t>Total Program 306</t>
  </si>
  <si>
    <t>Crime Victims' Rights (Program 158)</t>
  </si>
  <si>
    <t>Total Program 158</t>
  </si>
  <si>
    <t>Custody of Minors – Child Abduction and Recovery (Program 13)</t>
  </si>
  <si>
    <t>Total Program 13</t>
  </si>
  <si>
    <t>Deaf Teletype Equipment (Program 62)</t>
  </si>
  <si>
    <t>Total Program 62</t>
  </si>
  <si>
    <t>Developmentally Disabled: Attorneys' Services (Program 87)</t>
  </si>
  <si>
    <t>Total Program 87</t>
  </si>
  <si>
    <t>Disaster Relief 1995/96 Storms (Program 143)</t>
  </si>
  <si>
    <t>Total Program 143</t>
  </si>
  <si>
    <t>DNA Database (Program 266)</t>
  </si>
  <si>
    <t>Total Program 266</t>
  </si>
  <si>
    <t>Domestic Violence Arrest Policies and Standards (Program 167)</t>
  </si>
  <si>
    <t>Total Program 167</t>
  </si>
  <si>
    <t>Domestic Violence Arrests and Victim Assistance (Program 274)</t>
  </si>
  <si>
    <t>Total Program 274</t>
  </si>
  <si>
    <t>Domestic Violence Background Checks (Program 322)</t>
  </si>
  <si>
    <t>Total Program 322</t>
  </si>
  <si>
    <t>Domestic Violence Diversion (Program 16)</t>
  </si>
  <si>
    <t>Total Program 16</t>
  </si>
  <si>
    <t>Domestic Violence Diversion Program Closeout (Program 159)</t>
  </si>
  <si>
    <t>Total Program 159</t>
  </si>
  <si>
    <t>Domestic Violence Information (Program 15)</t>
  </si>
  <si>
    <t>Total Program 15</t>
  </si>
  <si>
    <t>Domestic Violence Treatment (Program 142)</t>
  </si>
  <si>
    <t>Total Program 142</t>
  </si>
  <si>
    <t>Domestic Violence Treatment Services – Authorization and Case Management (Program 177)</t>
  </si>
  <si>
    <t>Total Program 177</t>
  </si>
  <si>
    <t>Elder Abuse Training (Program 205)</t>
  </si>
  <si>
    <t>Total Program 205</t>
  </si>
  <si>
    <t>Election Materials (Program 17)</t>
  </si>
  <si>
    <t>Total Program 17</t>
  </si>
  <si>
    <t>Extended Commitment – Youth Authority (Program 204)</t>
  </si>
  <si>
    <t>Total Program 204</t>
  </si>
  <si>
    <t>False Reports of Police Misconduct (Program 257)</t>
  </si>
  <si>
    <t>Total Program 257</t>
  </si>
  <si>
    <t>Fifteen-Day Close of Voter Registration (Program 290)</t>
  </si>
  <si>
    <t>Total Program 290</t>
  </si>
  <si>
    <t>Filipino Employee Surveys (Program 21)</t>
  </si>
  <si>
    <t>Total Program 21</t>
  </si>
  <si>
    <t>Fire Safety Inspections of Care Facilities (Program 283)</t>
  </si>
  <si>
    <t>Total Program 283</t>
  </si>
  <si>
    <t>Firearm Hearings for Discharged Inpatients (Program 293)</t>
  </si>
  <si>
    <t>Total Program 293</t>
  </si>
  <si>
    <t>Firefighters' Cancer Presumption (Program 23)</t>
  </si>
  <si>
    <t>Total Program 23</t>
  </si>
  <si>
    <t>Grand Jury Proceedings (Program 227)</t>
  </si>
  <si>
    <t>Total Program 227</t>
  </si>
  <si>
    <t>Guardianship/Conservatorship Filings (Program 27)</t>
  </si>
  <si>
    <t>1985-86</t>
  </si>
  <si>
    <t>Total Program 27</t>
  </si>
  <si>
    <t>Handicapped and Disabled Students (Program 111)</t>
  </si>
  <si>
    <t>Total Program 111</t>
  </si>
  <si>
    <t>Handicapped and Disabled Students II (Program 263)</t>
  </si>
  <si>
    <t>Total Program 263</t>
  </si>
  <si>
    <t>Handicapped and Disabled Students, Handicapped and Disabled Students II, and Seriously Emotionally Disturbed (SED) Pupils: Out of State Mental Health Services (Program 273)</t>
  </si>
  <si>
    <t>Total Program 273</t>
  </si>
  <si>
    <t>Health Benefits for Survivors of Peace Officers and Firefighters (Program 197)</t>
  </si>
  <si>
    <t>Total Program 197</t>
  </si>
  <si>
    <t>Identity Theft (Program 321)</t>
  </si>
  <si>
    <t>Total Program 321</t>
  </si>
  <si>
    <t>In-Home Supportive Services II (Program 289)</t>
  </si>
  <si>
    <t>Total Program 289</t>
  </si>
  <si>
    <t>Inmate AIDS Testing (Program 126)</t>
  </si>
  <si>
    <t>Total Program 126</t>
  </si>
  <si>
    <t>Interagency Child Abuse and Neglect Investigation Reports (Program 358)</t>
  </si>
  <si>
    <t>Total Program 358</t>
  </si>
  <si>
    <t>Investment Reports (Program 161)</t>
  </si>
  <si>
    <t>Total Program 161</t>
  </si>
  <si>
    <t>Involuntary Lien Notices (Program 132)</t>
  </si>
  <si>
    <t>Total Program 132</t>
  </si>
  <si>
    <t>Judicial Proceedings For Mentally Retarded Persons (Program 35)</t>
  </si>
  <si>
    <t>Total Program 35</t>
  </si>
  <si>
    <t>Law Enforcement Sexual Harassment Complaint Procedures and Training (Program 193)</t>
  </si>
  <si>
    <t>Total Program 193</t>
  </si>
  <si>
    <t>Local Agency Employee Organizations: Impasse Procedures II (Program 371)</t>
  </si>
  <si>
    <t>Total Program 371</t>
  </si>
  <si>
    <t>Local Agency Ethics (Program 334)</t>
  </si>
  <si>
    <t>Total Program 334</t>
  </si>
  <si>
    <t>Local Agency Formation Commissions (LAFCO) (Program 300)</t>
  </si>
  <si>
    <t>Total Program 300</t>
  </si>
  <si>
    <t>Local Coastal Programs (Program 37)</t>
  </si>
  <si>
    <t>Total Program 37</t>
  </si>
  <si>
    <t>Local Elections: Consolidation (Program 259)</t>
  </si>
  <si>
    <t>Total Program 259</t>
  </si>
  <si>
    <t>Local Government Employee Relations (Program 298)</t>
  </si>
  <si>
    <t>Total Program 298</t>
  </si>
  <si>
    <t>Local Recreational Areas: Background Screenings (Program 285)</t>
  </si>
  <si>
    <t>Total Program 285</t>
  </si>
  <si>
    <t>Mandate Reimbursement Process I (Program 41)</t>
  </si>
  <si>
    <t>Total Program 41</t>
  </si>
  <si>
    <t>Mandate Reimbursement Process II (Program 315)</t>
  </si>
  <si>
    <t>Total Program 315</t>
  </si>
  <si>
    <t>Medi-Cal Beneficiary Probate (Program 43)</t>
  </si>
  <si>
    <t>Total Program 43</t>
  </si>
  <si>
    <t>Medi-Cal Eligibility of Juvenile Offenders (Program 361)</t>
  </si>
  <si>
    <t>Total Program 361</t>
  </si>
  <si>
    <t>Mentally Disordered Offenders' Extended Commitment Proceedings (Program 203)</t>
  </si>
  <si>
    <t>Total Program 203</t>
  </si>
  <si>
    <t>Mentally Disordered Offenders: Treatment as a Condition of Parole (Program 281)</t>
  </si>
  <si>
    <t>Total Program 281</t>
  </si>
  <si>
    <t>Mentally Disordered Sex Offenders: Extended Commitment Proceedings (Program 39)</t>
  </si>
  <si>
    <t>Total Program 39</t>
  </si>
  <si>
    <t>Mentally Retarded Defendants: Diversion (Program 66)</t>
  </si>
  <si>
    <t>Total Program 66</t>
  </si>
  <si>
    <t>Misdemeanors: Booking and Fingerprinting (Program 138)</t>
  </si>
  <si>
    <t>Total Program 138</t>
  </si>
  <si>
    <t>Missing Persons Report III (Program 112)</t>
  </si>
  <si>
    <t>Total Program 112</t>
  </si>
  <si>
    <t>Modified Primary Election (Program 323)</t>
  </si>
  <si>
    <t>Total Program 323</t>
  </si>
  <si>
    <t>Municipal Storm Water and Urban Runoff Discharges (Program 314)</t>
  </si>
  <si>
    <t>Total Program 314</t>
  </si>
  <si>
    <t>Not Guilty by Reason of Insanity (Program 147)</t>
  </si>
  <si>
    <t>1984-85</t>
  </si>
  <si>
    <t>1983-84</t>
  </si>
  <si>
    <t>1982-83</t>
  </si>
  <si>
    <t>1981-82</t>
  </si>
  <si>
    <t>1980-81</t>
  </si>
  <si>
    <t>1979-80</t>
  </si>
  <si>
    <t>Total Program 147</t>
  </si>
  <si>
    <t>Not Guilty by Reason of Insanity (Program 200)</t>
  </si>
  <si>
    <t>Total Program 200</t>
  </si>
  <si>
    <t>Open Meetings Act (Program 49)</t>
  </si>
  <si>
    <t>Total Program 49</t>
  </si>
  <si>
    <t>Open Meetings Act II (Program 202)</t>
  </si>
  <si>
    <t>Total Program 202</t>
  </si>
  <si>
    <t>Open Meetings Act/Brown Act Reform (Program 219)</t>
  </si>
  <si>
    <t>Total Program 219</t>
  </si>
  <si>
    <t>Pacific Beach Safety: Water Quality and Closures (Program 122)</t>
  </si>
  <si>
    <t>Total Program 122</t>
  </si>
  <si>
    <t>Peace Officer Training: Mental Health/Crisis Intervention (Program 373)</t>
  </si>
  <si>
    <t>Peace Officers Cancer Presumption (Program 118)</t>
  </si>
  <si>
    <t>Total Program 118</t>
  </si>
  <si>
    <t>Peace Officers Personnel Records: Unfounded Complaints and Discovery (Program 264)</t>
  </si>
  <si>
    <t>Total Program 264</t>
  </si>
  <si>
    <t>Peace Officers Procedural Bill of Rights (Program 187)</t>
  </si>
  <si>
    <t>Total Program 187</t>
  </si>
  <si>
    <t>Peace Officers Procedural Bill of Rights II (Program 356)</t>
  </si>
  <si>
    <t>Total Program 356</t>
  </si>
  <si>
    <t>Perinatal Services (Program 124)</t>
  </si>
  <si>
    <t>Total Program 124</t>
  </si>
  <si>
    <t>Permanent Absent Voters (Program 83)</t>
  </si>
  <si>
    <t>Total Program 83</t>
  </si>
  <si>
    <t>Permanent Absent Voters II (Program 324)</t>
  </si>
  <si>
    <t>Total Program 324</t>
  </si>
  <si>
    <t>Personal Alarm Devices (Program 24)</t>
  </si>
  <si>
    <t>Total Program 24</t>
  </si>
  <si>
    <t>Pesticide Use Reports (Program 121)</t>
  </si>
  <si>
    <t>Total Program 121</t>
  </si>
  <si>
    <t>Photographic Record of Evidence (Program 215)</t>
  </si>
  <si>
    <t>Total Program 215</t>
  </si>
  <si>
    <t>Physically Handicapped Voter Accessibility (Program 28)</t>
  </si>
  <si>
    <t>Total Program 28</t>
  </si>
  <si>
    <t>Post Conviction: DNA Court Proceedings (Program 279)</t>
  </si>
  <si>
    <t>Total Program 279</t>
  </si>
  <si>
    <t>Post Election Manual Tally (Program 363)</t>
  </si>
  <si>
    <t>Total Program 363</t>
  </si>
  <si>
    <t>Postmortem Examinations: Unidentified Bodies, Human Remains (Program 255)</t>
  </si>
  <si>
    <t>Total Program 255</t>
  </si>
  <si>
    <t>Presidential Primaries 2000 (Program 222)</t>
  </si>
  <si>
    <t>Total Program 222</t>
  </si>
  <si>
    <t>Prisoner Parental Rights (Program 128)</t>
  </si>
  <si>
    <t>Total Program 128</t>
  </si>
  <si>
    <t>Property Taxation (Program 52)</t>
  </si>
  <si>
    <t>Total Program 52</t>
  </si>
  <si>
    <t>Racial Profiling: Law Enforcement Training (Program 282)</t>
  </si>
  <si>
    <t>Total Program 282</t>
  </si>
  <si>
    <t>Rape Victims Counseling Center Notice (Program 127)</t>
  </si>
  <si>
    <t>Total Program 127</t>
  </si>
  <si>
    <t>Redevelopment Agencies – Tax Disbursement Reporting (Program 245)</t>
  </si>
  <si>
    <t>Total Program 245</t>
  </si>
  <si>
    <t>Regional Housing Need Determination (Program 55)</t>
  </si>
  <si>
    <t>Total Program 55</t>
  </si>
  <si>
    <t>Search Warrant: AIDS (Program 73)</t>
  </si>
  <si>
    <t>Total Program 73</t>
  </si>
  <si>
    <t>Senior Citizens Property Tax Postponement (Program 18)</t>
  </si>
  <si>
    <t>Total Program 18</t>
  </si>
  <si>
    <t>Seriously Emotionally Disturbed (SED), Pupils: Out-of-State Mental Health Services (Program 191)</t>
  </si>
  <si>
    <t>Total Program 191</t>
  </si>
  <si>
    <t>Sex Crime Confidentiality (Program 220)</t>
  </si>
  <si>
    <t>Total Program 220</t>
  </si>
  <si>
    <t>Sex Offenders: Disclosure by Law Enforcement Officers (Megan's Law) (Program 217)</t>
  </si>
  <si>
    <t>Total Program 217</t>
  </si>
  <si>
    <t>Sexually Violent Predators (Program 175)</t>
  </si>
  <si>
    <t>Total Program 175</t>
  </si>
  <si>
    <t>Sheriff Court-Security Services (Program 364)</t>
  </si>
  <si>
    <t>Total Program 364</t>
  </si>
  <si>
    <t>SIDS Notices (Program 86)</t>
  </si>
  <si>
    <t>Total Program 86</t>
  </si>
  <si>
    <t>SIDS Training for Firefighters (Program 180)</t>
  </si>
  <si>
    <t>Total Program 180</t>
  </si>
  <si>
    <t>SIDS: Autopsy Protocols (Program 110)</t>
  </si>
  <si>
    <t>Total Program 110</t>
  </si>
  <si>
    <t>SIDS: Contact By Local Health Officers (Program 125)</t>
  </si>
  <si>
    <t>Total Program 125</t>
  </si>
  <si>
    <t>State Authorized Risk Assessment Tool for Sex Offenders (Program 360)</t>
  </si>
  <si>
    <t>Total Program 360</t>
  </si>
  <si>
    <t>Stolen Vehicle Notification (Program 120)</t>
  </si>
  <si>
    <t>Total Program 120</t>
  </si>
  <si>
    <t>Structural and Wildland Firefighter Safety Clothing and Equipment (Program 64)</t>
  </si>
  <si>
    <t>Total Program 64</t>
  </si>
  <si>
    <t>Substandard Housing: Tax Deductions (Program 65)</t>
  </si>
  <si>
    <t>Total Program 65</t>
  </si>
  <si>
    <t>Threats Against Peace Officers (Program 163)</t>
  </si>
  <si>
    <t>Total Program 163</t>
  </si>
  <si>
    <t>Tuberculosis Control (Program 345)</t>
  </si>
  <si>
    <t>Total Program 345</t>
  </si>
  <si>
    <t>Two-Way Traffic Signal Communication (Program 174)</t>
  </si>
  <si>
    <t>Total Program 174</t>
  </si>
  <si>
    <t>U Visa 918 Form, Victims of Crime: Nonimmigrant Status (Program 372)</t>
  </si>
  <si>
    <t>Total Program 372</t>
  </si>
  <si>
    <t>Very High Fire Hazard Severity Zones (Program 181)</t>
  </si>
  <si>
    <t>Total Program 181</t>
  </si>
  <si>
    <t>Victim Statements: Minors (Program 71)</t>
  </si>
  <si>
    <t>Total Program 71</t>
  </si>
  <si>
    <t>Voter Identification Procedures (Program 331)</t>
  </si>
  <si>
    <t>Total Program 331</t>
  </si>
  <si>
    <t>Voter Registration Procedures (Program 56)</t>
  </si>
  <si>
    <t>Total Program 56</t>
  </si>
  <si>
    <t>Total Program 284</t>
  </si>
  <si>
    <t>Total Program 373</t>
  </si>
  <si>
    <t>Grand Total Local Agencies</t>
  </si>
  <si>
    <t>CONTENTS</t>
  </si>
  <si>
    <t>STATE-MANDATED PROGRAM COST REPORT OF AUDIT FINDINGS</t>
  </si>
  <si>
    <t>FOR LOCAL AGENCIES, SCHOOL DISTRICTS, AND COMMUNITY COLLEGE DISTRICTS</t>
  </si>
  <si>
    <t>For the Period of April 1, 2020, through March 31, 2021</t>
  </si>
  <si>
    <t>SUMMARY:       LOCAL AGENCIES, SCHOOL DISTRICTS, AND COMMUNITY COLLEGE DISTRICTS                                       Page 3</t>
  </si>
  <si>
    <t>DETAIL:            LOCAL AGENCIES                                                                                                                                          Page 4</t>
  </si>
  <si>
    <t xml:space="preserve"> State of California</t>
  </si>
  <si>
    <t>State-Mandated Program Cost</t>
  </si>
  <si>
    <t>Report of Audit Findings</t>
  </si>
  <si>
    <t>Image on Office of the Controller, State of California Seal</t>
  </si>
  <si>
    <t>BETTY T. YEE</t>
  </si>
  <si>
    <t>California State Controller’s Office</t>
  </si>
  <si>
    <t>Grand Total School Districts</t>
  </si>
  <si>
    <t>Total Program 351</t>
  </si>
  <si>
    <t>Total Program 346</t>
  </si>
  <si>
    <t>Total Program 367</t>
  </si>
  <si>
    <t>Total Program 260</t>
  </si>
  <si>
    <t>Total Program 252</t>
  </si>
  <si>
    <t>Total Program 352</t>
  </si>
  <si>
    <t>Total Program 308</t>
  </si>
  <si>
    <t>Total Program 224</t>
  </si>
  <si>
    <t>Total Program 208</t>
  </si>
  <si>
    <t>Total Program 58</t>
  </si>
  <si>
    <t>Total Program 146</t>
  </si>
  <si>
    <t>Total Program 115</t>
  </si>
  <si>
    <t>Total Program 228</t>
  </si>
  <si>
    <t>Total Program 156</t>
  </si>
  <si>
    <t>Total Program 258</t>
  </si>
  <si>
    <t>Total Program 211</t>
  </si>
  <si>
    <t>Total Program 109</t>
  </si>
  <si>
    <t>Total Program 190</t>
  </si>
  <si>
    <t>Total Program 184</t>
  </si>
  <si>
    <t>Total Program 137</t>
  </si>
  <si>
    <t>Total Program 171</t>
  </si>
  <si>
    <t>Total Program 57</t>
  </si>
  <si>
    <t>Total Program 362</t>
  </si>
  <si>
    <t>Total Program 176</t>
  </si>
  <si>
    <t>Total Program 280</t>
  </si>
  <si>
    <t>Total Program 182</t>
  </si>
  <si>
    <t>Total Program 244</t>
  </si>
  <si>
    <t>Total Program 261</t>
  </si>
  <si>
    <t>Total Program 139</t>
  </si>
  <si>
    <t>Total Program 329</t>
  </si>
  <si>
    <t>Total Program 328</t>
  </si>
  <si>
    <t>Total Program 327</t>
  </si>
  <si>
    <t>Total Program 326</t>
  </si>
  <si>
    <t>Total Program 325</t>
  </si>
  <si>
    <t>Total Program 271</t>
  </si>
  <si>
    <t>Total Program 165</t>
  </si>
  <si>
    <t>Total Program 160</t>
  </si>
  <si>
    <t>Total Program 151</t>
  </si>
  <si>
    <t>Total Program 374</t>
  </si>
  <si>
    <t>Total Program 335</t>
  </si>
  <si>
    <t>Total Program 304</t>
  </si>
  <si>
    <t>Total Program 173</t>
  </si>
  <si>
    <t>Total Program 195</t>
  </si>
  <si>
    <t>Total Program 214</t>
  </si>
  <si>
    <t>Total Program 186</t>
  </si>
  <si>
    <t>Total Program 350</t>
  </si>
  <si>
    <t>Total Program 154</t>
  </si>
  <si>
    <t>Total Program 218</t>
  </si>
  <si>
    <t>Total Program 201</t>
  </si>
  <si>
    <t>Total Program 92</t>
  </si>
  <si>
    <t>Total Program 150</t>
  </si>
  <si>
    <t>Total Program 48</t>
  </si>
  <si>
    <t>Total Program 265</t>
  </si>
  <si>
    <t>Total Program 275</t>
  </si>
  <si>
    <t>Total Program 319</t>
  </si>
  <si>
    <t>Total Program 42</t>
  </si>
  <si>
    <t>Total Program 194</t>
  </si>
  <si>
    <t>Total Program 157</t>
  </si>
  <si>
    <t>Total Program 36</t>
  </si>
  <si>
    <t>Total Program 155</t>
  </si>
  <si>
    <t>Total Program 169</t>
  </si>
  <si>
    <t>Total Program 153</t>
  </si>
  <si>
    <t>Total Program 149</t>
  </si>
  <si>
    <t>Total Program 148</t>
  </si>
  <si>
    <t>Total Program 32</t>
  </si>
  <si>
    <t>Total Program 357</t>
  </si>
  <si>
    <t>Total Program 368</t>
  </si>
  <si>
    <t>Total Program 230</t>
  </si>
  <si>
    <t>Total Program 268</t>
  </si>
  <si>
    <t>Total Program 166</t>
  </si>
  <si>
    <t>Total Program 226</t>
  </si>
  <si>
    <t>Total Program 26</t>
  </si>
  <si>
    <t>Total Program 297</t>
  </si>
  <si>
    <t>Total Program 296</t>
  </si>
  <si>
    <t>Total Program 295</t>
  </si>
  <si>
    <t>Total Program 192</t>
  </si>
  <si>
    <t>Total Program 19</t>
  </si>
  <si>
    <t>Total Program 91</t>
  </si>
  <si>
    <t>Total Program 210</t>
  </si>
  <si>
    <t>Total Program 75</t>
  </si>
  <si>
    <t>Total Program 225</t>
  </si>
  <si>
    <t>Total Program 253</t>
  </si>
  <si>
    <t>Total Program 333</t>
  </si>
  <si>
    <t>Total Program 251</t>
  </si>
  <si>
    <t>Total Program 183</t>
  </si>
  <si>
    <t>Total Program 79</t>
  </si>
  <si>
    <t>Total Program 206</t>
  </si>
  <si>
    <t>Total Program 209</t>
  </si>
  <si>
    <t>Total Program 291</t>
  </si>
  <si>
    <t>Total Program 292</t>
  </si>
  <si>
    <t>Total Program 276</t>
  </si>
  <si>
    <t>Total Program 272</t>
  </si>
  <si>
    <t>Total Program 330</t>
  </si>
  <si>
    <t>Total Program 312</t>
  </si>
  <si>
    <t>Total Program 311</t>
  </si>
  <si>
    <t>Total Program 313</t>
  </si>
  <si>
    <t>Total Program 223</t>
  </si>
  <si>
    <t>Total Program 11</t>
  </si>
  <si>
    <t>Total Program 114</t>
  </si>
  <si>
    <t>Total Program 309</t>
  </si>
  <si>
    <t>Total Program 337</t>
  </si>
  <si>
    <t>Total Program 277</t>
  </si>
  <si>
    <t>Total Program 249</t>
  </si>
  <si>
    <t>Total Program 278</t>
  </si>
  <si>
    <t>Total Program 140</t>
  </si>
  <si>
    <t>Total Program 9</t>
  </si>
  <si>
    <t>Total Program 172</t>
  </si>
  <si>
    <t>Total Program 286</t>
  </si>
  <si>
    <t>Total Program 354</t>
  </si>
  <si>
    <t>Total Program 369</t>
  </si>
  <si>
    <t>Total Program 370</t>
  </si>
  <si>
    <t>Total Program 349</t>
  </si>
  <si>
    <t>Total Program 348</t>
  </si>
  <si>
    <t>Total Program 229</t>
  </si>
  <si>
    <t>Total Program 221</t>
  </si>
  <si>
    <t>Total Program 189</t>
  </si>
  <si>
    <t>Total Program 145</t>
  </si>
  <si>
    <t>Total Program 179</t>
  </si>
  <si>
    <t>Total Program 250</t>
  </si>
  <si>
    <t>Total Program 123</t>
  </si>
  <si>
    <t>Total Program 269</t>
  </si>
  <si>
    <t>Total Program 305</t>
  </si>
  <si>
    <t>Total Program 170</t>
  </si>
  <si>
    <t>Williams Case Implementation I, II, and III (Program 351)</t>
  </si>
  <si>
    <t>Uniform Complaint Procedures (Program 346)</t>
  </si>
  <si>
    <t>Training for School Employee Mandated Reporters (Program 367)</t>
  </si>
  <si>
    <t>The Stull Act (Program 260)</t>
  </si>
  <si>
    <t>Teacher Incentive Program (Program 252)</t>
  </si>
  <si>
    <t>Teacher Credentialing (Program 352)</t>
  </si>
  <si>
    <t>Student Records (Program 308)</t>
  </si>
  <si>
    <t>Standards-Based Accountability (Program 224)</t>
  </si>
  <si>
    <t>Standardized Testing and Reporting (Program 208)</t>
  </si>
  <si>
    <t>Scoliosis Screening (Program 58)</t>
  </si>
  <si>
    <t>Schoolsite Discipline Rules (Program 146)</t>
  </si>
  <si>
    <t>School Testing – Physical Fitness (Program 115)</t>
  </si>
  <si>
    <t>School District Reorganization (Program 228)</t>
  </si>
  <si>
    <t>School District of Choice: Transfers and Appeals (Program 156)</t>
  </si>
  <si>
    <t>School District Fiscal Accountability Reporting and Employee Benefits Disclosure (Program 258)</t>
  </si>
  <si>
    <t>School District Fiscal Accountability Reporting (Program 211)</t>
  </si>
  <si>
    <t>School Crimes Statistics Reporting (Program 109)</t>
  </si>
  <si>
    <t>School Crimes Reporting II (Program 190)</t>
  </si>
  <si>
    <t>School Bus Safety I and II (Program 184)</t>
  </si>
  <si>
    <t>School Accountability Report Cards (Program 171)</t>
  </si>
  <si>
    <t>Removal of Chemicals (Program 57)</t>
  </si>
  <si>
    <t>Race to the Top (Program 362)</t>
  </si>
  <si>
    <t>Pupil Suspensions, Expulsions, and Expulsion Appeals (Program 176)</t>
  </si>
  <si>
    <t>Pupil Safety Notices (Program 280)</t>
  </si>
  <si>
    <t>Pupil Residency Verification and Appeals (Program 182)</t>
  </si>
  <si>
    <t>Pupil Promotion and Retention (Program 244)</t>
  </si>
  <si>
    <t>Pupil Health Screenings (Program 261)</t>
  </si>
  <si>
    <t>Pupil Health Screenings (Program 139)</t>
  </si>
  <si>
    <t>Pupil Expulsions II, Pupil Suspensions II, and Educational Services Plan (7/1/2001 to 6/30/2012) (Program 329)</t>
  </si>
  <si>
    <t>Pupil Expulsions II, Pupil Suspensions II, and Educational Services Plan (7/1/1999 to 6/30/2001) (Program 328)</t>
  </si>
  <si>
    <t>Pupil Expulsions II, Pupil Suspensions II, and Educational Services Plan (7/1/1997 to 6/30/1999) (Program 327)</t>
  </si>
  <si>
    <t>Pupil Expulsions II, Pupil Suspensions II, and Educational Services Plan (7/1/1996 to 6/30/1997) (Program 326)</t>
  </si>
  <si>
    <t>Pupil Expulsions II, Pupil Suspensions II, and Educational Services Plan (7/1/1995 to 6/30/1996) (Program 325)</t>
  </si>
  <si>
    <t>Pupil Expulsions from School: Additional Hearing Costs for Mandatory Recommendations for Expulsion (Program 271)</t>
  </si>
  <si>
    <t>Pupil Exclusions (Program 165)</t>
  </si>
  <si>
    <t>Pupil Classroom Suspension: Counseling (Program 160)</t>
  </si>
  <si>
    <t>Pupil Classroom Suspension: Counseling (Program 151)</t>
  </si>
  <si>
    <t>Public School Restrooms: Feminine Hygiene Products (Program 374)</t>
  </si>
  <si>
    <t>Public Contracts (K-14) (Program 335)</t>
  </si>
  <si>
    <t>Prevailing Wage Rate (Program 304)</t>
  </si>
  <si>
    <t>Physical Performance Tests (Program 173)</t>
  </si>
  <si>
    <t>Physical Education Reports (Program 195)</t>
  </si>
  <si>
    <t>Photographic Record of Evidence (Program 214)</t>
  </si>
  <si>
    <t>Peace Officers Procedural Bill of Rights (Program 186)</t>
  </si>
  <si>
    <t>Parental Involvement Programs (Program 350)</t>
  </si>
  <si>
    <t>Parent Classroom Visits (Program 154)</t>
  </si>
  <si>
    <t>Open Meetings Act/Brown Act Reform (Program 218)</t>
  </si>
  <si>
    <t>Open Meetings Act II (Program 201)</t>
  </si>
  <si>
    <t>Open Meetings Act (Program 92)</t>
  </si>
  <si>
    <t>Notification to Teachers: Pupils Subject to Suspension or Expulsion (Program 150)</t>
  </si>
  <si>
    <t>Notification of Truancy (Program 48)</t>
  </si>
  <si>
    <t>National Norm-Referenced Achievement Test (formerly Standardized Testing and Reporting (STAR)) (Program 265)</t>
  </si>
  <si>
    <t>Missing Children Reports (Program 275)</t>
  </si>
  <si>
    <t>Mandate Reimbursement Process I and II (Program 319)</t>
  </si>
  <si>
    <t>Mandate Reimbursement Process (Program 42)</t>
  </si>
  <si>
    <t>Law Enforcement Sexual Harassment Complaint Procedures and Training (Program 194)</t>
  </si>
  <si>
    <t>Law Enforcement Agency Notification (Program 157)</t>
  </si>
  <si>
    <t>Juvenile Court Records (Program 36)</t>
  </si>
  <si>
    <t>Juvenile Court Notices II (Program 155)</t>
  </si>
  <si>
    <t>Investment Reports (Program 169)</t>
  </si>
  <si>
    <t>Intradistrict Attendance (Program 153)</t>
  </si>
  <si>
    <t>Interdistrict Transfer Requests: Parent's Employment (Program 149)</t>
  </si>
  <si>
    <t>Interdistrict Attendance Permits (Program 148)</t>
  </si>
  <si>
    <t>Immunization Records (Program 32)</t>
  </si>
  <si>
    <t>Immunization Records – Pertussis (Program 357)</t>
  </si>
  <si>
    <t>Immunization Records – Mumps, Rubella, and Hepatitis B (Program 368)</t>
  </si>
  <si>
    <t>Immunization Records – Hepatitis B (Program 230)</t>
  </si>
  <si>
    <t>High School Exit Examination (Program 268)</t>
  </si>
  <si>
    <t>Habitual Truants (Program 166)</t>
  </si>
  <si>
    <t>Grand Jury Proceedings (Program 226)</t>
  </si>
  <si>
    <t>Graduation Requirements (Program 26)</t>
  </si>
  <si>
    <t>Graduation Requirements (On or after 1/1/2005) (Program 297)</t>
  </si>
  <si>
    <t>Graduation Requirements (7/1/2004 to 12/21/2004) (Program 296)</t>
  </si>
  <si>
    <t>Graduation Requirements (7/1/1995 to 6/30/2004) (Program 295)</t>
  </si>
  <si>
    <t>Financial and Compliance Audits (Program 192)</t>
  </si>
  <si>
    <t>Expulsion Reports (Program 19)</t>
  </si>
  <si>
    <t>Expulsion of Pupils Transcript Cost for Appeals (Program 91)</t>
  </si>
  <si>
    <t>Employee Benefits Disclosure (Program 210)</t>
  </si>
  <si>
    <t>Emergency Procedures: Earthquakes and Disasters (Program 75)</t>
  </si>
  <si>
    <t>Emergency Procedures, Earthquake Procedures, and Disasters and Comprehensive School Safety Plans (Program 225)</t>
  </si>
  <si>
    <t>Differential Pay and Reemployment (Program 253)</t>
  </si>
  <si>
    <t>Developer Fees (Program 333)</t>
  </si>
  <si>
    <t>Criminal Background Checks II (Program 251)</t>
  </si>
  <si>
    <t>Criminal Background Checks (Program 183)</t>
  </si>
  <si>
    <t>Credential Monitoring (Program 79)</t>
  </si>
  <si>
    <t>County Treasury Oversight Committee (Program 206)</t>
  </si>
  <si>
    <t>County Office of Education Fiscal Accountability Reporting (Program 209)</t>
  </si>
  <si>
    <t>Consolidation of Pupil Discipline Records and Notification to Teachers: Pupils Subject to Suspension or Expulsion II (Program 291)</t>
  </si>
  <si>
    <t>Consolidation of Notification to Teachers: Pupils Subject to Suspension or Expulsion and Pupil Discipline Records, Notification to Teachers: Pupils Subject to Suspension or Expulsion II (Program 292)</t>
  </si>
  <si>
    <t>Consolidation of Law Enforcement Agency Notification and Missing Children Reports (Program 276)</t>
  </si>
  <si>
    <t>Consolidation of Annual Parent Notification/Schoolsite Discipline Rules/Alternative Schools (Program 272)</t>
  </si>
  <si>
    <t>Consolidated Suspensions, Expulsions, and Expulsion Appeals (Program 330)</t>
  </si>
  <si>
    <t>Comprehensive School Safety Plans II: Earthquake Emergency Procedure System and Use of School Buildings During Emergencies (Program 312)</t>
  </si>
  <si>
    <t>Comprehensive School Safety Plans II: Discrimination and Harassment Policy, and Hate Crime Reporting Procedures (Program 311)</t>
  </si>
  <si>
    <t>Comprehensive School Safety Plans I and II (Program 313)</t>
  </si>
  <si>
    <t>Comprehensive School Safety Plans (Program 223)</t>
  </si>
  <si>
    <t>Collective Bargaining and Collective Bargaining Agreement Disclosure (Program 11)</t>
  </si>
  <si>
    <t>Civic Center Act (Program 114)</t>
  </si>
  <si>
    <t>Child Abuse and Neglect Reporting (Program 309)</t>
  </si>
  <si>
    <t>Charter Schools IV (Program 337)</t>
  </si>
  <si>
    <t>Charter Schools III (Program 277)</t>
  </si>
  <si>
    <t>Charter Schools II (Program 249)</t>
  </si>
  <si>
    <t>Charter Schools I, II, III (Program 278)</t>
  </si>
  <si>
    <t>Charter Schools (Program 140)</t>
  </si>
  <si>
    <t>Certified Teachers Evaluators (Program 9)</t>
  </si>
  <si>
    <t>Caregiver Affidavits to Establish Residence for School Attendance (Program 172)</t>
  </si>
  <si>
    <t>California State Teachers' Retirement System (CalSTRS) Service Credit (Program 286)</t>
  </si>
  <si>
    <t>California Public Records Act (Program 354)</t>
  </si>
  <si>
    <t>California Assessment of Student Performance and Progress (CAASPP) (Program 369)</t>
  </si>
  <si>
    <t>Cal Grant: Opt-Out Notice and Grade Point Average Submission (Program 370)</t>
  </si>
  <si>
    <t>Behavioral Intervention Plans (On or after 7/1/2012) (Program 349)</t>
  </si>
  <si>
    <t>Behavioral Intervention Plans (7/1/1993 to 6/30/2012) (Program 348)</t>
  </si>
  <si>
    <t>Attendance Accounting (Program 229)</t>
  </si>
  <si>
    <t>Annual Parent Notification III (Program 221)</t>
  </si>
  <si>
    <t>Annual Parent Notification II (Program 189)</t>
  </si>
  <si>
    <t>Annual Parent Notification (Program 145)</t>
  </si>
  <si>
    <t>American Government Course Document Requirements (Program 179)</t>
  </si>
  <si>
    <t>AIDS Prevention Instruction II (Program 250)</t>
  </si>
  <si>
    <t>AIDS Prevention Instruction (Program 123)</t>
  </si>
  <si>
    <t>Agency Fee Arrangements (Program 269)</t>
  </si>
  <si>
    <t>Academic Performance Index (Program 305)</t>
  </si>
  <si>
    <t>Absentee Ballots (Program 170)</t>
  </si>
  <si>
    <t>The end of the report.</t>
  </si>
  <si>
    <t>Total Community College Districts</t>
  </si>
  <si>
    <t>Total School Districts</t>
  </si>
  <si>
    <t>Total Local Agencies</t>
  </si>
  <si>
    <t>Grand Total Community College Districts</t>
  </si>
  <si>
    <t>Total Program 301</t>
  </si>
  <si>
    <t>Total Program 307</t>
  </si>
  <si>
    <t>Total Program 247</t>
  </si>
  <si>
    <t>Total Program 241</t>
  </si>
  <si>
    <t>Total Program 294</t>
  </si>
  <si>
    <t>Total Program 303</t>
  </si>
  <si>
    <t>Total Program 240</t>
  </si>
  <si>
    <t>Total Program 239</t>
  </si>
  <si>
    <t>Total Program 238</t>
  </si>
  <si>
    <t>Total Program 254</t>
  </si>
  <si>
    <t>Total Program 347</t>
  </si>
  <si>
    <t>Total Program 317</t>
  </si>
  <si>
    <t>Total Program 320</t>
  </si>
  <si>
    <t>Total Program 237</t>
  </si>
  <si>
    <t>Total Program 236</t>
  </si>
  <si>
    <t>Total Program 212</t>
  </si>
  <si>
    <t>Total Program 235</t>
  </si>
  <si>
    <t>Total Program 256</t>
  </si>
  <si>
    <t>Total Program 234</t>
  </si>
  <si>
    <t>Total Program 29</t>
  </si>
  <si>
    <t>Total Program 233</t>
  </si>
  <si>
    <t>Total Program 243</t>
  </si>
  <si>
    <t>Total Program 267</t>
  </si>
  <si>
    <t>Total Program 344</t>
  </si>
  <si>
    <t>Total Program 343</t>
  </si>
  <si>
    <t>Total Program 340</t>
  </si>
  <si>
    <t>Total Program 339</t>
  </si>
  <si>
    <t>Total Program 338</t>
  </si>
  <si>
    <t>Total Program 332</t>
  </si>
  <si>
    <t>Total Program 232</t>
  </si>
  <si>
    <t>Total Program 287</t>
  </si>
  <si>
    <t>Total Program 355</t>
  </si>
  <si>
    <t>Total Program 302</t>
  </si>
  <si>
    <t>Total Program 270</t>
  </si>
  <si>
    <t>Total Program 231</t>
  </si>
  <si>
    <t>Tuition Fee Waivers (Program 301)</t>
  </si>
  <si>
    <t>Student Records (Program 307)</t>
  </si>
  <si>
    <t>Sexual Assault Response Procedures (Program 247)</t>
  </si>
  <si>
    <t>Sex Offenders: Disclosure by Law Enforcement Officers (Megan's Law) (Program 241)</t>
  </si>
  <si>
    <t>Reporting Improper Governmental Activities (Program 294)</t>
  </si>
  <si>
    <t>Prevailing Wage Rate (Program 303)</t>
  </si>
  <si>
    <t>Photographic Record of Evidence (Program 240)</t>
  </si>
  <si>
    <t>Peace Officers Procedural Bill of Rights (Program 239)</t>
  </si>
  <si>
    <t>Open Meetings/Brown Act Reform (Program 238)</t>
  </si>
  <si>
    <t>Open Meetings Act II (Program 254)</t>
  </si>
  <si>
    <t>Minimum Conditions for State Aid (Program 347)</t>
  </si>
  <si>
    <t>Mandate Reimbursement Process II (Program 317)</t>
  </si>
  <si>
    <t>Mandate Reimbursement Process I and II (Program 320)</t>
  </si>
  <si>
    <t>Mandate Reimbursement Process I (Program 237)</t>
  </si>
  <si>
    <t>Law Enforcement Sexual Harassment Complaint Procedures and Training (Program 236)</t>
  </si>
  <si>
    <t>Law Enforcement College Jurisdiction Agreements (Program 212)</t>
  </si>
  <si>
    <t>Investment Reports (Program 235)</t>
  </si>
  <si>
    <t>Integrated Waste Management (Program 256)</t>
  </si>
  <si>
    <t>Health Fee Elimination (On or after 7/1/1994) (Program 234)</t>
  </si>
  <si>
    <t>Health Fee Elimination (Program 29)</t>
  </si>
  <si>
    <t>Health Benefits for Survivors of Peace Officers and Firefighters (Program 233)</t>
  </si>
  <si>
    <t>Grand Jury Proceedings (Program 243)</t>
  </si>
  <si>
    <t>Enrollment Fee Collection and Waivers (Program 267)</t>
  </si>
  <si>
    <t>Discrimination Complaint Procedures (Set Two) (Program 344)</t>
  </si>
  <si>
    <t>Discrimination Complaint Procedures (Set One) (Program 343)</t>
  </si>
  <si>
    <t>Discrimination Complaint Procedures (Equal Employment Opportunity Program - Set Three) (Program 340)</t>
  </si>
  <si>
    <t>Discrimination Complaint Procedures (Equal Employment Opportunity Program - Set Two) (Program 339)</t>
  </si>
  <si>
    <t>Discrimination Complaint Procedures (Equal Employment Opportunity Program - Set One) (Program 338)</t>
  </si>
  <si>
    <t>Community College Construction (Program 332)</t>
  </si>
  <si>
    <t>Collective Bargaining and Collective Bargaining Agreement Disclosure (Program 232)</t>
  </si>
  <si>
    <t>California State Teachers' Retirement System (CalSTRS) Service Credit (Program 287)</t>
  </si>
  <si>
    <t>California Public Records Act (Program 355)</t>
  </si>
  <si>
    <t>Cal Grants (Program 302)</t>
  </si>
  <si>
    <t>Agency Fee Arrangements (Program 270)</t>
  </si>
  <si>
    <t>Absentee Ballots (Program 231)</t>
  </si>
  <si>
    <t>School Bus Safety (Program 137)</t>
  </si>
  <si>
    <r>
      <t xml:space="preserve">DETAIL:            SCHOOL DISTRICTS                                                                                                                                      </t>
    </r>
    <r>
      <rPr>
        <b/>
        <sz val="12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Page 47</t>
    </r>
  </si>
  <si>
    <t>DETAIL:            COMMUNITY COLLEGE DISTRICTS                                                                                                                Page 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</si>
</sst>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FFFFFF"/>
      <name val="Arial"/>
      <family val="2"/>
    </font>
    <font>
      <u/>
      <sz val="11"/>
      <color theme="10"/>
      <name val="Calibri"/>
      <family val="2"/>
      <scheme val="minor"/>
    </font>
    <font>
      <sz val="12"/>
      <color theme="0"/>
      <name val="Arial"/>
      <family val="2"/>
    </font>
    <font>
      <sz val="12"/>
      <color rgb="FFFFFFFF"/>
      <name val="Arial"/>
      <family val="2"/>
    </font>
    <font>
      <b/>
      <sz val="12"/>
      <color theme="1"/>
      <name val="Arial"/>
      <family val="2"/>
    </font>
    <font>
      <b/>
      <sz val="11"/>
      <color rgb="FFFFFFFF"/>
      <name val="Arial"/>
      <family val="2"/>
    </font>
    <font>
      <sz val="12"/>
      <name val="Calibri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sz val="24"/>
      <color theme="0"/>
      <name val="Arial"/>
      <family val="2"/>
    </font>
    <font>
      <b/>
      <sz val="32"/>
      <name val="Arial"/>
      <family val="2"/>
    </font>
    <font>
      <b/>
      <sz val="12"/>
      <color theme="1"/>
      <name val="Arial"/>
    </font>
    <font>
      <sz val="12"/>
      <color theme="0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 applyFill="1" applyAlignment="1">
      <alignment horizontal="centerContinuous" vertical="center" wrapText="1"/>
    </xf>
    <xf numFmtId="0" fontId="3" fillId="0" borderId="0" xfId="0" applyFont="1" applyFill="1" applyAlignment="1">
      <alignment horizontal="centerContinuous"/>
    </xf>
    <xf numFmtId="6" fontId="3" fillId="0" borderId="0" xfId="0" applyNumberFormat="1" applyFont="1" applyFill="1" applyAlignment="1">
      <alignment horizontal="centerContinuous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6" fontId="2" fillId="0" borderId="2" xfId="0" applyNumberFormat="1" applyFont="1" applyFill="1" applyBorder="1" applyAlignment="1">
      <alignment horizontal="center" vertical="center"/>
    </xf>
    <xf numFmtId="6" fontId="2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Font="1" applyFill="1" applyBorder="1" applyAlignment="1">
      <alignment horizontal="center"/>
    </xf>
    <xf numFmtId="6" fontId="3" fillId="0" borderId="0" xfId="0" applyNumberFormat="1" applyFont="1" applyFill="1" applyBorder="1"/>
    <xf numFmtId="0" fontId="3" fillId="0" borderId="0" xfId="1" applyFont="1" applyFill="1" applyBorder="1"/>
    <xf numFmtId="0" fontId="7" fillId="0" borderId="0" xfId="0" applyFont="1" applyFill="1" applyBorder="1"/>
    <xf numFmtId="0" fontId="2" fillId="0" borderId="4" xfId="0" applyFont="1" applyFill="1" applyBorder="1"/>
    <xf numFmtId="0" fontId="5" fillId="0" borderId="5" xfId="0" applyFont="1" applyFill="1" applyBorder="1" applyAlignment="1">
      <alignment horizontal="center"/>
    </xf>
    <xf numFmtId="6" fontId="2" fillId="0" borderId="4" xfId="0" applyNumberFormat="1" applyFont="1" applyFill="1" applyBorder="1"/>
    <xf numFmtId="0" fontId="8" fillId="0" borderId="0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6" fontId="9" fillId="0" borderId="4" xfId="0" applyNumberFormat="1" applyFont="1" applyBorder="1"/>
    <xf numFmtId="0" fontId="3" fillId="0" borderId="5" xfId="1" applyFont="1" applyFill="1" applyBorder="1"/>
    <xf numFmtId="0" fontId="4" fillId="0" borderId="5" xfId="0" applyFont="1" applyFill="1" applyBorder="1"/>
    <xf numFmtId="0" fontId="2" fillId="0" borderId="0" xfId="0" applyFont="1" applyFill="1"/>
    <xf numFmtId="0" fontId="2" fillId="0" borderId="4" xfId="0" applyFont="1" applyFill="1" applyBorder="1" applyAlignment="1"/>
    <xf numFmtId="0" fontId="10" fillId="0" borderId="4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4" xfId="1" applyFont="1" applyFill="1" applyBorder="1"/>
    <xf numFmtId="164" fontId="4" fillId="0" borderId="4" xfId="0" applyNumberFormat="1" applyFont="1" applyFill="1" applyBorder="1"/>
    <xf numFmtId="0" fontId="2" fillId="0" borderId="0" xfId="0" applyFont="1" applyFill="1" applyAlignment="1"/>
    <xf numFmtId="6" fontId="3" fillId="0" borderId="0" xfId="0" applyNumberFormat="1" applyFont="1" applyFill="1"/>
    <xf numFmtId="0" fontId="3" fillId="2" borderId="0" xfId="0" applyFont="1" applyFill="1"/>
    <xf numFmtId="6" fontId="3" fillId="2" borderId="0" xfId="0" applyNumberFormat="1" applyFont="1" applyFill="1"/>
    <xf numFmtId="0" fontId="1" fillId="0" borderId="0" xfId="0" applyFont="1"/>
    <xf numFmtId="0" fontId="9" fillId="0" borderId="0" xfId="0" applyFont="1" applyBorder="1" applyAlignment="1">
      <alignment horizontal="centerContinuous" vertical="center" wrapText="1"/>
    </xf>
    <xf numFmtId="37" fontId="9" fillId="0" borderId="0" xfId="0" applyNumberFormat="1" applyFont="1" applyBorder="1" applyAlignment="1">
      <alignment horizontal="centerContinuous" vertical="center" wrapText="1"/>
    </xf>
    <xf numFmtId="6" fontId="9" fillId="0" borderId="0" xfId="2" applyNumberFormat="1" applyFont="1" applyBorder="1" applyAlignment="1">
      <alignment horizontal="centerContinuous" vertical="center" wrapText="1"/>
    </xf>
    <xf numFmtId="6" fontId="9" fillId="0" borderId="0" xfId="0" applyNumberFormat="1" applyFont="1" applyBorder="1" applyAlignment="1">
      <alignment horizontal="centerContinuous" vertical="center"/>
    </xf>
    <xf numFmtId="6" fontId="9" fillId="0" borderId="0" xfId="0" applyNumberFormat="1" applyFont="1" applyFill="1" applyBorder="1" applyAlignment="1">
      <alignment horizontal="centerContinuous" vertical="center"/>
    </xf>
    <xf numFmtId="6" fontId="9" fillId="0" borderId="0" xfId="0" applyNumberFormat="1" applyFont="1" applyFill="1" applyBorder="1" applyAlignment="1">
      <alignment horizontal="centerContinuous" vertical="center" wrapText="1"/>
    </xf>
    <xf numFmtId="0" fontId="9" fillId="0" borderId="1" xfId="0" applyFont="1" applyBorder="1" applyAlignment="1">
      <alignment horizontal="center" wrapText="1"/>
    </xf>
    <xf numFmtId="37" fontId="9" fillId="0" borderId="2" xfId="0" applyNumberFormat="1" applyFont="1" applyBorder="1" applyAlignment="1">
      <alignment horizontal="center" wrapText="1"/>
    </xf>
    <xf numFmtId="6" fontId="9" fillId="0" borderId="2" xfId="2" applyNumberFormat="1" applyFont="1" applyBorder="1" applyAlignment="1">
      <alignment horizontal="center" wrapText="1"/>
    </xf>
    <xf numFmtId="6" fontId="9" fillId="0" borderId="2" xfId="2" applyNumberFormat="1" applyFont="1" applyFill="1" applyBorder="1" applyAlignment="1">
      <alignment horizontal="center" wrapText="1"/>
    </xf>
    <xf numFmtId="6" fontId="9" fillId="0" borderId="2" xfId="0" applyNumberFormat="1" applyFont="1" applyBorder="1" applyAlignment="1">
      <alignment horizontal="center" wrapText="1"/>
    </xf>
    <xf numFmtId="6" fontId="9" fillId="0" borderId="2" xfId="0" applyNumberFormat="1" applyFont="1" applyFill="1" applyBorder="1" applyAlignment="1">
      <alignment horizontal="center" wrapText="1"/>
    </xf>
    <xf numFmtId="6" fontId="9" fillId="0" borderId="3" xfId="0" applyNumberFormat="1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/>
    </xf>
    <xf numFmtId="37" fontId="14" fillId="0" borderId="4" xfId="0" applyNumberFormat="1" applyFont="1" applyFill="1" applyBorder="1" applyAlignment="1">
      <alignment horizontal="center"/>
    </xf>
    <xf numFmtId="6" fontId="14" fillId="0" borderId="4" xfId="0" applyNumberFormat="1" applyFont="1" applyFill="1" applyBorder="1"/>
    <xf numFmtId="0" fontId="3" fillId="0" borderId="0" xfId="0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horizontal="center"/>
    </xf>
    <xf numFmtId="6" fontId="14" fillId="0" borderId="0" xfId="0" applyNumberFormat="1" applyFont="1" applyFill="1" applyBorder="1"/>
    <xf numFmtId="0" fontId="9" fillId="0" borderId="4" xfId="0" applyFont="1" applyFill="1" applyBorder="1" applyAlignment="1">
      <alignment horizontal="center"/>
    </xf>
    <xf numFmtId="37" fontId="7" fillId="0" borderId="6" xfId="0" applyNumberFormat="1" applyFont="1" applyBorder="1" applyAlignment="1">
      <alignment horizontal="center"/>
    </xf>
    <xf numFmtId="37" fontId="9" fillId="0" borderId="0" xfId="0" applyNumberFormat="1" applyFont="1" applyAlignment="1">
      <alignment horizontal="center"/>
    </xf>
    <xf numFmtId="6" fontId="9" fillId="0" borderId="0" xfId="0" applyNumberFormat="1" applyFont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37" fontId="14" fillId="0" borderId="4" xfId="0" applyNumberFormat="1" applyFont="1" applyFill="1" applyBorder="1" applyAlignment="1">
      <alignment horizontal="center" vertical="center" wrapText="1"/>
    </xf>
    <xf numFmtId="6" fontId="14" fillId="0" borderId="4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37" fontId="14" fillId="0" borderId="0" xfId="0" applyNumberFormat="1" applyFont="1" applyFill="1" applyBorder="1" applyAlignment="1">
      <alignment horizontal="center" vertical="center" wrapText="1"/>
    </xf>
    <xf numFmtId="6" fontId="14" fillId="0" borderId="0" xfId="0" applyNumberFormat="1" applyFont="1" applyFill="1" applyBorder="1" applyAlignment="1">
      <alignment vertical="center" wrapText="1"/>
    </xf>
    <xf numFmtId="37" fontId="14" fillId="0" borderId="4" xfId="0" applyNumberFormat="1" applyFont="1" applyFill="1" applyBorder="1" applyAlignment="1">
      <alignment horizontal="center" vertical="center"/>
    </xf>
    <xf numFmtId="6" fontId="14" fillId="0" borderId="4" xfId="0" applyNumberFormat="1" applyFont="1" applyFill="1" applyBorder="1" applyAlignment="1">
      <alignment vertical="center"/>
    </xf>
    <xf numFmtId="0" fontId="0" fillId="0" borderId="0" xfId="0" applyAlignment="1"/>
    <xf numFmtId="37" fontId="14" fillId="0" borderId="0" xfId="0" applyNumberFormat="1" applyFont="1" applyFill="1" applyBorder="1" applyAlignment="1">
      <alignment horizontal="center" vertical="center"/>
    </xf>
    <xf numFmtId="6" fontId="14" fillId="0" borderId="0" xfId="0" applyNumberFormat="1" applyFont="1" applyFill="1" applyBorder="1" applyAlignment="1">
      <alignment vertical="center"/>
    </xf>
    <xf numFmtId="0" fontId="14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37" fontId="7" fillId="0" borderId="4" xfId="0" applyNumberFormat="1" applyFont="1" applyFill="1" applyBorder="1" applyAlignment="1">
      <alignment horizontal="center"/>
    </xf>
    <xf numFmtId="6" fontId="3" fillId="0" borderId="4" xfId="0" applyNumberFormat="1" applyFont="1" applyFill="1" applyBorder="1"/>
    <xf numFmtId="37" fontId="7" fillId="0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22" fillId="0" borderId="0" xfId="0" applyFont="1" applyAlignment="1">
      <alignment horizontal="centerContinuous" vertical="center"/>
    </xf>
    <xf numFmtId="42" fontId="0" fillId="0" borderId="0" xfId="0" applyNumberFormat="1"/>
    <xf numFmtId="165" fontId="3" fillId="0" borderId="0" xfId="3" applyNumberFormat="1" applyFont="1" applyFill="1" applyBorder="1"/>
    <xf numFmtId="5" fontId="3" fillId="0" borderId="0" xfId="3" applyNumberFormat="1" applyFont="1" applyFill="1" applyBorder="1"/>
    <xf numFmtId="6" fontId="14" fillId="0" borderId="0" xfId="0" applyNumberFormat="1" applyFont="1" applyFill="1" applyBorder="1" applyAlignment="1">
      <alignment wrapText="1"/>
    </xf>
    <xf numFmtId="37" fontId="14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6" fontId="14" fillId="0" borderId="4" xfId="0" applyNumberFormat="1" applyFont="1" applyFill="1" applyBorder="1" applyAlignment="1">
      <alignment wrapText="1"/>
    </xf>
    <xf numFmtId="37" fontId="14" fillId="0" borderId="4" xfId="0" applyNumberFormat="1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6" fontId="9" fillId="0" borderId="4" xfId="0" applyNumberFormat="1" applyFont="1" applyFill="1" applyBorder="1"/>
    <xf numFmtId="37" fontId="7" fillId="0" borderId="6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37" fontId="24" fillId="0" borderId="6" xfId="0" applyNumberFormat="1" applyFont="1" applyBorder="1" applyAlignment="1">
      <alignment horizontal="center"/>
    </xf>
    <xf numFmtId="6" fontId="23" fillId="0" borderId="4" xfId="0" applyNumberFormat="1" applyFont="1" applyBorder="1"/>
  </cellXfs>
  <cellStyles count="4">
    <cellStyle name="Comma" xfId="2" builtinId="3"/>
    <cellStyle name="Currency" xfId="3" builtinId="4"/>
    <cellStyle name="Hyperlink" xfId="1" builtinId="8"/>
    <cellStyle name="Normal" xfId="0" builtinId="0"/>
  </cellStyles>
  <dxfs count="9996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solid">
          <fgColor indexed="64"/>
          <bgColor theme="7" tint="0.79998168889431442"/>
        </patternFill>
      </fill>
      <alignment vertical="center" textRotation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solid">
          <fgColor indexed="64"/>
          <bgColor theme="7" tint="0.79998168889431442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solid">
          <fgColor indexed="64"/>
          <bgColor theme="7" tint="0.79998168889431442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</dxf>
    <dxf>
      <border>
        <top style="thin">
          <color rgb="FF000000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6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166" formatCode="\$#,##0_);\(\$#,##0\)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6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\$#,##0_);\(\$#,##0\)"/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6</xdr:row>
      <xdr:rowOff>144133</xdr:rowOff>
    </xdr:from>
    <xdr:to>
      <xdr:col>0</xdr:col>
      <xdr:colOff>5849257</xdr:colOff>
      <xdr:row>22</xdr:row>
      <xdr:rowOff>117121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849233"/>
          <a:ext cx="3200400" cy="30209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2021%20Report%20of%20Audit%20Findings%20Final%20data%20and%20instructions%20for%20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ocals"/>
      <sheetName val="Sheet1"/>
      <sheetName val="Sheet4"/>
      <sheetName val="Schools"/>
      <sheetName val="Sheet2"/>
      <sheetName val="Sheet5"/>
      <sheetName val="Colleges"/>
      <sheetName val="Sheet3"/>
      <sheetName val="Sheet6"/>
    </sheetNames>
    <sheetDataSet>
      <sheetData sheetId="0" refreshError="1"/>
      <sheetData sheetId="1">
        <row r="151">
          <cell r="A151" t="str">
            <v>Total Program 284</v>
          </cell>
        </row>
        <row r="426">
          <cell r="A426" t="str">
            <v>1995-96</v>
          </cell>
          <cell r="B426">
            <v>13959252.92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13959252.92</v>
          </cell>
          <cell r="H426">
            <v>-13959252.92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1185">
          <cell r="A1185" t="str">
            <v>Total Program 373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1" name="CurrentPeriodAdjustments" displayName="CurrentPeriodAdjustments" ref="A2:F6" totalsRowCount="1" headerRowDxfId="9995" dataDxfId="9993" totalsRowDxfId="9991" headerRowBorderDxfId="9994" tableBorderDxfId="9992" totalsRowBorderDxfId="9990">
  <autoFilter ref="A2:F5"/>
  <tableColumns count="6">
    <tableColumn id="1" name="Program Costs, Audit Adjustments and Balances" totalsRowLabel="Total Current Period Adjustments" dataDxfId="9989" totalsRowDxfId="5"/>
    <tableColumn id="2" name="Comments" totalsRowLabel="N/A" dataDxfId="9988" totalsRowDxfId="4"/>
    <tableColumn id="3" name="Local Agencies" totalsRowFunction="sum" dataDxfId="9987" totalsRowDxfId="3"/>
    <tableColumn id="4" name="School Districts" totalsRowFunction="sum" dataDxfId="9986" totalsRowDxfId="2"/>
    <tableColumn id="5" name="Community College Districts" totalsRowFunction="sum" dataDxfId="9985" totalsRowDxfId="1"/>
    <tableColumn id="6" name="Grand Total" totalsRowFunction="sum" dataDxfId="9984" totalsRowDxfId="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10.xml><?xml version="1.0" encoding="utf-8"?>
<table xmlns="http://schemas.openxmlformats.org/spreadsheetml/2006/main" id="10" name="Program246" displayName="Program246" ref="A48:N72" totalsRowCount="1" headerRowDxfId="9806" dataDxfId="9804" totalsRowDxfId="9802" headerRowBorderDxfId="9805" tableBorderDxfId="9803" totalsRowBorderDxfId="9801">
  <autoFilter ref="A48:N71"/>
  <tableColumns count="14">
    <tableColumn id="1" name="(A)_x000a_Program Name" totalsRowLabel="Total Program 246" dataDxfId="9800" totalsRowDxfId="9799"/>
    <tableColumn id="2" name="(B)_x000a_Fiscal _x000a_Year" totalsRowLabel="N/A" dataDxfId="9798" totalsRowDxfId="9797"/>
    <tableColumn id="3" name="(C)_x000a_Program_x000a_Costs" totalsRowFunction="sum" dataDxfId="9796" totalsRowDxfId="9795"/>
    <tableColumn id="4" name="(D)_x000a_Prior Period Adjustments" totalsRowFunction="sum" dataDxfId="9794" totalsRowDxfId="9793"/>
    <tableColumn id="5" name="(E)_x000a_Current Period Desk _x000a_Reviews" totalsRowFunction="sum" dataDxfId="9792" totalsRowDxfId="9791"/>
    <tableColumn id="6" name="(F)_x000a_Current Period _x000a_Final _x000a_Audits" totalsRowFunction="sum" dataDxfId="9790" totalsRowDxfId="9789"/>
    <tableColumn id="7" name="(G)_x000a_Current Period _x000a_Other Adjustments" totalsRowFunction="sum" dataDxfId="9788" totalsRowDxfId="9787"/>
    <tableColumn id="8" name="(H)_x000a_Net Program Costs_x000a_Sum (C through G)" totalsRowFunction="sum" dataDxfId="9786" totalsRowDxfId="9785"/>
    <tableColumn id="9" name="(I)_x000a_Payments_x000a_ and Offsets" totalsRowFunction="sum" dataDxfId="9784" totalsRowDxfId="9783"/>
    <tableColumn id="10" name="(J)_x000a_Accounts Payable Balance_x000a_(H + I)" totalsRowFunction="sum" dataDxfId="9782" totalsRowDxfId="9781"/>
    <tableColumn id="11" name="(K)_x000a_Established _x000a_Accounts Receivable" totalsRowFunction="sum" dataDxfId="9780" totalsRowDxfId="9779"/>
    <tableColumn id="12" name="(L)_x000a_Recovered_x000a_ Accounts Receivable" totalsRowFunction="sum" dataDxfId="9778" totalsRowDxfId="9777"/>
    <tableColumn id="13" name="(M)_x000a_Accounts Receivable Balance_x000a_(K + L)" totalsRowFunction="sum" dataDxfId="9776" totalsRowDxfId="9775"/>
    <tableColumn id="14" name="(N)_x000a_Net Balance_x000a_(J minus M)" totalsRowFunction="sum" dataDxfId="9774" totalsRowDxfId="97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0.xml><?xml version="1.0" encoding="utf-8"?>
<table xmlns="http://schemas.openxmlformats.org/spreadsheetml/2006/main" id="100" name="Program324" displayName="Program324" ref="A1414:N1426" totalsRowCount="1" headerRowDxfId="6774" dataDxfId="6772" totalsRowDxfId="6770" headerRowBorderDxfId="6773" tableBorderDxfId="6771" totalsRowBorderDxfId="6769">
  <autoFilter ref="A1414:N1425"/>
  <tableColumns count="14">
    <tableColumn id="1" name="(A)_x000a_Program Name" totalsRowLabel="Total Program 324" dataDxfId="6768" totalsRowDxfId="6767"/>
    <tableColumn id="2" name="(B)_x000a_Fiscal _x000a_Year" totalsRowLabel="N/A" dataDxfId="6766" totalsRowDxfId="6765"/>
    <tableColumn id="3" name="(C)_x000a_Program_x000a_Costs" totalsRowFunction="sum" dataDxfId="6764" totalsRowDxfId="6763"/>
    <tableColumn id="4" name="(D)_x000a_Prior Period Adjustments" totalsRowFunction="sum" dataDxfId="6762" totalsRowDxfId="6761"/>
    <tableColumn id="5" name="(E)_x000a_Current Period Desk _x000a_Reviews" totalsRowFunction="sum" dataDxfId="6760" totalsRowDxfId="6759"/>
    <tableColumn id="6" name="(F)_x000a_Current Period _x000a_Final _x000a_Audits" totalsRowFunction="sum" dataDxfId="6758" totalsRowDxfId="6757"/>
    <tableColumn id="7" name="(G)_x000a_Current Period _x000a_Other Adjustments" totalsRowFunction="sum" dataDxfId="6756" totalsRowDxfId="6755"/>
    <tableColumn id="8" name="(H)_x000a_Net Program Costs_x000a_Sum (C through G)" totalsRowFunction="sum" dataDxfId="6754" totalsRowDxfId="6753"/>
    <tableColumn id="9" name="(I)_x000a_Payments_x000a_ and Offsets" totalsRowFunction="sum" dataDxfId="6752" totalsRowDxfId="6751"/>
    <tableColumn id="10" name="(J)_x000a_Accounts Payable Balance_x000a_(H + I)" totalsRowFunction="sum" dataDxfId="6750" totalsRowDxfId="6749"/>
    <tableColumn id="11" name="(K)_x000a_Established _x000a_Accounts Receivable" totalsRowFunction="sum" dataDxfId="6748" totalsRowDxfId="6747"/>
    <tableColumn id="12" name="(L)_x000a_Recovered_x000a_ Accounts Receivable" totalsRowFunction="sum" dataDxfId="6746" totalsRowDxfId="6745"/>
    <tableColumn id="13" name="(M)_x000a_Accounts Receivable Balance_x000a_(K + L)" totalsRowFunction="sum" dataDxfId="6744" totalsRowDxfId="6743"/>
    <tableColumn id="14" name="(N)_x000a_Net Balance_x000a_(J minus M)" totalsRowFunction="sum" dataDxfId="6742" totalsRowDxfId="67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1.xml><?xml version="1.0" encoding="utf-8"?>
<table xmlns="http://schemas.openxmlformats.org/spreadsheetml/2006/main" id="101" name="Program024" displayName="Program024" ref="A1428:N1439" totalsRowCount="1" headerRowDxfId="6740" dataDxfId="6738" totalsRowDxfId="6736" headerRowBorderDxfId="6739" tableBorderDxfId="6737" totalsRowBorderDxfId="6735">
  <autoFilter ref="A1428:N1438"/>
  <tableColumns count="14">
    <tableColumn id="1" name="(A)_x000a_Program Name" totalsRowLabel="Total Program 24" dataDxfId="6734" totalsRowDxfId="6733"/>
    <tableColumn id="2" name="(B)_x000a_Fiscal _x000a_Year" totalsRowLabel="N/A" dataDxfId="6732" totalsRowDxfId="6731"/>
    <tableColumn id="3" name="(C)_x000a_Program_x000a_Costs" totalsRowFunction="sum" dataDxfId="6730" totalsRowDxfId="6729"/>
    <tableColumn id="4" name="(D)_x000a_Prior Period Adjustments" totalsRowFunction="sum" dataDxfId="6728" totalsRowDxfId="6727"/>
    <tableColumn id="5" name="(E)_x000a_Current Period Desk _x000a_Reviews" totalsRowFunction="sum" dataDxfId="6726" totalsRowDxfId="6725"/>
    <tableColumn id="6" name="(F)_x000a_Current Period _x000a_Final _x000a_Audits" totalsRowFunction="sum" dataDxfId="6724" totalsRowDxfId="6723"/>
    <tableColumn id="7" name="(G)_x000a_Current Period _x000a_Other Adjustments" totalsRowFunction="sum" dataDxfId="6722" totalsRowDxfId="6721"/>
    <tableColumn id="8" name="(H)_x000a_Net Program Costs_x000a_Sum (C through G)" totalsRowFunction="sum" dataDxfId="6720" totalsRowDxfId="6719"/>
    <tableColumn id="9" name="(I)_x000a_Payments_x000a_ and Offsets" totalsRowFunction="sum" dataDxfId="6718" totalsRowDxfId="6717"/>
    <tableColumn id="10" name="(J)_x000a_Accounts Payable Balance_x000a_(H + I)" totalsRowFunction="sum" dataDxfId="6716" totalsRowDxfId="6715"/>
    <tableColumn id="11" name="(K)_x000a_Established _x000a_Accounts Receivable" totalsRowFunction="sum" dataDxfId="6714" totalsRowDxfId="6713"/>
    <tableColumn id="12" name="(L)_x000a_Recovered_x000a_ Accounts Receivable" totalsRowFunction="sum" dataDxfId="6712" totalsRowDxfId="6711"/>
    <tableColumn id="13" name="(M)_x000a_Accounts Receivable Balance_x000a_(K + L)" totalsRowFunction="sum" dataDxfId="6710" totalsRowDxfId="6709"/>
    <tableColumn id="14" name="(N)_x000a_Net Balance_x000a_(J minus M)" totalsRowFunction="sum" dataDxfId="6708" totalsRowDxfId="67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2.xml><?xml version="1.0" encoding="utf-8"?>
<table xmlns="http://schemas.openxmlformats.org/spreadsheetml/2006/main" id="102" name="Program121" displayName="Program121" ref="A1441:N1472" totalsRowCount="1" headerRowDxfId="6706" dataDxfId="6704" totalsRowDxfId="6702" headerRowBorderDxfId="6705" tableBorderDxfId="6703" totalsRowBorderDxfId="6701">
  <autoFilter ref="A1441:N1471"/>
  <tableColumns count="14">
    <tableColumn id="1" name="(A)_x000a_Program Name" totalsRowLabel="Total Program 121" dataDxfId="6700" totalsRowDxfId="6699"/>
    <tableColumn id="2" name="(B)_x000a_Fiscal _x000a_Year" totalsRowLabel="N/A" dataDxfId="6698" totalsRowDxfId="6697"/>
    <tableColumn id="3" name="(C)_x000a_Program_x000a_Costs" totalsRowFunction="sum" dataDxfId="6696" totalsRowDxfId="6695"/>
    <tableColumn id="4" name="(D)_x000a_Prior Period Adjustments" totalsRowFunction="sum" dataDxfId="6694" totalsRowDxfId="6693"/>
    <tableColumn id="5" name="(E)_x000a_Current Period Desk _x000a_Reviews" totalsRowFunction="sum" dataDxfId="6692" totalsRowDxfId="6691"/>
    <tableColumn id="6" name="(F)_x000a_Current Period _x000a_Final _x000a_Audits" totalsRowFunction="sum" dataDxfId="6690" totalsRowDxfId="6689"/>
    <tableColumn id="7" name="(G)_x000a_Current Period _x000a_Other Adjustments" totalsRowFunction="sum" dataDxfId="6688" totalsRowDxfId="6687"/>
    <tableColumn id="8" name="(H)_x000a_Net Program Costs_x000a_Sum (C through G)" totalsRowFunction="sum" dataDxfId="6686" totalsRowDxfId="6685"/>
    <tableColumn id="9" name="(I)_x000a_Payments_x000a_ and Offsets" totalsRowFunction="sum" dataDxfId="6684" totalsRowDxfId="6683"/>
    <tableColumn id="10" name="(J)_x000a_Accounts Payable Balance_x000a_(H + I)" totalsRowFunction="sum" dataDxfId="6682" totalsRowDxfId="6681"/>
    <tableColumn id="11" name="(K)_x000a_Established _x000a_Accounts Receivable" totalsRowFunction="sum" dataDxfId="6680" totalsRowDxfId="6679"/>
    <tableColumn id="12" name="(L)_x000a_Recovered_x000a_ Accounts Receivable" totalsRowFunction="sum" dataDxfId="6678" totalsRowDxfId="6677"/>
    <tableColumn id="13" name="(M)_x000a_Accounts Receivable Balance_x000a_(K + L)" totalsRowFunction="sum" dataDxfId="6676" totalsRowDxfId="6675"/>
    <tableColumn id="14" name="(N)_x000a_Net Balance_x000a_(J minus M)" totalsRowFunction="sum" dataDxfId="6674" totalsRowDxfId="66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3.xml><?xml version="1.0" encoding="utf-8"?>
<table xmlns="http://schemas.openxmlformats.org/spreadsheetml/2006/main" id="103" name="Program215" displayName="Program215" ref="A1474:N1488" totalsRowCount="1" headerRowDxfId="6672" dataDxfId="6670" totalsRowDxfId="6668" headerRowBorderDxfId="6671" tableBorderDxfId="6669" totalsRowBorderDxfId="6667">
  <autoFilter ref="A1474:N1487"/>
  <tableColumns count="14">
    <tableColumn id="1" name="(A)_x000a_Program Name" totalsRowLabel="Total Program 215" dataDxfId="6666" totalsRowDxfId="6665"/>
    <tableColumn id="2" name="(B)_x000a_Fiscal _x000a_Year" totalsRowLabel="N/A" dataDxfId="6664" totalsRowDxfId="6663"/>
    <tableColumn id="3" name="(C)_x000a_Program_x000a_Costs" totalsRowFunction="sum" dataDxfId="6662" totalsRowDxfId="6661"/>
    <tableColumn id="4" name="(D)_x000a_Prior Period Adjustments" totalsRowFunction="sum" dataDxfId="6660" totalsRowDxfId="6659"/>
    <tableColumn id="5" name="(E)_x000a_Current Period Desk _x000a_Reviews" totalsRowFunction="sum" dataDxfId="6658" totalsRowDxfId="6657"/>
    <tableColumn id="6" name="(F)_x000a_Current Period _x000a_Final _x000a_Audits" totalsRowFunction="sum" dataDxfId="6656" totalsRowDxfId="6655"/>
    <tableColumn id="7" name="(G)_x000a_Current Period _x000a_Other Adjustments" totalsRowFunction="sum" dataDxfId="6654" totalsRowDxfId="6653"/>
    <tableColumn id="8" name="(H)_x000a_Net Program Costs_x000a_Sum (C through G)" totalsRowFunction="sum" dataDxfId="6652" totalsRowDxfId="6651"/>
    <tableColumn id="9" name="(I)_x000a_Payments_x000a_ and Offsets" totalsRowFunction="sum" dataDxfId="6650" totalsRowDxfId="6649"/>
    <tableColumn id="10" name="(J)_x000a_Accounts Payable Balance_x000a_(H + I)" totalsRowFunction="sum" dataDxfId="6648" totalsRowDxfId="6647"/>
    <tableColumn id="11" name="(K)_x000a_Established _x000a_Accounts Receivable" totalsRowFunction="sum" dataDxfId="6646" totalsRowDxfId="6645"/>
    <tableColumn id="12" name="(L)_x000a_Recovered_x000a_ Accounts Receivable" totalsRowFunction="sum" dataDxfId="6644" totalsRowDxfId="6643"/>
    <tableColumn id="13" name="(M)_x000a_Accounts Receivable Balance_x000a_(K + L)" totalsRowFunction="sum" dataDxfId="6642" totalsRowDxfId="6641"/>
    <tableColumn id="14" name="(N)_x000a_Net Balance_x000a_(J minus M)" totalsRowFunction="sum" dataDxfId="6640" totalsRowDxfId="66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4.xml><?xml version="1.0" encoding="utf-8"?>
<table xmlns="http://schemas.openxmlformats.org/spreadsheetml/2006/main" id="104" name="Program028" displayName="Program028" ref="A1490:N1495" totalsRowCount="1" headerRowDxfId="6638" dataDxfId="6636" totalsRowDxfId="6634" headerRowBorderDxfId="6637" tableBorderDxfId="6635" totalsRowBorderDxfId="6633">
  <autoFilter ref="A1490:N1494"/>
  <tableColumns count="14">
    <tableColumn id="1" name="(A)_x000a_Program Name" totalsRowLabel="Total Program 28" dataDxfId="6632" totalsRowDxfId="6631"/>
    <tableColumn id="2" name="(B)_x000a_Fiscal _x000a_Year" totalsRowLabel="N/A" dataDxfId="6630" totalsRowDxfId="6629"/>
    <tableColumn id="3" name="(C)_x000a_Program_x000a_Costs" totalsRowFunction="sum" dataDxfId="6628" totalsRowDxfId="6627"/>
    <tableColumn id="4" name="(D)_x000a_Prior Period Adjustments" totalsRowFunction="sum" dataDxfId="6626" totalsRowDxfId="6625"/>
    <tableColumn id="5" name="(E)_x000a_Current Period Desk _x000a_Reviews" totalsRowFunction="sum" dataDxfId="6624" totalsRowDxfId="6623"/>
    <tableColumn id="6" name="(F)_x000a_Current Period _x000a_Final _x000a_Audits" totalsRowFunction="sum" dataDxfId="6622" totalsRowDxfId="6621"/>
    <tableColumn id="7" name="(G)_x000a_Current Period _x000a_Other Adjustments" totalsRowFunction="sum" dataDxfId="6620" totalsRowDxfId="6619"/>
    <tableColumn id="8" name="(H)_x000a_Net Program Costs_x000a_Sum (C through G)" totalsRowFunction="sum" dataDxfId="6618" totalsRowDxfId="6617"/>
    <tableColumn id="9" name="(I)_x000a_Payments_x000a_ and Offsets" totalsRowFunction="sum" dataDxfId="6616" totalsRowDxfId="6615"/>
    <tableColumn id="10" name="(J)_x000a_Accounts Payable Balance_x000a_(H + I)" totalsRowFunction="sum" dataDxfId="6614" totalsRowDxfId="6613"/>
    <tableColumn id="11" name="(K)_x000a_Established _x000a_Accounts Receivable" totalsRowFunction="sum" dataDxfId="6612" totalsRowDxfId="6611"/>
    <tableColumn id="12" name="(L)_x000a_Recovered_x000a_ Accounts Receivable" totalsRowFunction="sum" dataDxfId="6610" totalsRowDxfId="6609"/>
    <tableColumn id="13" name="(M)_x000a_Accounts Receivable Balance_x000a_(K + L)" totalsRowFunction="sum" dataDxfId="6608" totalsRowDxfId="6607"/>
    <tableColumn id="14" name="(N)_x000a_Net Balance_x000a_(J minus M)" totalsRowFunction="sum" dataDxfId="6606" totalsRowDxfId="66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5.xml><?xml version="1.0" encoding="utf-8"?>
<table xmlns="http://schemas.openxmlformats.org/spreadsheetml/2006/main" id="105" name="Program279" displayName="Program279" ref="A1497:N1507" totalsRowCount="1" headerRowDxfId="6604" dataDxfId="6602" totalsRowDxfId="6600" headerRowBorderDxfId="6603" tableBorderDxfId="6601" totalsRowBorderDxfId="6599">
  <autoFilter ref="A1497:N1506"/>
  <tableColumns count="14">
    <tableColumn id="1" name="(A)_x000a_Program Name" totalsRowLabel="Total Program 279" dataDxfId="6598" totalsRowDxfId="6597"/>
    <tableColumn id="2" name="(B)_x000a_Fiscal _x000a_Year" totalsRowLabel="N/A" dataDxfId="6596" totalsRowDxfId="6595"/>
    <tableColumn id="3" name="(C)_x000a_Program_x000a_Costs" totalsRowFunction="sum" dataDxfId="6594" totalsRowDxfId="6593"/>
    <tableColumn id="4" name="(D)_x000a_Prior Period Adjustments" totalsRowFunction="sum" dataDxfId="6592" totalsRowDxfId="6591"/>
    <tableColumn id="5" name="(E)_x000a_Current Period Desk _x000a_Reviews" totalsRowFunction="sum" dataDxfId="6590" totalsRowDxfId="6589"/>
    <tableColumn id="6" name="(F)_x000a_Current Period _x000a_Final _x000a_Audits" totalsRowFunction="sum" dataDxfId="6588" totalsRowDxfId="6587"/>
    <tableColumn id="7" name="(G)_x000a_Current Period _x000a_Other Adjustments" totalsRowFunction="sum" dataDxfId="6586" totalsRowDxfId="6585"/>
    <tableColumn id="8" name="(H)_x000a_Net Program Costs_x000a_Sum (C through G)" totalsRowFunction="sum" dataDxfId="6584" totalsRowDxfId="6583"/>
    <tableColumn id="9" name="(I)_x000a_Payments_x000a_ and Offsets" totalsRowFunction="sum" dataDxfId="6582" totalsRowDxfId="6581"/>
    <tableColumn id="10" name="(J)_x000a_Accounts Payable Balance_x000a_(H + I)" totalsRowFunction="sum" dataDxfId="6580" totalsRowDxfId="6579"/>
    <tableColumn id="11" name="(K)_x000a_Established _x000a_Accounts Receivable" totalsRowFunction="sum" dataDxfId="6578" totalsRowDxfId="6577"/>
    <tableColumn id="12" name="(L)_x000a_Recovered_x000a_ Accounts Receivable" totalsRowFunction="sum" dataDxfId="6576" totalsRowDxfId="6575"/>
    <tableColumn id="13" name="(M)_x000a_Accounts Receivable Balance_x000a_(K + L)" totalsRowFunction="sum" dataDxfId="6574" totalsRowDxfId="6573"/>
    <tableColumn id="14" name="(N)_x000a_Net Balance_x000a_(J minus M)" totalsRowFunction="sum" dataDxfId="6572" totalsRowDxfId="65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6.xml><?xml version="1.0" encoding="utf-8"?>
<table xmlns="http://schemas.openxmlformats.org/spreadsheetml/2006/main" id="106" name="Program363" displayName="Program363" ref="A1509:N1511" totalsRowCount="1" headerRowDxfId="6570" dataDxfId="6568" totalsRowDxfId="6566" headerRowBorderDxfId="6569" tableBorderDxfId="6567" totalsRowBorderDxfId="6565">
  <autoFilter ref="A1509:N1510"/>
  <tableColumns count="14">
    <tableColumn id="1" name="(A)_x000a_Program Name" totalsRowLabel="Total Program 363" dataDxfId="6564" totalsRowDxfId="6563"/>
    <tableColumn id="2" name="(B)_x000a_Fiscal _x000a_Year" totalsRowLabel="N/A" dataDxfId="6562" totalsRowDxfId="6561"/>
    <tableColumn id="3" name="(C)_x000a_Program_x000a_Costs" totalsRowFunction="sum" dataDxfId="6560" totalsRowDxfId="6559"/>
    <tableColumn id="4" name="(D)_x000a_Prior Period Adjustments" totalsRowFunction="sum" dataDxfId="6558" totalsRowDxfId="6557"/>
    <tableColumn id="5" name="(E)_x000a_Current Period Desk _x000a_Reviews" totalsRowFunction="sum" dataDxfId="6556" totalsRowDxfId="6555"/>
    <tableColumn id="6" name="(F)_x000a_Current Period _x000a_Final _x000a_Audits" totalsRowFunction="sum" dataDxfId="6554" totalsRowDxfId="6553"/>
    <tableColumn id="7" name="(G)_x000a_Current Period _x000a_Other Adjustments" totalsRowFunction="sum" dataDxfId="6552" totalsRowDxfId="6551"/>
    <tableColumn id="8" name="(H)_x000a_Net Program Costs_x000a_Sum (C through G)" totalsRowFunction="sum" dataDxfId="6550" totalsRowDxfId="6549"/>
    <tableColumn id="9" name="(I)_x000a_Payments_x000a_ and Offsets" totalsRowFunction="sum" dataDxfId="6548" totalsRowDxfId="6547"/>
    <tableColumn id="10" name="(J)_x000a_Accounts Payable Balance_x000a_(H + I)" totalsRowFunction="sum" dataDxfId="6546" totalsRowDxfId="6545"/>
    <tableColumn id="11" name="(K)_x000a_Established _x000a_Accounts Receivable" totalsRowFunction="sum" dataDxfId="6544" totalsRowDxfId="6543"/>
    <tableColumn id="12" name="(L)_x000a_Recovered_x000a_ Accounts Receivable" totalsRowFunction="sum" dataDxfId="6542" totalsRowDxfId="6541"/>
    <tableColumn id="13" name="(M)_x000a_Accounts Receivable Balance_x000a_(K + L)" totalsRowFunction="sum" dataDxfId="6540" totalsRowDxfId="6539"/>
    <tableColumn id="14" name="(N)_x000a_Net Balance_x000a_(J minus M)" totalsRowFunction="sum" dataDxfId="6538" totalsRowDxfId="65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7.xml><?xml version="1.0" encoding="utf-8"?>
<table xmlns="http://schemas.openxmlformats.org/spreadsheetml/2006/main" id="107" name="Program255" displayName="Program255" ref="A1513:N1523" totalsRowCount="1" headerRowDxfId="6536" dataDxfId="6534" totalsRowDxfId="6532" headerRowBorderDxfId="6535" tableBorderDxfId="6533" totalsRowBorderDxfId="6531">
  <autoFilter ref="A1513:N1522"/>
  <tableColumns count="14">
    <tableColumn id="1" name="(A)_x000a_Program Name" totalsRowLabel="Total Program 255" dataDxfId="6530" totalsRowDxfId="6529"/>
    <tableColumn id="2" name="(B)_x000a_Fiscal _x000a_Year" totalsRowLabel="N/A" dataDxfId="6528" totalsRowDxfId="6527"/>
    <tableColumn id="3" name="(C)_x000a_Program_x000a_Costs" totalsRowFunction="sum" dataDxfId="6526" totalsRowDxfId="6525"/>
    <tableColumn id="4" name="(D)_x000a_Prior Period Adjustments" totalsRowFunction="sum" dataDxfId="6524" totalsRowDxfId="6523"/>
    <tableColumn id="5" name="(E)_x000a_Current Period Desk _x000a_Reviews" totalsRowFunction="sum" dataDxfId="6522" totalsRowDxfId="6521"/>
    <tableColumn id="6" name="(F)_x000a_Current Period _x000a_Final _x000a_Audits" totalsRowFunction="sum" dataDxfId="6520" totalsRowDxfId="6519"/>
    <tableColumn id="7" name="(G)_x000a_Current Period _x000a_Other Adjustments" totalsRowFunction="sum" dataDxfId="6518" totalsRowDxfId="6517"/>
    <tableColumn id="8" name="(H)_x000a_Net Program Costs_x000a_Sum (C through G)" totalsRowFunction="sum" dataDxfId="6516" totalsRowDxfId="6515"/>
    <tableColumn id="9" name="(I)_x000a_Payments_x000a_ and Offsets" totalsRowFunction="sum" dataDxfId="6514" totalsRowDxfId="6513"/>
    <tableColumn id="10" name="(J)_x000a_Accounts Payable Balance_x000a_(H + I)" totalsRowFunction="sum" dataDxfId="6512" totalsRowDxfId="6511"/>
    <tableColumn id="11" name="(K)_x000a_Established _x000a_Accounts Receivable" totalsRowFunction="sum" dataDxfId="6510" totalsRowDxfId="6509"/>
    <tableColumn id="12" name="(L)_x000a_Recovered_x000a_ Accounts Receivable" totalsRowFunction="sum" dataDxfId="6508" totalsRowDxfId="6507"/>
    <tableColumn id="13" name="(M)_x000a_Accounts Receivable Balance_x000a_(K + L)" totalsRowFunction="sum" dataDxfId="6506" totalsRowDxfId="6505"/>
    <tableColumn id="14" name="(N)_x000a_Net Balance_x000a_(J minus M)" totalsRowFunction="sum" dataDxfId="6504" totalsRowDxfId="65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8.xml><?xml version="1.0" encoding="utf-8"?>
<table xmlns="http://schemas.openxmlformats.org/spreadsheetml/2006/main" id="108" name="Program222" displayName="Program222" ref="A1525:N1530" totalsRowCount="1" headerRowDxfId="6502" dataDxfId="6500" totalsRowDxfId="6498" headerRowBorderDxfId="6501" tableBorderDxfId="6499" totalsRowBorderDxfId="6497">
  <autoFilter ref="A1525:N1529"/>
  <tableColumns count="14">
    <tableColumn id="1" name="(A)_x000a_Program Name" totalsRowLabel="Total Program 222" dataDxfId="6496" totalsRowDxfId="6495"/>
    <tableColumn id="2" name="(B)_x000a_Fiscal _x000a_Year" totalsRowLabel="N/A" dataDxfId="6494" totalsRowDxfId="6493"/>
    <tableColumn id="3" name="(C)_x000a_Program_x000a_Costs" totalsRowFunction="sum" dataDxfId="6492" totalsRowDxfId="6491"/>
    <tableColumn id="4" name="(D)_x000a_Prior Period Adjustments" totalsRowFunction="sum" dataDxfId="6490" totalsRowDxfId="6489"/>
    <tableColumn id="5" name="(E)_x000a_Current Period Desk _x000a_Reviews" totalsRowFunction="sum" dataDxfId="6488" totalsRowDxfId="6487"/>
    <tableColumn id="6" name="(F)_x000a_Current Period _x000a_Final _x000a_Audits" totalsRowFunction="sum" dataDxfId="6486" totalsRowDxfId="6485"/>
    <tableColumn id="7" name="(G)_x000a_Current Period _x000a_Other Adjustments" totalsRowFunction="sum" dataDxfId="6484" totalsRowDxfId="6483"/>
    <tableColumn id="8" name="(H)_x000a_Net Program Costs_x000a_Sum (C through G)" totalsRowFunction="sum" dataDxfId="6482" totalsRowDxfId="6481"/>
    <tableColumn id="9" name="(I)_x000a_Payments_x000a_ and Offsets" totalsRowFunction="sum" dataDxfId="6480" totalsRowDxfId="6479"/>
    <tableColumn id="10" name="(J)_x000a_Accounts Payable Balance_x000a_(H + I)" totalsRowFunction="sum" dataDxfId="6478" totalsRowDxfId="6477"/>
    <tableColumn id="11" name="(K)_x000a_Established _x000a_Accounts Receivable" totalsRowFunction="sum" dataDxfId="6476" totalsRowDxfId="6475"/>
    <tableColumn id="12" name="(L)_x000a_Recovered_x000a_ Accounts Receivable" totalsRowFunction="sum" dataDxfId="6474" totalsRowDxfId="6473"/>
    <tableColumn id="13" name="(M)_x000a_Accounts Receivable Balance_x000a_(K + L)" totalsRowFunction="sum" dataDxfId="6472" totalsRowDxfId="6471"/>
    <tableColumn id="14" name="(N)_x000a_Net Balance_x000a_(J minus M)" totalsRowFunction="sum" dataDxfId="6470" totalsRowDxfId="64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09.xml><?xml version="1.0" encoding="utf-8"?>
<table xmlns="http://schemas.openxmlformats.org/spreadsheetml/2006/main" id="109" name="Program128" displayName="Program128" ref="A1532:N1547" totalsRowCount="1" headerRowDxfId="6468" dataDxfId="6466" totalsRowDxfId="6464" headerRowBorderDxfId="6467" tableBorderDxfId="6465" totalsRowBorderDxfId="6463">
  <autoFilter ref="A1532:N1546"/>
  <tableColumns count="14">
    <tableColumn id="1" name="(A)_x000a_Program Name" totalsRowLabel="Total Program 128" dataDxfId="6462" totalsRowDxfId="6461"/>
    <tableColumn id="2" name="(B)_x000a_Fiscal _x000a_Year" totalsRowLabel="N/A" dataDxfId="6460" totalsRowDxfId="6459"/>
    <tableColumn id="3" name="(C)_x000a_Program_x000a_Costs" totalsRowFunction="sum" dataDxfId="6458" totalsRowDxfId="6457"/>
    <tableColumn id="4" name="(D)_x000a_Prior Period Adjustments" totalsRowFunction="sum" dataDxfId="6456" totalsRowDxfId="6455"/>
    <tableColumn id="5" name="(E)_x000a_Current Period Desk _x000a_Reviews" totalsRowFunction="sum" dataDxfId="6454" totalsRowDxfId="6453"/>
    <tableColumn id="6" name="(F)_x000a_Current Period _x000a_Final _x000a_Audits" totalsRowFunction="sum" dataDxfId="6452" totalsRowDxfId="6451"/>
    <tableColumn id="7" name="(G)_x000a_Current Period _x000a_Other Adjustments" totalsRowFunction="sum" dataDxfId="6450" totalsRowDxfId="6449"/>
    <tableColumn id="8" name="(H)_x000a_Net Program Costs_x000a_Sum (C through G)" totalsRowFunction="sum" dataDxfId="6448" totalsRowDxfId="6447"/>
    <tableColumn id="9" name="(I)_x000a_Payments_x000a_ and Offsets" totalsRowFunction="sum" dataDxfId="6446" totalsRowDxfId="6445"/>
    <tableColumn id="10" name="(J)_x000a_Accounts Payable Balance_x000a_(H + I)" totalsRowFunction="sum" dataDxfId="6444" totalsRowDxfId="6443"/>
    <tableColumn id="11" name="(K)_x000a_Established _x000a_Accounts Receivable" totalsRowFunction="sum" dataDxfId="6442" totalsRowDxfId="6441"/>
    <tableColumn id="12" name="(L)_x000a_Recovered_x000a_ Accounts Receivable" totalsRowFunction="sum" dataDxfId="6440" totalsRowDxfId="6439"/>
    <tableColumn id="13" name="(M)_x000a_Accounts Receivable Balance_x000a_(K + L)" totalsRowFunction="sum" dataDxfId="6438" totalsRowDxfId="6437"/>
    <tableColumn id="14" name="(N)_x000a_Net Balance_x000a_(J minus M)" totalsRowFunction="sum" dataDxfId="6436" totalsRowDxfId="64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.xml><?xml version="1.0" encoding="utf-8"?>
<table xmlns="http://schemas.openxmlformats.org/spreadsheetml/2006/main" id="11" name="Program003" displayName="Program003" ref="A74:N78" totalsRowCount="1" headerRowDxfId="9772" dataDxfId="9770" totalsRowDxfId="9768" headerRowBorderDxfId="9771" tableBorderDxfId="9769" totalsRowBorderDxfId="9767">
  <autoFilter ref="A74:N77"/>
  <tableColumns count="14">
    <tableColumn id="1" name="(A)_x000a_Program Name" totalsRowLabel="Total Program 3" dataDxfId="9766" totalsRowDxfId="9765"/>
    <tableColumn id="2" name="(B)_x000a_Fiscal _x000a_Year" totalsRowLabel="N/A" dataDxfId="9764" totalsRowDxfId="9763"/>
    <tableColumn id="3" name="(C)_x000a_Program_x000a_Costs" totalsRowFunction="sum" dataDxfId="9762" totalsRowDxfId="9761"/>
    <tableColumn id="4" name="(D)_x000a_Prior Period Adjustments" totalsRowFunction="sum" dataDxfId="9760" totalsRowDxfId="9759"/>
    <tableColumn id="5" name="(E)_x000a_Current Period Desk _x000a_Reviews" totalsRowFunction="sum" dataDxfId="9758" totalsRowDxfId="9757"/>
    <tableColumn id="6" name="(F)_x000a_Current Period _x000a_Final _x000a_Audits" totalsRowFunction="sum" dataDxfId="9756" totalsRowDxfId="9755"/>
    <tableColumn id="7" name="(G)_x000a_Current Period _x000a_Other Adjustments" totalsRowFunction="sum" dataDxfId="9754" totalsRowDxfId="9753"/>
    <tableColumn id="8" name="(H)_x000a_Net Program Costs_x000a_Sum (C through G)" totalsRowFunction="sum" dataDxfId="9752" totalsRowDxfId="9751"/>
    <tableColumn id="9" name="(I)_x000a_Payments_x000a_ and Offsets" totalsRowFunction="sum" dataDxfId="9750" totalsRowDxfId="9749"/>
    <tableColumn id="10" name="(J)_x000a_Accounts Payable Balance_x000a_(H + I)" totalsRowFunction="sum" dataDxfId="9748" totalsRowDxfId="9747"/>
    <tableColumn id="11" name="(K)_x000a_Established _x000a_Accounts Receivable" totalsRowFunction="sum" dataDxfId="9746" totalsRowDxfId="9745"/>
    <tableColumn id="12" name="(L)_x000a_Recovered_x000a_ Accounts Receivable" totalsRowFunction="sum" dataDxfId="9744" totalsRowDxfId="9743"/>
    <tableColumn id="13" name="(M)_x000a_Accounts Receivable Balance_x000a_(K + L)" totalsRowFunction="sum" dataDxfId="9742" totalsRowDxfId="9741"/>
    <tableColumn id="14" name="(N)_x000a_Net Balance_x000a_(J minus M)" totalsRowFunction="sum" dataDxfId="9740" totalsRowDxfId="97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0.xml><?xml version="1.0" encoding="utf-8"?>
<table xmlns="http://schemas.openxmlformats.org/spreadsheetml/2006/main" id="110" name="Program052" displayName="Program052" ref="A1549:N1555" totalsRowCount="1" headerRowDxfId="6434" dataDxfId="6432" totalsRowDxfId="6430" headerRowBorderDxfId="6433" tableBorderDxfId="6431" totalsRowBorderDxfId="6429">
  <autoFilter ref="A1549:N1554"/>
  <tableColumns count="14">
    <tableColumn id="1" name="(A)_x000a_Program Name" totalsRowLabel="Total Program 52" dataDxfId="6428" totalsRowDxfId="6427"/>
    <tableColumn id="2" name="(B)_x000a_Fiscal _x000a_Year" totalsRowLabel="N/A" dataDxfId="6426" totalsRowDxfId="6425"/>
    <tableColumn id="3" name="(C)_x000a_Program_x000a_Costs" totalsRowFunction="sum" dataDxfId="6424" totalsRowDxfId="6423"/>
    <tableColumn id="4" name="(D)_x000a_Prior Period Adjustments" totalsRowFunction="sum" dataDxfId="6422" totalsRowDxfId="6421"/>
    <tableColumn id="5" name="(E)_x000a_Current Period Desk _x000a_Reviews" totalsRowFunction="sum" dataDxfId="6420" totalsRowDxfId="6419"/>
    <tableColumn id="6" name="(F)_x000a_Current Period _x000a_Final _x000a_Audits" totalsRowFunction="sum" dataDxfId="6418" totalsRowDxfId="6417"/>
    <tableColumn id="7" name="(G)_x000a_Current Period _x000a_Other Adjustments" totalsRowFunction="sum" dataDxfId="6416" totalsRowDxfId="6415"/>
    <tableColumn id="8" name="(H)_x000a_Net Program Costs_x000a_Sum (C through G)" totalsRowFunction="sum" dataDxfId="6414" totalsRowDxfId="6413"/>
    <tableColumn id="9" name="(I)_x000a_Payments_x000a_ and Offsets" totalsRowFunction="sum" dataDxfId="6412" totalsRowDxfId="6411"/>
    <tableColumn id="10" name="(J)_x000a_Accounts Payable Balance_x000a_(H + I)" totalsRowFunction="sum" dataDxfId="6410" totalsRowDxfId="6409"/>
    <tableColumn id="11" name="(K)_x000a_Established _x000a_Accounts Receivable" totalsRowFunction="sum" dataDxfId="6408" totalsRowDxfId="6407"/>
    <tableColumn id="12" name="(L)_x000a_Recovered_x000a_ Accounts Receivable" totalsRowFunction="sum" dataDxfId="6406" totalsRowDxfId="6405"/>
    <tableColumn id="13" name="(M)_x000a_Accounts Receivable Balance_x000a_(K + L)" totalsRowFunction="sum" dataDxfId="6404" totalsRowDxfId="6403"/>
    <tableColumn id="14" name="(N)_x000a_Net Balance_x000a_(J minus M)" totalsRowFunction="sum" dataDxfId="6402" totalsRowDxfId="64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1.xml><?xml version="1.0" encoding="utf-8"?>
<table xmlns="http://schemas.openxmlformats.org/spreadsheetml/2006/main" id="111" name="Program282" displayName="Program282" ref="A1557:N1564" totalsRowCount="1" headerRowDxfId="6400" dataDxfId="6398" totalsRowDxfId="6396" headerRowBorderDxfId="6399" tableBorderDxfId="6397" totalsRowBorderDxfId="6395">
  <autoFilter ref="A1557:N1563"/>
  <tableColumns count="14">
    <tableColumn id="1" name="(A)_x000a_Program Name" totalsRowLabel="Total Program 282" dataDxfId="6394" totalsRowDxfId="6393"/>
    <tableColumn id="2" name="(B)_x000a_Fiscal _x000a_Year" totalsRowLabel="N/A" dataDxfId="6392" totalsRowDxfId="6391"/>
    <tableColumn id="3" name="(C)_x000a_Program_x000a_Costs" totalsRowFunction="sum" dataDxfId="6390" totalsRowDxfId="6389"/>
    <tableColumn id="4" name="(D)_x000a_Prior Period Adjustments" totalsRowFunction="sum" dataDxfId="6388" totalsRowDxfId="6387"/>
    <tableColumn id="5" name="(E)_x000a_Current Period Desk _x000a_Reviews" totalsRowFunction="sum" dataDxfId="6386" totalsRowDxfId="6385"/>
    <tableColumn id="6" name="(F)_x000a_Current Period _x000a_Final _x000a_Audits" totalsRowFunction="sum" dataDxfId="6384" totalsRowDxfId="6383"/>
    <tableColumn id="7" name="(G)_x000a_Current Period _x000a_Other Adjustments" totalsRowFunction="sum" dataDxfId="6382" totalsRowDxfId="6381"/>
    <tableColumn id="8" name="(H)_x000a_Net Program Costs_x000a_Sum (C through G)" totalsRowFunction="sum" dataDxfId="6380" totalsRowDxfId="6379"/>
    <tableColumn id="9" name="(I)_x000a_Payments_x000a_ and Offsets" totalsRowFunction="sum" dataDxfId="6378" totalsRowDxfId="6377"/>
    <tableColumn id="10" name="(J)_x000a_Accounts Payable Balance_x000a_(H + I)" totalsRowFunction="sum" dataDxfId="6376" totalsRowDxfId="6375"/>
    <tableColumn id="11" name="(K)_x000a_Established _x000a_Accounts Receivable" totalsRowFunction="sum" dataDxfId="6374" totalsRowDxfId="6373"/>
    <tableColumn id="12" name="(L)_x000a_Recovered_x000a_ Accounts Receivable" totalsRowFunction="sum" dataDxfId="6372" totalsRowDxfId="6371"/>
    <tableColumn id="13" name="(M)_x000a_Accounts Receivable Balance_x000a_(K + L)" totalsRowFunction="sum" dataDxfId="6370" totalsRowDxfId="6369"/>
    <tableColumn id="14" name="(N)_x000a_Net Balance_x000a_(J minus M)" totalsRowFunction="sum" dataDxfId="6368" totalsRowDxfId="63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2.xml><?xml version="1.0" encoding="utf-8"?>
<table xmlns="http://schemas.openxmlformats.org/spreadsheetml/2006/main" id="112" name="Program127" displayName="Program127" ref="A1566:N1596" totalsRowCount="1" headerRowDxfId="6366" dataDxfId="6364" totalsRowDxfId="6362" headerRowBorderDxfId="6365" tableBorderDxfId="6363" totalsRowBorderDxfId="6361">
  <autoFilter ref="A1566:N1595"/>
  <tableColumns count="14">
    <tableColumn id="1" name="(A)_x000a_Program Name" totalsRowLabel="Total Program 127" dataDxfId="6360" totalsRowDxfId="6359"/>
    <tableColumn id="2" name="(B)_x000a_Fiscal _x000a_Year" totalsRowLabel="N/A" dataDxfId="6358" totalsRowDxfId="6357"/>
    <tableColumn id="3" name="(C)_x000a_Program_x000a_Costs" totalsRowFunction="sum" dataDxfId="6356" totalsRowDxfId="6355"/>
    <tableColumn id="4" name="(D)_x000a_Prior Period Adjustments" totalsRowFunction="sum" dataDxfId="6354" totalsRowDxfId="6353"/>
    <tableColumn id="5" name="(E)_x000a_Current Period Desk _x000a_Reviews" totalsRowFunction="sum" dataDxfId="6352" totalsRowDxfId="6351"/>
    <tableColumn id="6" name="(F)_x000a_Current Period _x000a_Final _x000a_Audits" totalsRowFunction="sum" dataDxfId="6350" totalsRowDxfId="6349"/>
    <tableColumn id="7" name="(G)_x000a_Current Period _x000a_Other Adjustments" totalsRowFunction="sum" dataDxfId="6348" totalsRowDxfId="6347"/>
    <tableColumn id="8" name="(H)_x000a_Net Program Costs_x000a_Sum (C through G)" totalsRowFunction="sum" dataDxfId="6346" totalsRowDxfId="6345"/>
    <tableColumn id="9" name="(I)_x000a_Payments_x000a_ and Offsets" totalsRowFunction="sum" dataDxfId="6344" totalsRowDxfId="6343"/>
    <tableColumn id="10" name="(J)_x000a_Accounts Payable Balance_x000a_(H + I)" totalsRowFunction="sum" dataDxfId="6342" totalsRowDxfId="6341"/>
    <tableColumn id="11" name="(K)_x000a_Established _x000a_Accounts Receivable" totalsRowFunction="sum" dataDxfId="6340" totalsRowDxfId="6339"/>
    <tableColumn id="12" name="(L)_x000a_Recovered_x000a_ Accounts Receivable" totalsRowFunction="sum" dataDxfId="6338" totalsRowDxfId="6337"/>
    <tableColumn id="13" name="(M)_x000a_Accounts Receivable Balance_x000a_(K + L)" totalsRowFunction="sum" dataDxfId="6336" totalsRowDxfId="6335"/>
    <tableColumn id="14" name="(N)_x000a_Net Balance_x000a_(J minus M)" totalsRowFunction="sum" dataDxfId="6334" totalsRowDxfId="63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3.xml><?xml version="1.0" encoding="utf-8"?>
<table xmlns="http://schemas.openxmlformats.org/spreadsheetml/2006/main" id="113" name="Program245" displayName="Program245" ref="A1598:N1606" totalsRowCount="1" headerRowDxfId="6332" dataDxfId="6330" totalsRowDxfId="6328" headerRowBorderDxfId="6331" tableBorderDxfId="6329" totalsRowBorderDxfId="6327">
  <autoFilter ref="A1598:N1605"/>
  <tableColumns count="14">
    <tableColumn id="1" name="(A)_x000a_Program Name" totalsRowLabel="Total Program 245" dataDxfId="6326" totalsRowDxfId="6325"/>
    <tableColumn id="2" name="(B)_x000a_Fiscal _x000a_Year" totalsRowLabel="N/A" dataDxfId="6324" totalsRowDxfId="6323"/>
    <tableColumn id="3" name="(C)_x000a_Program_x000a_Costs" totalsRowFunction="sum" dataDxfId="6322" totalsRowDxfId="6321"/>
    <tableColumn id="4" name="(D)_x000a_Prior Period Adjustments" totalsRowFunction="sum" dataDxfId="6320" totalsRowDxfId="6319"/>
    <tableColumn id="5" name="(E)_x000a_Current Period Desk _x000a_Reviews" totalsRowFunction="sum" dataDxfId="6318" totalsRowDxfId="6317"/>
    <tableColumn id="6" name="(F)_x000a_Current Period _x000a_Final _x000a_Audits" totalsRowFunction="sum" dataDxfId="6316" totalsRowDxfId="6315"/>
    <tableColumn id="7" name="(G)_x000a_Current Period _x000a_Other Adjustments" totalsRowFunction="sum" dataDxfId="6314" totalsRowDxfId="6313"/>
    <tableColumn id="8" name="(H)_x000a_Net Program Costs_x000a_Sum (C through G)" totalsRowFunction="sum" dataDxfId="6312" totalsRowDxfId="6311"/>
    <tableColumn id="9" name="(I)_x000a_Payments_x000a_ and Offsets" totalsRowFunction="sum" dataDxfId="6310" totalsRowDxfId="6309"/>
    <tableColumn id="10" name="(J)_x000a_Accounts Payable Balance_x000a_(H + I)" totalsRowFunction="sum" dataDxfId="6308" totalsRowDxfId="6307"/>
    <tableColumn id="11" name="(K)_x000a_Established _x000a_Accounts Receivable" totalsRowFunction="sum" dataDxfId="6306" totalsRowDxfId="6305"/>
    <tableColumn id="12" name="(L)_x000a_Recovered_x000a_ Accounts Receivable" totalsRowFunction="sum" dataDxfId="6304" totalsRowDxfId="6303"/>
    <tableColumn id="13" name="(M)_x000a_Accounts Receivable Balance_x000a_(K + L)" totalsRowFunction="sum" dataDxfId="6302" totalsRowDxfId="6301"/>
    <tableColumn id="14" name="(N)_x000a_Net Balance_x000a_(J minus M)" totalsRowFunction="sum" dataDxfId="6300" totalsRowDxfId="62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4.xml><?xml version="1.0" encoding="utf-8"?>
<table xmlns="http://schemas.openxmlformats.org/spreadsheetml/2006/main" id="114" name="Program055" displayName="Program055" ref="A1608:N1623" totalsRowCount="1" headerRowDxfId="6298" dataDxfId="6296" totalsRowDxfId="6294" headerRowBorderDxfId="6297" tableBorderDxfId="6295" totalsRowBorderDxfId="6293">
  <autoFilter ref="A1608:N1622"/>
  <tableColumns count="14">
    <tableColumn id="1" name="(A)_x000a_Program Name" totalsRowLabel="Total Program 55" dataDxfId="6292" totalsRowDxfId="6291"/>
    <tableColumn id="2" name="(B)_x000a_Fiscal _x000a_Year" totalsRowLabel="N/A" dataDxfId="6290" totalsRowDxfId="6289"/>
    <tableColumn id="3" name="(C)_x000a_Program_x000a_Costs" totalsRowFunction="sum" dataDxfId="6288" totalsRowDxfId="6287"/>
    <tableColumn id="4" name="(D)_x000a_Prior Period Adjustments" totalsRowFunction="sum" dataDxfId="6286" totalsRowDxfId="6285"/>
    <tableColumn id="5" name="(E)_x000a_Current Period Desk _x000a_Reviews" totalsRowFunction="sum" dataDxfId="6284" totalsRowDxfId="6283"/>
    <tableColumn id="6" name="(F)_x000a_Current Period _x000a_Final _x000a_Audits" totalsRowFunction="sum" dataDxfId="6282" totalsRowDxfId="6281"/>
    <tableColumn id="7" name="(G)_x000a_Current Period _x000a_Other Adjustments" totalsRowFunction="sum" dataDxfId="6280" totalsRowDxfId="6279"/>
    <tableColumn id="8" name="(H)_x000a_Net Program Costs_x000a_Sum (C through G)" totalsRowFunction="sum" dataDxfId="6278" totalsRowDxfId="6277"/>
    <tableColumn id="9" name="(I)_x000a_Payments_x000a_ and Offsets" totalsRowFunction="sum" dataDxfId="6276" totalsRowDxfId="6275"/>
    <tableColumn id="10" name="(J)_x000a_Accounts Payable Balance_x000a_(H + I)" totalsRowFunction="sum" dataDxfId="6274" totalsRowDxfId="6273"/>
    <tableColumn id="11" name="(K)_x000a_Established _x000a_Accounts Receivable" totalsRowFunction="sum" dataDxfId="6272" totalsRowDxfId="6271"/>
    <tableColumn id="12" name="(L)_x000a_Recovered_x000a_ Accounts Receivable" totalsRowFunction="sum" dataDxfId="6270" totalsRowDxfId="6269"/>
    <tableColumn id="13" name="(M)_x000a_Accounts Receivable Balance_x000a_(K + L)" totalsRowFunction="sum" dataDxfId="6268" totalsRowDxfId="6267"/>
    <tableColumn id="14" name="(N)_x000a_Net Balance_x000a_(J minus M)" totalsRowFunction="sum" dataDxfId="6266" totalsRowDxfId="62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5.xml><?xml version="1.0" encoding="utf-8"?>
<table xmlns="http://schemas.openxmlformats.org/spreadsheetml/2006/main" id="115" name="Program073" displayName="Program073" ref="A1625:N1647" totalsRowCount="1" headerRowDxfId="6264" dataDxfId="6262" totalsRowDxfId="6260" headerRowBorderDxfId="6263" tableBorderDxfId="6261" totalsRowBorderDxfId="6259">
  <autoFilter ref="A1625:N1646"/>
  <tableColumns count="14">
    <tableColumn id="1" name="(A)_x000a_Program Name" totalsRowLabel="Total Program 73" dataDxfId="6258" totalsRowDxfId="6257"/>
    <tableColumn id="2" name="(B)_x000a_Fiscal _x000a_Year" totalsRowLabel="N/A" dataDxfId="6256" totalsRowDxfId="6255"/>
    <tableColumn id="3" name="(C)_x000a_Program_x000a_Costs" totalsRowFunction="sum" dataDxfId="6254" totalsRowDxfId="6253"/>
    <tableColumn id="4" name="(D)_x000a_Prior Period Adjustments" totalsRowFunction="sum" dataDxfId="6252" totalsRowDxfId="6251"/>
    <tableColumn id="5" name="(E)_x000a_Current Period Desk _x000a_Reviews" totalsRowFunction="sum" dataDxfId="6250" totalsRowDxfId="6249"/>
    <tableColumn id="6" name="(F)_x000a_Current Period _x000a_Final _x000a_Audits" totalsRowFunction="sum" dataDxfId="6248" totalsRowDxfId="6247"/>
    <tableColumn id="7" name="(G)_x000a_Current Period _x000a_Other Adjustments" totalsRowFunction="sum" dataDxfId="6246" totalsRowDxfId="6245"/>
    <tableColumn id="8" name="(H)_x000a_Net Program Costs_x000a_Sum (C through G)" totalsRowFunction="sum" dataDxfId="6244" totalsRowDxfId="6243"/>
    <tableColumn id="9" name="(I)_x000a_Payments_x000a_ and Offsets" totalsRowFunction="sum" dataDxfId="6242" totalsRowDxfId="6241"/>
    <tableColumn id="10" name="(J)_x000a_Accounts Payable Balance_x000a_(H + I)" totalsRowFunction="sum" dataDxfId="6240" totalsRowDxfId="6239"/>
    <tableColumn id="11" name="(K)_x000a_Established _x000a_Accounts Receivable" totalsRowFunction="sum" dataDxfId="6238" totalsRowDxfId="6237"/>
    <tableColumn id="12" name="(L)_x000a_Recovered_x000a_ Accounts Receivable" totalsRowFunction="sum" dataDxfId="6236" totalsRowDxfId="6235"/>
    <tableColumn id="13" name="(M)_x000a_Accounts Receivable Balance_x000a_(K + L)" totalsRowFunction="sum" dataDxfId="6234" totalsRowDxfId="6233"/>
    <tableColumn id="14" name="(N)_x000a_Net Balance_x000a_(J minus M)" totalsRowFunction="sum" dataDxfId="6232" totalsRowDxfId="62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6.xml><?xml version="1.0" encoding="utf-8"?>
<table xmlns="http://schemas.openxmlformats.org/spreadsheetml/2006/main" id="116" name="Program018" displayName="Program018" ref="A1649:N1667" totalsRowCount="1" headerRowDxfId="6230" dataDxfId="6228" totalsRowDxfId="6226" headerRowBorderDxfId="6229" tableBorderDxfId="6227" totalsRowBorderDxfId="6225">
  <autoFilter ref="A1649:N1666"/>
  <tableColumns count="14">
    <tableColumn id="1" name="(A)_x000a_Program Name" totalsRowLabel="Total Program 18" dataDxfId="6224" totalsRowDxfId="6223"/>
    <tableColumn id="2" name="(B)_x000a_Fiscal _x000a_Year" totalsRowLabel="N/A" dataDxfId="6222" totalsRowDxfId="6221"/>
    <tableColumn id="3" name="(C)_x000a_Program_x000a_Costs" totalsRowFunction="sum" dataDxfId="6220" totalsRowDxfId="6219"/>
    <tableColumn id="4" name="(D)_x000a_Prior Period Adjustments" totalsRowFunction="sum" dataDxfId="6218" totalsRowDxfId="6217"/>
    <tableColumn id="5" name="(E)_x000a_Current Period Desk _x000a_Reviews" totalsRowFunction="sum" dataDxfId="6216" totalsRowDxfId="6215"/>
    <tableColumn id="6" name="(F)_x000a_Current Period _x000a_Final _x000a_Audits" totalsRowFunction="sum" dataDxfId="6214" totalsRowDxfId="6213"/>
    <tableColumn id="7" name="(G)_x000a_Current Period _x000a_Other Adjustments" totalsRowFunction="sum" dataDxfId="6212" totalsRowDxfId="6211"/>
    <tableColumn id="8" name="(H)_x000a_Net Program Costs_x000a_Sum (C through G)" totalsRowFunction="sum" dataDxfId="6210" totalsRowDxfId="6209"/>
    <tableColumn id="9" name="(I)_x000a_Payments_x000a_ and Offsets" totalsRowFunction="sum" dataDxfId="6208" totalsRowDxfId="6207"/>
    <tableColumn id="10" name="(J)_x000a_Accounts Payable Balance_x000a_(H + I)" totalsRowFunction="sum" dataDxfId="6206" totalsRowDxfId="6205"/>
    <tableColumn id="11" name="(K)_x000a_Established _x000a_Accounts Receivable" totalsRowFunction="sum" dataDxfId="6204" totalsRowDxfId="6203"/>
    <tableColumn id="12" name="(L)_x000a_Recovered_x000a_ Accounts Receivable" totalsRowFunction="sum" dataDxfId="6202" totalsRowDxfId="6201"/>
    <tableColumn id="13" name="(M)_x000a_Accounts Receivable Balance_x000a_(K + L)" totalsRowFunction="sum" dataDxfId="6200" totalsRowDxfId="6199"/>
    <tableColumn id="14" name="(N)_x000a_Net Balance_x000a_(J minus M)" totalsRowFunction="sum" dataDxfId="6198" totalsRowDxfId="61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7.xml><?xml version="1.0" encoding="utf-8"?>
<table xmlns="http://schemas.openxmlformats.org/spreadsheetml/2006/main" id="117" name="Program191" displayName="Program191" ref="A1669:N1681" totalsRowCount="1" headerRowDxfId="6196" dataDxfId="6194" totalsRowDxfId="6192" headerRowBorderDxfId="6195" tableBorderDxfId="6193" totalsRowBorderDxfId="6191">
  <autoFilter ref="A1669:N1680"/>
  <tableColumns count="14">
    <tableColumn id="1" name="(A)_x000a_Program Name" totalsRowLabel="Total Program 191" dataDxfId="6190" totalsRowDxfId="6189"/>
    <tableColumn id="2" name="(B)_x000a_Fiscal _x000a_Year" totalsRowLabel="N/A" dataDxfId="6188" totalsRowDxfId="6187"/>
    <tableColumn id="3" name="(C)_x000a_Program_x000a_Costs" totalsRowFunction="sum" dataDxfId="6186" totalsRowDxfId="6185"/>
    <tableColumn id="4" name="(D)_x000a_Prior Period Adjustments" totalsRowFunction="sum" dataDxfId="6184" totalsRowDxfId="6183"/>
    <tableColumn id="5" name="(E)_x000a_Current Period Desk _x000a_Reviews" totalsRowFunction="sum" dataDxfId="6182" totalsRowDxfId="6181"/>
    <tableColumn id="6" name="(F)_x000a_Current Period _x000a_Final _x000a_Audits" totalsRowFunction="sum" dataDxfId="6180" totalsRowDxfId="6179"/>
    <tableColumn id="7" name="(G)_x000a_Current Period _x000a_Other Adjustments" totalsRowFunction="sum" dataDxfId="6178" totalsRowDxfId="6177"/>
    <tableColumn id="8" name="(H)_x000a_Net Program Costs_x000a_Sum (C through G)" totalsRowFunction="sum" dataDxfId="6176" totalsRowDxfId="6175"/>
    <tableColumn id="9" name="(I)_x000a_Payments_x000a_ and Offsets" totalsRowFunction="sum" dataDxfId="6174" totalsRowDxfId="6173"/>
    <tableColumn id="10" name="(J)_x000a_Accounts Payable Balance_x000a_(H + I)" totalsRowFunction="sum" dataDxfId="6172" totalsRowDxfId="6171"/>
    <tableColumn id="11" name="(K)_x000a_Established _x000a_Accounts Receivable" totalsRowFunction="sum" dataDxfId="6170" totalsRowDxfId="6169"/>
    <tableColumn id="12" name="(L)_x000a_Recovered_x000a_ Accounts Receivable" totalsRowFunction="sum" dataDxfId="6168" totalsRowDxfId="6167"/>
    <tableColumn id="13" name="(M)_x000a_Accounts Receivable Balance_x000a_(K + L)" totalsRowFunction="sum" dataDxfId="6166" totalsRowDxfId="6165"/>
    <tableColumn id="14" name="(N)_x000a_Net Balance_x000a_(J minus M)" totalsRowFunction="sum" dataDxfId="6164" totalsRowDxfId="61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8.xml><?xml version="1.0" encoding="utf-8"?>
<table xmlns="http://schemas.openxmlformats.org/spreadsheetml/2006/main" id="118" name="Program220" displayName="Program220" ref="A1683:N1691" totalsRowCount="1" headerRowDxfId="6162" dataDxfId="6160" totalsRowDxfId="6158" headerRowBorderDxfId="6161" tableBorderDxfId="6159" totalsRowBorderDxfId="6157">
  <autoFilter ref="A1683:N1690"/>
  <tableColumns count="14">
    <tableColumn id="1" name="(A)_x000a_Program Name" totalsRowLabel="Total Program 220" dataDxfId="6156" totalsRowDxfId="6155"/>
    <tableColumn id="2" name="(B)_x000a_Fiscal _x000a_Year" totalsRowLabel="N/A" dataDxfId="6154" totalsRowDxfId="6153"/>
    <tableColumn id="3" name="(C)_x000a_Program_x000a_Costs" totalsRowFunction="sum" dataDxfId="6152" totalsRowDxfId="6151"/>
    <tableColumn id="4" name="(D)_x000a_Prior Period Adjustments" totalsRowFunction="sum" dataDxfId="6150" totalsRowDxfId="6149"/>
    <tableColumn id="5" name="(E)_x000a_Current Period Desk _x000a_Reviews" totalsRowFunction="sum" dataDxfId="6148" totalsRowDxfId="6147"/>
    <tableColumn id="6" name="(F)_x000a_Current Period _x000a_Final _x000a_Audits" totalsRowFunction="sum" dataDxfId="6146" totalsRowDxfId="6145"/>
    <tableColumn id="7" name="(G)_x000a_Current Period _x000a_Other Adjustments" totalsRowFunction="sum" dataDxfId="6144" totalsRowDxfId="6143"/>
    <tableColumn id="8" name="(H)_x000a_Net Program Costs_x000a_Sum (C through G)" totalsRowFunction="sum" dataDxfId="6142" totalsRowDxfId="6141"/>
    <tableColumn id="9" name="(I)_x000a_Payments_x000a_ and Offsets" totalsRowFunction="sum" dataDxfId="6140" totalsRowDxfId="6139"/>
    <tableColumn id="10" name="(J)_x000a_Accounts Payable Balance_x000a_(H + I)" totalsRowFunction="sum" dataDxfId="6138" totalsRowDxfId="6137"/>
    <tableColumn id="11" name="(K)_x000a_Established _x000a_Accounts Receivable" totalsRowFunction="sum" dataDxfId="6136" totalsRowDxfId="6135"/>
    <tableColumn id="12" name="(L)_x000a_Recovered_x000a_ Accounts Receivable" totalsRowFunction="sum" dataDxfId="6134" totalsRowDxfId="6133"/>
    <tableColumn id="13" name="(M)_x000a_Accounts Receivable Balance_x000a_(K + L)" totalsRowFunction="sum" dataDxfId="6132" totalsRowDxfId="6131"/>
    <tableColumn id="14" name="(N)_x000a_Net Balance_x000a_(J minus M)" totalsRowFunction="sum" dataDxfId="6130" totalsRowDxfId="61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19.xml><?xml version="1.0" encoding="utf-8"?>
<table xmlns="http://schemas.openxmlformats.org/spreadsheetml/2006/main" id="119" name="Program217" displayName="Program217" ref="A1693:N1701" totalsRowCount="1" headerRowDxfId="6128" dataDxfId="6126" totalsRowDxfId="6124" headerRowBorderDxfId="6127" tableBorderDxfId="6125" totalsRowBorderDxfId="6123">
  <autoFilter ref="A1693:N1700"/>
  <tableColumns count="14">
    <tableColumn id="1" name="(A)_x000a_Program Name" totalsRowLabel="Total Program 217" dataDxfId="6122" totalsRowDxfId="6121"/>
    <tableColumn id="2" name="(B)_x000a_Fiscal _x000a_Year" totalsRowLabel="N/A" dataDxfId="6120" totalsRowDxfId="6119"/>
    <tableColumn id="3" name="(C)_x000a_Program_x000a_Costs" totalsRowFunction="sum" dataDxfId="6118" totalsRowDxfId="6117"/>
    <tableColumn id="4" name="(D)_x000a_Prior Period Adjustments" totalsRowFunction="sum" dataDxfId="6116" totalsRowDxfId="6115"/>
    <tableColumn id="5" name="(E)_x000a_Current Period Desk _x000a_Reviews" totalsRowFunction="sum" dataDxfId="6114" totalsRowDxfId="6113"/>
    <tableColumn id="6" name="(F)_x000a_Current Period _x000a_Final _x000a_Audits" totalsRowFunction="sum" dataDxfId="6112" totalsRowDxfId="6111"/>
    <tableColumn id="7" name="(G)_x000a_Current Period _x000a_Other Adjustments" totalsRowFunction="sum" dataDxfId="6110" totalsRowDxfId="6109"/>
    <tableColumn id="8" name="(H)_x000a_Net Program Costs_x000a_Sum (C through G)" totalsRowFunction="sum" dataDxfId="6108" totalsRowDxfId="6107"/>
    <tableColumn id="9" name="(I)_x000a_Payments_x000a_ and Offsets" totalsRowFunction="sum" dataDxfId="6106" totalsRowDxfId="6105"/>
    <tableColumn id="10" name="(J)_x000a_Accounts Payable Balance_x000a_(H + I)" totalsRowFunction="sum" dataDxfId="6104" totalsRowDxfId="6103"/>
    <tableColumn id="11" name="(K)_x000a_Established _x000a_Accounts Receivable" totalsRowFunction="sum" dataDxfId="6102" totalsRowDxfId="6101"/>
    <tableColumn id="12" name="(L)_x000a_Recovered_x000a_ Accounts Receivable" totalsRowFunction="sum" dataDxfId="6100" totalsRowDxfId="6099"/>
    <tableColumn id="13" name="(M)_x000a_Accounts Receivable Balance_x000a_(K + L)" totalsRowFunction="sum" dataDxfId="6098" totalsRowDxfId="6097"/>
    <tableColumn id="14" name="(N)_x000a_Net Balance_x000a_(J minus M)" totalsRowFunction="sum" dataDxfId="6096" totalsRowDxfId="60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.xml><?xml version="1.0" encoding="utf-8"?>
<table xmlns="http://schemas.openxmlformats.org/spreadsheetml/2006/main" id="12" name="Program001" displayName="Program001" ref="A80:N94" totalsRowCount="1" headerRowDxfId="9738" dataDxfId="9736" totalsRowDxfId="9734" headerRowBorderDxfId="9737" tableBorderDxfId="9735" totalsRowBorderDxfId="9733">
  <autoFilter ref="A80:N93"/>
  <tableColumns count="14">
    <tableColumn id="1" name="(A)_x000a_Program Name" totalsRowLabel="Total Program 1" dataDxfId="9732" totalsRowDxfId="9731"/>
    <tableColumn id="2" name="(B)_x000a_Fiscal _x000a_Year" totalsRowLabel="N/A" dataDxfId="9730" totalsRowDxfId="9729"/>
    <tableColumn id="3" name="(C)_x000a_Program_x000a_Costs" totalsRowFunction="sum" dataDxfId="9728" totalsRowDxfId="9727"/>
    <tableColumn id="4" name="(D)_x000a_Prior Period Adjustments" totalsRowFunction="sum" dataDxfId="9726" totalsRowDxfId="9725"/>
    <tableColumn id="5" name="(E)_x000a_Current Period Desk _x000a_Reviews" totalsRowFunction="sum" dataDxfId="9724" totalsRowDxfId="9723"/>
    <tableColumn id="6" name="(F)_x000a_Current Period _x000a_Final _x000a_Audits" totalsRowFunction="sum" dataDxfId="9722" totalsRowDxfId="9721"/>
    <tableColumn id="7" name="(G)_x000a_Current Period _x000a_Other Adjustments" totalsRowFunction="sum" dataDxfId="9720" totalsRowDxfId="9719"/>
    <tableColumn id="8" name="(H)_x000a_Net Program Costs_x000a_Sum (C through G)" totalsRowFunction="sum" dataDxfId="9718" totalsRowDxfId="9717"/>
    <tableColumn id="9" name="(I)_x000a_Payments_x000a_ and Offsets" totalsRowFunction="sum" dataDxfId="9716" totalsRowDxfId="9715"/>
    <tableColumn id="10" name="(J)_x000a_Accounts Payable Balance_x000a_(H + I)" totalsRowFunction="sum" dataDxfId="9714" totalsRowDxfId="9713"/>
    <tableColumn id="11" name="(K)_x000a_Established _x000a_Accounts Receivable" totalsRowFunction="sum" dataDxfId="9712" totalsRowDxfId="9711"/>
    <tableColumn id="12" name="(L)_x000a_Recovered_x000a_ Accounts Receivable" totalsRowFunction="sum" dataDxfId="9710" totalsRowDxfId="9709"/>
    <tableColumn id="13" name="(M)_x000a_Accounts Receivable Balance_x000a_(K + L)" totalsRowFunction="sum" dataDxfId="9708" totalsRowDxfId="9707"/>
    <tableColumn id="14" name="(N)_x000a_Net Balance_x000a_(J minus M)" totalsRowFunction="sum" dataDxfId="9706" totalsRowDxfId="97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0.xml><?xml version="1.0" encoding="utf-8"?>
<table xmlns="http://schemas.openxmlformats.org/spreadsheetml/2006/main" id="120" name="Program175" displayName="Program175" ref="A1703:N1729" totalsRowCount="1" headerRowDxfId="6094" dataDxfId="6092" totalsRowDxfId="6090" headerRowBorderDxfId="6093" tableBorderDxfId="6091" totalsRowBorderDxfId="6089">
  <autoFilter ref="A1703:N1728"/>
  <tableColumns count="14">
    <tableColumn id="1" name="(A)_x000a_Program Name" totalsRowLabel="Total Program 175" dataDxfId="6088" totalsRowDxfId="6087"/>
    <tableColumn id="2" name="(B)_x000a_Fiscal _x000a_Year" totalsRowLabel="N/A" dataDxfId="6086" totalsRowDxfId="6085"/>
    <tableColumn id="3" name="(C)_x000a_Program_x000a_Costs" totalsRowFunction="sum" dataDxfId="6084" totalsRowDxfId="6083"/>
    <tableColumn id="4" name="(D)_x000a_Prior Period Adjustments" totalsRowFunction="sum" dataDxfId="6082" totalsRowDxfId="6081"/>
    <tableColumn id="5" name="(E)_x000a_Current Period Desk _x000a_Reviews" totalsRowFunction="sum" dataDxfId="6080" totalsRowDxfId="6079"/>
    <tableColumn id="6" name="(F)_x000a_Current Period _x000a_Final _x000a_Audits" totalsRowFunction="sum" dataDxfId="6078" totalsRowDxfId="6077"/>
    <tableColumn id="7" name="(G)_x000a_Current Period _x000a_Other Adjustments" totalsRowFunction="sum" dataDxfId="6076" totalsRowDxfId="6075"/>
    <tableColumn id="8" name="(H)_x000a_Net Program Costs_x000a_Sum (C through G)" totalsRowFunction="sum" dataDxfId="6074" totalsRowDxfId="6073"/>
    <tableColumn id="9" name="(I)_x000a_Payments_x000a_ and Offsets" totalsRowFunction="sum" dataDxfId="6072" totalsRowDxfId="6071"/>
    <tableColumn id="10" name="(J)_x000a_Accounts Payable Balance_x000a_(H + I)" totalsRowFunction="sum" dataDxfId="6070" totalsRowDxfId="6069"/>
    <tableColumn id="11" name="(K)_x000a_Established _x000a_Accounts Receivable" totalsRowFunction="sum" dataDxfId="6068" totalsRowDxfId="6067"/>
    <tableColumn id="12" name="(L)_x000a_Recovered_x000a_ Accounts Receivable" totalsRowFunction="sum" dataDxfId="6066" totalsRowDxfId="6065"/>
    <tableColumn id="13" name="(M)_x000a_Accounts Receivable Balance_x000a_(K + L)" totalsRowFunction="sum" dataDxfId="6064" totalsRowDxfId="6063"/>
    <tableColumn id="14" name="(N)_x000a_Net Balance_x000a_(J minus M)" totalsRowFunction="sum" dataDxfId="6062" totalsRowDxfId="60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1.xml><?xml version="1.0" encoding="utf-8"?>
<table xmlns="http://schemas.openxmlformats.org/spreadsheetml/2006/main" id="121" name="Program364" displayName="Program364" ref="A1731:N1735" totalsRowCount="1" headerRowDxfId="6060" dataDxfId="6058" totalsRowDxfId="6056" headerRowBorderDxfId="6059" tableBorderDxfId="6057" totalsRowBorderDxfId="6055">
  <autoFilter ref="A1731:N1734"/>
  <tableColumns count="14">
    <tableColumn id="1" name="(A)_x000a_Program Name" totalsRowLabel="Total Program 364" dataDxfId="6054" totalsRowDxfId="6053"/>
    <tableColumn id="2" name="(B)_x000a_Fiscal _x000a_Year" totalsRowLabel="N/A" dataDxfId="6052" totalsRowDxfId="6051"/>
    <tableColumn id="3" name="(C)_x000a_Program_x000a_Costs" totalsRowFunction="sum" dataDxfId="6050" totalsRowDxfId="6049"/>
    <tableColumn id="4" name="(D)_x000a_Prior Period Adjustments" totalsRowFunction="sum" dataDxfId="6048" totalsRowDxfId="6047"/>
    <tableColumn id="5" name="(E)_x000a_Current Period Desk _x000a_Reviews" totalsRowFunction="sum" dataDxfId="6046" totalsRowDxfId="6045"/>
    <tableColumn id="6" name="(F)_x000a_Current Period _x000a_Final _x000a_Audits" totalsRowFunction="sum" dataDxfId="6044" totalsRowDxfId="6043"/>
    <tableColumn id="7" name="(G)_x000a_Current Period _x000a_Other Adjustments" totalsRowFunction="sum" dataDxfId="6042" totalsRowDxfId="6041"/>
    <tableColumn id="8" name="(H)_x000a_Net Program Costs_x000a_Sum (C through G)" totalsRowFunction="sum" dataDxfId="6040" totalsRowDxfId="6039"/>
    <tableColumn id="9" name="(I)_x000a_Payments_x000a_ and Offsets" totalsRowFunction="sum" dataDxfId="6038" totalsRowDxfId="6037"/>
    <tableColumn id="10" name="(J)_x000a_Accounts Payable Balance_x000a_(H + I)" totalsRowFunction="sum" dataDxfId="6036" totalsRowDxfId="6035"/>
    <tableColumn id="11" name="(K)_x000a_Established _x000a_Accounts Receivable" totalsRowFunction="sum" dataDxfId="6034" totalsRowDxfId="6033"/>
    <tableColumn id="12" name="(L)_x000a_Recovered_x000a_ Accounts Receivable" totalsRowFunction="sum" dataDxfId="6032" totalsRowDxfId="6031"/>
    <tableColumn id="13" name="(M)_x000a_Accounts Receivable Balance_x000a_(K + L)" totalsRowFunction="sum" dataDxfId="6030" totalsRowDxfId="6029"/>
    <tableColumn id="14" name="(N)_x000a_Net Balance_x000a_(J minus M)" totalsRowFunction="sum" dataDxfId="6028" totalsRowDxfId="60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2.xml><?xml version="1.0" encoding="utf-8"?>
<table xmlns="http://schemas.openxmlformats.org/spreadsheetml/2006/main" id="122" name="Program086" displayName="Program086" ref="A1737:N1743" totalsRowCount="1" headerRowDxfId="6026" dataDxfId="6024" totalsRowDxfId="6022" headerRowBorderDxfId="6025" tableBorderDxfId="6023" totalsRowBorderDxfId="6021">
  <autoFilter ref="A1737:N1742"/>
  <tableColumns count="14">
    <tableColumn id="1" name="(A)_x000a_Program Name" totalsRowLabel="Total Program 86" dataDxfId="6020" totalsRowDxfId="6019"/>
    <tableColumn id="2" name="(B)_x000a_Fiscal _x000a_Year" totalsRowLabel="N/A" dataDxfId="6018" totalsRowDxfId="6017"/>
    <tableColumn id="3" name="(C)_x000a_Program_x000a_Costs" totalsRowFunction="sum" dataDxfId="6016" totalsRowDxfId="6015"/>
    <tableColumn id="4" name="(D)_x000a_Prior Period Adjustments" totalsRowFunction="sum" dataDxfId="6014" totalsRowDxfId="6013"/>
    <tableColumn id="5" name="(E)_x000a_Current Period Desk _x000a_Reviews" totalsRowFunction="sum" dataDxfId="6012" totalsRowDxfId="6011"/>
    <tableColumn id="6" name="(F)_x000a_Current Period _x000a_Final _x000a_Audits" totalsRowFunction="sum" dataDxfId="6010" totalsRowDxfId="6009"/>
    <tableColumn id="7" name="(G)_x000a_Current Period _x000a_Other Adjustments" totalsRowFunction="sum" dataDxfId="6008" totalsRowDxfId="6007"/>
    <tableColumn id="8" name="(H)_x000a_Net Program Costs_x000a_Sum (C through G)" totalsRowFunction="sum" dataDxfId="6006" totalsRowDxfId="6005"/>
    <tableColumn id="9" name="(I)_x000a_Payments_x000a_ and Offsets" totalsRowFunction="sum" dataDxfId="6004" totalsRowDxfId="6003"/>
    <tableColumn id="10" name="(J)_x000a_Accounts Payable Balance_x000a_(H + I)" totalsRowFunction="sum" dataDxfId="6002" totalsRowDxfId="6001"/>
    <tableColumn id="11" name="(K)_x000a_Established _x000a_Accounts Receivable" totalsRowFunction="sum" dataDxfId="6000" totalsRowDxfId="5999"/>
    <tableColumn id="12" name="(L)_x000a_Recovered_x000a_ Accounts Receivable" totalsRowFunction="sum" dataDxfId="5998" totalsRowDxfId="5997"/>
    <tableColumn id="13" name="(M)_x000a_Accounts Receivable Balance_x000a_(K + L)" totalsRowFunction="sum" dataDxfId="5996" totalsRowDxfId="5995"/>
    <tableColumn id="14" name="(N)_x000a_Net Balance_x000a_(J minus M)" totalsRowFunction="sum" dataDxfId="5994" totalsRowDxfId="59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3.xml><?xml version="1.0" encoding="utf-8"?>
<table xmlns="http://schemas.openxmlformats.org/spreadsheetml/2006/main" id="123" name="Program180" displayName="Program180" ref="A1745:N1759" totalsRowCount="1" headerRowDxfId="5992" dataDxfId="5990" totalsRowDxfId="5988" headerRowBorderDxfId="5991" tableBorderDxfId="5989" totalsRowBorderDxfId="5987">
  <autoFilter ref="A1745:N1758"/>
  <tableColumns count="14">
    <tableColumn id="1" name="(A)_x000a_Program Name" totalsRowLabel="Total Program 180" dataDxfId="5986" totalsRowDxfId="5985"/>
    <tableColumn id="2" name="(B)_x000a_Fiscal _x000a_Year" totalsRowLabel="N/A" dataDxfId="5984" totalsRowDxfId="5983"/>
    <tableColumn id="3" name="(C)_x000a_Program_x000a_Costs" totalsRowFunction="sum" dataDxfId="5982" totalsRowDxfId="5981"/>
    <tableColumn id="4" name="(D)_x000a_Prior Period Adjustments" totalsRowFunction="sum" dataDxfId="5980" totalsRowDxfId="5979"/>
    <tableColumn id="5" name="(E)_x000a_Current Period Desk _x000a_Reviews" totalsRowFunction="sum" dataDxfId="5978" totalsRowDxfId="5977"/>
    <tableColumn id="6" name="(F)_x000a_Current Period _x000a_Final _x000a_Audits" totalsRowFunction="sum" dataDxfId="5976" totalsRowDxfId="5975"/>
    <tableColumn id="7" name="(G)_x000a_Current Period _x000a_Other Adjustments" totalsRowFunction="sum" dataDxfId="5974" totalsRowDxfId="5973"/>
    <tableColumn id="8" name="(H)_x000a_Net Program Costs_x000a_Sum (C through G)" totalsRowFunction="sum" dataDxfId="5972" totalsRowDxfId="5971"/>
    <tableColumn id="9" name="(I)_x000a_Payments_x000a_ and Offsets" totalsRowFunction="sum" dataDxfId="5970" totalsRowDxfId="5969"/>
    <tableColumn id="10" name="(J)_x000a_Accounts Payable Balance_x000a_(H + I)" totalsRowFunction="sum" dataDxfId="5968" totalsRowDxfId="5967"/>
    <tableColumn id="11" name="(K)_x000a_Established _x000a_Accounts Receivable" totalsRowFunction="sum" dataDxfId="5966" totalsRowDxfId="5965"/>
    <tableColumn id="12" name="(L)_x000a_Recovered_x000a_ Accounts Receivable" totalsRowFunction="sum" dataDxfId="5964" totalsRowDxfId="5963"/>
    <tableColumn id="13" name="(M)_x000a_Accounts Receivable Balance_x000a_(K + L)" totalsRowFunction="sum" dataDxfId="5962" totalsRowDxfId="5961"/>
    <tableColumn id="14" name="(N)_x000a_Net Balance_x000a_(J minus M)" totalsRowFunction="sum" dataDxfId="5960" totalsRowDxfId="59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4.xml><?xml version="1.0" encoding="utf-8"?>
<table xmlns="http://schemas.openxmlformats.org/spreadsheetml/2006/main" id="124" name="Program110" displayName="Program110" ref="A1761:N1776" totalsRowCount="1" headerRowDxfId="5958" dataDxfId="5956" totalsRowDxfId="5954" headerRowBorderDxfId="5957" tableBorderDxfId="5955" totalsRowBorderDxfId="5953">
  <autoFilter ref="A1761:N1775"/>
  <tableColumns count="14">
    <tableColumn id="1" name="(A)_x000a_Program Name" totalsRowLabel="Total Program 110" dataDxfId="5952" totalsRowDxfId="5951"/>
    <tableColumn id="2" name="(B)_x000a_Fiscal _x000a_Year" totalsRowLabel="N/A" dataDxfId="5950" totalsRowDxfId="5949"/>
    <tableColumn id="3" name="(C)_x000a_Program_x000a_Costs" totalsRowFunction="sum" dataDxfId="5948" totalsRowDxfId="5947"/>
    <tableColumn id="4" name="(D)_x000a_Prior Period Adjustments" totalsRowFunction="sum" dataDxfId="5946" totalsRowDxfId="5945"/>
    <tableColumn id="5" name="(E)_x000a_Current Period Desk _x000a_Reviews" totalsRowFunction="sum" dataDxfId="5944" totalsRowDxfId="5943"/>
    <tableColumn id="6" name="(F)_x000a_Current Period _x000a_Final _x000a_Audits" totalsRowFunction="sum" dataDxfId="5942" totalsRowDxfId="5941"/>
    <tableColumn id="7" name="(G)_x000a_Current Period _x000a_Other Adjustments" totalsRowFunction="sum" dataDxfId="5940" totalsRowDxfId="5939"/>
    <tableColumn id="8" name="(H)_x000a_Net Program Costs_x000a_Sum (C through G)" totalsRowFunction="sum" dataDxfId="5938" totalsRowDxfId="5937"/>
    <tableColumn id="9" name="(I)_x000a_Payments_x000a_ and Offsets" totalsRowFunction="sum" dataDxfId="5936" totalsRowDxfId="5935"/>
    <tableColumn id="10" name="(J)_x000a_Accounts Payable Balance_x000a_(H + I)" totalsRowFunction="sum" dataDxfId="5934" totalsRowDxfId="5933"/>
    <tableColumn id="11" name="(K)_x000a_Established _x000a_Accounts Receivable" totalsRowFunction="sum" dataDxfId="5932" totalsRowDxfId="5931"/>
    <tableColumn id="12" name="(L)_x000a_Recovered_x000a_ Accounts Receivable" totalsRowFunction="sum" dataDxfId="5930" totalsRowDxfId="5929"/>
    <tableColumn id="13" name="(M)_x000a_Accounts Receivable Balance_x000a_(K + L)" totalsRowFunction="sum" dataDxfId="5928" totalsRowDxfId="5927"/>
    <tableColumn id="14" name="(N)_x000a_Net Balance_x000a_(J minus M)" totalsRowFunction="sum" dataDxfId="5926" totalsRowDxfId="59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5.xml><?xml version="1.0" encoding="utf-8"?>
<table xmlns="http://schemas.openxmlformats.org/spreadsheetml/2006/main" id="125" name="Program125" displayName="Program125" ref="A1778:N1792" totalsRowCount="1" headerRowDxfId="5924" dataDxfId="5922" totalsRowDxfId="5920" headerRowBorderDxfId="5923" tableBorderDxfId="5921" totalsRowBorderDxfId="5919">
  <autoFilter ref="A1778:N1791"/>
  <tableColumns count="14">
    <tableColumn id="1" name="(A)_x000a_Program Name" totalsRowLabel="Total Program 125" dataDxfId="5918" totalsRowDxfId="5917"/>
    <tableColumn id="2" name="(B)_x000a_Fiscal _x000a_Year" totalsRowLabel="N/A" dataDxfId="5916" totalsRowDxfId="5915"/>
    <tableColumn id="3" name="(C)_x000a_Program_x000a_Costs" totalsRowFunction="sum" dataDxfId="5914" totalsRowDxfId="5913"/>
    <tableColumn id="4" name="(D)_x000a_Prior Period Adjustments" totalsRowFunction="sum" dataDxfId="5912" totalsRowDxfId="5911"/>
    <tableColumn id="5" name="(E)_x000a_Current Period Desk _x000a_Reviews" totalsRowFunction="sum" dataDxfId="5910" totalsRowDxfId="5909"/>
    <tableColumn id="6" name="(F)_x000a_Current Period _x000a_Final _x000a_Audits" totalsRowFunction="sum" dataDxfId="5908" totalsRowDxfId="5907"/>
    <tableColumn id="7" name="(G)_x000a_Current Period _x000a_Other Adjustments" totalsRowFunction="sum" dataDxfId="5906" totalsRowDxfId="5905"/>
    <tableColumn id="8" name="(H)_x000a_Net Program Costs_x000a_Sum (C through G)" totalsRowFunction="sum" dataDxfId="5904" totalsRowDxfId="5903"/>
    <tableColumn id="9" name="(I)_x000a_Payments_x000a_ and Offsets" totalsRowFunction="sum" dataDxfId="5902" totalsRowDxfId="5901"/>
    <tableColumn id="10" name="(J)_x000a_Accounts Payable Balance_x000a_(H + I)" totalsRowFunction="sum" dataDxfId="5900" totalsRowDxfId="5899"/>
    <tableColumn id="11" name="(K)_x000a_Established _x000a_Accounts Receivable" totalsRowFunction="sum" dataDxfId="5898" totalsRowDxfId="5897"/>
    <tableColumn id="12" name="(L)_x000a_Recovered_x000a_ Accounts Receivable" totalsRowFunction="sum" dataDxfId="5896" totalsRowDxfId="5895"/>
    <tableColumn id="13" name="(M)_x000a_Accounts Receivable Balance_x000a_(K + L)" totalsRowFunction="sum" dataDxfId="5894" totalsRowDxfId="5893"/>
    <tableColumn id="14" name="(N)_x000a_Net Balance_x000a_(J minus M)" totalsRowFunction="sum" dataDxfId="5892" totalsRowDxfId="58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6.xml><?xml version="1.0" encoding="utf-8"?>
<table xmlns="http://schemas.openxmlformats.org/spreadsheetml/2006/main" id="126" name="Program360" displayName="Program360" ref="A1794:N1808" totalsRowCount="1" headerRowDxfId="5890" dataDxfId="5888" totalsRowDxfId="5886" headerRowBorderDxfId="5889" tableBorderDxfId="5887" totalsRowBorderDxfId="5885">
  <autoFilter ref="A1794:N1807"/>
  <tableColumns count="14">
    <tableColumn id="1" name="(A)_x000a_Program Name" totalsRowLabel="Total Program 360" dataDxfId="5884" totalsRowDxfId="5883"/>
    <tableColumn id="2" name="(B)_x000a_Fiscal _x000a_Year" totalsRowLabel="N/A" dataDxfId="5882" totalsRowDxfId="5881"/>
    <tableColumn id="3" name="(C)_x000a_Program_x000a_Costs" totalsRowFunction="sum" dataDxfId="5880" totalsRowDxfId="5879"/>
    <tableColumn id="4" name="(D)_x000a_Prior Period Adjustments" totalsRowFunction="sum" dataDxfId="5878" totalsRowDxfId="5877"/>
    <tableColumn id="5" name="(E)_x000a_Current Period Desk _x000a_Reviews" totalsRowFunction="sum" dataDxfId="5876" totalsRowDxfId="5875"/>
    <tableColumn id="6" name="(F)_x000a_Current Period _x000a_Final _x000a_Audits" totalsRowFunction="sum" dataDxfId="5874" totalsRowDxfId="5873"/>
    <tableColumn id="7" name="(G)_x000a_Current Period _x000a_Other Adjustments" totalsRowFunction="sum" dataDxfId="5872" totalsRowDxfId="5871"/>
    <tableColumn id="8" name="(H)_x000a_Net Program Costs_x000a_Sum (C through G)" totalsRowFunction="sum" dataDxfId="5870" totalsRowDxfId="5869"/>
    <tableColumn id="9" name="(I)_x000a_Payments_x000a_ and Offsets" totalsRowFunction="sum" dataDxfId="5868" totalsRowDxfId="5867"/>
    <tableColumn id="10" name="(J)_x000a_Accounts Payable Balance_x000a_(H + I)" totalsRowFunction="sum" dataDxfId="5866" totalsRowDxfId="5865"/>
    <tableColumn id="11" name="(K)_x000a_Established _x000a_Accounts Receivable" totalsRowFunction="sum" dataDxfId="5864" totalsRowDxfId="5863"/>
    <tableColumn id="12" name="(L)_x000a_Recovered_x000a_ Accounts Receivable" totalsRowFunction="sum" dataDxfId="5862" totalsRowDxfId="5861"/>
    <tableColumn id="13" name="(M)_x000a_Accounts Receivable Balance_x000a_(K + L)" totalsRowFunction="sum" dataDxfId="5860" totalsRowDxfId="5859"/>
    <tableColumn id="14" name="(N)_x000a_Net Balance_x000a_(J minus M)" totalsRowFunction="sum" dataDxfId="5858" totalsRowDxfId="58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7.xml><?xml version="1.0" encoding="utf-8"?>
<table xmlns="http://schemas.openxmlformats.org/spreadsheetml/2006/main" id="127" name="Program120" displayName="Program120" ref="A1810:N1829" totalsRowCount="1" headerRowDxfId="5856" dataDxfId="5854" totalsRowDxfId="5852" headerRowBorderDxfId="5855" tableBorderDxfId="5853" totalsRowBorderDxfId="5851">
  <autoFilter ref="A1810:N1828"/>
  <tableColumns count="14">
    <tableColumn id="1" name="(A)_x000a_Program Name" totalsRowLabel="Total Program 120" dataDxfId="5850" totalsRowDxfId="5849"/>
    <tableColumn id="2" name="(B)_x000a_Fiscal _x000a_Year" totalsRowLabel="N/A" dataDxfId="5848" totalsRowDxfId="5847"/>
    <tableColumn id="3" name="(C)_x000a_Program_x000a_Costs" totalsRowFunction="sum" dataDxfId="5846" totalsRowDxfId="5845"/>
    <tableColumn id="4" name="(D)_x000a_Prior Period Adjustments" totalsRowFunction="sum" dataDxfId="5844" totalsRowDxfId="5843"/>
    <tableColumn id="5" name="(E)_x000a_Current Period Desk _x000a_Reviews" totalsRowFunction="sum" dataDxfId="5842" totalsRowDxfId="5841"/>
    <tableColumn id="6" name="(F)_x000a_Current Period _x000a_Final _x000a_Audits" totalsRowFunction="sum" dataDxfId="5840" totalsRowDxfId="5839"/>
    <tableColumn id="7" name="(G)_x000a_Current Period _x000a_Other Adjustments" totalsRowFunction="sum" dataDxfId="5838" totalsRowDxfId="5837"/>
    <tableColumn id="8" name="(H)_x000a_Net Program Costs_x000a_Sum (C through G)" totalsRowFunction="sum" dataDxfId="5836" totalsRowDxfId="5835"/>
    <tableColumn id="9" name="(I)_x000a_Payments_x000a_ and Offsets" totalsRowFunction="sum" dataDxfId="5834" totalsRowDxfId="5833"/>
    <tableColumn id="10" name="(J)_x000a_Accounts Payable Balance_x000a_(H + I)" totalsRowFunction="sum" dataDxfId="5832" totalsRowDxfId="5831"/>
    <tableColumn id="11" name="(K)_x000a_Established _x000a_Accounts Receivable" totalsRowFunction="sum" dataDxfId="5830" totalsRowDxfId="5829"/>
    <tableColumn id="12" name="(L)_x000a_Recovered_x000a_ Accounts Receivable" totalsRowFunction="sum" dataDxfId="5828" totalsRowDxfId="5827"/>
    <tableColumn id="13" name="(M)_x000a_Accounts Receivable Balance_x000a_(K + L)" totalsRowFunction="sum" dataDxfId="5826" totalsRowDxfId="5825"/>
    <tableColumn id="14" name="(N)_x000a_Net Balance_x000a_(J minus M)" totalsRowFunction="sum" dataDxfId="5824" totalsRowDxfId="58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8.xml><?xml version="1.0" encoding="utf-8"?>
<table xmlns="http://schemas.openxmlformats.org/spreadsheetml/2006/main" id="128" name="Program064" displayName="Program064" ref="A1831:N1840" totalsRowCount="1" headerRowDxfId="5822" dataDxfId="5820" totalsRowDxfId="5818" headerRowBorderDxfId="5821" tableBorderDxfId="5819" totalsRowBorderDxfId="5817">
  <autoFilter ref="A1831:N1839"/>
  <tableColumns count="14">
    <tableColumn id="1" name="(A)_x000a_Program Name" totalsRowLabel="Total Program 64" dataDxfId="5816" totalsRowDxfId="5815"/>
    <tableColumn id="2" name="(B)_x000a_Fiscal _x000a_Year" totalsRowLabel="N/A" dataDxfId="5814" totalsRowDxfId="5813"/>
    <tableColumn id="3" name="(C)_x000a_Program_x000a_Costs" totalsRowFunction="sum" dataDxfId="5812" totalsRowDxfId="5811"/>
    <tableColumn id="4" name="(D)_x000a_Prior Period Adjustments" totalsRowFunction="sum" dataDxfId="5810" totalsRowDxfId="5809"/>
    <tableColumn id="5" name="(E)_x000a_Current Period Desk _x000a_Reviews" totalsRowFunction="sum" dataDxfId="5808" totalsRowDxfId="5807"/>
    <tableColumn id="6" name="(F)_x000a_Current Period _x000a_Final _x000a_Audits" totalsRowFunction="sum" dataDxfId="5806" totalsRowDxfId="5805"/>
    <tableColumn id="7" name="(G)_x000a_Current Period _x000a_Other Adjustments" totalsRowFunction="sum" dataDxfId="5804" totalsRowDxfId="5803"/>
    <tableColumn id="8" name="(H)_x000a_Net Program Costs_x000a_Sum (C through G)" totalsRowFunction="sum" dataDxfId="5802" totalsRowDxfId="5801"/>
    <tableColumn id="9" name="(I)_x000a_Payments_x000a_ and Offsets" totalsRowFunction="sum" dataDxfId="5800" totalsRowDxfId="5799"/>
    <tableColumn id="10" name="(J)_x000a_Accounts Payable Balance_x000a_(H + I)" totalsRowFunction="sum" dataDxfId="5798" totalsRowDxfId="5797"/>
    <tableColumn id="11" name="(K)_x000a_Established _x000a_Accounts Receivable" totalsRowFunction="sum" dataDxfId="5796" totalsRowDxfId="5795"/>
    <tableColumn id="12" name="(L)_x000a_Recovered_x000a_ Accounts Receivable" totalsRowFunction="sum" dataDxfId="5794" totalsRowDxfId="5793"/>
    <tableColumn id="13" name="(M)_x000a_Accounts Receivable Balance_x000a_(K + L)" totalsRowFunction="sum" dataDxfId="5792" totalsRowDxfId="5791"/>
    <tableColumn id="14" name="(N)_x000a_Net Balance_x000a_(J minus M)" totalsRowFunction="sum" dataDxfId="5790" totalsRowDxfId="57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29.xml><?xml version="1.0" encoding="utf-8"?>
<table xmlns="http://schemas.openxmlformats.org/spreadsheetml/2006/main" id="129" name="Program065" displayName="Program065" ref="A1842:N1845" totalsRowCount="1" headerRowDxfId="5788" dataDxfId="5786" totalsRowDxfId="5784" headerRowBorderDxfId="5787" tableBorderDxfId="5785" totalsRowBorderDxfId="5783">
  <autoFilter ref="A1842:N1844"/>
  <tableColumns count="14">
    <tableColumn id="1" name="(A)_x000a_Program Name" totalsRowLabel="Total Program 65" dataDxfId="5782" totalsRowDxfId="5781"/>
    <tableColumn id="2" name="(B)_x000a_Fiscal _x000a_Year" totalsRowLabel="N/A" dataDxfId="5780" totalsRowDxfId="5779"/>
    <tableColumn id="3" name="(C)_x000a_Program_x000a_Costs" totalsRowFunction="sum" dataDxfId="5778" totalsRowDxfId="5777"/>
    <tableColumn id="4" name="(D)_x000a_Prior Period Adjustments" totalsRowFunction="sum" dataDxfId="5776" totalsRowDxfId="5775"/>
    <tableColumn id="5" name="(E)_x000a_Current Period Desk _x000a_Reviews" totalsRowFunction="sum" dataDxfId="5774" totalsRowDxfId="5773"/>
    <tableColumn id="6" name="(F)_x000a_Current Period _x000a_Final _x000a_Audits" totalsRowFunction="sum" dataDxfId="5772" totalsRowDxfId="5771"/>
    <tableColumn id="7" name="(G)_x000a_Current Period _x000a_Other Adjustments" totalsRowFunction="sum" dataDxfId="5770" totalsRowDxfId="5769"/>
    <tableColumn id="8" name="(H)_x000a_Net Program Costs_x000a_Sum (C through G)" totalsRowFunction="sum" dataDxfId="5768" totalsRowDxfId="5767"/>
    <tableColumn id="9" name="(I)_x000a_Payments_x000a_ and Offsets" totalsRowFunction="sum" dataDxfId="5766" totalsRowDxfId="5765"/>
    <tableColumn id="10" name="(J)_x000a_Accounts Payable Balance_x000a_(H + I)" totalsRowFunction="sum" dataDxfId="5764" totalsRowDxfId="5763"/>
    <tableColumn id="11" name="(K)_x000a_Established _x000a_Accounts Receivable" totalsRowFunction="sum" dataDxfId="5762" totalsRowDxfId="5761"/>
    <tableColumn id="12" name="(L)_x000a_Recovered_x000a_ Accounts Receivable" totalsRowFunction="sum" dataDxfId="5760" totalsRowDxfId="5759"/>
    <tableColumn id="13" name="(M)_x000a_Accounts Receivable Balance_x000a_(K + L)" totalsRowFunction="sum" dataDxfId="5758" totalsRowDxfId="5757"/>
    <tableColumn id="14" name="(N)_x000a_Net Balance_x000a_(J minus M)" totalsRowFunction="sum" dataDxfId="5756" totalsRowDxfId="57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.xml><?xml version="1.0" encoding="utf-8"?>
<table xmlns="http://schemas.openxmlformats.org/spreadsheetml/2006/main" id="13" name="Program178" displayName="Program178" ref="A96:N107" totalsRowCount="1" headerRowDxfId="9704" dataDxfId="9702" totalsRowDxfId="9700" headerRowBorderDxfId="9703" tableBorderDxfId="9701" totalsRowBorderDxfId="9699">
  <autoFilter ref="A96:N106"/>
  <tableColumns count="14">
    <tableColumn id="1" name="(A)_x000a_Program Name" totalsRowLabel="Total Program 178" dataDxfId="9698" totalsRowDxfId="9697"/>
    <tableColumn id="2" name="(B)_x000a_Fiscal _x000a_Year" totalsRowLabel="N/A" dataDxfId="9696" totalsRowDxfId="9695"/>
    <tableColumn id="3" name="(C)_x000a_Program_x000a_Costs" totalsRowFunction="sum" dataDxfId="9694" totalsRowDxfId="9693"/>
    <tableColumn id="4" name="(D)_x000a_Prior Period Adjustments" totalsRowFunction="sum" dataDxfId="9692" totalsRowDxfId="9691"/>
    <tableColumn id="5" name="(E)_x000a_Current Period Desk _x000a_Reviews" totalsRowFunction="sum" dataDxfId="9690" totalsRowDxfId="9689"/>
    <tableColumn id="6" name="(F)_x000a_Current Period _x000a_Final _x000a_Audits" totalsRowFunction="sum" dataDxfId="9688" totalsRowDxfId="9687"/>
    <tableColumn id="7" name="(G)_x000a_Current Period _x000a_Other Adjustments" totalsRowFunction="sum" dataDxfId="9686" totalsRowDxfId="9685"/>
    <tableColumn id="8" name="(H)_x000a_Net Program Costs_x000a_Sum (C through G)" totalsRowFunction="sum" dataDxfId="9684" totalsRowDxfId="9683"/>
    <tableColumn id="9" name="(I)_x000a_Payments_x000a_ and Offsets" totalsRowFunction="sum" dataDxfId="9682" totalsRowDxfId="9681"/>
    <tableColumn id="10" name="(J)_x000a_Accounts Payable Balance_x000a_(H + I)" totalsRowFunction="sum" dataDxfId="9680" totalsRowDxfId="9679"/>
    <tableColumn id="11" name="(K)_x000a_Established _x000a_Accounts Receivable" totalsRowFunction="sum" dataDxfId="9678" totalsRowDxfId="9677"/>
    <tableColumn id="12" name="(L)_x000a_Recovered_x000a_ Accounts Receivable" totalsRowFunction="sum" dataDxfId="9676" totalsRowDxfId="9675"/>
    <tableColumn id="13" name="(M)_x000a_Accounts Receivable Balance_x000a_(K + L)" totalsRowFunction="sum" dataDxfId="9674" totalsRowDxfId="9673"/>
    <tableColumn id="14" name="(N)_x000a_Net Balance_x000a_(J minus M)" totalsRowFunction="sum" dataDxfId="9672" totalsRowDxfId="96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0.xml><?xml version="1.0" encoding="utf-8"?>
<table xmlns="http://schemas.openxmlformats.org/spreadsheetml/2006/main" id="130" name="Program163" displayName="Program163" ref="A1847:N1870" totalsRowCount="1" headerRowDxfId="5754" dataDxfId="5752" totalsRowDxfId="5750" headerRowBorderDxfId="5753" tableBorderDxfId="5751" totalsRowBorderDxfId="5749">
  <autoFilter ref="A1847:N1869"/>
  <tableColumns count="14">
    <tableColumn id="1" name="(A)_x000a_Program Name" totalsRowLabel="Total Program 163" dataDxfId="5748" totalsRowDxfId="5747"/>
    <tableColumn id="2" name="(B)_x000a_Fiscal _x000a_Year" totalsRowLabel="N/A" dataDxfId="5746" totalsRowDxfId="5745"/>
    <tableColumn id="3" name="(C)_x000a_Program_x000a_Costs" totalsRowFunction="sum" dataDxfId="5744" totalsRowDxfId="5743"/>
    <tableColumn id="4" name="(D)_x000a_Prior Period Adjustments" totalsRowFunction="sum" dataDxfId="5742" totalsRowDxfId="5741"/>
    <tableColumn id="5" name="(E)_x000a_Current Period Desk _x000a_Reviews" totalsRowFunction="sum" dataDxfId="5740" totalsRowDxfId="5739"/>
    <tableColumn id="6" name="(F)_x000a_Current Period _x000a_Final _x000a_Audits" totalsRowFunction="sum" dataDxfId="5738" totalsRowDxfId="5737"/>
    <tableColumn id="7" name="(G)_x000a_Current Period _x000a_Other Adjustments" totalsRowFunction="sum" dataDxfId="5736" totalsRowDxfId="5735"/>
    <tableColumn id="8" name="(H)_x000a_Net Program Costs_x000a_Sum (C through G)" totalsRowFunction="sum" dataDxfId="5734" totalsRowDxfId="5733"/>
    <tableColumn id="9" name="(I)_x000a_Payments_x000a_ and Offsets" totalsRowFunction="sum" dataDxfId="5732" totalsRowDxfId="5731"/>
    <tableColumn id="10" name="(J)_x000a_Accounts Payable Balance_x000a_(H + I)" totalsRowFunction="sum" dataDxfId="5730" totalsRowDxfId="5729"/>
    <tableColumn id="11" name="(K)_x000a_Established _x000a_Accounts Receivable" totalsRowFunction="sum" dataDxfId="5728" totalsRowDxfId="5727"/>
    <tableColumn id="12" name="(L)_x000a_Recovered_x000a_ Accounts Receivable" totalsRowFunction="sum" dataDxfId="5726" totalsRowDxfId="5725"/>
    <tableColumn id="13" name="(M)_x000a_Accounts Receivable Balance_x000a_(K + L)" totalsRowFunction="sum" dataDxfId="5724" totalsRowDxfId="5723"/>
    <tableColumn id="14" name="(N)_x000a_Net Balance_x000a_(J minus M)" totalsRowFunction="sum" dataDxfId="5722" totalsRowDxfId="57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1.xml><?xml version="1.0" encoding="utf-8"?>
<table xmlns="http://schemas.openxmlformats.org/spreadsheetml/2006/main" id="131" name="Program345" displayName="Program345" ref="A1872:N1891" totalsRowCount="1" headerRowDxfId="5720" dataDxfId="5718" totalsRowDxfId="5716" headerRowBorderDxfId="5719" tableBorderDxfId="5717" totalsRowBorderDxfId="5715">
  <autoFilter ref="A1872:N1890"/>
  <tableColumns count="14">
    <tableColumn id="1" name="(A)_x000a_Program Name" totalsRowLabel="Total Program 345" dataDxfId="5714" totalsRowDxfId="5713"/>
    <tableColumn id="2" name="(B)_x000a_Fiscal _x000a_Year" totalsRowLabel="N/A" dataDxfId="5712" totalsRowDxfId="5711"/>
    <tableColumn id="3" name="(C)_x000a_Program_x000a_Costs" totalsRowFunction="sum" dataDxfId="5710" totalsRowDxfId="5709"/>
    <tableColumn id="4" name="(D)_x000a_Prior Period Adjustments" totalsRowFunction="sum" dataDxfId="5708" totalsRowDxfId="5707"/>
    <tableColumn id="5" name="(E)_x000a_Current Period Desk _x000a_Reviews" totalsRowFunction="sum" dataDxfId="5706" totalsRowDxfId="5705"/>
    <tableColumn id="6" name="(F)_x000a_Current Period _x000a_Final _x000a_Audits" totalsRowFunction="sum" dataDxfId="5704" totalsRowDxfId="5703"/>
    <tableColumn id="7" name="(G)_x000a_Current Period _x000a_Other Adjustments" totalsRowFunction="sum" dataDxfId="5702" totalsRowDxfId="5701"/>
    <tableColumn id="8" name="(H)_x000a_Net Program Costs_x000a_Sum (C through G)" totalsRowFunction="sum" dataDxfId="5700" totalsRowDxfId="5699"/>
    <tableColumn id="9" name="(I)_x000a_Payments_x000a_ and Offsets" totalsRowFunction="sum" dataDxfId="5698" totalsRowDxfId="5697"/>
    <tableColumn id="10" name="(J)_x000a_Accounts Payable Balance_x000a_(H + I)" totalsRowFunction="sum" dataDxfId="5696" totalsRowDxfId="5695"/>
    <tableColumn id="11" name="(K)_x000a_Established _x000a_Accounts Receivable" totalsRowFunction="sum" dataDxfId="5694" totalsRowDxfId="5693"/>
    <tableColumn id="12" name="(L)_x000a_Recovered_x000a_ Accounts Receivable" totalsRowFunction="sum" dataDxfId="5692" totalsRowDxfId="5691"/>
    <tableColumn id="13" name="(M)_x000a_Accounts Receivable Balance_x000a_(K + L)" totalsRowFunction="sum" dataDxfId="5690" totalsRowDxfId="5689"/>
    <tableColumn id="14" name="(N)_x000a_Net Balance_x000a_(J minus M)" totalsRowFunction="sum" dataDxfId="5688" totalsRowDxfId="56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2.xml><?xml version="1.0" encoding="utf-8"?>
<table xmlns="http://schemas.openxmlformats.org/spreadsheetml/2006/main" id="132" name="Program174" displayName="Program174" ref="A1893:N1900" totalsRowCount="1" headerRowDxfId="5686" dataDxfId="5684" totalsRowDxfId="5682" headerRowBorderDxfId="5685" tableBorderDxfId="5683" totalsRowBorderDxfId="5681">
  <autoFilter ref="A1893:N1899"/>
  <tableColumns count="14">
    <tableColumn id="1" name="(A)_x000a_Program Name" totalsRowLabel="Total Program 174" dataDxfId="5680" totalsRowDxfId="5679"/>
    <tableColumn id="2" name="(B)_x000a_Fiscal _x000a_Year" totalsRowLabel="N/A" dataDxfId="5678" totalsRowDxfId="5677"/>
    <tableColumn id="3" name="(C)_x000a_Program_x000a_Costs" totalsRowFunction="sum" dataDxfId="5676" totalsRowDxfId="5675"/>
    <tableColumn id="4" name="(D)_x000a_Prior Period Adjustments" totalsRowFunction="sum" dataDxfId="5674" totalsRowDxfId="5673"/>
    <tableColumn id="5" name="(E)_x000a_Current Period Desk _x000a_Reviews" totalsRowFunction="sum" dataDxfId="5672" totalsRowDxfId="5671"/>
    <tableColumn id="6" name="(F)_x000a_Current Period _x000a_Final _x000a_Audits" totalsRowFunction="sum" dataDxfId="5670" totalsRowDxfId="5669"/>
    <tableColumn id="7" name="(G)_x000a_Current Period _x000a_Other Adjustments" totalsRowFunction="sum" dataDxfId="5668" totalsRowDxfId="5667"/>
    <tableColumn id="8" name="(H)_x000a_Net Program Costs_x000a_Sum (C through G)" totalsRowFunction="sum" dataDxfId="5666" totalsRowDxfId="5665"/>
    <tableColumn id="9" name="(I)_x000a_Payments_x000a_ and Offsets" totalsRowFunction="sum" dataDxfId="5664" totalsRowDxfId="5663"/>
    <tableColumn id="10" name="(J)_x000a_Accounts Payable Balance_x000a_(H + I)" totalsRowFunction="sum" dataDxfId="5662" totalsRowDxfId="5661"/>
    <tableColumn id="11" name="(K)_x000a_Established _x000a_Accounts Receivable" totalsRowFunction="sum" dataDxfId="5660" totalsRowDxfId="5659"/>
    <tableColumn id="12" name="(L)_x000a_Recovered_x000a_ Accounts Receivable" totalsRowFunction="sum" dataDxfId="5658" totalsRowDxfId="5657"/>
    <tableColumn id="13" name="(M)_x000a_Accounts Receivable Balance_x000a_(K + L)" totalsRowFunction="sum" dataDxfId="5656" totalsRowDxfId="5655"/>
    <tableColumn id="14" name="(N)_x000a_Net Balance_x000a_(J minus M)" totalsRowFunction="sum" dataDxfId="5654" totalsRowDxfId="56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3.xml><?xml version="1.0" encoding="utf-8"?>
<table xmlns="http://schemas.openxmlformats.org/spreadsheetml/2006/main" id="133" name="Program372" displayName="Program372" ref="A1902:N1907" totalsRowCount="1" headerRowDxfId="5652" dataDxfId="5650" totalsRowDxfId="5648" headerRowBorderDxfId="5651" tableBorderDxfId="5649" totalsRowBorderDxfId="5647">
  <autoFilter ref="A1902:N1906"/>
  <tableColumns count="14">
    <tableColumn id="1" name="(A)_x000a_Program Name" totalsRowLabel="Total Program 372" dataDxfId="5646" totalsRowDxfId="5645"/>
    <tableColumn id="2" name="(B)_x000a_Fiscal _x000a_Year" totalsRowLabel="N/A" dataDxfId="5644" totalsRowDxfId="5643"/>
    <tableColumn id="3" name="(C)_x000a_Program_x000a_Costs" totalsRowFunction="sum" dataDxfId="5642" totalsRowDxfId="5641"/>
    <tableColumn id="4" name="(D)_x000a_Prior Period Adjustments" totalsRowFunction="sum" dataDxfId="5640" totalsRowDxfId="5639"/>
    <tableColumn id="5" name="(E)_x000a_Current Period Desk _x000a_Reviews" totalsRowFunction="sum" dataDxfId="5638" totalsRowDxfId="5637"/>
    <tableColumn id="6" name="(F)_x000a_Current Period _x000a_Final _x000a_Audits" totalsRowFunction="sum" dataDxfId="5636" totalsRowDxfId="5635"/>
    <tableColumn id="7" name="(G)_x000a_Current Period _x000a_Other Adjustments" totalsRowFunction="sum" dataDxfId="5634" totalsRowDxfId="5633"/>
    <tableColumn id="8" name="(H)_x000a_Net Program Costs_x000a_Sum (C through G)" totalsRowFunction="sum" dataDxfId="5632" totalsRowDxfId="5631"/>
    <tableColumn id="9" name="(I)_x000a_Payments_x000a_ and Offsets" totalsRowFunction="sum" dataDxfId="5630" totalsRowDxfId="5629"/>
    <tableColumn id="10" name="(J)_x000a_Accounts Payable Balance_x000a_(H + I)" totalsRowFunction="sum" dataDxfId="5628" totalsRowDxfId="5627"/>
    <tableColumn id="11" name="(K)_x000a_Established _x000a_Accounts Receivable" totalsRowFunction="sum" dataDxfId="5626" totalsRowDxfId="5625"/>
    <tableColumn id="12" name="(L)_x000a_Recovered_x000a_ Accounts Receivable" totalsRowFunction="sum" dataDxfId="5624" totalsRowDxfId="5623"/>
    <tableColumn id="13" name="(M)_x000a_Accounts Receivable Balance_x000a_(K + L)" totalsRowFunction="sum" dataDxfId="5622" totalsRowDxfId="5621"/>
    <tableColumn id="14" name="(N)_x000a_Net Balance_x000a_(J minus M)" totalsRowFunction="sum" dataDxfId="5620" totalsRowDxfId="56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4.xml><?xml version="1.0" encoding="utf-8"?>
<table xmlns="http://schemas.openxmlformats.org/spreadsheetml/2006/main" id="134" name="Program181" displayName="Program181" ref="A1909:N1917" totalsRowCount="1" headerRowDxfId="5618" dataDxfId="5616" totalsRowDxfId="5614" headerRowBorderDxfId="5617" tableBorderDxfId="5615" totalsRowBorderDxfId="5613">
  <autoFilter ref="A1909:N1916"/>
  <tableColumns count="14">
    <tableColumn id="1" name="(A)_x000a_Program Name" totalsRowLabel="Total Program 181" dataDxfId="5612" totalsRowDxfId="5611"/>
    <tableColumn id="2" name="(B)_x000a_Fiscal _x000a_Year" totalsRowLabel="N/A" dataDxfId="5610" totalsRowDxfId="5609"/>
    <tableColumn id="3" name="(C)_x000a_Program_x000a_Costs" totalsRowFunction="sum" dataDxfId="5608" totalsRowDxfId="5607"/>
    <tableColumn id="4" name="(D)_x000a_Prior Period Adjustments" totalsRowFunction="sum" dataDxfId="5606" totalsRowDxfId="5605"/>
    <tableColumn id="5" name="(E)_x000a_Current Period Desk _x000a_Reviews" totalsRowFunction="sum" dataDxfId="5604" totalsRowDxfId="5603"/>
    <tableColumn id="6" name="(F)_x000a_Current Period _x000a_Final _x000a_Audits" totalsRowFunction="sum" dataDxfId="5602" totalsRowDxfId="5601"/>
    <tableColumn id="7" name="(G)_x000a_Current Period _x000a_Other Adjustments" totalsRowFunction="sum" dataDxfId="5600" totalsRowDxfId="5599"/>
    <tableColumn id="8" name="(H)_x000a_Net Program Costs_x000a_Sum (C through G)" totalsRowFunction="sum" dataDxfId="5598" totalsRowDxfId="5597"/>
    <tableColumn id="9" name="(I)_x000a_Payments_x000a_ and Offsets" totalsRowFunction="sum" dataDxfId="5596" totalsRowDxfId="5595"/>
    <tableColumn id="10" name="(J)_x000a_Accounts Payable Balance_x000a_(H + I)" totalsRowFunction="sum" dataDxfId="5594" totalsRowDxfId="5593"/>
    <tableColumn id="11" name="(K)_x000a_Established _x000a_Accounts Receivable" totalsRowFunction="sum" dataDxfId="5592" totalsRowDxfId="5591"/>
    <tableColumn id="12" name="(L)_x000a_Recovered_x000a_ Accounts Receivable" totalsRowFunction="sum" dataDxfId="5590" totalsRowDxfId="5589"/>
    <tableColumn id="13" name="(M)_x000a_Accounts Receivable Balance_x000a_(K + L)" totalsRowFunction="sum" dataDxfId="5588" totalsRowDxfId="5587"/>
    <tableColumn id="14" name="(N)_x000a_Net Balance_x000a_(J minus M)" totalsRowFunction="sum" dataDxfId="5586" totalsRowDxfId="55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5.xml><?xml version="1.0" encoding="utf-8"?>
<table xmlns="http://schemas.openxmlformats.org/spreadsheetml/2006/main" id="135" name="Program071" displayName="Program071" ref="A1919:N1923" totalsRowCount="1" headerRowDxfId="5584" dataDxfId="5582" totalsRowDxfId="5580" headerRowBorderDxfId="5583" tableBorderDxfId="5581" totalsRowBorderDxfId="5579">
  <autoFilter ref="A1919:N1922"/>
  <tableColumns count="14">
    <tableColumn id="1" name="(A)_x000a_Program Name" totalsRowLabel="Total Program 71" dataDxfId="5578" totalsRowDxfId="5577"/>
    <tableColumn id="2" name="(B)_x000a_Fiscal _x000a_Year" totalsRowLabel="N/A" dataDxfId="5576" totalsRowDxfId="5575"/>
    <tableColumn id="3" name="(C)_x000a_Program_x000a_Costs" totalsRowFunction="sum" dataDxfId="5574" totalsRowDxfId="5573"/>
    <tableColumn id="4" name="(D)_x000a_Prior Period Adjustments" totalsRowFunction="sum" dataDxfId="5572" totalsRowDxfId="5571"/>
    <tableColumn id="5" name="(E)_x000a_Current Period Desk _x000a_Reviews" totalsRowFunction="sum" dataDxfId="5570" totalsRowDxfId="5569"/>
    <tableColumn id="6" name="(F)_x000a_Current Period _x000a_Final _x000a_Audits" totalsRowFunction="sum" dataDxfId="5568" totalsRowDxfId="5567"/>
    <tableColumn id="7" name="(G)_x000a_Current Period _x000a_Other Adjustments" totalsRowFunction="sum" dataDxfId="5566" totalsRowDxfId="5565"/>
    <tableColumn id="8" name="(H)_x000a_Net Program Costs_x000a_Sum (C through G)" totalsRowFunction="sum" dataDxfId="5564" totalsRowDxfId="5563"/>
    <tableColumn id="9" name="(I)_x000a_Payments_x000a_ and Offsets" totalsRowFunction="sum" dataDxfId="5562" totalsRowDxfId="5561"/>
    <tableColumn id="10" name="(J)_x000a_Accounts Payable Balance_x000a_(H + I)" totalsRowFunction="sum" dataDxfId="5560" totalsRowDxfId="5559"/>
    <tableColumn id="11" name="(K)_x000a_Established _x000a_Accounts Receivable" totalsRowFunction="sum" dataDxfId="5558" totalsRowDxfId="5557"/>
    <tableColumn id="12" name="(L)_x000a_Recovered_x000a_ Accounts Receivable" totalsRowFunction="sum" dataDxfId="5556" totalsRowDxfId="5555"/>
    <tableColumn id="13" name="(M)_x000a_Accounts Receivable Balance_x000a_(K + L)" totalsRowFunction="sum" dataDxfId="5554" totalsRowDxfId="5553"/>
    <tableColumn id="14" name="(N)_x000a_Net Balance_x000a_(J minus M)" totalsRowFunction="sum" dataDxfId="5552" totalsRowDxfId="55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6.xml><?xml version="1.0" encoding="utf-8"?>
<table xmlns="http://schemas.openxmlformats.org/spreadsheetml/2006/main" id="136" name="Program331" displayName="Program331" ref="A1925:N1937" totalsRowCount="1" headerRowDxfId="5550" dataDxfId="5548" totalsRowDxfId="5546" headerRowBorderDxfId="5549" tableBorderDxfId="5547" totalsRowBorderDxfId="5545">
  <autoFilter ref="A1925:N1936"/>
  <tableColumns count="14">
    <tableColumn id="1" name="(A)_x000a_Program Name" totalsRowLabel="Total Program 331" dataDxfId="5544" totalsRowDxfId="5543"/>
    <tableColumn id="2" name="(B)_x000a_Fiscal _x000a_Year" totalsRowLabel="N/A" dataDxfId="5542" totalsRowDxfId="5541"/>
    <tableColumn id="3" name="(C)_x000a_Program_x000a_Costs" totalsRowFunction="sum" dataDxfId="5540" totalsRowDxfId="5539"/>
    <tableColumn id="4" name="(D)_x000a_Prior Period Adjustments" totalsRowFunction="sum" dataDxfId="5538" totalsRowDxfId="5537"/>
    <tableColumn id="5" name="(E)_x000a_Current Period Desk _x000a_Reviews" totalsRowFunction="sum" dataDxfId="5536" totalsRowDxfId="5535"/>
    <tableColumn id="6" name="(F)_x000a_Current Period _x000a_Final _x000a_Audits" totalsRowFunction="sum" dataDxfId="5534" totalsRowDxfId="5533"/>
    <tableColumn id="7" name="(G)_x000a_Current Period _x000a_Other Adjustments" totalsRowFunction="sum" dataDxfId="5532" totalsRowDxfId="5531"/>
    <tableColumn id="8" name="(H)_x000a_Net Program Costs_x000a_Sum (C through G)" totalsRowFunction="sum" dataDxfId="5530" totalsRowDxfId="5529"/>
    <tableColumn id="9" name="(I)_x000a_Payments_x000a_ and Offsets" totalsRowFunction="sum" dataDxfId="5528" totalsRowDxfId="5527"/>
    <tableColumn id="10" name="(J)_x000a_Accounts Payable Balance_x000a_(H + I)" totalsRowFunction="sum" dataDxfId="5526" totalsRowDxfId="5525"/>
    <tableColumn id="11" name="(K)_x000a_Established _x000a_Accounts Receivable" totalsRowFunction="sum" dataDxfId="5524" totalsRowDxfId="5523"/>
    <tableColumn id="12" name="(L)_x000a_Recovered_x000a_ Accounts Receivable" totalsRowFunction="sum" dataDxfId="5522" totalsRowDxfId="5521"/>
    <tableColumn id="13" name="(M)_x000a_Accounts Receivable Balance_x000a_(K + L)" totalsRowFunction="sum" dataDxfId="5520" totalsRowDxfId="5519"/>
    <tableColumn id="14" name="(N)_x000a_Net Balance_x000a_(J minus M)" totalsRowFunction="sum" dataDxfId="5518" totalsRowDxfId="55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7.xml><?xml version="1.0" encoding="utf-8"?>
<table xmlns="http://schemas.openxmlformats.org/spreadsheetml/2006/main" id="137" name="Program056" displayName="Program056" ref="A1939:N1960" totalsRowCount="1" headerRowDxfId="5516" dataDxfId="5514" totalsRowDxfId="5512" headerRowBorderDxfId="5515" tableBorderDxfId="5513" totalsRowBorderDxfId="5511">
  <autoFilter ref="A1939:N1959"/>
  <tableColumns count="14">
    <tableColumn id="1" name="(A)_x000a_Program Name" totalsRowLabel="Total Program 56" dataDxfId="5510" totalsRowDxfId="5509"/>
    <tableColumn id="2" name="(B)_x000a_Fiscal _x000a_Year" totalsRowLabel="N/A" dataDxfId="5508" totalsRowDxfId="5507"/>
    <tableColumn id="3" name="(C)_x000a_Program_x000a_Costs" totalsRowFunction="sum" dataDxfId="5506" totalsRowDxfId="5505"/>
    <tableColumn id="4" name="(D)_x000a_Prior Period Adjustments" totalsRowFunction="sum" dataDxfId="5504" totalsRowDxfId="5503"/>
    <tableColumn id="5" name="(E)_x000a_Current Period Desk _x000a_Reviews" totalsRowFunction="sum" dataDxfId="5502" totalsRowDxfId="5501"/>
    <tableColumn id="6" name="(F)_x000a_Current Period _x000a_Final _x000a_Audits" totalsRowFunction="sum" dataDxfId="5500" totalsRowDxfId="5499"/>
    <tableColumn id="7" name="(G)_x000a_Current Period _x000a_Other Adjustments" totalsRowFunction="sum" dataDxfId="5498" totalsRowDxfId="5497"/>
    <tableColumn id="8" name="(H)_x000a_Net Program Costs_x000a_Sum (C through G)" totalsRowFunction="sum" dataDxfId="5496" totalsRowDxfId="5495"/>
    <tableColumn id="9" name="(I)_x000a_Payments_x000a_ and Offsets" totalsRowFunction="sum" dataDxfId="5494" totalsRowDxfId="5493"/>
    <tableColumn id="10" name="(J)_x000a_Accounts Payable Balance_x000a_(H + I)" totalsRowFunction="sum" dataDxfId="5492" totalsRowDxfId="5491"/>
    <tableColumn id="11" name="(K)_x000a_Established _x000a_Accounts Receivable" totalsRowFunction="sum" dataDxfId="5490" totalsRowDxfId="5489"/>
    <tableColumn id="12" name="(L)_x000a_Recovered_x000a_ Accounts Receivable" totalsRowFunction="sum" dataDxfId="5488" totalsRowDxfId="5487"/>
    <tableColumn id="13" name="(M)_x000a_Accounts Receivable Balance_x000a_(K + L)" totalsRowFunction="sum" dataDxfId="5486" totalsRowDxfId="5485"/>
    <tableColumn id="14" name="(N)_x000a_Net Balance_x000a_(J minus M)" totalsRowFunction="sum" dataDxfId="5484" totalsRowDxfId="54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8.xml><?xml version="1.0" encoding="utf-8"?>
<table xmlns="http://schemas.openxmlformats.org/spreadsheetml/2006/main" id="138" name="Local" displayName="Local" ref="A1962:N2094" totalsRowCount="1" headerRowDxfId="5482" dataDxfId="5480" totalsRowDxfId="5478" headerRowBorderDxfId="5481" tableBorderDxfId="5479" totalsRowBorderDxfId="5477">
  <autoFilter ref="A1962:N2093"/>
  <tableColumns count="14">
    <tableColumn id="1" name="(A)_x000a_Program Name" totalsRowLabel="Grand Total Local Agencies" dataDxfId="5476" totalsRowDxfId="5475"/>
    <tableColumn id="2" name="(B)_x000a_Fiscal _x000a_Year" totalsRowLabel="N/A" dataDxfId="5474"/>
    <tableColumn id="3" name="(C)_x000a_Program_x000a_Costs" totalsRowFunction="sum" dataDxfId="5473" totalsRowDxfId="5472"/>
    <tableColumn id="4" name="(D)_x000a_Prior Period Adjustments" totalsRowFunction="sum" dataDxfId="5471" totalsRowDxfId="5470"/>
    <tableColumn id="5" name="(E)_x000a_Current Period Desk _x000a_Reviews" totalsRowFunction="sum" dataDxfId="5469" totalsRowDxfId="5468"/>
    <tableColumn id="6" name="(F)_x000a_Current Period _x000a_Final _x000a_Audits" totalsRowFunction="sum" dataDxfId="5467" totalsRowDxfId="5466"/>
    <tableColumn id="7" name="(G)_x000a_Current Period _x000a_Other Adjustments" totalsRowFunction="sum" dataDxfId="5465" totalsRowDxfId="5464"/>
    <tableColumn id="8" name="(H)_x000a_Net Program Costs_x000a_Sum (C through G)" totalsRowFunction="sum" dataDxfId="5463" totalsRowDxfId="5462"/>
    <tableColumn id="9" name="(I)_x000a_Payments_x000a_ and Offsets" totalsRowFunction="sum" dataDxfId="5461" totalsRowDxfId="5460"/>
    <tableColumn id="10" name="(J)_x000a_Accounts Payable Balance_x000a_(H + I)" totalsRowFunction="sum" dataDxfId="5459" totalsRowDxfId="5458"/>
    <tableColumn id="11" name="(K)_x000a_Established _x000a_Accounts Receivable" totalsRowFunction="sum" dataDxfId="5457" totalsRowDxfId="5456"/>
    <tableColumn id="12" name="(L)_x000a_Recovered_x000a_ Accounts Receivable" totalsRowFunction="sum" dataDxfId="5455" totalsRowDxfId="5454"/>
    <tableColumn id="13" name="(M)_x000a_Accounts Receivable Balance_x000a_(K + L)" totalsRowFunction="sum" dataDxfId="5453" totalsRowDxfId="5452"/>
    <tableColumn id="14" name="(N)_x000a_Net Balance_x000a_(J minus M)" totalsRowFunction="sum" dataDxfId="5451" totalsRowDxfId="54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39.xml><?xml version="1.0" encoding="utf-8"?>
<table xmlns="http://schemas.openxmlformats.org/spreadsheetml/2006/main" id="139" name="Program170" displayName="Program170" ref="A2:N12" totalsRowCount="1" headerRowDxfId="5449" dataDxfId="5447" totalsRowDxfId="5445" headerRowBorderDxfId="5448" tableBorderDxfId="5446" totalsRowBorderDxfId="5444">
  <autoFilter ref="A2:N11"/>
  <tableColumns count="14">
    <tableColumn id="1" name="(A)_x000a_Program Name" totalsRowLabel="Total Program 170" dataDxfId="5443" totalsRowDxfId="5442"/>
    <tableColumn id="2" name="(B)_x000a_Fiscal _x000a_Year" totalsRowLabel="N/A" dataDxfId="5441" totalsRowDxfId="5440"/>
    <tableColumn id="3" name="(C)_x000a_Program_x000a_Costs" totalsRowFunction="sum" dataDxfId="5439" totalsRowDxfId="5438"/>
    <tableColumn id="4" name="(D)_x000a_Prior Period Adjustments" totalsRowFunction="sum" dataDxfId="5437" totalsRowDxfId="5436"/>
    <tableColumn id="5" name="(E)_x000a_Current Period Desk _x000a_Reviews" totalsRowFunction="sum" dataDxfId="5435" totalsRowDxfId="5434"/>
    <tableColumn id="6" name="(F)_x000a_Current Period _x000a_Final _x000a_Audits" totalsRowFunction="sum" dataDxfId="5433" totalsRowDxfId="5432"/>
    <tableColumn id="7" name="(G)_x000a_Current Period _x000a_Other Adjustments" totalsRowFunction="sum" dataDxfId="5431" totalsRowDxfId="5430"/>
    <tableColumn id="8" name="(H)_x000a_Net Program Costs_x000a_Sum (C through G)" totalsRowFunction="sum" dataDxfId="5429" totalsRowDxfId="5428"/>
    <tableColumn id="9" name="(I)_x000a_Payments_x000a_ and Offsets" totalsRowFunction="sum" dataDxfId="5427" totalsRowDxfId="5426"/>
    <tableColumn id="10" name="(J)_x000a_Accounts Payable Balance_x000a_(H + I)" totalsRowFunction="sum" dataDxfId="5425" totalsRowDxfId="5424"/>
    <tableColumn id="11" name="(K)_x000a_Established _x000a_Accounts Receivable" totalsRowFunction="sum" dataDxfId="5423" totalsRowDxfId="5422"/>
    <tableColumn id="12" name="(L)_x000a_Recovered_x000a_ Accounts Receivable" totalsRowFunction="sum" dataDxfId="5421" totalsRowDxfId="5420"/>
    <tableColumn id="13" name="(M)_x000a_Accounts Receivable Balance_x000a_(K + L)" totalsRowFunction="sum" dataDxfId="5419" totalsRowDxfId="5418"/>
    <tableColumn id="14" name="(N)_x000a_Net Balance_x000a_(J minus M)" totalsRowFunction="sum" dataDxfId="5417" totalsRowDxfId="54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.xml><?xml version="1.0" encoding="utf-8"?>
<table xmlns="http://schemas.openxmlformats.org/spreadsheetml/2006/main" id="14" name="Program152" displayName="Program152" ref="A109:N138" totalsRowCount="1" headerRowDxfId="9670" dataDxfId="9668" totalsRowDxfId="9666" headerRowBorderDxfId="9669" tableBorderDxfId="9667" totalsRowBorderDxfId="9665">
  <autoFilter ref="A109:N137"/>
  <tableColumns count="14">
    <tableColumn id="1" name="(A)_x000a_Program Name" totalsRowLabel="Total Program 152" dataDxfId="9664" totalsRowDxfId="9663"/>
    <tableColumn id="2" name="(B)_x000a_Fiscal _x000a_Year" totalsRowLabel="N/A" dataDxfId="9662" totalsRowDxfId="9661"/>
    <tableColumn id="3" name="(C)_x000a_Program_x000a_Costs" totalsRowFunction="sum" dataDxfId="9660" totalsRowDxfId="9659"/>
    <tableColumn id="4" name="(D)_x000a_Prior Period Adjustments" totalsRowFunction="sum" dataDxfId="9658" totalsRowDxfId="9657"/>
    <tableColumn id="5" name="(E)_x000a_Current Period Desk _x000a_Reviews" totalsRowFunction="sum" dataDxfId="9656" totalsRowDxfId="9655"/>
    <tableColumn id="6" name="(F)_x000a_Current Period _x000a_Final _x000a_Audits" totalsRowFunction="sum" dataDxfId="9654" totalsRowDxfId="9653"/>
    <tableColumn id="7" name="(G)_x000a_Current Period _x000a_Other Adjustments" totalsRowFunction="sum" dataDxfId="9652" totalsRowDxfId="9651"/>
    <tableColumn id="8" name="(H)_x000a_Net Program Costs_x000a_Sum (C through G)" totalsRowFunction="sum" dataDxfId="9650" totalsRowDxfId="9649"/>
    <tableColumn id="9" name="(I)_x000a_Payments_x000a_ and Offsets" totalsRowFunction="sum" dataDxfId="9648" totalsRowDxfId="9647"/>
    <tableColumn id="10" name="(J)_x000a_Accounts Payable Balance_x000a_(H + I)" totalsRowFunction="sum" dataDxfId="9646" totalsRowDxfId="9645"/>
    <tableColumn id="11" name="(K)_x000a_Established _x000a_Accounts Receivable" totalsRowFunction="sum" dataDxfId="9644" totalsRowDxfId="9643"/>
    <tableColumn id="12" name="(L)_x000a_Recovered_x000a_ Accounts Receivable" totalsRowFunction="sum" dataDxfId="9642" totalsRowDxfId="9641"/>
    <tableColumn id="13" name="(M)_x000a_Accounts Receivable Balance_x000a_(K + L)" totalsRowFunction="sum" dataDxfId="9640" totalsRowDxfId="9639"/>
    <tableColumn id="14" name="(N)_x000a_Net Balance_x000a_(J minus M)" totalsRowFunction="sum" dataDxfId="9638" totalsRowDxfId="96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0.xml><?xml version="1.0" encoding="utf-8"?>
<table xmlns="http://schemas.openxmlformats.org/spreadsheetml/2006/main" id="140" name="Program305" displayName="Program305" ref="A14:N33" totalsRowCount="1" headerRowDxfId="5415" dataDxfId="5413" totalsRowDxfId="5411" headerRowBorderDxfId="5414" tableBorderDxfId="5412" totalsRowBorderDxfId="5410">
  <autoFilter ref="A14:N32"/>
  <tableColumns count="14">
    <tableColumn id="1" name="(A)_x000a_Program Name" totalsRowLabel="Total Program 305" dataDxfId="5409" totalsRowDxfId="5408"/>
    <tableColumn id="2" name="(B)_x000a_Fiscal _x000a_Year" totalsRowLabel="N/A" dataDxfId="5407" totalsRowDxfId="5406"/>
    <tableColumn id="3" name="(C)_x000a_Program_x000a_Costs" totalsRowFunction="sum" dataDxfId="5405" totalsRowDxfId="5404"/>
    <tableColumn id="4" name="(D)_x000a_Prior Period Adjustments" totalsRowFunction="sum" dataDxfId="5403" totalsRowDxfId="5402"/>
    <tableColumn id="5" name="(E)_x000a_Current Period Desk _x000a_Reviews" totalsRowFunction="sum" dataDxfId="5401" totalsRowDxfId="5400"/>
    <tableColumn id="6" name="(F)_x000a_Current Period _x000a_Final _x000a_Audits" totalsRowFunction="sum" dataDxfId="5399" totalsRowDxfId="5398"/>
    <tableColumn id="7" name="(G)_x000a_Current Period _x000a_Other Adjustments" totalsRowFunction="sum" dataDxfId="5397" totalsRowDxfId="5396"/>
    <tableColumn id="8" name="(H)_x000a_Net Program Costs_x000a_Sum (C through G)" totalsRowFunction="sum" dataDxfId="5395" totalsRowDxfId="5394"/>
    <tableColumn id="9" name="(I)_x000a_Payments_x000a_ and Offsets" totalsRowFunction="sum" dataDxfId="5393" totalsRowDxfId="5392"/>
    <tableColumn id="10" name="(J)_x000a_Accounts Payable Balance_x000a_(H + I)" totalsRowFunction="sum" dataDxfId="5391" totalsRowDxfId="5390"/>
    <tableColumn id="11" name="(K)_x000a_Established _x000a_Accounts Receivable" totalsRowFunction="sum" dataDxfId="5389" totalsRowDxfId="5388"/>
    <tableColumn id="12" name="(L)_x000a_Recovered_x000a_ Accounts Receivable" totalsRowFunction="sum" dataDxfId="5387" totalsRowDxfId="5386"/>
    <tableColumn id="13" name="(M)_x000a_Accounts Receivable Balance_x000a_(K + L)" totalsRowFunction="sum" dataDxfId="5385" totalsRowDxfId="5384"/>
    <tableColumn id="14" name="(N)_x000a_Net Balance_x000a_(J minus M)" totalsRowFunction="sum" dataDxfId="5383" totalsRowDxfId="538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1.xml><?xml version="1.0" encoding="utf-8"?>
<table xmlns="http://schemas.openxmlformats.org/spreadsheetml/2006/main" id="141" name="Program269" displayName="Program269" ref="A35:N48" totalsRowCount="1" headerRowDxfId="5381" dataDxfId="5379" totalsRowDxfId="5377" headerRowBorderDxfId="5380" tableBorderDxfId="5378" totalsRowBorderDxfId="5376">
  <autoFilter ref="A35:N47"/>
  <tableColumns count="14">
    <tableColumn id="1" name="(A)_x000a_Program Name" totalsRowLabel="Total Program 269" dataDxfId="5375" totalsRowDxfId="5374"/>
    <tableColumn id="2" name="(B)_x000a_Fiscal _x000a_Year" totalsRowLabel="N/A" dataDxfId="5373" totalsRowDxfId="5372"/>
    <tableColumn id="3" name="(C)_x000a_Program_x000a_Costs" totalsRowFunction="sum" dataDxfId="5371" totalsRowDxfId="5370"/>
    <tableColumn id="4" name="(D)_x000a_Prior Period Adjustments" totalsRowFunction="sum" dataDxfId="5369" totalsRowDxfId="5368"/>
    <tableColumn id="5" name="(E)_x000a_Current Period Desk _x000a_Reviews" totalsRowFunction="sum" dataDxfId="5367" totalsRowDxfId="5366"/>
    <tableColumn id="6" name="(F)_x000a_Current Period _x000a_Final _x000a_Audits" totalsRowFunction="sum" dataDxfId="5365" totalsRowDxfId="5364"/>
    <tableColumn id="7" name="(G)_x000a_Current Period _x000a_Other Adjustments" totalsRowFunction="sum" dataDxfId="5363" totalsRowDxfId="5362"/>
    <tableColumn id="8" name="(H)_x000a_Net Program Costs_x000a_Sum (C through G)" totalsRowFunction="sum" dataDxfId="5361" totalsRowDxfId="5360"/>
    <tableColumn id="9" name="(I)_x000a_Payments_x000a_ and Offsets" totalsRowFunction="sum" dataDxfId="5359" totalsRowDxfId="5358"/>
    <tableColumn id="10" name="(J)_x000a_Accounts Payable Balance_x000a_(H + I)" totalsRowFunction="sum" dataDxfId="5357" totalsRowDxfId="5356"/>
    <tableColumn id="11" name="(K)_x000a_Established _x000a_Accounts Receivable" totalsRowFunction="sum" dataDxfId="5355" totalsRowDxfId="5354"/>
    <tableColumn id="12" name="(L)_x000a_Recovered_x000a_ Accounts Receivable" totalsRowFunction="sum" dataDxfId="5353" totalsRowDxfId="5352"/>
    <tableColumn id="13" name="(M)_x000a_Accounts Receivable Balance_x000a_(K + L)" totalsRowFunction="sum" dataDxfId="5351" totalsRowDxfId="5350"/>
    <tableColumn id="14" name="(N)_x000a_Net Balance_x000a_(J minus M)" totalsRowFunction="sum" dataDxfId="5349" totalsRowDxfId="53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2.xml><?xml version="1.0" encoding="utf-8"?>
<table xmlns="http://schemas.openxmlformats.org/spreadsheetml/2006/main" id="142" name="Program123" displayName="Program123" ref="A50:N63" totalsRowCount="1" headerRowDxfId="5347" dataDxfId="5345" totalsRowDxfId="5343" headerRowBorderDxfId="5346" tableBorderDxfId="5344" totalsRowBorderDxfId="5342">
  <autoFilter ref="A50:N62"/>
  <tableColumns count="14">
    <tableColumn id="1" name="(A)_x000a_Program Name" totalsRowLabel="Total Program 123" dataDxfId="5341" totalsRowDxfId="5340"/>
    <tableColumn id="2" name="(B)_x000a_Fiscal _x000a_Year" totalsRowLabel="N/A" dataDxfId="5339" totalsRowDxfId="5338"/>
    <tableColumn id="3" name="(C)_x000a_Program_x000a_Costs" totalsRowFunction="sum" dataDxfId="5337" totalsRowDxfId="5336"/>
    <tableColumn id="4" name="(D)_x000a_Prior Period Adjustments" totalsRowFunction="sum" dataDxfId="5335" totalsRowDxfId="5334"/>
    <tableColumn id="5" name="(E)_x000a_Current Period Desk _x000a_Reviews" totalsRowFunction="sum" dataDxfId="5333" totalsRowDxfId="5332"/>
    <tableColumn id="6" name="(F)_x000a_Current Period _x000a_Final _x000a_Audits" totalsRowFunction="sum" dataDxfId="5331" totalsRowDxfId="5330"/>
    <tableColumn id="7" name="(G)_x000a_Current Period _x000a_Other Adjustments" totalsRowFunction="sum" dataDxfId="5329" totalsRowDxfId="5328"/>
    <tableColumn id="8" name="(H)_x000a_Net Program Costs_x000a_Sum (C through G)" totalsRowFunction="sum" dataDxfId="5327" totalsRowDxfId="5326"/>
    <tableColumn id="9" name="(I)_x000a_Payments_x000a_ and Offsets" totalsRowFunction="sum" dataDxfId="5325" totalsRowDxfId="5324"/>
    <tableColumn id="10" name="(J)_x000a_Accounts Payable Balance_x000a_(H + I)" totalsRowFunction="sum" dataDxfId="5323" totalsRowDxfId="5322"/>
    <tableColumn id="11" name="(K)_x000a_Established _x000a_Accounts Receivable" totalsRowFunction="sum" dataDxfId="5321" totalsRowDxfId="5320"/>
    <tableColumn id="12" name="(L)_x000a_Recovered_x000a_ Accounts Receivable" totalsRowFunction="sum" dataDxfId="5319" totalsRowDxfId="5318"/>
    <tableColumn id="13" name="(M)_x000a_Accounts Receivable Balance_x000a_(K + L)" totalsRowFunction="sum" dataDxfId="5317" totalsRowDxfId="5316"/>
    <tableColumn id="14" name="(N)_x000a_Net Balance_x000a_(J minus M)" totalsRowFunction="sum" dataDxfId="5315" totalsRowDxfId="53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3.xml><?xml version="1.0" encoding="utf-8"?>
<table xmlns="http://schemas.openxmlformats.org/spreadsheetml/2006/main" id="143" name="Program250" displayName="Program250" ref="A65:N88" totalsRowCount="1" headerRowDxfId="5313" dataDxfId="5311" totalsRowDxfId="5309" headerRowBorderDxfId="5312" tableBorderDxfId="5310" totalsRowBorderDxfId="5308">
  <autoFilter ref="A65:N87"/>
  <tableColumns count="14">
    <tableColumn id="1" name="(A)_x000a_Program Name" totalsRowLabel="Total Program 250" dataDxfId="5307" totalsRowDxfId="5306"/>
    <tableColumn id="2" name="(B)_x000a_Fiscal _x000a_Year" totalsRowLabel="N/A" dataDxfId="5305" totalsRowDxfId="5304"/>
    <tableColumn id="3" name="(C)_x000a_Program_x000a_Costs" totalsRowFunction="sum" dataDxfId="5303" totalsRowDxfId="5302"/>
    <tableColumn id="4" name="(D)_x000a_Prior Period Adjustments" totalsRowFunction="sum" dataDxfId="5301" totalsRowDxfId="5300"/>
    <tableColumn id="5" name="(E)_x000a_Current Period Desk _x000a_Reviews" totalsRowFunction="sum" dataDxfId="5299" totalsRowDxfId="5298"/>
    <tableColumn id="6" name="(F)_x000a_Current Period _x000a_Final _x000a_Audits" totalsRowFunction="sum" dataDxfId="5297" totalsRowDxfId="5296"/>
    <tableColumn id="7" name="(G)_x000a_Current Period _x000a_Other Adjustments" totalsRowFunction="sum" dataDxfId="5295" totalsRowDxfId="5294"/>
    <tableColumn id="8" name="(H)_x000a_Net Program Costs_x000a_Sum (C through G)" totalsRowFunction="sum" dataDxfId="5293" totalsRowDxfId="5292"/>
    <tableColumn id="9" name="(I)_x000a_Payments_x000a_ and Offsets" totalsRowFunction="sum" dataDxfId="5291" totalsRowDxfId="5290"/>
    <tableColumn id="10" name="(J)_x000a_Accounts Payable Balance_x000a_(H + I)" totalsRowFunction="sum" dataDxfId="5289" totalsRowDxfId="5288"/>
    <tableColumn id="11" name="(K)_x000a_Established _x000a_Accounts Receivable" totalsRowFunction="sum" dataDxfId="5287" totalsRowDxfId="5286"/>
    <tableColumn id="12" name="(L)_x000a_Recovered_x000a_ Accounts Receivable" totalsRowFunction="sum" dataDxfId="5285" totalsRowDxfId="5284"/>
    <tableColumn id="13" name="(M)_x000a_Accounts Receivable Balance_x000a_(K + L)" totalsRowFunction="sum" dataDxfId="5283" totalsRowDxfId="5282"/>
    <tableColumn id="14" name="(N)_x000a_Net Balance_x000a_(J minus M)" totalsRowFunction="sum" dataDxfId="5281" totalsRowDxfId="528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4.xml><?xml version="1.0" encoding="utf-8"?>
<table xmlns="http://schemas.openxmlformats.org/spreadsheetml/2006/main" id="144" name="Program179" displayName="Program179" ref="A90:N100" totalsRowCount="1" headerRowDxfId="5279" dataDxfId="5277" totalsRowDxfId="5275" headerRowBorderDxfId="5278" tableBorderDxfId="5276" totalsRowBorderDxfId="5274">
  <autoFilter ref="A90:N99"/>
  <tableColumns count="14">
    <tableColumn id="1" name="(A)_x000a_Program Name" totalsRowLabel="Total Program 179" dataDxfId="5273" totalsRowDxfId="5272"/>
    <tableColumn id="2" name="(B)_x000a_Fiscal _x000a_Year" totalsRowLabel="N/A" dataDxfId="5271" totalsRowDxfId="5270"/>
    <tableColumn id="3" name="(C)_x000a_Program_x000a_Costs" totalsRowFunction="sum" dataDxfId="5269" totalsRowDxfId="5268"/>
    <tableColumn id="4" name="(D)_x000a_Prior Period Adjustments" totalsRowFunction="sum" dataDxfId="5267" totalsRowDxfId="5266"/>
    <tableColumn id="5" name="(E)_x000a_Current Period Desk _x000a_Reviews" totalsRowFunction="sum" dataDxfId="5265" totalsRowDxfId="5264"/>
    <tableColumn id="6" name="(F)_x000a_Current Period _x000a_Final _x000a_Audits" totalsRowFunction="sum" dataDxfId="5263" totalsRowDxfId="5262"/>
    <tableColumn id="7" name="(G)_x000a_Current Period _x000a_Other Adjustments" totalsRowFunction="sum" dataDxfId="5261" totalsRowDxfId="5260"/>
    <tableColumn id="8" name="(H)_x000a_Net Program Costs_x000a_Sum (C through G)" totalsRowFunction="sum" dataDxfId="5259" totalsRowDxfId="5258"/>
    <tableColumn id="9" name="(I)_x000a_Payments_x000a_ and Offsets" totalsRowFunction="sum" dataDxfId="5257" totalsRowDxfId="5256"/>
    <tableColumn id="10" name="(J)_x000a_Accounts Payable Balance_x000a_(H + I)" totalsRowFunction="sum" dataDxfId="5255" totalsRowDxfId="5254"/>
    <tableColumn id="11" name="(K)_x000a_Established _x000a_Accounts Receivable" totalsRowFunction="sum" dataDxfId="5253" totalsRowDxfId="5252"/>
    <tableColumn id="12" name="(L)_x000a_Recovered_x000a_ Accounts Receivable" totalsRowFunction="sum" dataDxfId="5251" totalsRowDxfId="5250"/>
    <tableColumn id="13" name="(M)_x000a_Accounts Receivable Balance_x000a_(K + L)" totalsRowFunction="sum" dataDxfId="5249" totalsRowDxfId="5248"/>
    <tableColumn id="14" name="(N)_x000a_Net Balance_x000a_(J minus M)" totalsRowFunction="sum" dataDxfId="5247" totalsRowDxfId="52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5.xml><?xml version="1.0" encoding="utf-8"?>
<table xmlns="http://schemas.openxmlformats.org/spreadsheetml/2006/main" id="145" name="Program145" displayName="Program145" ref="A102:N111" totalsRowCount="1" headerRowDxfId="5245" dataDxfId="5243" totalsRowDxfId="5241" headerRowBorderDxfId="5244" tableBorderDxfId="5242" totalsRowBorderDxfId="5240">
  <autoFilter ref="A102:N110"/>
  <tableColumns count="14">
    <tableColumn id="1" name="(A)_x000a_Program Name" totalsRowLabel="Total Program 145" dataDxfId="5239" totalsRowDxfId="5238"/>
    <tableColumn id="2" name="(B)_x000a_Fiscal _x000a_Year" totalsRowLabel="N/A" dataDxfId="5237" totalsRowDxfId="5236"/>
    <tableColumn id="3" name="(C)_x000a_Program_x000a_Costs" totalsRowFunction="sum" dataDxfId="5235" totalsRowDxfId="5234"/>
    <tableColumn id="4" name="(D)_x000a_Prior Period Adjustments" totalsRowFunction="sum" dataDxfId="5233" totalsRowDxfId="5232"/>
    <tableColumn id="5" name="(E)_x000a_Current Period Desk _x000a_Reviews" totalsRowFunction="sum" dataDxfId="5231" totalsRowDxfId="5230"/>
    <tableColumn id="6" name="(F)_x000a_Current Period _x000a_Final _x000a_Audits" totalsRowFunction="sum" dataDxfId="5229" totalsRowDxfId="5228"/>
    <tableColumn id="7" name="(G)_x000a_Current Period _x000a_Other Adjustments" totalsRowFunction="sum" dataDxfId="5227" totalsRowDxfId="5226"/>
    <tableColumn id="8" name="(H)_x000a_Net Program Costs_x000a_Sum (C through G)" totalsRowFunction="sum" dataDxfId="5225" totalsRowDxfId="5224"/>
    <tableColumn id="9" name="(I)_x000a_Payments_x000a_ and Offsets" totalsRowFunction="sum" dataDxfId="5223" totalsRowDxfId="5222"/>
    <tableColumn id="10" name="(J)_x000a_Accounts Payable Balance_x000a_(H + I)" totalsRowFunction="sum" dataDxfId="5221" totalsRowDxfId="5220"/>
    <tableColumn id="11" name="(K)_x000a_Established _x000a_Accounts Receivable" totalsRowFunction="sum" dataDxfId="5219" totalsRowDxfId="5218"/>
    <tableColumn id="12" name="(L)_x000a_Recovered_x000a_ Accounts Receivable" totalsRowFunction="sum" dataDxfId="5217" totalsRowDxfId="5216"/>
    <tableColumn id="13" name="(M)_x000a_Accounts Receivable Balance_x000a_(K + L)" totalsRowFunction="sum" dataDxfId="5215" totalsRowDxfId="5214"/>
    <tableColumn id="14" name="(N)_x000a_Net Balance_x000a_(J minus M)" totalsRowFunction="sum" dataDxfId="5213" totalsRowDxfId="52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6.xml><?xml version="1.0" encoding="utf-8"?>
<table xmlns="http://schemas.openxmlformats.org/spreadsheetml/2006/main" id="146" name="Program189" displayName="Program189" ref="A113:N118" totalsRowCount="1" headerRowDxfId="5211" dataDxfId="5209" totalsRowDxfId="5207" headerRowBorderDxfId="5210" tableBorderDxfId="5208" totalsRowBorderDxfId="5206">
  <autoFilter ref="A113:N117"/>
  <tableColumns count="14">
    <tableColumn id="1" name="(A)_x000a_Program Name" totalsRowLabel="Total Program 189" dataDxfId="5205" totalsRowDxfId="5204"/>
    <tableColumn id="2" name="(B)_x000a_Fiscal _x000a_Year" totalsRowLabel="N/A" dataDxfId="5203" totalsRowDxfId="5202"/>
    <tableColumn id="3" name="(C)_x000a_Program_x000a_Costs" totalsRowFunction="sum" dataDxfId="5201" totalsRowDxfId="5200"/>
    <tableColumn id="4" name="(D)_x000a_Prior Period Adjustments" totalsRowFunction="sum" dataDxfId="5199" totalsRowDxfId="5198"/>
    <tableColumn id="5" name="(E)_x000a_Current Period Desk _x000a_Reviews" totalsRowFunction="sum" dataDxfId="5197" totalsRowDxfId="5196"/>
    <tableColumn id="6" name="(F)_x000a_Current Period _x000a_Final _x000a_Audits" totalsRowFunction="sum" dataDxfId="5195" totalsRowDxfId="5194"/>
    <tableColumn id="7" name="(G)_x000a_Current Period _x000a_Other Adjustments" totalsRowFunction="sum" dataDxfId="5193" totalsRowDxfId="5192"/>
    <tableColumn id="8" name="(H)_x000a_Net Program Costs_x000a_Sum (C through G)" totalsRowFunction="sum" dataDxfId="5191" totalsRowDxfId="5190"/>
    <tableColumn id="9" name="(I)_x000a_Payments_x000a_ and Offsets" totalsRowFunction="sum" dataDxfId="5189" totalsRowDxfId="5188"/>
    <tableColumn id="10" name="(J)_x000a_Accounts Payable Balance_x000a_(H + I)" totalsRowFunction="sum" dataDxfId="5187" totalsRowDxfId="5186"/>
    <tableColumn id="11" name="(K)_x000a_Established _x000a_Accounts Receivable" totalsRowFunction="sum" dataDxfId="5185" totalsRowDxfId="5184"/>
    <tableColumn id="12" name="(L)_x000a_Recovered_x000a_ Accounts Receivable" totalsRowFunction="sum" dataDxfId="5183" totalsRowDxfId="5182"/>
    <tableColumn id="13" name="(M)_x000a_Accounts Receivable Balance_x000a_(K + L)" totalsRowFunction="sum" dataDxfId="5181" totalsRowDxfId="5180"/>
    <tableColumn id="14" name="(N)_x000a_Net Balance_x000a_(J minus M)" totalsRowFunction="sum" dataDxfId="5179" totalsRowDxfId="517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7.xml><?xml version="1.0" encoding="utf-8"?>
<table xmlns="http://schemas.openxmlformats.org/spreadsheetml/2006/main" id="147" name="Program221" displayName="Program221" ref="A120:N127" totalsRowCount="1" headerRowDxfId="5177" dataDxfId="5175" totalsRowDxfId="5173" headerRowBorderDxfId="5176" tableBorderDxfId="5174" totalsRowBorderDxfId="5172">
  <autoFilter ref="A120:N126"/>
  <tableColumns count="14">
    <tableColumn id="1" name="(A)_x000a_Program Name" totalsRowLabel="Total Program 221" dataDxfId="5171" totalsRowDxfId="5170"/>
    <tableColumn id="2" name="(B)_x000a_Fiscal _x000a_Year" totalsRowLabel="N/A" dataDxfId="5169" totalsRowDxfId="5168"/>
    <tableColumn id="3" name="(C)_x000a_Program_x000a_Costs" totalsRowFunction="sum" dataDxfId="5167" totalsRowDxfId="5166"/>
    <tableColumn id="4" name="(D)_x000a_Prior Period Adjustments" totalsRowFunction="sum" dataDxfId="5165" totalsRowDxfId="5164"/>
    <tableColumn id="5" name="(E)_x000a_Current Period Desk _x000a_Reviews" totalsRowFunction="sum" dataDxfId="5163" totalsRowDxfId="5162"/>
    <tableColumn id="6" name="(F)_x000a_Current Period _x000a_Final _x000a_Audits" totalsRowFunction="sum" dataDxfId="5161" totalsRowDxfId="5160"/>
    <tableColumn id="7" name="(G)_x000a_Current Period _x000a_Other Adjustments" totalsRowFunction="sum" dataDxfId="5159" totalsRowDxfId="5158"/>
    <tableColumn id="8" name="(H)_x000a_Net Program Costs_x000a_Sum (C through G)" totalsRowFunction="sum" dataDxfId="5157" totalsRowDxfId="5156"/>
    <tableColumn id="9" name="(I)_x000a_Payments_x000a_ and Offsets" totalsRowFunction="sum" dataDxfId="5155" totalsRowDxfId="5154"/>
    <tableColumn id="10" name="(J)_x000a_Accounts Payable Balance_x000a_(H + I)" totalsRowFunction="sum" dataDxfId="5153" totalsRowDxfId="5152"/>
    <tableColumn id="11" name="(K)_x000a_Established _x000a_Accounts Receivable" totalsRowFunction="sum" dataDxfId="5151" totalsRowDxfId="5150"/>
    <tableColumn id="12" name="(L)_x000a_Recovered_x000a_ Accounts Receivable" totalsRowFunction="sum" dataDxfId="5149" totalsRowDxfId="5148"/>
    <tableColumn id="13" name="(M)_x000a_Accounts Receivable Balance_x000a_(K + L)" totalsRowFunction="sum" dataDxfId="5147" totalsRowDxfId="5146"/>
    <tableColumn id="14" name="(N)_x000a_Net Balance_x000a_(J minus M)" totalsRowFunction="sum" dataDxfId="5145" totalsRowDxfId="51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8.xml><?xml version="1.0" encoding="utf-8"?>
<table xmlns="http://schemas.openxmlformats.org/spreadsheetml/2006/main" id="148" name="Program229" displayName="Program229" ref="A129:N131" totalsRowCount="1" headerRowDxfId="5143" dataDxfId="5141" totalsRowDxfId="5139" headerRowBorderDxfId="5142" tableBorderDxfId="5140" totalsRowBorderDxfId="5138">
  <autoFilter ref="A129:N130"/>
  <tableColumns count="14">
    <tableColumn id="1" name="(A)_x000a_Program Name" totalsRowLabel="Total Program 229" dataDxfId="5137" totalsRowDxfId="5136"/>
    <tableColumn id="2" name="(B)_x000a_Fiscal _x000a_Year" totalsRowLabel="N/A" dataDxfId="5135" totalsRowDxfId="5134"/>
    <tableColumn id="3" name="(C)_x000a_Program_x000a_Costs" totalsRowFunction="sum" dataDxfId="5133" totalsRowDxfId="5132"/>
    <tableColumn id="4" name="(D)_x000a_Prior Period Adjustments" totalsRowFunction="sum" dataDxfId="5131" totalsRowDxfId="5130"/>
    <tableColumn id="5" name="(E)_x000a_Current Period Desk _x000a_Reviews" totalsRowFunction="sum" dataDxfId="5129" totalsRowDxfId="5128"/>
    <tableColumn id="6" name="(F)_x000a_Current Period _x000a_Final _x000a_Audits" totalsRowFunction="sum" dataDxfId="5127" totalsRowDxfId="5126"/>
    <tableColumn id="7" name="(G)_x000a_Current Period _x000a_Other Adjustments" totalsRowFunction="sum" dataDxfId="5125" totalsRowDxfId="5124"/>
    <tableColumn id="8" name="(H)_x000a_Net Program Costs_x000a_Sum (C through G)" totalsRowFunction="sum" dataDxfId="5123" totalsRowDxfId="5122"/>
    <tableColumn id="9" name="(I)_x000a_Payments_x000a_ and Offsets" totalsRowFunction="sum" dataDxfId="5121" totalsRowDxfId="5120"/>
    <tableColumn id="10" name="(J)_x000a_Accounts Payable Balance_x000a_(H + I)" totalsRowFunction="sum" dataDxfId="5119" totalsRowDxfId="5118"/>
    <tableColumn id="11" name="(K)_x000a_Established _x000a_Accounts Receivable" totalsRowFunction="sum" dataDxfId="5117" totalsRowDxfId="5116"/>
    <tableColumn id="12" name="(L)_x000a_Recovered_x000a_ Accounts Receivable" totalsRowFunction="sum" dataDxfId="5115" totalsRowDxfId="5114"/>
    <tableColumn id="13" name="(M)_x000a_Accounts Receivable Balance_x000a_(K + L)" totalsRowFunction="sum" dataDxfId="5113" totalsRowDxfId="5112"/>
    <tableColumn id="14" name="(N)_x000a_Net Balance_x000a_(J minus M)" totalsRowFunction="sum" dataDxfId="5111" totalsRowDxfId="511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49.xml><?xml version="1.0" encoding="utf-8"?>
<table xmlns="http://schemas.openxmlformats.org/spreadsheetml/2006/main" id="149" name="Program348" displayName="Program348" ref="A133:N153" totalsRowCount="1" headerRowDxfId="5109" dataDxfId="5107" totalsRowDxfId="5105" headerRowBorderDxfId="5108" tableBorderDxfId="5106" totalsRowBorderDxfId="5104">
  <autoFilter ref="A133:N152"/>
  <tableColumns count="14">
    <tableColumn id="1" name="(A)_x000a_Program Name" totalsRowLabel="Total Program 348" dataDxfId="5103" totalsRowDxfId="5102"/>
    <tableColumn id="2" name="(B)_x000a_Fiscal _x000a_Year" totalsRowLabel="N/A" dataDxfId="5101" totalsRowDxfId="5100"/>
    <tableColumn id="3" name="(C)_x000a_Program_x000a_Costs" totalsRowFunction="sum" dataDxfId="5099" totalsRowDxfId="5098"/>
    <tableColumn id="4" name="(D)_x000a_Prior Period Adjustments" totalsRowFunction="sum" dataDxfId="5097" totalsRowDxfId="5096"/>
    <tableColumn id="5" name="(E)_x000a_Current Period Desk _x000a_Reviews" totalsRowFunction="sum" dataDxfId="5095" totalsRowDxfId="5094"/>
    <tableColumn id="6" name="(F)_x000a_Current Period _x000a_Final _x000a_Audits" totalsRowFunction="sum" dataDxfId="5093" totalsRowDxfId="5092"/>
    <tableColumn id="7" name="(G)_x000a_Current Period _x000a_Other Adjustments" totalsRowFunction="sum" dataDxfId="5091" totalsRowDxfId="5090"/>
    <tableColumn id="8" name="(H)_x000a_Net Program Costs_x000a_Sum (C through G)" totalsRowFunction="sum" dataDxfId="5089" totalsRowDxfId="5088"/>
    <tableColumn id="9" name="(I)_x000a_Payments_x000a_ and Offsets" totalsRowFunction="sum" dataDxfId="5087" totalsRowDxfId="5086"/>
    <tableColumn id="10" name="(J)_x000a_Accounts Payable Balance_x000a_(H + I)" totalsRowFunction="sum" dataDxfId="5085" totalsRowDxfId="5084"/>
    <tableColumn id="11" name="(K)_x000a_Established _x000a_Accounts Receivable" totalsRowFunction="sum" dataDxfId="5083" totalsRowDxfId="5082"/>
    <tableColumn id="12" name="(L)_x000a_Recovered_x000a_ Accounts Receivable" totalsRowFunction="sum" dataDxfId="5081" totalsRowDxfId="5080"/>
    <tableColumn id="13" name="(M)_x000a_Accounts Receivable Balance_x000a_(K + L)" totalsRowFunction="sum" dataDxfId="5079" totalsRowDxfId="5078"/>
    <tableColumn id="14" name="(N)_x000a_Net Balance_x000a_(J minus M)" totalsRowFunction="sum" dataDxfId="5077" totalsRowDxfId="50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.xml><?xml version="1.0" encoding="utf-8"?>
<table xmlns="http://schemas.openxmlformats.org/spreadsheetml/2006/main" id="15" name="Program213" displayName="Program213" ref="A140:N152" totalsRowCount="1" headerRowDxfId="9636" dataDxfId="9634" totalsRowDxfId="9632" headerRowBorderDxfId="9635" tableBorderDxfId="9633" totalsRowBorderDxfId="9631">
  <autoFilter ref="A140:N151"/>
  <tableColumns count="14">
    <tableColumn id="1" name="(A)_x000a_Program Name" totalsRowLabel="Total Program 213" dataDxfId="9630" totalsRowDxfId="9629"/>
    <tableColumn id="2" name="(B)_x000a_Fiscal _x000a_Year" totalsRowLabel="N/A" dataDxfId="9628" totalsRowDxfId="9627"/>
    <tableColumn id="3" name="(C)_x000a_Program_x000a_Costs" totalsRowFunction="sum" dataDxfId="9626" totalsRowDxfId="9625"/>
    <tableColumn id="4" name="(D)_x000a_Prior Period Adjustments" totalsRowFunction="sum" dataDxfId="9624" totalsRowDxfId="9623"/>
    <tableColumn id="5" name="(E)_x000a_Current Period Desk _x000a_Reviews" totalsRowFunction="sum" dataDxfId="9622" totalsRowDxfId="9621"/>
    <tableColumn id="6" name="(F)_x000a_Current Period _x000a_Final _x000a_Audits" totalsRowFunction="sum" dataDxfId="9620" totalsRowDxfId="9619"/>
    <tableColumn id="7" name="(G)_x000a_Current Period _x000a_Other Adjustments" totalsRowFunction="sum" dataDxfId="9618" totalsRowDxfId="9617"/>
    <tableColumn id="8" name="(H)_x000a_Net Program Costs_x000a_Sum (C through G)" totalsRowFunction="sum" dataDxfId="9616" totalsRowDxfId="9615"/>
    <tableColumn id="9" name="(I)_x000a_Payments_x000a_ and Offsets" totalsRowFunction="sum" dataDxfId="9614" totalsRowDxfId="9613"/>
    <tableColumn id="10" name="(J)_x000a_Accounts Payable Balance_x000a_(H + I)" totalsRowFunction="sum" dataDxfId="9612" totalsRowDxfId="9611"/>
    <tableColumn id="11" name="(K)_x000a_Established _x000a_Accounts Receivable" totalsRowFunction="sum" dataDxfId="9610" totalsRowDxfId="9609"/>
    <tableColumn id="12" name="(L)_x000a_Recovered_x000a_ Accounts Receivable" totalsRowFunction="sum" dataDxfId="9608" totalsRowDxfId="9607"/>
    <tableColumn id="13" name="(M)_x000a_Accounts Receivable Balance_x000a_(K + L)" totalsRowFunction="sum" dataDxfId="9606" totalsRowDxfId="9605"/>
    <tableColumn id="14" name="(N)_x000a_Net Balance_x000a_(J minus M)" totalsRowFunction="sum" dataDxfId="9604" totalsRowDxfId="96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0.xml><?xml version="1.0" encoding="utf-8"?>
<table xmlns="http://schemas.openxmlformats.org/spreadsheetml/2006/main" id="150" name="Program349" displayName="Program349" ref="A155:N158" totalsRowCount="1" headerRowDxfId="5075" dataDxfId="5073" totalsRowDxfId="5071" headerRowBorderDxfId="5074" tableBorderDxfId="5072" totalsRowBorderDxfId="5070">
  <autoFilter ref="A155:N157"/>
  <tableColumns count="14">
    <tableColumn id="1" name="(A)_x000a_Program Name" totalsRowLabel="Total Program 349" dataDxfId="5069" totalsRowDxfId="5068"/>
    <tableColumn id="2" name="(B)_x000a_Fiscal _x000a_Year" totalsRowLabel="N/A" dataDxfId="5067" totalsRowDxfId="5066"/>
    <tableColumn id="3" name="(C)_x000a_Program_x000a_Costs" totalsRowFunction="sum" dataDxfId="5065" totalsRowDxfId="5064"/>
    <tableColumn id="4" name="(D)_x000a_Prior Period Adjustments" totalsRowFunction="sum" dataDxfId="5063" totalsRowDxfId="5062"/>
    <tableColumn id="5" name="(E)_x000a_Current Period Desk _x000a_Reviews" totalsRowFunction="sum" dataDxfId="5061" totalsRowDxfId="5060"/>
    <tableColumn id="6" name="(F)_x000a_Current Period _x000a_Final _x000a_Audits" totalsRowFunction="sum" dataDxfId="5059" totalsRowDxfId="5058"/>
    <tableColumn id="7" name="(G)_x000a_Current Period _x000a_Other Adjustments" totalsRowFunction="sum" dataDxfId="5057" totalsRowDxfId="5056"/>
    <tableColumn id="8" name="(H)_x000a_Net Program Costs_x000a_Sum (C through G)" totalsRowFunction="sum" dataDxfId="5055" totalsRowDxfId="5054"/>
    <tableColumn id="9" name="(I)_x000a_Payments_x000a_ and Offsets" totalsRowFunction="sum" dataDxfId="5053" totalsRowDxfId="5052"/>
    <tableColumn id="10" name="(J)_x000a_Accounts Payable Balance_x000a_(H + I)" totalsRowFunction="sum" dataDxfId="5051" totalsRowDxfId="5050"/>
    <tableColumn id="11" name="(K)_x000a_Established _x000a_Accounts Receivable" totalsRowFunction="sum" dataDxfId="5049" totalsRowDxfId="5048"/>
    <tableColumn id="12" name="(L)_x000a_Recovered_x000a_ Accounts Receivable" totalsRowFunction="sum" dataDxfId="5047" totalsRowDxfId="5046"/>
    <tableColumn id="13" name="(M)_x000a_Accounts Receivable Balance_x000a_(K + L)" totalsRowFunction="sum" dataDxfId="5045" totalsRowDxfId="5044"/>
    <tableColumn id="14" name="(N)_x000a_Net Balance_x000a_(J minus M)" totalsRowFunction="sum" dataDxfId="5043" totalsRowDxfId="504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1.xml><?xml version="1.0" encoding="utf-8"?>
<table xmlns="http://schemas.openxmlformats.org/spreadsheetml/2006/main" id="151" name="Program370" displayName="Program370" ref="A160:N165" totalsRowCount="1" headerRowDxfId="5041" dataDxfId="5039" totalsRowDxfId="5037" headerRowBorderDxfId="5040" tableBorderDxfId="5038" totalsRowBorderDxfId="5036">
  <autoFilter ref="A160:N164"/>
  <tableColumns count="14">
    <tableColumn id="1" name="(A)_x000a_Program Name" totalsRowLabel="Total Program 370" dataDxfId="5035" totalsRowDxfId="5034"/>
    <tableColumn id="2" name="(B)_x000a_Fiscal _x000a_Year" totalsRowLabel="N/A" dataDxfId="5033" totalsRowDxfId="5032"/>
    <tableColumn id="3" name="(C)_x000a_Program_x000a_Costs" totalsRowFunction="sum" dataDxfId="5031" totalsRowDxfId="5030"/>
    <tableColumn id="4" name="(D)_x000a_Prior Period Adjustments" totalsRowFunction="sum" dataDxfId="5029" totalsRowDxfId="5028"/>
    <tableColumn id="5" name="(E)_x000a_Current Period Desk _x000a_Reviews" totalsRowFunction="sum" dataDxfId="5027" totalsRowDxfId="5026"/>
    <tableColumn id="6" name="(F)_x000a_Current Period _x000a_Final _x000a_Audits" totalsRowFunction="sum" dataDxfId="5025" totalsRowDxfId="5024"/>
    <tableColumn id="7" name="(G)_x000a_Current Period _x000a_Other Adjustments" totalsRowFunction="sum" dataDxfId="5023" totalsRowDxfId="5022"/>
    <tableColumn id="8" name="(H)_x000a_Net Program Costs_x000a_Sum (C through G)" totalsRowFunction="sum" dataDxfId="5021" totalsRowDxfId="5020"/>
    <tableColumn id="9" name="(I)_x000a_Payments_x000a_ and Offsets" totalsRowFunction="sum" dataDxfId="5019" totalsRowDxfId="5018"/>
    <tableColumn id="10" name="(J)_x000a_Accounts Payable Balance_x000a_(H + I)" totalsRowFunction="sum" dataDxfId="5017" totalsRowDxfId="5016"/>
    <tableColumn id="11" name="(K)_x000a_Established _x000a_Accounts Receivable" totalsRowFunction="sum" dataDxfId="5015" totalsRowDxfId="5014"/>
    <tableColumn id="12" name="(L)_x000a_Recovered_x000a_ Accounts Receivable" totalsRowFunction="sum" dataDxfId="5013" totalsRowDxfId="5012"/>
    <tableColumn id="13" name="(M)_x000a_Accounts Receivable Balance_x000a_(K + L)" totalsRowFunction="sum" dataDxfId="5011" totalsRowDxfId="5010"/>
    <tableColumn id="14" name="(N)_x000a_Net Balance_x000a_(J minus M)" totalsRowFunction="sum" dataDxfId="5009" totalsRowDxfId="500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2.xml><?xml version="1.0" encoding="utf-8"?>
<table xmlns="http://schemas.openxmlformats.org/spreadsheetml/2006/main" id="152" name="Program369" displayName="Program369" ref="A167:N175" totalsRowCount="1" headerRowDxfId="5007" dataDxfId="5005" totalsRowDxfId="5003" headerRowBorderDxfId="5006" tableBorderDxfId="5004" totalsRowBorderDxfId="5002">
  <autoFilter ref="A167:N174"/>
  <tableColumns count="14">
    <tableColumn id="1" name="(A)_x000a_Program Name" totalsRowLabel="Total Program 369" dataDxfId="5001" totalsRowDxfId="5000"/>
    <tableColumn id="2" name="(B)_x000a_Fiscal _x000a_Year" totalsRowLabel="N/A" dataDxfId="4999" totalsRowDxfId="4998"/>
    <tableColumn id="3" name="(C)_x000a_Program_x000a_Costs" totalsRowFunction="sum" dataDxfId="4997" totalsRowDxfId="4996"/>
    <tableColumn id="4" name="(D)_x000a_Prior Period Adjustments" totalsRowFunction="sum" dataDxfId="4995" totalsRowDxfId="4994"/>
    <tableColumn id="5" name="(E)_x000a_Current Period Desk _x000a_Reviews" totalsRowFunction="sum" dataDxfId="4993" totalsRowDxfId="4992"/>
    <tableColumn id="6" name="(F)_x000a_Current Period _x000a_Final _x000a_Audits" totalsRowFunction="sum" dataDxfId="4991" totalsRowDxfId="4990"/>
    <tableColumn id="7" name="(G)_x000a_Current Period _x000a_Other Adjustments" totalsRowFunction="sum" dataDxfId="4989" totalsRowDxfId="4988"/>
    <tableColumn id="8" name="(H)_x000a_Net Program Costs_x000a_Sum (C through G)" totalsRowFunction="sum" dataDxfId="4987" totalsRowDxfId="4986"/>
    <tableColumn id="9" name="(I)_x000a_Payments_x000a_ and Offsets" totalsRowFunction="sum" dataDxfId="4985" totalsRowDxfId="4984"/>
    <tableColumn id="10" name="(J)_x000a_Accounts Payable Balance_x000a_(H + I)" totalsRowFunction="sum" dataDxfId="4983" totalsRowDxfId="4982"/>
    <tableColumn id="11" name="(K)_x000a_Established _x000a_Accounts Receivable" totalsRowFunction="sum" dataDxfId="4981" totalsRowDxfId="4980"/>
    <tableColumn id="12" name="(L)_x000a_Recovered_x000a_ Accounts Receivable" totalsRowFunction="sum" dataDxfId="4979" totalsRowDxfId="4978"/>
    <tableColumn id="13" name="(M)_x000a_Accounts Receivable Balance_x000a_(K + L)" totalsRowFunction="sum" dataDxfId="4977" totalsRowDxfId="4976"/>
    <tableColumn id="14" name="(N)_x000a_Net Balance_x000a_(J minus M)" totalsRowFunction="sum" dataDxfId="4975" totalsRowDxfId="497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3.xml><?xml version="1.0" encoding="utf-8"?>
<table xmlns="http://schemas.openxmlformats.org/spreadsheetml/2006/main" id="153" name="Program354" displayName="Program354" ref="A177:N191" totalsRowCount="1" headerRowDxfId="4973" dataDxfId="4971" totalsRowDxfId="4969" headerRowBorderDxfId="4972" tableBorderDxfId="4970" totalsRowBorderDxfId="4968">
  <autoFilter ref="A177:N190"/>
  <tableColumns count="14">
    <tableColumn id="1" name="(A)_x000a_Program Name" totalsRowLabel="Total Program 354" dataDxfId="4967" totalsRowDxfId="4966"/>
    <tableColumn id="2" name="(B)_x000a_Fiscal _x000a_Year" totalsRowLabel="N/A" dataDxfId="4965" totalsRowDxfId="4964"/>
    <tableColumn id="3" name="(C)_x000a_Program_x000a_Costs" totalsRowFunction="sum" dataDxfId="4963" totalsRowDxfId="4962"/>
    <tableColumn id="4" name="(D)_x000a_Prior Period Adjustments" totalsRowFunction="sum" dataDxfId="4961" totalsRowDxfId="4960"/>
    <tableColumn id="5" name="(E)_x000a_Current Period Desk _x000a_Reviews" totalsRowFunction="sum" dataDxfId="4959" totalsRowDxfId="4958"/>
    <tableColumn id="6" name="(F)_x000a_Current Period _x000a_Final _x000a_Audits" totalsRowFunction="sum" dataDxfId="4957" totalsRowDxfId="4956"/>
    <tableColumn id="7" name="(G)_x000a_Current Period _x000a_Other Adjustments" totalsRowFunction="sum" dataDxfId="4955" totalsRowDxfId="4954"/>
    <tableColumn id="8" name="(H)_x000a_Net Program Costs_x000a_Sum (C through G)" totalsRowFunction="sum" dataDxfId="4953" totalsRowDxfId="4952"/>
    <tableColumn id="9" name="(I)_x000a_Payments_x000a_ and Offsets" totalsRowFunction="sum" dataDxfId="4951" totalsRowDxfId="4950"/>
    <tableColumn id="10" name="(J)_x000a_Accounts Payable Balance_x000a_(H + I)" totalsRowFunction="sum" dataDxfId="4949" totalsRowDxfId="4948"/>
    <tableColumn id="11" name="(K)_x000a_Established _x000a_Accounts Receivable" totalsRowFunction="sum" dataDxfId="4947" totalsRowDxfId="4946"/>
    <tableColumn id="12" name="(L)_x000a_Recovered_x000a_ Accounts Receivable" totalsRowFunction="sum" dataDxfId="4945" totalsRowDxfId="4944"/>
    <tableColumn id="13" name="(M)_x000a_Accounts Receivable Balance_x000a_(K + L)" totalsRowFunction="sum" dataDxfId="4943" totalsRowDxfId="4942"/>
    <tableColumn id="14" name="(N)_x000a_Net Balance_x000a_(J minus M)" totalsRowFunction="sum" dataDxfId="4941" totalsRowDxfId="494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4.xml><?xml version="1.0" encoding="utf-8"?>
<table xmlns="http://schemas.openxmlformats.org/spreadsheetml/2006/main" id="154" name="Program286" displayName="Program286" ref="A193:N209" totalsRowCount="1" headerRowDxfId="4939" dataDxfId="4937" totalsRowDxfId="4935" headerRowBorderDxfId="4938" tableBorderDxfId="4936" totalsRowBorderDxfId="4934">
  <autoFilter ref="A193:N208"/>
  <tableColumns count="14">
    <tableColumn id="1" name="(A)_x000a_Program Name" totalsRowLabel="Total Program 286" dataDxfId="4933" totalsRowDxfId="4932"/>
    <tableColumn id="2" name="(B)_x000a_Fiscal _x000a_Year" totalsRowLabel="N/A" dataDxfId="4931" totalsRowDxfId="4930"/>
    <tableColumn id="3" name="(C)_x000a_Program_x000a_Costs" totalsRowFunction="sum" dataDxfId="4929" totalsRowDxfId="4928"/>
    <tableColumn id="4" name="(D)_x000a_Prior Period Adjustments" totalsRowFunction="sum" dataDxfId="4927" totalsRowDxfId="4926"/>
    <tableColumn id="5" name="(E)_x000a_Current Period Desk _x000a_Reviews" totalsRowFunction="sum" dataDxfId="4925" totalsRowDxfId="4924"/>
    <tableColumn id="6" name="(F)_x000a_Current Period _x000a_Final _x000a_Audits" totalsRowFunction="sum" dataDxfId="4923" totalsRowDxfId="4922"/>
    <tableColumn id="7" name="(G)_x000a_Current Period _x000a_Other Adjustments" totalsRowFunction="sum" dataDxfId="4921" totalsRowDxfId="4920"/>
    <tableColumn id="8" name="(H)_x000a_Net Program Costs_x000a_Sum (C through G)" totalsRowFunction="sum" dataDxfId="4919" totalsRowDxfId="4918"/>
    <tableColumn id="9" name="(I)_x000a_Payments_x000a_ and Offsets" totalsRowFunction="sum" dataDxfId="4917" totalsRowDxfId="4916"/>
    <tableColumn id="10" name="(J)_x000a_Accounts Payable Balance_x000a_(H + I)" totalsRowFunction="sum" dataDxfId="4915" totalsRowDxfId="4914"/>
    <tableColumn id="11" name="(K)_x000a_Established _x000a_Accounts Receivable" totalsRowFunction="sum" dataDxfId="4913" totalsRowDxfId="4912"/>
    <tableColumn id="12" name="(L)_x000a_Recovered_x000a_ Accounts Receivable" totalsRowFunction="sum" dataDxfId="4911" totalsRowDxfId="4910"/>
    <tableColumn id="13" name="(M)_x000a_Accounts Receivable Balance_x000a_(K + L)" totalsRowFunction="sum" dataDxfId="4909" totalsRowDxfId="4908"/>
    <tableColumn id="14" name="(N)_x000a_Net Balance_x000a_(J minus M)" totalsRowFunction="sum" dataDxfId="4907" totalsRowDxfId="49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5.xml><?xml version="1.0" encoding="utf-8"?>
<table xmlns="http://schemas.openxmlformats.org/spreadsheetml/2006/main" id="155" name="Program172" displayName="Program172" ref="A211:N238" totalsRowCount="1" headerRowDxfId="4905" dataDxfId="4903" totalsRowDxfId="4901" headerRowBorderDxfId="4904" tableBorderDxfId="4902" totalsRowBorderDxfId="4900">
  <autoFilter ref="A211:N237"/>
  <tableColumns count="14">
    <tableColumn id="1" name="(A)_x000a_Program Name" totalsRowLabel="Total Program 172" dataDxfId="4899" totalsRowDxfId="4898"/>
    <tableColumn id="2" name="(B)_x000a_Fiscal _x000a_Year" totalsRowLabel="N/A" dataDxfId="4897" totalsRowDxfId="4896"/>
    <tableColumn id="3" name="(C)_x000a_Program_x000a_Costs" totalsRowFunction="sum" dataDxfId="4895" totalsRowDxfId="4894"/>
    <tableColumn id="4" name="(D)_x000a_Prior Period Adjustments" totalsRowFunction="sum" dataDxfId="4893" totalsRowDxfId="4892"/>
    <tableColumn id="5" name="(E)_x000a_Current Period Desk _x000a_Reviews" totalsRowFunction="sum" dataDxfId="4891" totalsRowDxfId="4890"/>
    <tableColumn id="6" name="(F)_x000a_Current Period _x000a_Final _x000a_Audits" totalsRowFunction="sum" dataDxfId="4889" totalsRowDxfId="4888"/>
    <tableColumn id="7" name="(G)_x000a_Current Period _x000a_Other Adjustments" totalsRowFunction="sum" dataDxfId="4887" totalsRowDxfId="4886"/>
    <tableColumn id="8" name="(H)_x000a_Net Program Costs_x000a_Sum (C through G)" totalsRowFunction="sum" dataDxfId="4885" totalsRowDxfId="4884"/>
    <tableColumn id="9" name="(I)_x000a_Payments_x000a_ and Offsets" totalsRowFunction="sum" dataDxfId="4883" totalsRowDxfId="4882"/>
    <tableColumn id="10" name="(J)_x000a_Accounts Payable Balance_x000a_(H + I)" totalsRowFunction="sum" dataDxfId="4881" totalsRowDxfId="4880"/>
    <tableColumn id="11" name="(K)_x000a_Established _x000a_Accounts Receivable" totalsRowFunction="sum" dataDxfId="4879" totalsRowDxfId="4878"/>
    <tableColumn id="12" name="(L)_x000a_Recovered_x000a_ Accounts Receivable" totalsRowFunction="sum" dataDxfId="4877" totalsRowDxfId="4876"/>
    <tableColumn id="13" name="(M)_x000a_Accounts Receivable Balance_x000a_(K + L)" totalsRowFunction="sum" dataDxfId="4875" totalsRowDxfId="4874"/>
    <tableColumn id="14" name="(N)_x000a_Net Balance_x000a_(J minus M)" totalsRowFunction="sum" dataDxfId="4873" totalsRowDxfId="487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6.xml><?xml version="1.0" encoding="utf-8"?>
<table xmlns="http://schemas.openxmlformats.org/spreadsheetml/2006/main" id="156" name="Program009" displayName="Program009" ref="A240:N251" totalsRowCount="1" headerRowDxfId="4871" dataDxfId="4869" totalsRowDxfId="4867" headerRowBorderDxfId="4870" tableBorderDxfId="4868" totalsRowBorderDxfId="4866">
  <autoFilter ref="A240:N250"/>
  <tableColumns count="14">
    <tableColumn id="1" name="(A)_x000a_Program Name" totalsRowLabel="Total Program 9" dataDxfId="4865" totalsRowDxfId="4864"/>
    <tableColumn id="2" name="(B)_x000a_Fiscal _x000a_Year" totalsRowLabel="N/A" dataDxfId="4863" totalsRowDxfId="4862"/>
    <tableColumn id="3" name="(C)_x000a_Program_x000a_Costs" totalsRowFunction="sum" dataDxfId="4861" totalsRowDxfId="4860"/>
    <tableColumn id="4" name="(D)_x000a_Prior Period Adjustments" totalsRowFunction="sum" dataDxfId="4859" totalsRowDxfId="4858"/>
    <tableColumn id="5" name="(E)_x000a_Current Period Desk _x000a_Reviews" totalsRowFunction="sum" dataDxfId="4857" totalsRowDxfId="4856"/>
    <tableColumn id="6" name="(F)_x000a_Current Period _x000a_Final _x000a_Audits" totalsRowFunction="sum" dataDxfId="4855" totalsRowDxfId="4854"/>
    <tableColumn id="7" name="(G)_x000a_Current Period _x000a_Other Adjustments" totalsRowFunction="sum" dataDxfId="4853" totalsRowDxfId="4852"/>
    <tableColumn id="8" name="(H)_x000a_Net Program Costs_x000a_Sum (C through G)" totalsRowFunction="sum" dataDxfId="4851" totalsRowDxfId="4850"/>
    <tableColumn id="9" name="(I)_x000a_Payments_x000a_ and Offsets" totalsRowFunction="sum" dataDxfId="4849" totalsRowDxfId="4848"/>
    <tableColumn id="10" name="(J)_x000a_Accounts Payable Balance_x000a_(H + I)" totalsRowFunction="sum" dataDxfId="4847" totalsRowDxfId="4846"/>
    <tableColumn id="11" name="(K)_x000a_Established _x000a_Accounts Receivable" totalsRowFunction="sum" dataDxfId="4845" totalsRowDxfId="4844"/>
    <tableColumn id="12" name="(L)_x000a_Recovered_x000a_ Accounts Receivable" totalsRowFunction="sum" dataDxfId="4843" totalsRowDxfId="4842"/>
    <tableColumn id="13" name="(M)_x000a_Accounts Receivable Balance_x000a_(K + L)" totalsRowFunction="sum" dataDxfId="4841" totalsRowDxfId="4840"/>
    <tableColumn id="14" name="(N)_x000a_Net Balance_x000a_(J minus M)" totalsRowFunction="sum" dataDxfId="4839" totalsRowDxfId="48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7.xml><?xml version="1.0" encoding="utf-8"?>
<table xmlns="http://schemas.openxmlformats.org/spreadsheetml/2006/main" id="157" name="Program140" displayName="Program140" ref="A253:N265" totalsRowCount="1" headerRowDxfId="4837" dataDxfId="4835" totalsRowDxfId="4833" headerRowBorderDxfId="4836" tableBorderDxfId="4834" totalsRowBorderDxfId="4832">
  <autoFilter ref="A253:N264"/>
  <tableColumns count="14">
    <tableColumn id="1" name="(A)_x000a_Program Name" totalsRowLabel="Total Program 140" dataDxfId="4831" totalsRowDxfId="4830"/>
    <tableColumn id="2" name="(B)_x000a_Fiscal _x000a_Year" totalsRowLabel="N/A" dataDxfId="4829" totalsRowDxfId="4828"/>
    <tableColumn id="3" name="(C)_x000a_Program_x000a_Costs" totalsRowFunction="sum" dataDxfId="4827" totalsRowDxfId="4826"/>
    <tableColumn id="4" name="(D)_x000a_Prior Period Adjustments" totalsRowFunction="sum" dataDxfId="4825" totalsRowDxfId="4824"/>
    <tableColumn id="5" name="(E)_x000a_Current Period Desk _x000a_Reviews" totalsRowFunction="sum" dataDxfId="4823" totalsRowDxfId="4822"/>
    <tableColumn id="6" name="(F)_x000a_Current Period _x000a_Final _x000a_Audits" totalsRowFunction="sum" dataDxfId="4821" totalsRowDxfId="4820"/>
    <tableColumn id="7" name="(G)_x000a_Current Period _x000a_Other Adjustments" totalsRowFunction="sum" dataDxfId="4819" totalsRowDxfId="4818"/>
    <tableColumn id="8" name="(H)_x000a_Net Program Costs_x000a_Sum (C through G)" totalsRowFunction="sum" dataDxfId="4817" totalsRowDxfId="4816"/>
    <tableColumn id="9" name="(I)_x000a_Payments_x000a_ and Offsets" totalsRowFunction="sum" dataDxfId="4815" totalsRowDxfId="4814"/>
    <tableColumn id="10" name="(J)_x000a_Accounts Payable Balance_x000a_(H + I)" totalsRowFunction="sum" dataDxfId="4813" totalsRowDxfId="4812"/>
    <tableColumn id="11" name="(K)_x000a_Established _x000a_Accounts Receivable" totalsRowFunction="sum" dataDxfId="4811" totalsRowDxfId="4810"/>
    <tableColumn id="12" name="(L)_x000a_Recovered_x000a_ Accounts Receivable" totalsRowFunction="sum" dataDxfId="4809" totalsRowDxfId="4808"/>
    <tableColumn id="13" name="(M)_x000a_Accounts Receivable Balance_x000a_(K + L)" totalsRowFunction="sum" dataDxfId="4807" totalsRowDxfId="4806"/>
    <tableColumn id="14" name="(N)_x000a_Net Balance_x000a_(J minus M)" totalsRowFunction="sum" dataDxfId="4805" totalsRowDxfId="480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8.xml><?xml version="1.0" encoding="utf-8"?>
<table xmlns="http://schemas.openxmlformats.org/spreadsheetml/2006/main" id="158" name="Program278" displayName="Program278" ref="A267:N278" totalsRowCount="1" headerRowDxfId="4803" dataDxfId="4801" totalsRowDxfId="4799" headerRowBorderDxfId="4802" tableBorderDxfId="4800" totalsRowBorderDxfId="4798">
  <autoFilter ref="A267:N277"/>
  <tableColumns count="14">
    <tableColumn id="1" name="(A)_x000a_Program Name" totalsRowLabel="Total Program 278" dataDxfId="4797" totalsRowDxfId="4796"/>
    <tableColumn id="2" name="(B)_x000a_Fiscal _x000a_Year" totalsRowLabel="N/A" dataDxfId="4795" totalsRowDxfId="4794"/>
    <tableColumn id="3" name="(C)_x000a_Program_x000a_Costs" totalsRowFunction="sum" dataDxfId="4793" totalsRowDxfId="4792"/>
    <tableColumn id="4" name="(D)_x000a_Prior Period Adjustments" totalsRowFunction="sum" dataDxfId="4791" totalsRowDxfId="4790"/>
    <tableColumn id="5" name="(E)_x000a_Current Period Desk _x000a_Reviews" totalsRowFunction="sum" dataDxfId="4789" totalsRowDxfId="4788"/>
    <tableColumn id="6" name="(F)_x000a_Current Period _x000a_Final _x000a_Audits" totalsRowFunction="sum" dataDxfId="4787" totalsRowDxfId="4786"/>
    <tableColumn id="7" name="(G)_x000a_Current Period _x000a_Other Adjustments" totalsRowFunction="sum" dataDxfId="4785" totalsRowDxfId="4784"/>
    <tableColumn id="8" name="(H)_x000a_Net Program Costs_x000a_Sum (C through G)" totalsRowFunction="sum" dataDxfId="4783" totalsRowDxfId="4782"/>
    <tableColumn id="9" name="(I)_x000a_Payments_x000a_ and Offsets" totalsRowFunction="sum" dataDxfId="4781" totalsRowDxfId="4780"/>
    <tableColumn id="10" name="(J)_x000a_Accounts Payable Balance_x000a_(H + I)" totalsRowFunction="sum" dataDxfId="4779" totalsRowDxfId="4778"/>
    <tableColumn id="11" name="(K)_x000a_Established _x000a_Accounts Receivable" totalsRowFunction="sum" dataDxfId="4777" totalsRowDxfId="4776"/>
    <tableColumn id="12" name="(L)_x000a_Recovered_x000a_ Accounts Receivable" totalsRowFunction="sum" dataDxfId="4775" totalsRowDxfId="4774"/>
    <tableColumn id="13" name="(M)_x000a_Accounts Receivable Balance_x000a_(K + L)" totalsRowFunction="sum" dataDxfId="4773" totalsRowDxfId="4772"/>
    <tableColumn id="14" name="(N)_x000a_Net Balance_x000a_(J minus M)" totalsRowFunction="sum" dataDxfId="4771" totalsRowDxfId="477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59.xml><?xml version="1.0" encoding="utf-8"?>
<table xmlns="http://schemas.openxmlformats.org/spreadsheetml/2006/main" id="159" name="Program249" displayName="Program249" ref="A280:N289" totalsRowCount="1" headerRowDxfId="4769" dataDxfId="4767" totalsRowDxfId="4765" headerRowBorderDxfId="4768" tableBorderDxfId="4766" totalsRowBorderDxfId="4764">
  <autoFilter ref="A280:N288"/>
  <tableColumns count="14">
    <tableColumn id="1" name="(A)_x000a_Program Name" totalsRowLabel="Total Program 249" dataDxfId="4763" totalsRowDxfId="4762"/>
    <tableColumn id="2" name="(B)_x000a_Fiscal _x000a_Year" totalsRowLabel="N/A" dataDxfId="4761" totalsRowDxfId="4760"/>
    <tableColumn id="3" name="(C)_x000a_Program_x000a_Costs" totalsRowFunction="sum" dataDxfId="4759" totalsRowDxfId="4758"/>
    <tableColumn id="4" name="(D)_x000a_Prior Period Adjustments" totalsRowFunction="sum" dataDxfId="4757" totalsRowDxfId="4756"/>
    <tableColumn id="5" name="(E)_x000a_Current Period Desk _x000a_Reviews" totalsRowFunction="sum" dataDxfId="4755" totalsRowDxfId="4754"/>
    <tableColumn id="6" name="(F)_x000a_Current Period _x000a_Final _x000a_Audits" totalsRowFunction="sum" dataDxfId="4753" totalsRowDxfId="4752"/>
    <tableColumn id="7" name="(G)_x000a_Current Period _x000a_Other Adjustments" totalsRowFunction="sum" dataDxfId="4751" totalsRowDxfId="4750"/>
    <tableColumn id="8" name="(H)_x000a_Net Program Costs_x000a_Sum (C through G)" totalsRowFunction="sum" dataDxfId="4749" totalsRowDxfId="4748"/>
    <tableColumn id="9" name="(I)_x000a_Payments_x000a_ and Offsets" totalsRowFunction="sum" dataDxfId="4747" totalsRowDxfId="4746"/>
    <tableColumn id="10" name="(J)_x000a_Accounts Payable Balance_x000a_(H + I)" totalsRowFunction="sum" dataDxfId="4745" totalsRowDxfId="4744"/>
    <tableColumn id="11" name="(K)_x000a_Established _x000a_Accounts Receivable" totalsRowFunction="sum" dataDxfId="4743" totalsRowDxfId="4742"/>
    <tableColumn id="12" name="(L)_x000a_Recovered_x000a_ Accounts Receivable" totalsRowFunction="sum" dataDxfId="4741" totalsRowDxfId="4740"/>
    <tableColumn id="13" name="(M)_x000a_Accounts Receivable Balance_x000a_(K + L)" totalsRowFunction="sum" dataDxfId="4739" totalsRowDxfId="4738"/>
    <tableColumn id="14" name="(N)_x000a_Net Balance_x000a_(J minus M)" totalsRowFunction="sum" dataDxfId="4737" totalsRowDxfId="47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.xml><?xml version="1.0" encoding="utf-8"?>
<table xmlns="http://schemas.openxmlformats.org/spreadsheetml/2006/main" id="16" name="Program284" displayName="Program284" ref="A154:N158" totalsRowCount="1" headerRowDxfId="9602" dataDxfId="9600" totalsRowDxfId="9598" headerRowBorderDxfId="9601" tableBorderDxfId="9599" totalsRowBorderDxfId="9597">
  <autoFilter ref="A154:N157"/>
  <tableColumns count="14">
    <tableColumn id="1" name="(A)_x000a_Program Name" totalsRowFunction="custom" dataDxfId="9596" totalsRowDxfId="9595">
      <totalsRowFormula>[1]Locals!$A$151</totalsRowFormula>
    </tableColumn>
    <tableColumn id="2" name="(B)_x000a_Fiscal _x000a_Year" totalsRowLabel="N/A" dataDxfId="9594" totalsRowDxfId="9593"/>
    <tableColumn id="3" name="(C)_x000a_Program_x000a_Costs" totalsRowFunction="sum" dataDxfId="9592" totalsRowDxfId="9591"/>
    <tableColumn id="4" name="(D)_x000a_Prior Period Adjustments" totalsRowFunction="sum" dataDxfId="9590" totalsRowDxfId="9589"/>
    <tableColumn id="5" name="(E)_x000a_Current Period Desk _x000a_Reviews" totalsRowFunction="sum" dataDxfId="9588" totalsRowDxfId="9587"/>
    <tableColumn id="6" name="(F)_x000a_Current Period _x000a_Final _x000a_Audits" totalsRowFunction="sum" dataDxfId="9586" totalsRowDxfId="9585"/>
    <tableColumn id="7" name="(G)_x000a_Current Period _x000a_Other Adjustments" totalsRowFunction="sum" dataDxfId="9584" totalsRowDxfId="9583"/>
    <tableColumn id="8" name="(H)_x000a_Net Program Costs_x000a_Sum (C through G)" totalsRowFunction="sum" dataDxfId="9582" totalsRowDxfId="9581"/>
    <tableColumn id="9" name="(I)_x000a_Payments_x000a_ and Offsets" totalsRowFunction="sum" dataDxfId="9580" totalsRowDxfId="9579"/>
    <tableColumn id="10" name="(J)_x000a_Accounts Payable Balance_x000a_(H + I)" totalsRowFunction="sum" dataDxfId="9578" totalsRowDxfId="9577"/>
    <tableColumn id="11" name="(K)_x000a_Established _x000a_Accounts Receivable" totalsRowFunction="sum" dataDxfId="9576" totalsRowDxfId="9575"/>
    <tableColumn id="12" name="(L)_x000a_Recovered_x000a_ Accounts Receivable" totalsRowFunction="sum" dataDxfId="9574" totalsRowDxfId="9573"/>
    <tableColumn id="13" name="(M)_x000a_Accounts Receivable Balance_x000a_(K + L)" totalsRowFunction="sum" dataDxfId="9572" totalsRowDxfId="9571"/>
    <tableColumn id="14" name="(N)_x000a_Net Balance_x000a_(J minus M)" totalsRowFunction="sum" dataDxfId="9570" totalsRowDxfId="95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0.xml><?xml version="1.0" encoding="utf-8"?>
<table xmlns="http://schemas.openxmlformats.org/spreadsheetml/2006/main" id="160" name="Program277" displayName="Program277" ref="A291:N300" totalsRowCount="1" headerRowDxfId="4735" dataDxfId="4733" totalsRowDxfId="4731" headerRowBorderDxfId="4734" tableBorderDxfId="4732" totalsRowBorderDxfId="4730">
  <autoFilter ref="A291:N299"/>
  <tableColumns count="14">
    <tableColumn id="1" name="(A)_x000a_Program Name" totalsRowLabel="Total Program 277" dataDxfId="4729" totalsRowDxfId="4728"/>
    <tableColumn id="2" name="(B)_x000a_Fiscal _x000a_Year" totalsRowLabel="N/A" dataDxfId="4727" totalsRowDxfId="4726"/>
    <tableColumn id="3" name="(C)_x000a_Program_x000a_Costs" totalsRowFunction="sum" dataDxfId="4725" totalsRowDxfId="4724"/>
    <tableColumn id="4" name="(D)_x000a_Prior Period Adjustments" totalsRowFunction="sum" dataDxfId="4723" totalsRowDxfId="4722"/>
    <tableColumn id="5" name="(E)_x000a_Current Period Desk _x000a_Reviews" totalsRowFunction="sum" dataDxfId="4721" totalsRowDxfId="4720"/>
    <tableColumn id="6" name="(F)_x000a_Current Period _x000a_Final _x000a_Audits" totalsRowFunction="sum" dataDxfId="4719" totalsRowDxfId="4718"/>
    <tableColumn id="7" name="(G)_x000a_Current Period _x000a_Other Adjustments" totalsRowFunction="sum" dataDxfId="4717" totalsRowDxfId="4716"/>
    <tableColumn id="8" name="(H)_x000a_Net Program Costs_x000a_Sum (C through G)" totalsRowFunction="sum" dataDxfId="4715" totalsRowDxfId="4714"/>
    <tableColumn id="9" name="(I)_x000a_Payments_x000a_ and Offsets" totalsRowFunction="sum" dataDxfId="4713" totalsRowDxfId="4712"/>
    <tableColumn id="10" name="(J)_x000a_Accounts Payable Balance_x000a_(H + I)" totalsRowFunction="sum" dataDxfId="4711" totalsRowDxfId="4710"/>
    <tableColumn id="11" name="(K)_x000a_Established _x000a_Accounts Receivable" totalsRowFunction="sum" dataDxfId="4709" totalsRowDxfId="4708"/>
    <tableColumn id="12" name="(L)_x000a_Recovered_x000a_ Accounts Receivable" totalsRowFunction="sum" dataDxfId="4707" totalsRowDxfId="4706"/>
    <tableColumn id="13" name="(M)_x000a_Accounts Receivable Balance_x000a_(K + L)" totalsRowFunction="sum" dataDxfId="4705" totalsRowDxfId="4704"/>
    <tableColumn id="14" name="(N)_x000a_Net Balance_x000a_(J minus M)" totalsRowFunction="sum" dataDxfId="4703" totalsRowDxfId="470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1.xml><?xml version="1.0" encoding="utf-8"?>
<table xmlns="http://schemas.openxmlformats.org/spreadsheetml/2006/main" id="161" name="Program337" displayName="Program337" ref="A302:N310" totalsRowCount="1" headerRowDxfId="4701" dataDxfId="4699" totalsRowDxfId="4697" headerRowBorderDxfId="4700" tableBorderDxfId="4698" totalsRowBorderDxfId="4696">
  <autoFilter ref="A302:N309"/>
  <tableColumns count="14">
    <tableColumn id="1" name="(A)_x000a_Program Name" totalsRowLabel="Total Program 337" dataDxfId="4695" totalsRowDxfId="4694"/>
    <tableColumn id="2" name="(B)_x000a_Fiscal _x000a_Year" totalsRowLabel="N/A" dataDxfId="4693" totalsRowDxfId="4692"/>
    <tableColumn id="3" name="(C)_x000a_Program_x000a_Costs" totalsRowFunction="sum" dataDxfId="4691" totalsRowDxfId="4690"/>
    <tableColumn id="4" name="(D)_x000a_Prior Period Adjustments" totalsRowFunction="sum" dataDxfId="4689" totalsRowDxfId="4688"/>
    <tableColumn id="5" name="(E)_x000a_Current Period Desk _x000a_Reviews" totalsRowFunction="sum" dataDxfId="4687" totalsRowDxfId="4686"/>
    <tableColumn id="6" name="(F)_x000a_Current Period _x000a_Final _x000a_Audits" totalsRowFunction="sum" dataDxfId="4685" totalsRowDxfId="4684"/>
    <tableColumn id="7" name="(G)_x000a_Current Period _x000a_Other Adjustments" totalsRowFunction="sum" dataDxfId="4683" totalsRowDxfId="4682"/>
    <tableColumn id="8" name="(H)_x000a_Net Program Costs_x000a_Sum (C through G)" totalsRowFunction="sum" dataDxfId="4681" totalsRowDxfId="4680"/>
    <tableColumn id="9" name="(I)_x000a_Payments_x000a_ and Offsets" totalsRowFunction="sum" dataDxfId="4679" totalsRowDxfId="4678"/>
    <tableColumn id="10" name="(J)_x000a_Accounts Payable Balance_x000a_(H + I)" totalsRowFunction="sum" dataDxfId="4677" totalsRowDxfId="4676"/>
    <tableColumn id="11" name="(K)_x000a_Established _x000a_Accounts Receivable" totalsRowFunction="sum" dataDxfId="4675" totalsRowDxfId="4674"/>
    <tableColumn id="12" name="(L)_x000a_Recovered_x000a_ Accounts Receivable" totalsRowFunction="sum" dataDxfId="4673" totalsRowDxfId="4672"/>
    <tableColumn id="13" name="(M)_x000a_Accounts Receivable Balance_x000a_(K + L)" totalsRowFunction="sum" dataDxfId="4671" totalsRowDxfId="4670"/>
    <tableColumn id="14" name="(N)_x000a_Net Balance_x000a_(J minus M)" totalsRowFunction="sum" dataDxfId="4669" totalsRowDxfId="466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2.xml><?xml version="1.0" encoding="utf-8"?>
<table xmlns="http://schemas.openxmlformats.org/spreadsheetml/2006/main" id="162" name="Program309" displayName="Program309" ref="A312:N319" totalsRowCount="1" headerRowDxfId="4667" dataDxfId="4665" totalsRowDxfId="4663" headerRowBorderDxfId="4666" tableBorderDxfId="4664" totalsRowBorderDxfId="4662">
  <autoFilter ref="A312:N318"/>
  <tableColumns count="14">
    <tableColumn id="1" name="(A)_x000a_Program Name" totalsRowLabel="Total Program 309" dataDxfId="4661" totalsRowDxfId="4660"/>
    <tableColumn id="2" name="(B)_x000a_Fiscal _x000a_Year" totalsRowLabel="N/A" dataDxfId="4659" totalsRowDxfId="4658"/>
    <tableColumn id="3" name="(C)_x000a_Program_x000a_Costs" totalsRowFunction="sum" dataDxfId="4657" totalsRowDxfId="4656"/>
    <tableColumn id="4" name="(D)_x000a_Prior Period Adjustments" totalsRowFunction="sum" dataDxfId="4655" totalsRowDxfId="4654"/>
    <tableColumn id="5" name="(E)_x000a_Current Period Desk _x000a_Reviews" totalsRowFunction="sum" dataDxfId="4653" totalsRowDxfId="4652"/>
    <tableColumn id="6" name="(F)_x000a_Current Period _x000a_Final _x000a_Audits" totalsRowFunction="sum" dataDxfId="4651" totalsRowDxfId="4650"/>
    <tableColumn id="7" name="(G)_x000a_Current Period _x000a_Other Adjustments" totalsRowFunction="sum" dataDxfId="4649" totalsRowDxfId="4648"/>
    <tableColumn id="8" name="(H)_x000a_Net Program Costs_x000a_Sum (C through G)" totalsRowFunction="sum" dataDxfId="4647" totalsRowDxfId="4646"/>
    <tableColumn id="9" name="(I)_x000a_Payments_x000a_ and Offsets" totalsRowFunction="sum" dataDxfId="4645" totalsRowDxfId="4644"/>
    <tableColumn id="10" name="(J)_x000a_Accounts Payable Balance_x000a_(H + I)" totalsRowFunction="sum" dataDxfId="4643" totalsRowDxfId="4642"/>
    <tableColumn id="11" name="(K)_x000a_Established _x000a_Accounts Receivable" totalsRowFunction="sum" dataDxfId="4641" totalsRowDxfId="4640"/>
    <tableColumn id="12" name="(L)_x000a_Recovered_x000a_ Accounts Receivable" totalsRowFunction="sum" dataDxfId="4639" totalsRowDxfId="4638"/>
    <tableColumn id="13" name="(M)_x000a_Accounts Receivable Balance_x000a_(K + L)" totalsRowFunction="sum" dataDxfId="4637" totalsRowDxfId="4636"/>
    <tableColumn id="14" name="(N)_x000a_Net Balance_x000a_(J minus M)" totalsRowFunction="sum" dataDxfId="4635" totalsRowDxfId="463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3.xml><?xml version="1.0" encoding="utf-8"?>
<table xmlns="http://schemas.openxmlformats.org/spreadsheetml/2006/main" id="163" name="Program114" displayName="Program114" ref="A321:N330" totalsRowCount="1" headerRowDxfId="4633" dataDxfId="4631" totalsRowDxfId="4629" headerRowBorderDxfId="4632" tableBorderDxfId="4630" totalsRowBorderDxfId="4628">
  <autoFilter ref="A321:N329"/>
  <tableColumns count="14">
    <tableColumn id="1" name="(A)_x000a_Program Name" totalsRowLabel="Total Program 114" dataDxfId="4627" totalsRowDxfId="4626"/>
    <tableColumn id="2" name="(B)_x000a_Fiscal _x000a_Year" totalsRowLabel="N/A" dataDxfId="4625" totalsRowDxfId="4624"/>
    <tableColumn id="3" name="(C)_x000a_Program_x000a_Costs" totalsRowFunction="sum" dataDxfId="4623" totalsRowDxfId="4622"/>
    <tableColumn id="4" name="(D)_x000a_Prior Period Adjustments" totalsRowFunction="sum" dataDxfId="4621" totalsRowDxfId="4620"/>
    <tableColumn id="5" name="(E)_x000a_Current Period Desk _x000a_Reviews" totalsRowFunction="sum" dataDxfId="4619" totalsRowDxfId="4618"/>
    <tableColumn id="6" name="(F)_x000a_Current Period _x000a_Final _x000a_Audits" totalsRowFunction="sum" dataDxfId="4617" totalsRowDxfId="4616"/>
    <tableColumn id="7" name="(G)_x000a_Current Period _x000a_Other Adjustments" totalsRowFunction="sum" dataDxfId="4615" totalsRowDxfId="4614"/>
    <tableColumn id="8" name="(H)_x000a_Net Program Costs_x000a_Sum (C through G)" totalsRowFunction="sum" dataDxfId="4613" totalsRowDxfId="4612"/>
    <tableColumn id="9" name="(I)_x000a_Payments_x000a_ and Offsets" totalsRowFunction="sum" dataDxfId="4611" totalsRowDxfId="4610"/>
    <tableColumn id="10" name="(J)_x000a_Accounts Payable Balance_x000a_(H + I)" totalsRowFunction="sum" dataDxfId="4609" totalsRowDxfId="4608"/>
    <tableColumn id="11" name="(K)_x000a_Established _x000a_Accounts Receivable" totalsRowFunction="sum" dataDxfId="4607" totalsRowDxfId="4606"/>
    <tableColumn id="12" name="(L)_x000a_Recovered_x000a_ Accounts Receivable" totalsRowFunction="sum" dataDxfId="4605" totalsRowDxfId="4604"/>
    <tableColumn id="13" name="(M)_x000a_Accounts Receivable Balance_x000a_(K + L)" totalsRowFunction="sum" dataDxfId="4603" totalsRowDxfId="4602"/>
    <tableColumn id="14" name="(N)_x000a_Net Balance_x000a_(J minus M)" totalsRowFunction="sum" dataDxfId="4601" totalsRowDxfId="46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4.xml><?xml version="1.0" encoding="utf-8"?>
<table xmlns="http://schemas.openxmlformats.org/spreadsheetml/2006/main" id="164" name="Program011" displayName="Program011" ref="A332:N369" totalsRowCount="1" headerRowDxfId="4599" dataDxfId="4597" totalsRowDxfId="4595" headerRowBorderDxfId="4598" tableBorderDxfId="4596" totalsRowBorderDxfId="4594">
  <autoFilter ref="A332:N368"/>
  <tableColumns count="14">
    <tableColumn id="1" name="(A)_x000a_Program Name" totalsRowLabel="Total Program 11" dataDxfId="4593" totalsRowDxfId="4592"/>
    <tableColumn id="2" name="(B)_x000a_Fiscal _x000a_Year" totalsRowLabel="N/A" dataDxfId="4591" totalsRowDxfId="4590"/>
    <tableColumn id="3" name="(C)_x000a_Program_x000a_Costs" totalsRowFunction="sum" dataDxfId="4589" totalsRowDxfId="4588"/>
    <tableColumn id="4" name="(D)_x000a_Prior Period Adjustments" totalsRowFunction="sum" dataDxfId="4587" totalsRowDxfId="4586"/>
    <tableColumn id="5" name="(E)_x000a_Current Period Desk _x000a_Reviews" totalsRowFunction="sum" dataDxfId="4585" totalsRowDxfId="4584"/>
    <tableColumn id="6" name="(F)_x000a_Current Period _x000a_Final _x000a_Audits" totalsRowFunction="sum" dataDxfId="4583" totalsRowDxfId="4582"/>
    <tableColumn id="7" name="(G)_x000a_Current Period _x000a_Other Adjustments" totalsRowFunction="sum" dataDxfId="4581" totalsRowDxfId="4580"/>
    <tableColumn id="8" name="(H)_x000a_Net Program Costs_x000a_Sum (C through G)" totalsRowFunction="sum" dataDxfId="4579" totalsRowDxfId="4578"/>
    <tableColumn id="9" name="(I)_x000a_Payments_x000a_ and Offsets" totalsRowFunction="sum" dataDxfId="4577" totalsRowDxfId="4576"/>
    <tableColumn id="10" name="(J)_x000a_Accounts Payable Balance_x000a_(H + I)" totalsRowFunction="sum" dataDxfId="4575" totalsRowDxfId="4574"/>
    <tableColumn id="11" name="(K)_x000a_Established _x000a_Accounts Receivable" totalsRowFunction="sum" dataDxfId="4573" totalsRowDxfId="4572"/>
    <tableColumn id="12" name="(L)_x000a_Recovered_x000a_ Accounts Receivable" totalsRowFunction="sum" dataDxfId="4571" totalsRowDxfId="4570"/>
    <tableColumn id="13" name="(M)_x000a_Accounts Receivable Balance_x000a_(K + L)" totalsRowFunction="sum" dataDxfId="4569" totalsRowDxfId="4568"/>
    <tableColumn id="14" name="(N)_x000a_Net Balance_x000a_(J minus M)" totalsRowFunction="sum" dataDxfId="4567" totalsRowDxfId="45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5.xml><?xml version="1.0" encoding="utf-8"?>
<table xmlns="http://schemas.openxmlformats.org/spreadsheetml/2006/main" id="165" name="Program223" displayName="Program223" ref="A371:N383" totalsRowCount="1" headerRowDxfId="4565" dataDxfId="4563" totalsRowDxfId="4561" headerRowBorderDxfId="4564" tableBorderDxfId="4562" totalsRowBorderDxfId="4560">
  <autoFilter ref="A371:N382"/>
  <tableColumns count="14">
    <tableColumn id="1" name="(A)_x000a_Program Name" totalsRowLabel="Total Program 223" dataDxfId="4559" totalsRowDxfId="4558"/>
    <tableColumn id="2" name="(B)_x000a_Fiscal _x000a_Year" totalsRowLabel="N/A" dataDxfId="4557" totalsRowDxfId="4556"/>
    <tableColumn id="3" name="(C)_x000a_Program_x000a_Costs" totalsRowFunction="sum" dataDxfId="4555" totalsRowDxfId="4554"/>
    <tableColumn id="4" name="(D)_x000a_Prior Period Adjustments" totalsRowFunction="sum" dataDxfId="4553" totalsRowDxfId="4552"/>
    <tableColumn id="5" name="(E)_x000a_Current Period Desk _x000a_Reviews" totalsRowFunction="sum" dataDxfId="4551" totalsRowDxfId="4550"/>
    <tableColumn id="6" name="(F)_x000a_Current Period _x000a_Final _x000a_Audits" totalsRowFunction="sum" dataDxfId="4549" totalsRowDxfId="4548"/>
    <tableColumn id="7" name="(G)_x000a_Current Period _x000a_Other Adjustments" totalsRowFunction="sum" dataDxfId="4547" totalsRowDxfId="4546"/>
    <tableColumn id="8" name="(H)_x000a_Net Program Costs_x000a_Sum (C through G)" totalsRowFunction="sum" dataDxfId="4545" totalsRowDxfId="4544"/>
    <tableColumn id="9" name="(I)_x000a_Payments_x000a_ and Offsets" totalsRowFunction="sum" dataDxfId="4543" totalsRowDxfId="4542"/>
    <tableColumn id="10" name="(J)_x000a_Accounts Payable Balance_x000a_(H + I)" totalsRowFunction="sum" dataDxfId="4541" totalsRowDxfId="4540"/>
    <tableColumn id="11" name="(K)_x000a_Established _x000a_Accounts Receivable" totalsRowFunction="sum" dataDxfId="4539" totalsRowDxfId="4538"/>
    <tableColumn id="12" name="(L)_x000a_Recovered_x000a_ Accounts Receivable" totalsRowFunction="sum" dataDxfId="4537" totalsRowDxfId="4536"/>
    <tableColumn id="13" name="(M)_x000a_Accounts Receivable Balance_x000a_(K + L)" totalsRowFunction="sum" dataDxfId="4535" totalsRowDxfId="4534"/>
    <tableColumn id="14" name="(N)_x000a_Net Balance_x000a_(J minus M)" totalsRowFunction="sum" dataDxfId="4533" totalsRowDxfId="453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6.xml><?xml version="1.0" encoding="utf-8"?>
<table xmlns="http://schemas.openxmlformats.org/spreadsheetml/2006/main" id="166" name="Program313" displayName="Program313" ref="A385:N397" totalsRowCount="1" headerRowDxfId="4531" dataDxfId="4529" totalsRowDxfId="4527" headerRowBorderDxfId="4530" tableBorderDxfId="4528" totalsRowBorderDxfId="4526">
  <autoFilter ref="A385:N396"/>
  <tableColumns count="14">
    <tableColumn id="1" name="(A)_x000a_Program Name" totalsRowLabel="Total Program 313" dataDxfId="4525" totalsRowDxfId="4524"/>
    <tableColumn id="2" name="(B)_x000a_Fiscal _x000a_Year" totalsRowLabel="N/A" dataDxfId="4523" totalsRowDxfId="4522"/>
    <tableColumn id="3" name="(C)_x000a_Program_x000a_Costs" totalsRowFunction="sum" dataDxfId="4521" totalsRowDxfId="4520"/>
    <tableColumn id="4" name="(D)_x000a_Prior Period Adjustments" totalsRowFunction="sum" dataDxfId="4519" totalsRowDxfId="4518"/>
    <tableColumn id="5" name="(E)_x000a_Current Period Desk _x000a_Reviews" totalsRowFunction="sum" dataDxfId="4517" totalsRowDxfId="4516"/>
    <tableColumn id="6" name="(F)_x000a_Current Period _x000a_Final _x000a_Audits" totalsRowFunction="sum" dataDxfId="4515" totalsRowDxfId="4514"/>
    <tableColumn id="7" name="(G)_x000a_Current Period _x000a_Other Adjustments" totalsRowFunction="sum" dataDxfId="4513" totalsRowDxfId="4512"/>
    <tableColumn id="8" name="(H)_x000a_Net Program Costs_x000a_Sum (C through G)" totalsRowFunction="sum" dataDxfId="4511" totalsRowDxfId="4510"/>
    <tableColumn id="9" name="(I)_x000a_Payments_x000a_ and Offsets" totalsRowFunction="sum" dataDxfId="4509" totalsRowDxfId="4508"/>
    <tableColumn id="10" name="(J)_x000a_Accounts Payable Balance_x000a_(H + I)" totalsRowFunction="sum" dataDxfId="4507" totalsRowDxfId="4506"/>
    <tableColumn id="11" name="(K)_x000a_Established _x000a_Accounts Receivable" totalsRowFunction="sum" dataDxfId="4505" totalsRowDxfId="4504"/>
    <tableColumn id="12" name="(L)_x000a_Recovered_x000a_ Accounts Receivable" totalsRowFunction="sum" dataDxfId="4503" totalsRowDxfId="4502"/>
    <tableColumn id="13" name="(M)_x000a_Accounts Receivable Balance_x000a_(K + L)" totalsRowFunction="sum" dataDxfId="4501" totalsRowDxfId="4500"/>
    <tableColumn id="14" name="(N)_x000a_Net Balance_x000a_(J minus M)" totalsRowFunction="sum" dataDxfId="4499" totalsRowDxfId="449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7.xml><?xml version="1.0" encoding="utf-8"?>
<table xmlns="http://schemas.openxmlformats.org/spreadsheetml/2006/main" id="167" name="Program311" displayName="Program311" ref="A399:N405" totalsRowCount="1" headerRowDxfId="4497" dataDxfId="4495" totalsRowDxfId="4493" headerRowBorderDxfId="4496" tableBorderDxfId="4494" totalsRowBorderDxfId="4492">
  <autoFilter ref="A399:N404"/>
  <tableColumns count="14">
    <tableColumn id="1" name="(A)_x000a_Program Name" totalsRowLabel="Total Program 311" dataDxfId="4491" totalsRowDxfId="4490"/>
    <tableColumn id="2" name="(B)_x000a_Fiscal _x000a_Year" totalsRowLabel="N/A" dataDxfId="4489" totalsRowDxfId="4488"/>
    <tableColumn id="3" name="(C)_x000a_Program_x000a_Costs" totalsRowFunction="sum" dataDxfId="4487" totalsRowDxfId="4486"/>
    <tableColumn id="4" name="(D)_x000a_Prior Period Adjustments" totalsRowFunction="sum" dataDxfId="4485" totalsRowDxfId="4484"/>
    <tableColumn id="5" name="(E)_x000a_Current Period Desk _x000a_Reviews" totalsRowFunction="sum" dataDxfId="4483" totalsRowDxfId="4482"/>
    <tableColumn id="6" name="(F)_x000a_Current Period _x000a_Final _x000a_Audits" totalsRowFunction="sum" dataDxfId="4481" totalsRowDxfId="4480"/>
    <tableColumn id="7" name="(G)_x000a_Current Period _x000a_Other Adjustments" totalsRowFunction="sum" dataDxfId="4479" totalsRowDxfId="4478"/>
    <tableColumn id="8" name="(H)_x000a_Net Program Costs_x000a_Sum (C through G)" totalsRowFunction="sum" dataDxfId="4477" totalsRowDxfId="4476"/>
    <tableColumn id="9" name="(I)_x000a_Payments_x000a_ and Offsets" totalsRowFunction="sum" dataDxfId="4475" totalsRowDxfId="4474"/>
    <tableColumn id="10" name="(J)_x000a_Accounts Payable Balance_x000a_(H + I)" totalsRowFunction="sum" dataDxfId="4473" totalsRowDxfId="4472"/>
    <tableColumn id="11" name="(K)_x000a_Established _x000a_Accounts Receivable" totalsRowFunction="sum" dataDxfId="4471" totalsRowDxfId="4470"/>
    <tableColumn id="12" name="(L)_x000a_Recovered_x000a_ Accounts Receivable" totalsRowFunction="sum" dataDxfId="4469" totalsRowDxfId="4468"/>
    <tableColumn id="13" name="(M)_x000a_Accounts Receivable Balance_x000a_(K + L)" totalsRowFunction="sum" dataDxfId="4467" totalsRowDxfId="4466"/>
    <tableColumn id="14" name="(N)_x000a_Net Balance_x000a_(J minus M)" totalsRowFunction="sum" dataDxfId="4465" totalsRowDxfId="44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8.xml><?xml version="1.0" encoding="utf-8"?>
<table xmlns="http://schemas.openxmlformats.org/spreadsheetml/2006/main" id="168" name="Program312" displayName="Program312" ref="A407:N410" totalsRowCount="1" headerRowDxfId="4463" dataDxfId="4461" totalsRowDxfId="4459" headerRowBorderDxfId="4462" tableBorderDxfId="4460" totalsRowBorderDxfId="4458">
  <autoFilter ref="A407:N409"/>
  <tableColumns count="14">
    <tableColumn id="1" name="(A)_x000a_Program Name" totalsRowLabel="Total Program 312" dataDxfId="4457" totalsRowDxfId="4456"/>
    <tableColumn id="2" name="(B)_x000a_Fiscal _x000a_Year" totalsRowLabel="N/A" dataDxfId="4455" totalsRowDxfId="4454"/>
    <tableColumn id="3" name="(C)_x000a_Program_x000a_Costs" totalsRowFunction="sum" dataDxfId="4453" totalsRowDxfId="4452"/>
    <tableColumn id="4" name="(D)_x000a_Prior Period Adjustments" totalsRowFunction="sum" dataDxfId="4451" totalsRowDxfId="4450"/>
    <tableColumn id="5" name="(E)_x000a_Current Period Desk _x000a_Reviews" totalsRowFunction="sum" dataDxfId="4449" totalsRowDxfId="4448"/>
    <tableColumn id="6" name="(F)_x000a_Current Period _x000a_Final _x000a_Audits" totalsRowFunction="sum" dataDxfId="4447" totalsRowDxfId="4446"/>
    <tableColumn id="7" name="(G)_x000a_Current Period _x000a_Other Adjustments" totalsRowFunction="sum" dataDxfId="4445" totalsRowDxfId="4444"/>
    <tableColumn id="8" name="(H)_x000a_Net Program Costs_x000a_Sum (C through G)" totalsRowFunction="sum" dataDxfId="4443" totalsRowDxfId="4442"/>
    <tableColumn id="9" name="(I)_x000a_Payments_x000a_ and Offsets" totalsRowFunction="sum" dataDxfId="4441" totalsRowDxfId="4440"/>
    <tableColumn id="10" name="(J)_x000a_Accounts Payable Balance_x000a_(H + I)" totalsRowFunction="sum" dataDxfId="4439" totalsRowDxfId="4438"/>
    <tableColumn id="11" name="(K)_x000a_Established _x000a_Accounts Receivable" totalsRowFunction="sum" dataDxfId="4437" totalsRowDxfId="4436"/>
    <tableColumn id="12" name="(L)_x000a_Recovered_x000a_ Accounts Receivable" totalsRowFunction="sum" dataDxfId="4435" totalsRowDxfId="4434"/>
    <tableColumn id="13" name="(M)_x000a_Accounts Receivable Balance_x000a_(K + L)" totalsRowFunction="sum" dataDxfId="4433" totalsRowDxfId="4432"/>
    <tableColumn id="14" name="(N)_x000a_Net Balance_x000a_(J minus M)" totalsRowFunction="sum" dataDxfId="4431" totalsRowDxfId="44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69.xml><?xml version="1.0" encoding="utf-8"?>
<table xmlns="http://schemas.openxmlformats.org/spreadsheetml/2006/main" id="169" name="Program330" displayName="Program330" ref="A412:N421" totalsRowCount="1" headerRowDxfId="4429" dataDxfId="4427" totalsRowDxfId="4425" headerRowBorderDxfId="4428" tableBorderDxfId="4426" totalsRowBorderDxfId="4424">
  <autoFilter ref="A412:N420"/>
  <tableColumns count="14">
    <tableColumn id="1" name="(A)_x000a_Program Name" totalsRowLabel="Total Program 330" dataDxfId="4423" totalsRowDxfId="4422"/>
    <tableColumn id="2" name="(B)_x000a_Fiscal _x000a_Year" totalsRowLabel="N/A" dataDxfId="4421" totalsRowDxfId="4420"/>
    <tableColumn id="3" name="(C)_x000a_Program_x000a_Costs" totalsRowFunction="sum" dataDxfId="4419" totalsRowDxfId="4418"/>
    <tableColumn id="4" name="(D)_x000a_Prior Period Adjustments" totalsRowFunction="sum" dataDxfId="4417" totalsRowDxfId="4416"/>
    <tableColumn id="5" name="(E)_x000a_Current Period Desk _x000a_Reviews" totalsRowFunction="sum" dataDxfId="4415" totalsRowDxfId="4414"/>
    <tableColumn id="6" name="(F)_x000a_Current Period _x000a_Final _x000a_Audits" totalsRowFunction="sum" dataDxfId="4413" totalsRowDxfId="4412"/>
    <tableColumn id="7" name="(G)_x000a_Current Period _x000a_Other Adjustments" totalsRowFunction="sum" dataDxfId="4411" totalsRowDxfId="4410"/>
    <tableColumn id="8" name="(H)_x000a_Net Program Costs_x000a_Sum (C through G)" totalsRowFunction="sum" dataDxfId="4409" totalsRowDxfId="4408"/>
    <tableColumn id="9" name="(I)_x000a_Payments_x000a_ and Offsets" totalsRowFunction="sum" dataDxfId="4407" totalsRowDxfId="4406"/>
    <tableColumn id="10" name="(J)_x000a_Accounts Payable Balance_x000a_(H + I)" totalsRowFunction="sum" dataDxfId="4405" totalsRowDxfId="4404"/>
    <tableColumn id="11" name="(K)_x000a_Established _x000a_Accounts Receivable" totalsRowFunction="sum" dataDxfId="4403" totalsRowDxfId="4402"/>
    <tableColumn id="12" name="(L)_x000a_Recovered_x000a_ Accounts Receivable" totalsRowFunction="sum" dataDxfId="4401" totalsRowDxfId="4400"/>
    <tableColumn id="13" name="(M)_x000a_Accounts Receivable Balance_x000a_(K + L)" totalsRowFunction="sum" dataDxfId="4399" totalsRowDxfId="4398"/>
    <tableColumn id="14" name="(N)_x000a_Net Balance_x000a_(J minus M)" totalsRowFunction="sum" dataDxfId="4397" totalsRowDxfId="43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.xml><?xml version="1.0" encoding="utf-8"?>
<table xmlns="http://schemas.openxmlformats.org/spreadsheetml/2006/main" id="17" name="Program006" displayName="Program006" ref="A160:N164" totalsRowCount="1" headerRowDxfId="9568" dataDxfId="9566" totalsRowDxfId="9564" headerRowBorderDxfId="9567" tableBorderDxfId="9565" totalsRowBorderDxfId="9563">
  <autoFilter ref="A160:N163"/>
  <tableColumns count="14">
    <tableColumn id="1" name="(A)_x000a_Program Name" totalsRowLabel="Total Program 6" dataDxfId="9562" totalsRowDxfId="9561"/>
    <tableColumn id="2" name="(B)_x000a_Fiscal _x000a_Year" totalsRowLabel="N/A" dataDxfId="9560" totalsRowDxfId="9559"/>
    <tableColumn id="3" name="(C)_x000a_Program_x000a_Costs" totalsRowFunction="sum" dataDxfId="9558" totalsRowDxfId="9557"/>
    <tableColumn id="4" name="(D)_x000a_Prior Period Adjustments" totalsRowFunction="sum" dataDxfId="9556" totalsRowDxfId="9555"/>
    <tableColumn id="5" name="(E)_x000a_Current Period Desk _x000a_Reviews" totalsRowFunction="sum" dataDxfId="9554" totalsRowDxfId="9553"/>
    <tableColumn id="6" name="(F)_x000a_Current Period _x000a_Final _x000a_Audits" totalsRowFunction="sum" dataDxfId="9552" totalsRowDxfId="9551"/>
    <tableColumn id="7" name="(G)_x000a_Current Period _x000a_Other Adjustments" totalsRowFunction="sum" dataDxfId="9550" totalsRowDxfId="9549"/>
    <tableColumn id="8" name="(H)_x000a_Net Program Costs_x000a_Sum (C through G)" totalsRowFunction="sum" dataDxfId="9548" totalsRowDxfId="9547"/>
    <tableColumn id="9" name="(I)_x000a_Payments_x000a_ and Offsets" totalsRowFunction="sum" dataDxfId="9546" totalsRowDxfId="9545"/>
    <tableColumn id="10" name="(J)_x000a_Accounts Payable Balance_x000a_(H + I)" totalsRowFunction="sum" dataDxfId="9544" totalsRowDxfId="9543"/>
    <tableColumn id="11" name="(K)_x000a_Established _x000a_Accounts Receivable" totalsRowFunction="sum" dataDxfId="9542" totalsRowDxfId="9541"/>
    <tableColumn id="12" name="(L)_x000a_Recovered_x000a_ Accounts Receivable" totalsRowFunction="sum" dataDxfId="9540" totalsRowDxfId="9539"/>
    <tableColumn id="13" name="(M)_x000a_Accounts Receivable Balance_x000a_(K + L)" totalsRowFunction="sum" dataDxfId="9538" totalsRowDxfId="9537"/>
    <tableColumn id="14" name="(N)_x000a_Net Balance_x000a_(J minus M)" totalsRowFunction="sum" dataDxfId="9536" totalsRowDxfId="95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0.xml><?xml version="1.0" encoding="utf-8"?>
<table xmlns="http://schemas.openxmlformats.org/spreadsheetml/2006/main" id="170" name="Program272" displayName="Program272" ref="A423:N440" totalsRowCount="1" headerRowDxfId="4395" dataDxfId="4393" totalsRowDxfId="4391" headerRowBorderDxfId="4394" tableBorderDxfId="4392" totalsRowBorderDxfId="4390">
  <autoFilter ref="A423:N439"/>
  <tableColumns count="14">
    <tableColumn id="1" name="(A)_x000a_Program Name" totalsRowLabel="Total Program 272" dataDxfId="4389" totalsRowDxfId="4388"/>
    <tableColumn id="2" name="(B)_x000a_Fiscal _x000a_Year" totalsRowLabel="N/A" dataDxfId="4387" totalsRowDxfId="4386"/>
    <tableColumn id="3" name="(C)_x000a_Program_x000a_Costs" totalsRowFunction="sum" dataDxfId="4385" totalsRowDxfId="4384"/>
    <tableColumn id="4" name="(D)_x000a_Prior Period Adjustments" totalsRowFunction="sum" dataDxfId="4383" totalsRowDxfId="4382"/>
    <tableColumn id="5" name="(E)_x000a_Current Period Desk _x000a_Reviews" totalsRowFunction="sum" dataDxfId="4381" totalsRowDxfId="4380"/>
    <tableColumn id="6" name="(F)_x000a_Current Period _x000a_Final _x000a_Audits" totalsRowFunction="sum" dataDxfId="4379" totalsRowDxfId="4378"/>
    <tableColumn id="7" name="(G)_x000a_Current Period _x000a_Other Adjustments" totalsRowFunction="sum" dataDxfId="4377" totalsRowDxfId="4376"/>
    <tableColumn id="8" name="(H)_x000a_Net Program Costs_x000a_Sum (C through G)" totalsRowFunction="sum" dataDxfId="4375" totalsRowDxfId="4374"/>
    <tableColumn id="9" name="(I)_x000a_Payments_x000a_ and Offsets" totalsRowFunction="sum" dataDxfId="4373" totalsRowDxfId="4372"/>
    <tableColumn id="10" name="(J)_x000a_Accounts Payable Balance_x000a_(H + I)" totalsRowFunction="sum" dataDxfId="4371" totalsRowDxfId="4370"/>
    <tableColumn id="11" name="(K)_x000a_Established _x000a_Accounts Receivable" totalsRowFunction="sum" dataDxfId="4369" totalsRowDxfId="4368"/>
    <tableColumn id="12" name="(L)_x000a_Recovered_x000a_ Accounts Receivable" totalsRowFunction="sum" dataDxfId="4367" totalsRowDxfId="4366"/>
    <tableColumn id="13" name="(M)_x000a_Accounts Receivable Balance_x000a_(K + L)" totalsRowFunction="sum" dataDxfId="4365" totalsRowDxfId="4364"/>
    <tableColumn id="14" name="(N)_x000a_Net Balance_x000a_(J minus M)" totalsRowFunction="sum" dataDxfId="4363" totalsRowDxfId="43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1.xml><?xml version="1.0" encoding="utf-8"?>
<table xmlns="http://schemas.openxmlformats.org/spreadsheetml/2006/main" id="171" name="Program276" displayName="Program276" ref="A442:N456" totalsRowCount="1" headerRowDxfId="4361" dataDxfId="4359" totalsRowDxfId="4357" headerRowBorderDxfId="4360" tableBorderDxfId="4358" totalsRowBorderDxfId="4356">
  <autoFilter ref="A442:N455"/>
  <tableColumns count="14">
    <tableColumn id="1" name="(A)_x000a_Program Name" totalsRowLabel="Total Program 276" dataDxfId="4355" totalsRowDxfId="4354"/>
    <tableColumn id="2" name="(B)_x000a_Fiscal _x000a_Year" totalsRowLabel="N/A" dataDxfId="4353" totalsRowDxfId="4352"/>
    <tableColumn id="3" name="(C)_x000a_Program_x000a_Costs" totalsRowFunction="sum" dataDxfId="4351" totalsRowDxfId="4350"/>
    <tableColumn id="4" name="(D)_x000a_Prior Period Adjustments" totalsRowFunction="sum" dataDxfId="4349" totalsRowDxfId="4348"/>
    <tableColumn id="5" name="(E)_x000a_Current Period Desk _x000a_Reviews" totalsRowFunction="sum" dataDxfId="4347" totalsRowDxfId="4346"/>
    <tableColumn id="6" name="(F)_x000a_Current Period _x000a_Final _x000a_Audits" totalsRowFunction="sum" dataDxfId="4345" totalsRowDxfId="4344"/>
    <tableColumn id="7" name="(G)_x000a_Current Period _x000a_Other Adjustments" totalsRowFunction="sum" dataDxfId="4343" totalsRowDxfId="4342"/>
    <tableColumn id="8" name="(H)_x000a_Net Program Costs_x000a_Sum (C through G)" totalsRowFunction="sum" dataDxfId="4341" totalsRowDxfId="4340"/>
    <tableColumn id="9" name="(I)_x000a_Payments_x000a_ and Offsets" totalsRowFunction="sum" dataDxfId="4339" totalsRowDxfId="4338"/>
    <tableColumn id="10" name="(J)_x000a_Accounts Payable Balance_x000a_(H + I)" totalsRowFunction="sum" dataDxfId="4337" totalsRowDxfId="4336"/>
    <tableColumn id="11" name="(K)_x000a_Established _x000a_Accounts Receivable" totalsRowFunction="sum" dataDxfId="4335" totalsRowDxfId="4334"/>
    <tableColumn id="12" name="(L)_x000a_Recovered_x000a_ Accounts Receivable" totalsRowFunction="sum" dataDxfId="4333" totalsRowDxfId="4332"/>
    <tableColumn id="13" name="(M)_x000a_Accounts Receivable Balance_x000a_(K + L)" totalsRowFunction="sum" dataDxfId="4331" totalsRowDxfId="4330"/>
    <tableColumn id="14" name="(N)_x000a_Net Balance_x000a_(J minus M)" totalsRowFunction="sum" dataDxfId="4329" totalsRowDxfId="43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2.xml><?xml version="1.0" encoding="utf-8"?>
<table xmlns="http://schemas.openxmlformats.org/spreadsheetml/2006/main" id="172" name="Program292" displayName="Program292" ref="A458:N471" totalsRowCount="1" headerRowDxfId="4327" dataDxfId="4325" totalsRowDxfId="4323" headerRowBorderDxfId="4326" tableBorderDxfId="4324" totalsRowBorderDxfId="4322">
  <autoFilter ref="A458:N470"/>
  <tableColumns count="14">
    <tableColumn id="1" name="(A)_x000a_Program Name" totalsRowLabel="Total Program 292" dataDxfId="4321" totalsRowDxfId="4320"/>
    <tableColumn id="2" name="(B)_x000a_Fiscal _x000a_Year" totalsRowLabel="N/A" dataDxfId="4319" totalsRowDxfId="4318"/>
    <tableColumn id="3" name="(C)_x000a_Program_x000a_Costs" totalsRowFunction="sum" dataDxfId="4317" totalsRowDxfId="4316"/>
    <tableColumn id="4" name="(D)_x000a_Prior Period Adjustments" totalsRowFunction="sum" dataDxfId="4315" totalsRowDxfId="4314"/>
    <tableColumn id="5" name="(E)_x000a_Current Period Desk _x000a_Reviews" totalsRowFunction="sum" dataDxfId="4313" totalsRowDxfId="4312"/>
    <tableColumn id="6" name="(F)_x000a_Current Period _x000a_Final _x000a_Audits" totalsRowFunction="sum" dataDxfId="4311" totalsRowDxfId="4310"/>
    <tableColumn id="7" name="(G)_x000a_Current Period _x000a_Other Adjustments" totalsRowFunction="sum" dataDxfId="4309" totalsRowDxfId="4308"/>
    <tableColumn id="8" name="(H)_x000a_Net Program Costs_x000a_Sum (C through G)" totalsRowFunction="sum" dataDxfId="4307" totalsRowDxfId="4306"/>
    <tableColumn id="9" name="(I)_x000a_Payments_x000a_ and Offsets" totalsRowFunction="sum" dataDxfId="4305" totalsRowDxfId="4304"/>
    <tableColumn id="10" name="(J)_x000a_Accounts Payable Balance_x000a_(H + I)" totalsRowFunction="sum" dataDxfId="4303" totalsRowDxfId="4302"/>
    <tableColumn id="11" name="(K)_x000a_Established _x000a_Accounts Receivable" totalsRowFunction="sum" dataDxfId="4301" totalsRowDxfId="4300"/>
    <tableColumn id="12" name="(L)_x000a_Recovered_x000a_ Accounts Receivable" totalsRowFunction="sum" dataDxfId="4299" totalsRowDxfId="4298"/>
    <tableColumn id="13" name="(M)_x000a_Accounts Receivable Balance_x000a_(K + L)" totalsRowFunction="sum" dataDxfId="4297" totalsRowDxfId="4296"/>
    <tableColumn id="14" name="(N)_x000a_Net Balance_x000a_(J minus M)" totalsRowFunction="sum" dataDxfId="4295" totalsRowDxfId="42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3.xml><?xml version="1.0" encoding="utf-8"?>
<table xmlns="http://schemas.openxmlformats.org/spreadsheetml/2006/main" id="173" name="Program291" displayName="Program291" ref="A473:N482" totalsRowCount="1" headerRowDxfId="4293" dataDxfId="4291" totalsRowDxfId="4289" headerRowBorderDxfId="4292" tableBorderDxfId="4290" totalsRowBorderDxfId="4288">
  <autoFilter ref="A473:N481"/>
  <tableColumns count="14">
    <tableColumn id="1" name="(A)_x000a_Program Name" totalsRowLabel="Total Program 291" dataDxfId="4287" totalsRowDxfId="4286"/>
    <tableColumn id="2" name="(B)_x000a_Fiscal _x000a_Year" totalsRowLabel="N/A" dataDxfId="4285" totalsRowDxfId="4284"/>
    <tableColumn id="3" name="(C)_x000a_Program_x000a_Costs" totalsRowFunction="sum" dataDxfId="4283" totalsRowDxfId="4282"/>
    <tableColumn id="4" name="(D)_x000a_Prior Period Adjustments" totalsRowFunction="sum" dataDxfId="4281" totalsRowDxfId="4280"/>
    <tableColumn id="5" name="(E)_x000a_Current Period Desk _x000a_Reviews" totalsRowFunction="sum" dataDxfId="4279" totalsRowDxfId="4278"/>
    <tableColumn id="6" name="(F)_x000a_Current Period _x000a_Final _x000a_Audits" totalsRowFunction="sum" dataDxfId="4277" totalsRowDxfId="4276"/>
    <tableColumn id="7" name="(G)_x000a_Current Period _x000a_Other Adjustments" totalsRowFunction="sum" dataDxfId="4275" totalsRowDxfId="4274"/>
    <tableColumn id="8" name="(H)_x000a_Net Program Costs_x000a_Sum (C through G)" totalsRowFunction="sum" dataDxfId="4273" totalsRowDxfId="4272"/>
    <tableColumn id="9" name="(I)_x000a_Payments_x000a_ and Offsets" totalsRowFunction="sum" dataDxfId="4271" totalsRowDxfId="4270"/>
    <tableColumn id="10" name="(J)_x000a_Accounts Payable Balance_x000a_(H + I)" totalsRowFunction="sum" dataDxfId="4269" totalsRowDxfId="4268"/>
    <tableColumn id="11" name="(K)_x000a_Established _x000a_Accounts Receivable" totalsRowFunction="sum" dataDxfId="4267" totalsRowDxfId="4266"/>
    <tableColumn id="12" name="(L)_x000a_Recovered_x000a_ Accounts Receivable" totalsRowFunction="sum" dataDxfId="4265" totalsRowDxfId="4264"/>
    <tableColumn id="13" name="(M)_x000a_Accounts Receivable Balance_x000a_(K + L)" totalsRowFunction="sum" dataDxfId="4263" totalsRowDxfId="4262"/>
    <tableColumn id="14" name="(N)_x000a_Net Balance_x000a_(J minus M)" totalsRowFunction="sum" dataDxfId="4261" totalsRowDxfId="42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4.xml><?xml version="1.0" encoding="utf-8"?>
<table xmlns="http://schemas.openxmlformats.org/spreadsheetml/2006/main" id="174" name="Program209" displayName="Program209" ref="A484:N509" totalsRowCount="1" headerRowDxfId="4259" dataDxfId="4257" totalsRowDxfId="4255" headerRowBorderDxfId="4258" tableBorderDxfId="4256" totalsRowBorderDxfId="4254">
  <autoFilter ref="A484:N508"/>
  <tableColumns count="14">
    <tableColumn id="1" name="(A)_x000a_Program Name" totalsRowLabel="Total Program 209" dataDxfId="4253" totalsRowDxfId="4252"/>
    <tableColumn id="2" name="(B)_x000a_Fiscal _x000a_Year" totalsRowLabel="N/A" dataDxfId="4251" totalsRowDxfId="4250"/>
    <tableColumn id="3" name="(C)_x000a_Program_x000a_Costs" totalsRowFunction="sum" dataDxfId="4249" totalsRowDxfId="4248"/>
    <tableColumn id="4" name="(D)_x000a_Prior Period Adjustments" totalsRowFunction="sum" dataDxfId="4247" totalsRowDxfId="4246"/>
    <tableColumn id="5" name="(E)_x000a_Current Period Desk _x000a_Reviews" totalsRowFunction="sum" dataDxfId="4245" totalsRowDxfId="4244"/>
    <tableColumn id="6" name="(F)_x000a_Current Period _x000a_Final _x000a_Audits" totalsRowFunction="sum" dataDxfId="4243" totalsRowDxfId="4242"/>
    <tableColumn id="7" name="(G)_x000a_Current Period _x000a_Other Adjustments" totalsRowFunction="sum" dataDxfId="4241" totalsRowDxfId="4240"/>
    <tableColumn id="8" name="(H)_x000a_Net Program Costs_x000a_Sum (C through G)" totalsRowFunction="sum" dataDxfId="4239" totalsRowDxfId="4238"/>
    <tableColumn id="9" name="(I)_x000a_Payments_x000a_ and Offsets" totalsRowFunction="sum" dataDxfId="4237" totalsRowDxfId="4236"/>
    <tableColumn id="10" name="(J)_x000a_Accounts Payable Balance_x000a_(H + I)" totalsRowFunction="sum" dataDxfId="4235" totalsRowDxfId="4234"/>
    <tableColumn id="11" name="(K)_x000a_Established _x000a_Accounts Receivable" totalsRowFunction="sum" dataDxfId="4233" totalsRowDxfId="4232"/>
    <tableColumn id="12" name="(L)_x000a_Recovered_x000a_ Accounts Receivable" totalsRowFunction="sum" dataDxfId="4231" totalsRowDxfId="4230"/>
    <tableColumn id="13" name="(M)_x000a_Accounts Receivable Balance_x000a_(K + L)" totalsRowFunction="sum" dataDxfId="4229" totalsRowDxfId="4228"/>
    <tableColumn id="14" name="(N)_x000a_Net Balance_x000a_(J minus M)" totalsRowFunction="sum" dataDxfId="4227" totalsRowDxfId="42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5.xml><?xml version="1.0" encoding="utf-8"?>
<table xmlns="http://schemas.openxmlformats.org/spreadsheetml/2006/main" id="175" name="Program206" displayName="Program206" ref="A511:N520" totalsRowCount="1" headerRowDxfId="4225" dataDxfId="4223" totalsRowDxfId="4221" headerRowBorderDxfId="4224" tableBorderDxfId="4222" totalsRowBorderDxfId="4220">
  <autoFilter ref="A511:N519"/>
  <tableColumns count="14">
    <tableColumn id="1" name="(A)_x000a_Program Name" totalsRowLabel="Total Program 206" dataDxfId="4219" totalsRowDxfId="4218"/>
    <tableColumn id="2" name="(B)_x000a_Fiscal _x000a_Year" totalsRowLabel="N/A" dataDxfId="4217" totalsRowDxfId="4216"/>
    <tableColumn id="3" name="(C)_x000a_Program_x000a_Costs" totalsRowFunction="sum" dataDxfId="4215" totalsRowDxfId="4214"/>
    <tableColumn id="4" name="(D)_x000a_Prior Period Adjustments" totalsRowFunction="sum" dataDxfId="4213" totalsRowDxfId="4212"/>
    <tableColumn id="5" name="(E)_x000a_Current Period Desk _x000a_Reviews" totalsRowFunction="sum" dataDxfId="4211" totalsRowDxfId="4210"/>
    <tableColumn id="6" name="(F)_x000a_Current Period _x000a_Final _x000a_Audits" totalsRowFunction="sum" dataDxfId="4209" totalsRowDxfId="4208"/>
    <tableColumn id="7" name="(G)_x000a_Current Period _x000a_Other Adjustments" totalsRowFunction="sum" dataDxfId="4207" totalsRowDxfId="4206"/>
    <tableColumn id="8" name="(H)_x000a_Net Program Costs_x000a_Sum (C through G)" totalsRowFunction="sum" dataDxfId="4205" totalsRowDxfId="4204"/>
    <tableColumn id="9" name="(I)_x000a_Payments_x000a_ and Offsets" totalsRowFunction="sum" dataDxfId="4203" totalsRowDxfId="4202"/>
    <tableColumn id="10" name="(J)_x000a_Accounts Payable Balance_x000a_(H + I)" totalsRowFunction="sum" dataDxfId="4201" totalsRowDxfId="4200"/>
    <tableColumn id="11" name="(K)_x000a_Established _x000a_Accounts Receivable" totalsRowFunction="sum" dataDxfId="4199" totalsRowDxfId="4198"/>
    <tableColumn id="12" name="(L)_x000a_Recovered_x000a_ Accounts Receivable" totalsRowFunction="sum" dataDxfId="4197" totalsRowDxfId="4196"/>
    <tableColumn id="13" name="(M)_x000a_Accounts Receivable Balance_x000a_(K + L)" totalsRowFunction="sum" dataDxfId="4195" totalsRowDxfId="4194"/>
    <tableColumn id="14" name="(N)_x000a_Net Balance_x000a_(J minus M)" totalsRowFunction="sum" dataDxfId="4193" totalsRowDxfId="41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6.xml><?xml version="1.0" encoding="utf-8"?>
<table xmlns="http://schemas.openxmlformats.org/spreadsheetml/2006/main" id="176" name="Program079" displayName="Program079" ref="A522:N532" totalsRowCount="1" headerRowDxfId="4191" dataDxfId="4189" totalsRowDxfId="4187" headerRowBorderDxfId="4190" tableBorderDxfId="4188" totalsRowBorderDxfId="4186">
  <autoFilter ref="A522:N531"/>
  <tableColumns count="14">
    <tableColumn id="1" name="(A)_x000a_Program Name" totalsRowLabel="Total Program 79" dataDxfId="4185" totalsRowDxfId="4184"/>
    <tableColumn id="2" name="(B)_x000a_Fiscal _x000a_Year" totalsRowLabel="N/A" dataDxfId="4183" totalsRowDxfId="4182"/>
    <tableColumn id="3" name="(C)_x000a_Program_x000a_Costs" totalsRowFunction="sum" dataDxfId="4181" totalsRowDxfId="4180"/>
    <tableColumn id="4" name="(D)_x000a_Prior Period Adjustments" totalsRowFunction="sum" dataDxfId="4179" totalsRowDxfId="4178"/>
    <tableColumn id="5" name="(E)_x000a_Current Period Desk _x000a_Reviews" totalsRowFunction="sum" dataDxfId="4177" totalsRowDxfId="4176"/>
    <tableColumn id="6" name="(F)_x000a_Current Period _x000a_Final _x000a_Audits" totalsRowFunction="sum" dataDxfId="4175" totalsRowDxfId="4174"/>
    <tableColumn id="7" name="(G)_x000a_Current Period _x000a_Other Adjustments" totalsRowFunction="sum" dataDxfId="4173" totalsRowDxfId="4172"/>
    <tableColumn id="8" name="(H)_x000a_Net Program Costs_x000a_Sum (C through G)" totalsRowFunction="sum" dataDxfId="4171" totalsRowDxfId="4170"/>
    <tableColumn id="9" name="(I)_x000a_Payments_x000a_ and Offsets" totalsRowFunction="sum" dataDxfId="4169" totalsRowDxfId="4168"/>
    <tableColumn id="10" name="(J)_x000a_Accounts Payable Balance_x000a_(H + I)" totalsRowFunction="sum" dataDxfId="4167" totalsRowDxfId="4166"/>
    <tableColumn id="11" name="(K)_x000a_Established _x000a_Accounts Receivable" totalsRowFunction="sum" dataDxfId="4165" totalsRowDxfId="4164"/>
    <tableColumn id="12" name="(L)_x000a_Recovered_x000a_ Accounts Receivable" totalsRowFunction="sum" dataDxfId="4163" totalsRowDxfId="4162"/>
    <tableColumn id="13" name="(M)_x000a_Accounts Receivable Balance_x000a_(K + L)" totalsRowFunction="sum" dataDxfId="4161" totalsRowDxfId="4160"/>
    <tableColumn id="14" name="(N)_x000a_Net Balance_x000a_(J minus M)" totalsRowFunction="sum" dataDxfId="4159" totalsRowDxfId="41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7.xml><?xml version="1.0" encoding="utf-8"?>
<table xmlns="http://schemas.openxmlformats.org/spreadsheetml/2006/main" id="177" name="Program183" displayName="Program183" ref="A534:N558" totalsRowCount="1" headerRowDxfId="4157" dataDxfId="4155" totalsRowDxfId="4153" headerRowBorderDxfId="4156" tableBorderDxfId="4154" totalsRowBorderDxfId="4152">
  <autoFilter ref="A534:N557"/>
  <tableColumns count="14">
    <tableColumn id="1" name="(A)_x000a_Program Name" totalsRowLabel="Total Program 183" dataDxfId="4151" totalsRowDxfId="4150"/>
    <tableColumn id="2" name="(B)_x000a_Fiscal _x000a_Year" totalsRowLabel="N/A" dataDxfId="4149" totalsRowDxfId="4148"/>
    <tableColumn id="3" name="(C)_x000a_Program_x000a_Costs" totalsRowFunction="sum" dataDxfId="4147" totalsRowDxfId="4146"/>
    <tableColumn id="4" name="(D)_x000a_Prior Period Adjustments" totalsRowFunction="sum" dataDxfId="4145" totalsRowDxfId="4144"/>
    <tableColumn id="5" name="(E)_x000a_Current Period Desk _x000a_Reviews" totalsRowFunction="sum" dataDxfId="4143" totalsRowDxfId="4142"/>
    <tableColumn id="6" name="(F)_x000a_Current Period _x000a_Final _x000a_Audits" totalsRowFunction="sum" dataDxfId="4141" totalsRowDxfId="4140"/>
    <tableColumn id="7" name="(G)_x000a_Current Period _x000a_Other Adjustments" totalsRowFunction="sum" dataDxfId="4139" totalsRowDxfId="4138"/>
    <tableColumn id="8" name="(H)_x000a_Net Program Costs_x000a_Sum (C through G)" totalsRowFunction="sum" dataDxfId="4137" totalsRowDxfId="4136"/>
    <tableColumn id="9" name="(I)_x000a_Payments_x000a_ and Offsets" totalsRowFunction="sum" dataDxfId="4135" totalsRowDxfId="4134"/>
    <tableColumn id="10" name="(J)_x000a_Accounts Payable Balance_x000a_(H + I)" totalsRowFunction="sum" dataDxfId="4133" totalsRowDxfId="4132"/>
    <tableColumn id="11" name="(K)_x000a_Established _x000a_Accounts Receivable" totalsRowFunction="sum" dataDxfId="4131" totalsRowDxfId="4130"/>
    <tableColumn id="12" name="(L)_x000a_Recovered_x000a_ Accounts Receivable" totalsRowFunction="sum" dataDxfId="4129" totalsRowDxfId="4128"/>
    <tableColumn id="13" name="(M)_x000a_Accounts Receivable Balance_x000a_(K + L)" totalsRowFunction="sum" dataDxfId="4127" totalsRowDxfId="4126"/>
    <tableColumn id="14" name="(N)_x000a_Net Balance_x000a_(J minus M)" totalsRowFunction="sum" dataDxfId="4125" totalsRowDxfId="41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8.xml><?xml version="1.0" encoding="utf-8"?>
<table xmlns="http://schemas.openxmlformats.org/spreadsheetml/2006/main" id="178" name="Program251" displayName="Program251" ref="A560:N581" totalsRowCount="1" headerRowDxfId="4123" dataDxfId="4121" totalsRowDxfId="4119" headerRowBorderDxfId="4122" tableBorderDxfId="4120" totalsRowBorderDxfId="4118">
  <autoFilter ref="A560:N580"/>
  <tableColumns count="14">
    <tableColumn id="1" name="(A)_x000a_Program Name" totalsRowLabel="Total Program 251" dataDxfId="4117" totalsRowDxfId="4116"/>
    <tableColumn id="2" name="(B)_x000a_Fiscal _x000a_Year" totalsRowLabel="N/A" dataDxfId="4115" totalsRowDxfId="4114"/>
    <tableColumn id="3" name="(C)_x000a_Program_x000a_Costs" totalsRowFunction="sum" dataDxfId="4113" totalsRowDxfId="4112"/>
    <tableColumn id="4" name="(D)_x000a_Prior Period Adjustments" totalsRowFunction="sum" dataDxfId="4111" totalsRowDxfId="4110"/>
    <tableColumn id="5" name="(E)_x000a_Current Period Desk _x000a_Reviews" totalsRowFunction="sum" dataDxfId="4109" totalsRowDxfId="4108"/>
    <tableColumn id="6" name="(F)_x000a_Current Period _x000a_Final _x000a_Audits" totalsRowFunction="sum" dataDxfId="4107" totalsRowDxfId="4106"/>
    <tableColumn id="7" name="(G)_x000a_Current Period _x000a_Other Adjustments" totalsRowFunction="sum" dataDxfId="4105" totalsRowDxfId="4104"/>
    <tableColumn id="8" name="(H)_x000a_Net Program Costs_x000a_Sum (C through G)" totalsRowFunction="sum" dataDxfId="4103" totalsRowDxfId="4102"/>
    <tableColumn id="9" name="(I)_x000a_Payments_x000a_ and Offsets" totalsRowFunction="sum" dataDxfId="4101" totalsRowDxfId="4100"/>
    <tableColumn id="10" name="(J)_x000a_Accounts Payable Balance_x000a_(H + I)" totalsRowFunction="sum" dataDxfId="4099" totalsRowDxfId="4098"/>
    <tableColumn id="11" name="(K)_x000a_Established _x000a_Accounts Receivable" totalsRowFunction="sum" dataDxfId="4097" totalsRowDxfId="4096"/>
    <tableColumn id="12" name="(L)_x000a_Recovered_x000a_ Accounts Receivable" totalsRowFunction="sum" dataDxfId="4095" totalsRowDxfId="4094"/>
    <tableColumn id="13" name="(M)_x000a_Accounts Receivable Balance_x000a_(K + L)" totalsRowFunction="sum" dataDxfId="4093" totalsRowDxfId="4092"/>
    <tableColumn id="14" name="(N)_x000a_Net Balance_x000a_(J minus M)" totalsRowFunction="sum" dataDxfId="4091" totalsRowDxfId="40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79.xml><?xml version="1.0" encoding="utf-8"?>
<table xmlns="http://schemas.openxmlformats.org/spreadsheetml/2006/main" id="179" name="Program333" displayName="Program333" ref="A583:N597" totalsRowCount="1" headerRowDxfId="4089" dataDxfId="4087" totalsRowDxfId="4085" headerRowBorderDxfId="4088" tableBorderDxfId="4086" totalsRowBorderDxfId="4084">
  <autoFilter ref="A583:N596"/>
  <tableColumns count="14">
    <tableColumn id="1" name="(A)_x000a_Program Name" totalsRowLabel="Total Program 333" dataDxfId="4083" totalsRowDxfId="4082"/>
    <tableColumn id="2" name="(B)_x000a_Fiscal _x000a_Year" totalsRowLabel="N/A" dataDxfId="4081" totalsRowDxfId="4080"/>
    <tableColumn id="3" name="(C)_x000a_Program_x000a_Costs" totalsRowFunction="sum" dataDxfId="4079" totalsRowDxfId="4078"/>
    <tableColumn id="4" name="(D)_x000a_Prior Period Adjustments" totalsRowFunction="sum" dataDxfId="4077" totalsRowDxfId="4076"/>
    <tableColumn id="5" name="(E)_x000a_Current Period Desk _x000a_Reviews" totalsRowFunction="sum" dataDxfId="4075" totalsRowDxfId="4074"/>
    <tableColumn id="6" name="(F)_x000a_Current Period _x000a_Final _x000a_Audits" totalsRowFunction="sum" dataDxfId="4073" totalsRowDxfId="4072"/>
    <tableColumn id="7" name="(G)_x000a_Current Period _x000a_Other Adjustments" totalsRowFunction="sum" dataDxfId="4071" totalsRowDxfId="4070"/>
    <tableColumn id="8" name="(H)_x000a_Net Program Costs_x000a_Sum (C through G)" totalsRowFunction="sum" dataDxfId="4069" totalsRowDxfId="4068"/>
    <tableColumn id="9" name="(I)_x000a_Payments_x000a_ and Offsets" totalsRowFunction="sum" dataDxfId="4067" totalsRowDxfId="4066"/>
    <tableColumn id="10" name="(J)_x000a_Accounts Payable Balance_x000a_(H + I)" totalsRowFunction="sum" dataDxfId="4065" totalsRowDxfId="4064"/>
    <tableColumn id="11" name="(K)_x000a_Established _x000a_Accounts Receivable" totalsRowFunction="sum" dataDxfId="4063" totalsRowDxfId="4062"/>
    <tableColumn id="12" name="(L)_x000a_Recovered_x000a_ Accounts Receivable" totalsRowFunction="sum" dataDxfId="4061" totalsRowDxfId="4060"/>
    <tableColumn id="13" name="(M)_x000a_Accounts Receivable Balance_x000a_(K + L)" totalsRowFunction="sum" dataDxfId="4059" totalsRowDxfId="4058"/>
    <tableColumn id="14" name="(N)_x000a_Net Balance_x000a_(J minus M)" totalsRowFunction="sum" dataDxfId="4057" totalsRowDxfId="40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.xml><?xml version="1.0" encoding="utf-8"?>
<table xmlns="http://schemas.openxmlformats.org/spreadsheetml/2006/main" id="18" name="Program007" displayName="Program007" ref="A166:N179" totalsRowCount="1" headerRowDxfId="9534" dataDxfId="9532" totalsRowDxfId="9530" headerRowBorderDxfId="9533" tableBorderDxfId="9531" totalsRowBorderDxfId="9529">
  <autoFilter ref="A166:N178"/>
  <tableColumns count="14">
    <tableColumn id="1" name="(A)_x000a_Program Name" totalsRowLabel="Total Program 7" dataDxfId="9528" totalsRowDxfId="9527"/>
    <tableColumn id="2" name="(B)_x000a_Fiscal _x000a_Year" totalsRowLabel="N/A" dataDxfId="9526" totalsRowDxfId="9525"/>
    <tableColumn id="3" name="(C)_x000a_Program_x000a_Costs" totalsRowFunction="sum" dataDxfId="9524" totalsRowDxfId="9523"/>
    <tableColumn id="4" name="(D)_x000a_Prior Period Adjustments" totalsRowFunction="sum" dataDxfId="9522" totalsRowDxfId="9521"/>
    <tableColumn id="5" name="(E)_x000a_Current Period Desk _x000a_Reviews" totalsRowFunction="sum" dataDxfId="9520" totalsRowDxfId="9519"/>
    <tableColumn id="6" name="(F)_x000a_Current Period _x000a_Final _x000a_Audits" totalsRowFunction="sum" dataDxfId="9518" totalsRowDxfId="9517"/>
    <tableColumn id="7" name="(G)_x000a_Current Period _x000a_Other Adjustments" totalsRowFunction="sum" dataDxfId="9516" totalsRowDxfId="9515"/>
    <tableColumn id="8" name="(H)_x000a_Net Program Costs_x000a_Sum (C through G)" totalsRowFunction="sum" dataDxfId="9514" totalsRowDxfId="9513"/>
    <tableColumn id="9" name="(I)_x000a_Payments_x000a_ and Offsets" totalsRowFunction="sum" dataDxfId="9512" totalsRowDxfId="9511"/>
    <tableColumn id="10" name="(J)_x000a_Accounts Payable Balance_x000a_(H + I)" totalsRowFunction="sum" dataDxfId="9510" totalsRowDxfId="9509"/>
    <tableColumn id="11" name="(K)_x000a_Established _x000a_Accounts Receivable" totalsRowFunction="sum" dataDxfId="9508" totalsRowDxfId="9507"/>
    <tableColumn id="12" name="(L)_x000a_Recovered_x000a_ Accounts Receivable" totalsRowFunction="sum" dataDxfId="9506" totalsRowDxfId="9505"/>
    <tableColumn id="13" name="(M)_x000a_Accounts Receivable Balance_x000a_(K + L)" totalsRowFunction="sum" dataDxfId="9504" totalsRowDxfId="9503"/>
    <tableColumn id="14" name="(N)_x000a_Net Balance_x000a_(J minus M)" totalsRowFunction="sum" dataDxfId="9502" totalsRowDxfId="95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0.xml><?xml version="1.0" encoding="utf-8"?>
<table xmlns="http://schemas.openxmlformats.org/spreadsheetml/2006/main" id="180" name="Program253" displayName="Program253" ref="A599:N607" totalsRowCount="1" headerRowDxfId="4055" dataDxfId="4053" totalsRowDxfId="4051" headerRowBorderDxfId="4054" tableBorderDxfId="4052" totalsRowBorderDxfId="4050">
  <autoFilter ref="A599:N606"/>
  <tableColumns count="14">
    <tableColumn id="1" name="(A)_x000a_Program Name" totalsRowLabel="Total Program 253" dataDxfId="4049" totalsRowDxfId="4048"/>
    <tableColumn id="2" name="(B)_x000a_Fiscal _x000a_Year" totalsRowLabel="N/A" dataDxfId="4047" totalsRowDxfId="4046"/>
    <tableColumn id="3" name="(C)_x000a_Program_x000a_Costs" totalsRowFunction="sum" dataDxfId="4045" totalsRowDxfId="4044"/>
    <tableColumn id="4" name="(D)_x000a_Prior Period Adjustments" totalsRowFunction="sum" dataDxfId="4043" totalsRowDxfId="4042"/>
    <tableColumn id="5" name="(E)_x000a_Current Period Desk _x000a_Reviews" totalsRowFunction="sum" dataDxfId="4041" totalsRowDxfId="4040"/>
    <tableColumn id="6" name="(F)_x000a_Current Period _x000a_Final _x000a_Audits" totalsRowFunction="sum" dataDxfId="4039" totalsRowDxfId="4038"/>
    <tableColumn id="7" name="(G)_x000a_Current Period _x000a_Other Adjustments" totalsRowFunction="sum" dataDxfId="4037" totalsRowDxfId="4036"/>
    <tableColumn id="8" name="(H)_x000a_Net Program Costs_x000a_Sum (C through G)" totalsRowFunction="sum" dataDxfId="4035" totalsRowDxfId="4034"/>
    <tableColumn id="9" name="(I)_x000a_Payments_x000a_ and Offsets" totalsRowFunction="sum" dataDxfId="4033" totalsRowDxfId="4032"/>
    <tableColumn id="10" name="(J)_x000a_Accounts Payable Balance_x000a_(H + I)" totalsRowFunction="sum" dataDxfId="4031" totalsRowDxfId="4030"/>
    <tableColumn id="11" name="(K)_x000a_Established _x000a_Accounts Receivable" totalsRowFunction="sum" dataDxfId="4029" totalsRowDxfId="4028"/>
    <tableColumn id="12" name="(L)_x000a_Recovered_x000a_ Accounts Receivable" totalsRowFunction="sum" dataDxfId="4027" totalsRowDxfId="4026"/>
    <tableColumn id="13" name="(M)_x000a_Accounts Receivable Balance_x000a_(K + L)" totalsRowFunction="sum" dataDxfId="4025" totalsRowDxfId="4024"/>
    <tableColumn id="14" name="(N)_x000a_Net Balance_x000a_(J minus M)" totalsRowFunction="sum" dataDxfId="4023" totalsRowDxfId="40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1.xml><?xml version="1.0" encoding="utf-8"?>
<table xmlns="http://schemas.openxmlformats.org/spreadsheetml/2006/main" id="181" name="Program225" displayName="Program225" ref="A609:N613" totalsRowCount="1" headerRowDxfId="4021" dataDxfId="4019" totalsRowDxfId="4017" headerRowBorderDxfId="4020" tableBorderDxfId="4018" totalsRowBorderDxfId="4016">
  <autoFilter ref="A609:N612"/>
  <tableColumns count="14">
    <tableColumn id="1" name="(A)_x000a_Program Name" totalsRowLabel="Total Program 225" dataDxfId="4015" totalsRowDxfId="4014"/>
    <tableColumn id="2" name="(B)_x000a_Fiscal _x000a_Year" totalsRowLabel="N/A" dataDxfId="4013" totalsRowDxfId="4012"/>
    <tableColumn id="3" name="(C)_x000a_Program_x000a_Costs" totalsRowFunction="sum" dataDxfId="4011" totalsRowDxfId="4010"/>
    <tableColumn id="4" name="(D)_x000a_Prior Period Adjustments" totalsRowFunction="sum" dataDxfId="4009" totalsRowDxfId="4008"/>
    <tableColumn id="5" name="(E)_x000a_Current Period Desk _x000a_Reviews" totalsRowFunction="sum" dataDxfId="4007" totalsRowDxfId="4006"/>
    <tableColumn id="6" name="(F)_x000a_Current Period _x000a_Final _x000a_Audits" totalsRowFunction="sum" dataDxfId="4005" totalsRowDxfId="4004"/>
    <tableColumn id="7" name="(G)_x000a_Current Period _x000a_Other Adjustments" totalsRowFunction="sum" dataDxfId="4003" totalsRowDxfId="4002"/>
    <tableColumn id="8" name="(H)_x000a_Net Program Costs_x000a_Sum (C through G)" totalsRowFunction="sum" dataDxfId="4001" totalsRowDxfId="4000"/>
    <tableColumn id="9" name="(I)_x000a_Payments_x000a_ and Offsets" totalsRowFunction="sum" dataDxfId="3999" totalsRowDxfId="3998"/>
    <tableColumn id="10" name="(J)_x000a_Accounts Payable Balance_x000a_(H + I)" totalsRowFunction="sum" dataDxfId="3997" totalsRowDxfId="3996"/>
    <tableColumn id="11" name="(K)_x000a_Established _x000a_Accounts Receivable" totalsRowFunction="sum" dataDxfId="3995" totalsRowDxfId="3994"/>
    <tableColumn id="12" name="(L)_x000a_Recovered_x000a_ Accounts Receivable" totalsRowFunction="sum" dataDxfId="3993" totalsRowDxfId="3992"/>
    <tableColumn id="13" name="(M)_x000a_Accounts Receivable Balance_x000a_(K + L)" totalsRowFunction="sum" dataDxfId="3991" totalsRowDxfId="3990"/>
    <tableColumn id="14" name="(N)_x000a_Net Balance_x000a_(J minus M)" totalsRowFunction="sum" dataDxfId="3989" totalsRowDxfId="39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2.xml><?xml version="1.0" encoding="utf-8"?>
<table xmlns="http://schemas.openxmlformats.org/spreadsheetml/2006/main" id="182" name="Program075" displayName="Program075" ref="A615:N634" totalsRowCount="1" headerRowDxfId="3987" dataDxfId="3985" totalsRowDxfId="3983" headerRowBorderDxfId="3986" tableBorderDxfId="3984" totalsRowBorderDxfId="3982">
  <autoFilter ref="A615:N633"/>
  <tableColumns count="14">
    <tableColumn id="1" name="(A)_x000a_Program Name" totalsRowLabel="Total Program 75" dataDxfId="3981" totalsRowDxfId="3980"/>
    <tableColumn id="2" name="(B)_x000a_Fiscal _x000a_Year" totalsRowLabel="N/A" dataDxfId="3979" totalsRowDxfId="3978"/>
    <tableColumn id="3" name="(C)_x000a_Program_x000a_Costs" totalsRowFunction="sum" dataDxfId="3977" totalsRowDxfId="3976"/>
    <tableColumn id="4" name="(D)_x000a_Prior Period Adjustments" totalsRowFunction="sum" dataDxfId="3975" totalsRowDxfId="3974"/>
    <tableColumn id="5" name="(E)_x000a_Current Period Desk _x000a_Reviews" totalsRowFunction="sum" dataDxfId="3973" totalsRowDxfId="3972"/>
    <tableColumn id="6" name="(F)_x000a_Current Period _x000a_Final _x000a_Audits" totalsRowFunction="sum" dataDxfId="3971" totalsRowDxfId="3970"/>
    <tableColumn id="7" name="(G)_x000a_Current Period _x000a_Other Adjustments" totalsRowFunction="sum" dataDxfId="3969" totalsRowDxfId="3968"/>
    <tableColumn id="8" name="(H)_x000a_Net Program Costs_x000a_Sum (C through G)" totalsRowFunction="sum" dataDxfId="3967" totalsRowDxfId="3966"/>
    <tableColumn id="9" name="(I)_x000a_Payments_x000a_ and Offsets" totalsRowFunction="sum" dataDxfId="3965" totalsRowDxfId="3964"/>
    <tableColumn id="10" name="(J)_x000a_Accounts Payable Balance_x000a_(H + I)" totalsRowFunction="sum" dataDxfId="3963" totalsRowDxfId="3962"/>
    <tableColumn id="11" name="(K)_x000a_Established _x000a_Accounts Receivable" totalsRowFunction="sum" dataDxfId="3961" totalsRowDxfId="3960"/>
    <tableColumn id="12" name="(L)_x000a_Recovered_x000a_ Accounts Receivable" totalsRowFunction="sum" dataDxfId="3959" totalsRowDxfId="3958"/>
    <tableColumn id="13" name="(M)_x000a_Accounts Receivable Balance_x000a_(K + L)" totalsRowFunction="sum" dataDxfId="3957" totalsRowDxfId="3956"/>
    <tableColumn id="14" name="(N)_x000a_Net Balance_x000a_(J minus M)" totalsRowFunction="sum" dataDxfId="3955" totalsRowDxfId="39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3.xml><?xml version="1.0" encoding="utf-8"?>
<table xmlns="http://schemas.openxmlformats.org/spreadsheetml/2006/main" id="183" name="Program210" displayName="Program210" ref="A636:N650" totalsRowCount="1" headerRowDxfId="3953" dataDxfId="3951" totalsRowDxfId="3949" headerRowBorderDxfId="3952" tableBorderDxfId="3950" totalsRowBorderDxfId="3948">
  <autoFilter ref="A636:N649"/>
  <tableColumns count="14">
    <tableColumn id="1" name="(A)_x000a_Program Name" totalsRowLabel="Total Program 210" dataDxfId="3947" totalsRowDxfId="3946"/>
    <tableColumn id="2" name="(B)_x000a_Fiscal _x000a_Year" totalsRowLabel="N/A" dataDxfId="3945" totalsRowDxfId="3944"/>
    <tableColumn id="3" name="(C)_x000a_Program_x000a_Costs" totalsRowFunction="sum" dataDxfId="3943" totalsRowDxfId="3942"/>
    <tableColumn id="4" name="(D)_x000a_Prior Period Adjustments" totalsRowFunction="sum" dataDxfId="3941" totalsRowDxfId="3940"/>
    <tableColumn id="5" name="(E)_x000a_Current Period Desk _x000a_Reviews" totalsRowFunction="sum" dataDxfId="3939" totalsRowDxfId="3938"/>
    <tableColumn id="6" name="(F)_x000a_Current Period _x000a_Final _x000a_Audits" totalsRowFunction="sum" dataDxfId="3937" totalsRowDxfId="3936"/>
    <tableColumn id="7" name="(G)_x000a_Current Period _x000a_Other Adjustments" totalsRowFunction="sum" dataDxfId="3935" totalsRowDxfId="3934"/>
    <tableColumn id="8" name="(H)_x000a_Net Program Costs_x000a_Sum (C through G)" totalsRowFunction="sum" dataDxfId="3933" totalsRowDxfId="3932"/>
    <tableColumn id="9" name="(I)_x000a_Payments_x000a_ and Offsets" totalsRowFunction="sum" dataDxfId="3931" totalsRowDxfId="3930"/>
    <tableColumn id="10" name="(J)_x000a_Accounts Payable Balance_x000a_(H + I)" totalsRowFunction="sum" dataDxfId="3929" totalsRowDxfId="3928"/>
    <tableColumn id="11" name="(K)_x000a_Established _x000a_Accounts Receivable" totalsRowFunction="sum" dataDxfId="3927" totalsRowDxfId="3926"/>
    <tableColumn id="12" name="(L)_x000a_Recovered_x000a_ Accounts Receivable" totalsRowFunction="sum" dataDxfId="3925" totalsRowDxfId="3924"/>
    <tableColumn id="13" name="(M)_x000a_Accounts Receivable Balance_x000a_(K + L)" totalsRowFunction="sum" dataDxfId="3923" totalsRowDxfId="3922"/>
    <tableColumn id="14" name="(N)_x000a_Net Balance_x000a_(J minus M)" totalsRowFunction="sum" dataDxfId="3921" totalsRowDxfId="39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4.xml><?xml version="1.0" encoding="utf-8"?>
<table xmlns="http://schemas.openxmlformats.org/spreadsheetml/2006/main" id="184" name="Program091" displayName="Program091" ref="A652:N677" totalsRowCount="1" headerRowDxfId="3919" dataDxfId="3917" totalsRowDxfId="3915" headerRowBorderDxfId="3918" tableBorderDxfId="3916" totalsRowBorderDxfId="3914">
  <autoFilter ref="A652:N676"/>
  <tableColumns count="14">
    <tableColumn id="1" name="(A)_x000a_Program Name" totalsRowLabel="Total Program 91" dataDxfId="3913" totalsRowDxfId="3912"/>
    <tableColumn id="2" name="(B)_x000a_Fiscal _x000a_Year" totalsRowLabel="N/A" dataDxfId="3911" totalsRowDxfId="3910"/>
    <tableColumn id="3" name="(C)_x000a_Program_x000a_Costs" totalsRowFunction="sum" dataDxfId="3909" totalsRowDxfId="3908"/>
    <tableColumn id="4" name="(D)_x000a_Prior Period Adjustments" totalsRowFunction="sum" dataDxfId="3907" totalsRowDxfId="3906"/>
    <tableColumn id="5" name="(E)_x000a_Current Period Desk _x000a_Reviews" totalsRowFunction="sum" dataDxfId="3905" totalsRowDxfId="3904"/>
    <tableColumn id="6" name="(F)_x000a_Current Period _x000a_Final _x000a_Audits" totalsRowFunction="sum" dataDxfId="3903" totalsRowDxfId="3902"/>
    <tableColumn id="7" name="(G)_x000a_Current Period _x000a_Other Adjustments" totalsRowFunction="sum" dataDxfId="3901" totalsRowDxfId="3900"/>
    <tableColumn id="8" name="(H)_x000a_Net Program Costs_x000a_Sum (C through G)" totalsRowFunction="sum" dataDxfId="3899" totalsRowDxfId="3898"/>
    <tableColumn id="9" name="(I)_x000a_Payments_x000a_ and Offsets" totalsRowFunction="sum" dataDxfId="3897" totalsRowDxfId="3896"/>
    <tableColumn id="10" name="(J)_x000a_Accounts Payable Balance_x000a_(H + I)" totalsRowFunction="sum" dataDxfId="3895" totalsRowDxfId="3894"/>
    <tableColumn id="11" name="(K)_x000a_Established _x000a_Accounts Receivable" totalsRowFunction="sum" dataDxfId="3893" totalsRowDxfId="3892"/>
    <tableColumn id="12" name="(L)_x000a_Recovered_x000a_ Accounts Receivable" totalsRowFunction="sum" dataDxfId="3891" totalsRowDxfId="3890"/>
    <tableColumn id="13" name="(M)_x000a_Accounts Receivable Balance_x000a_(K + L)" totalsRowFunction="sum" dataDxfId="3889" totalsRowDxfId="3888"/>
    <tableColumn id="14" name="(N)_x000a_Net Balance_x000a_(J minus M)" totalsRowFunction="sum" dataDxfId="3887" totalsRowDxfId="38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5.xml><?xml version="1.0" encoding="utf-8"?>
<table xmlns="http://schemas.openxmlformats.org/spreadsheetml/2006/main" id="185" name="Program019" displayName="Program019" ref="A679:N686" totalsRowCount="1" headerRowDxfId="3885" dataDxfId="3883" totalsRowDxfId="3881" headerRowBorderDxfId="3884" tableBorderDxfId="3882" totalsRowBorderDxfId="3880">
  <autoFilter ref="A679:N685"/>
  <tableColumns count="14">
    <tableColumn id="1" name="(A)_x000a_Program Name" totalsRowLabel="Total Program 19" dataDxfId="3879" totalsRowDxfId="3878"/>
    <tableColumn id="2" name="(B)_x000a_Fiscal _x000a_Year" totalsRowLabel="N/A" dataDxfId="3877" totalsRowDxfId="3876"/>
    <tableColumn id="3" name="(C)_x000a_Program_x000a_Costs" totalsRowFunction="sum" dataDxfId="3875" totalsRowDxfId="3874"/>
    <tableColumn id="4" name="(D)_x000a_Prior Period Adjustments" totalsRowFunction="sum" dataDxfId="3873" totalsRowDxfId="3872"/>
    <tableColumn id="5" name="(E)_x000a_Current Period Desk _x000a_Reviews" totalsRowFunction="sum" dataDxfId="3871" totalsRowDxfId="3870"/>
    <tableColumn id="6" name="(F)_x000a_Current Period _x000a_Final _x000a_Audits" totalsRowFunction="sum" dataDxfId="3869" totalsRowDxfId="3868"/>
    <tableColumn id="7" name="(G)_x000a_Current Period _x000a_Other Adjustments" totalsRowFunction="sum" dataDxfId="3867" totalsRowDxfId="3866"/>
    <tableColumn id="8" name="(H)_x000a_Net Program Costs_x000a_Sum (C through G)" totalsRowFunction="sum" dataDxfId="3865" totalsRowDxfId="3864"/>
    <tableColumn id="9" name="(I)_x000a_Payments_x000a_ and Offsets" totalsRowFunction="sum" dataDxfId="3863" totalsRowDxfId="3862"/>
    <tableColumn id="10" name="(J)_x000a_Accounts Payable Balance_x000a_(H + I)" totalsRowFunction="sum" dataDxfId="3861" totalsRowDxfId="3860"/>
    <tableColumn id="11" name="(K)_x000a_Established _x000a_Accounts Receivable" totalsRowFunction="sum" dataDxfId="3859" totalsRowDxfId="3858"/>
    <tableColumn id="12" name="(L)_x000a_Recovered_x000a_ Accounts Receivable" totalsRowFunction="sum" dataDxfId="3857" totalsRowDxfId="3856"/>
    <tableColumn id="13" name="(M)_x000a_Accounts Receivable Balance_x000a_(K + L)" totalsRowFunction="sum" dataDxfId="3855" totalsRowDxfId="3854"/>
    <tableColumn id="14" name="(N)_x000a_Net Balance_x000a_(J minus M)" totalsRowFunction="sum" dataDxfId="3853" totalsRowDxfId="38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6.xml><?xml version="1.0" encoding="utf-8"?>
<table xmlns="http://schemas.openxmlformats.org/spreadsheetml/2006/main" id="186" name="Program192" displayName="Program192" ref="A688:N715" totalsRowCount="1" headerRowDxfId="3851" dataDxfId="3849" totalsRowDxfId="3847" headerRowBorderDxfId="3850" tableBorderDxfId="3848" totalsRowBorderDxfId="3846">
  <autoFilter ref="A688:N714"/>
  <tableColumns count="14">
    <tableColumn id="1" name="(A)_x000a_Program Name" totalsRowLabel="Total Program 192" dataDxfId="3845" totalsRowDxfId="3844"/>
    <tableColumn id="2" name="(B)_x000a_Fiscal _x000a_Year" totalsRowLabel="N/A" dataDxfId="3843" totalsRowDxfId="3842"/>
    <tableColumn id="3" name="(C)_x000a_Program_x000a_Costs" totalsRowFunction="sum" dataDxfId="3841" totalsRowDxfId="3840"/>
    <tableColumn id="4" name="(D)_x000a_Prior Period Adjustments" totalsRowFunction="sum" dataDxfId="3839" totalsRowDxfId="3838"/>
    <tableColumn id="5" name="(E)_x000a_Current Period Desk _x000a_Reviews" totalsRowFunction="sum" dataDxfId="3837" totalsRowDxfId="3836"/>
    <tableColumn id="6" name="(F)_x000a_Current Period _x000a_Final _x000a_Audits" totalsRowFunction="sum" dataDxfId="3835" totalsRowDxfId="3834"/>
    <tableColumn id="7" name="(G)_x000a_Current Period _x000a_Other Adjustments" totalsRowFunction="sum" dataDxfId="3833" totalsRowDxfId="3832"/>
    <tableColumn id="8" name="(H)_x000a_Net Program Costs_x000a_Sum (C through G)" totalsRowFunction="sum" dataDxfId="3831" totalsRowDxfId="3830"/>
    <tableColumn id="9" name="(I)_x000a_Payments_x000a_ and Offsets" totalsRowFunction="sum" dataDxfId="3829" totalsRowDxfId="3828"/>
    <tableColumn id="10" name="(J)_x000a_Accounts Payable Balance_x000a_(H + I)" totalsRowFunction="sum" dataDxfId="3827" totalsRowDxfId="3826"/>
    <tableColumn id="11" name="(K)_x000a_Established _x000a_Accounts Receivable" totalsRowFunction="sum" dataDxfId="3825" totalsRowDxfId="3824"/>
    <tableColumn id="12" name="(L)_x000a_Recovered_x000a_ Accounts Receivable" totalsRowFunction="sum" dataDxfId="3823" totalsRowDxfId="3822"/>
    <tableColumn id="13" name="(M)_x000a_Accounts Receivable Balance_x000a_(K + L)" totalsRowFunction="sum" dataDxfId="3821" totalsRowDxfId="3820"/>
    <tableColumn id="14" name="(N)_x000a_Net Balance_x000a_(J minus M)" totalsRowFunction="sum" dataDxfId="3819" totalsRowDxfId="38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7.xml><?xml version="1.0" encoding="utf-8"?>
<table xmlns="http://schemas.openxmlformats.org/spreadsheetml/2006/main" id="187" name="Program295" displayName="Program295" ref="A717:N727" totalsRowCount="1" headerRowDxfId="3817" dataDxfId="3815" totalsRowDxfId="3813" headerRowBorderDxfId="3816" tableBorderDxfId="3814" totalsRowBorderDxfId="3812">
  <autoFilter ref="A717:N726"/>
  <tableColumns count="14">
    <tableColumn id="1" name="(A)_x000a_Program Name" totalsRowLabel="Total Program 295" dataDxfId="3811" totalsRowDxfId="3810"/>
    <tableColumn id="2" name="(B)_x000a_Fiscal _x000a_Year" totalsRowLabel="N/A" dataDxfId="3809" totalsRowDxfId="3808"/>
    <tableColumn id="3" name="(C)_x000a_Program_x000a_Costs" totalsRowFunction="sum" dataDxfId="3807" totalsRowDxfId="3806"/>
    <tableColumn id="4" name="(D)_x000a_Prior Period Adjustments" totalsRowFunction="sum" dataDxfId="3805" totalsRowDxfId="3804"/>
    <tableColumn id="5" name="(E)_x000a_Current Period Desk _x000a_Reviews" totalsRowFunction="sum" dataDxfId="3803" totalsRowDxfId="3802"/>
    <tableColumn id="6" name="(F)_x000a_Current Period _x000a_Final _x000a_Audits" totalsRowFunction="sum" dataDxfId="3801" totalsRowDxfId="3800"/>
    <tableColumn id="7" name="(G)_x000a_Current Period _x000a_Other Adjustments" totalsRowFunction="sum" dataDxfId="3799" totalsRowDxfId="3798"/>
    <tableColumn id="8" name="(H)_x000a_Net Program Costs_x000a_Sum (C through G)" totalsRowFunction="sum" dataDxfId="3797" totalsRowDxfId="3796"/>
    <tableColumn id="9" name="(I)_x000a_Payments_x000a_ and Offsets" totalsRowFunction="sum" dataDxfId="3795" totalsRowDxfId="3794"/>
    <tableColumn id="10" name="(J)_x000a_Accounts Payable Balance_x000a_(H + I)" totalsRowFunction="sum" dataDxfId="3793" totalsRowDxfId="3792"/>
    <tableColumn id="11" name="(K)_x000a_Established _x000a_Accounts Receivable" totalsRowFunction="sum" dataDxfId="3791" totalsRowDxfId="3790"/>
    <tableColumn id="12" name="(L)_x000a_Recovered_x000a_ Accounts Receivable" totalsRowFunction="sum" dataDxfId="3789" totalsRowDxfId="3788"/>
    <tableColumn id="13" name="(M)_x000a_Accounts Receivable Balance_x000a_(K + L)" totalsRowFunction="sum" dataDxfId="3787" totalsRowDxfId="3786"/>
    <tableColumn id="14" name="(N)_x000a_Net Balance_x000a_(J minus M)" totalsRowFunction="sum" dataDxfId="3785" totalsRowDxfId="37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8.xml><?xml version="1.0" encoding="utf-8"?>
<table xmlns="http://schemas.openxmlformats.org/spreadsheetml/2006/main" id="188" name="Program296" displayName="Program296" ref="A729:N731" totalsRowCount="1" headerRowDxfId="3783" dataDxfId="3781" totalsRowDxfId="3779" headerRowBorderDxfId="3782" tableBorderDxfId="3780" totalsRowBorderDxfId="3778">
  <autoFilter ref="A729:N730"/>
  <tableColumns count="14">
    <tableColumn id="1" name="(A)_x000a_Program Name" totalsRowLabel="Total Program 296" dataDxfId="3777" totalsRowDxfId="3776"/>
    <tableColumn id="2" name="(B)_x000a_Fiscal _x000a_Year" totalsRowLabel="N/A" dataDxfId="3775" totalsRowDxfId="3774"/>
    <tableColumn id="3" name="(C)_x000a_Program_x000a_Costs" totalsRowFunction="sum" dataDxfId="3773" totalsRowDxfId="3772"/>
    <tableColumn id="4" name="(D)_x000a_Prior Period Adjustments" totalsRowFunction="sum" dataDxfId="3771" totalsRowDxfId="3770"/>
    <tableColumn id="5" name="(E)_x000a_Current Period Desk _x000a_Reviews" totalsRowFunction="sum" dataDxfId="3769" totalsRowDxfId="3768"/>
    <tableColumn id="6" name="(F)_x000a_Current Period _x000a_Final _x000a_Audits" totalsRowFunction="sum" dataDxfId="3767" totalsRowDxfId="3766"/>
    <tableColumn id="7" name="(G)_x000a_Current Period _x000a_Other Adjustments" totalsRowFunction="sum" dataDxfId="3765" totalsRowDxfId="3764"/>
    <tableColumn id="8" name="(H)_x000a_Net Program Costs_x000a_Sum (C through G)" totalsRowFunction="sum" dataDxfId="3763" totalsRowDxfId="3762"/>
    <tableColumn id="9" name="(I)_x000a_Payments_x000a_ and Offsets" totalsRowFunction="sum" dataDxfId="3761" totalsRowDxfId="3760"/>
    <tableColumn id="10" name="(J)_x000a_Accounts Payable Balance_x000a_(H + I)" totalsRowFunction="sum" dataDxfId="3759" totalsRowDxfId="3758"/>
    <tableColumn id="11" name="(K)_x000a_Established _x000a_Accounts Receivable" totalsRowFunction="sum" dataDxfId="3757" totalsRowDxfId="3756"/>
    <tableColumn id="12" name="(L)_x000a_Recovered_x000a_ Accounts Receivable" totalsRowFunction="sum" dataDxfId="3755" totalsRowDxfId="3754"/>
    <tableColumn id="13" name="(M)_x000a_Accounts Receivable Balance_x000a_(K + L)" totalsRowFunction="sum" dataDxfId="3753" totalsRowDxfId="3752"/>
    <tableColumn id="14" name="(N)_x000a_Net Balance_x000a_(J minus M)" totalsRowFunction="sum" dataDxfId="3751" totalsRowDxfId="37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89.xml><?xml version="1.0" encoding="utf-8"?>
<table xmlns="http://schemas.openxmlformats.org/spreadsheetml/2006/main" id="189" name="Program297" displayName="Program297" ref="A733:N750" totalsRowCount="1" headerRowDxfId="3749" dataDxfId="3747" totalsRowDxfId="3745" headerRowBorderDxfId="3748" tableBorderDxfId="3746" totalsRowBorderDxfId="3744">
  <autoFilter ref="A733:N749"/>
  <tableColumns count="14">
    <tableColumn id="1" name="(A)_x000a_Program Name" totalsRowLabel="Total Program 297" dataDxfId="3743" totalsRowDxfId="3742"/>
    <tableColumn id="2" name="(B)_x000a_Fiscal _x000a_Year" totalsRowLabel="N/A" dataDxfId="3741" totalsRowDxfId="3740"/>
    <tableColumn id="3" name="(C)_x000a_Program_x000a_Costs" totalsRowFunction="sum" dataDxfId="3739" totalsRowDxfId="3738"/>
    <tableColumn id="4" name="(D)_x000a_Prior Period Adjustments" totalsRowFunction="sum" dataDxfId="3737" totalsRowDxfId="3736"/>
    <tableColumn id="5" name="(E)_x000a_Current Period Desk _x000a_Reviews" totalsRowFunction="sum" dataDxfId="3735" totalsRowDxfId="3734"/>
    <tableColumn id="6" name="(F)_x000a_Current Period _x000a_Final _x000a_Audits" totalsRowFunction="sum" dataDxfId="3733" totalsRowDxfId="3732"/>
    <tableColumn id="7" name="(G)_x000a_Current Period _x000a_Other Adjustments" totalsRowFunction="sum" dataDxfId="3731" totalsRowDxfId="3730"/>
    <tableColumn id="8" name="(H)_x000a_Net Program Costs_x000a_Sum (C through G)" totalsRowFunction="sum" dataDxfId="3729" totalsRowDxfId="3728"/>
    <tableColumn id="9" name="(I)_x000a_Payments_x000a_ and Offsets" totalsRowFunction="sum" dataDxfId="3727" totalsRowDxfId="3726"/>
    <tableColumn id="10" name="(J)_x000a_Accounts Payable Balance_x000a_(H + I)" totalsRowFunction="sum" dataDxfId="3725" totalsRowDxfId="3724"/>
    <tableColumn id="11" name="(K)_x000a_Established _x000a_Accounts Receivable" totalsRowFunction="sum" dataDxfId="3723" totalsRowDxfId="3722"/>
    <tableColumn id="12" name="(L)_x000a_Recovered_x000a_ Accounts Receivable" totalsRowFunction="sum" dataDxfId="3721" totalsRowDxfId="3720"/>
    <tableColumn id="13" name="(M)_x000a_Accounts Receivable Balance_x000a_(K + L)" totalsRowFunction="sum" dataDxfId="3719" totalsRowDxfId="3718"/>
    <tableColumn id="14" name="(N)_x000a_Net Balance_x000a_(J minus M)" totalsRowFunction="sum" dataDxfId="3717" totalsRowDxfId="37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.xml><?xml version="1.0" encoding="utf-8"?>
<table xmlns="http://schemas.openxmlformats.org/spreadsheetml/2006/main" id="19" name="Program288" displayName="Program288" ref="A181:N184" totalsRowCount="1" headerRowDxfId="9500" dataDxfId="9498" totalsRowDxfId="9496" headerRowBorderDxfId="9499" tableBorderDxfId="9497" totalsRowBorderDxfId="9495">
  <autoFilter ref="A181:N183"/>
  <tableColumns count="14">
    <tableColumn id="1" name="(A)_x000a_Program Name" totalsRowLabel="Total Program 288" dataDxfId="9494" totalsRowDxfId="9493"/>
    <tableColumn id="2" name="(B)_x000a_Fiscal _x000a_Year" totalsRowLabel="N/A" dataDxfId="9492" totalsRowDxfId="9491"/>
    <tableColumn id="3" name="(C)_x000a_Program_x000a_Costs" totalsRowFunction="sum" dataDxfId="9490" totalsRowDxfId="9489"/>
    <tableColumn id="4" name="(D)_x000a_Prior Period Adjustments" totalsRowFunction="sum" dataDxfId="9488" totalsRowDxfId="9487"/>
    <tableColumn id="5" name="(E)_x000a_Current Period Desk _x000a_Reviews" totalsRowFunction="sum" dataDxfId="9486" totalsRowDxfId="9485"/>
    <tableColumn id="6" name="(F)_x000a_Current Period _x000a_Final _x000a_Audits" totalsRowFunction="sum" dataDxfId="9484" totalsRowDxfId="9483"/>
    <tableColumn id="7" name="(G)_x000a_Current Period _x000a_Other Adjustments" totalsRowFunction="sum" dataDxfId="9482" totalsRowDxfId="9481"/>
    <tableColumn id="8" name="(H)_x000a_Net Program Costs_x000a_Sum (C through G)" totalsRowFunction="sum" dataDxfId="9480" totalsRowDxfId="9479"/>
    <tableColumn id="9" name="(I)_x000a_Payments_x000a_ and Offsets" totalsRowFunction="sum" dataDxfId="9478" totalsRowDxfId="9477"/>
    <tableColumn id="10" name="(J)_x000a_Accounts Payable Balance_x000a_(H + I)" totalsRowFunction="sum" dataDxfId="9476" totalsRowDxfId="9475"/>
    <tableColumn id="11" name="(K)_x000a_Established _x000a_Accounts Receivable" totalsRowFunction="sum" dataDxfId="9474" totalsRowDxfId="9473"/>
    <tableColumn id="12" name="(L)_x000a_Recovered_x000a_ Accounts Receivable" totalsRowFunction="sum" dataDxfId="9472" totalsRowDxfId="9471"/>
    <tableColumn id="13" name="(M)_x000a_Accounts Receivable Balance_x000a_(K + L)" totalsRowFunction="sum" dataDxfId="9470" totalsRowDxfId="9469"/>
    <tableColumn id="14" name="(N)_x000a_Net Balance_x000a_(J minus M)" totalsRowFunction="sum" dataDxfId="9468" totalsRowDxfId="94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0.xml><?xml version="1.0" encoding="utf-8"?>
<table xmlns="http://schemas.openxmlformats.org/spreadsheetml/2006/main" id="190" name="Program026" displayName="Program026" ref="A752:N777" totalsRowCount="1" headerRowDxfId="3715" dataDxfId="3713" totalsRowDxfId="3711" headerRowBorderDxfId="3714" tableBorderDxfId="3712" totalsRowBorderDxfId="3710">
  <autoFilter ref="A752:N776"/>
  <tableColumns count="14">
    <tableColumn id="1" name="(A)_x000a_Program Name" totalsRowLabel="Total Program 26" dataDxfId="3709" totalsRowDxfId="3708"/>
    <tableColumn id="2" name="(B)_x000a_Fiscal _x000a_Year" totalsRowLabel="N/A" dataDxfId="3707" totalsRowDxfId="3706"/>
    <tableColumn id="3" name="(C)_x000a_Program_x000a_Costs" totalsRowFunction="sum" dataDxfId="3705" totalsRowDxfId="3704"/>
    <tableColumn id="4" name="(D)_x000a_Prior Period Adjustments" totalsRowFunction="sum" dataDxfId="3703" totalsRowDxfId="3702"/>
    <tableColumn id="5" name="(E)_x000a_Current Period Desk _x000a_Reviews" totalsRowFunction="sum" dataDxfId="3701" totalsRowDxfId="3700"/>
    <tableColumn id="6" name="(F)_x000a_Current Period _x000a_Final _x000a_Audits" totalsRowFunction="sum" dataDxfId="3699" totalsRowDxfId="3698"/>
    <tableColumn id="7" name="(G)_x000a_Current Period _x000a_Other Adjustments" totalsRowFunction="sum" dataDxfId="3697" totalsRowDxfId="3696"/>
    <tableColumn id="8" name="(H)_x000a_Net Program Costs_x000a_Sum (C through G)" totalsRowFunction="sum" dataDxfId="3695" totalsRowDxfId="3694"/>
    <tableColumn id="9" name="(I)_x000a_Payments_x000a_ and Offsets" totalsRowFunction="sum" dataDxfId="3693" totalsRowDxfId="3692"/>
    <tableColumn id="10" name="(J)_x000a_Accounts Payable Balance_x000a_(H + I)" totalsRowFunction="sum" dataDxfId="3691" totalsRowDxfId="3690"/>
    <tableColumn id="11" name="(K)_x000a_Established _x000a_Accounts Receivable" totalsRowFunction="sum" dataDxfId="3689" totalsRowDxfId="3688"/>
    <tableColumn id="12" name="(L)_x000a_Recovered_x000a_ Accounts Receivable" totalsRowFunction="sum" dataDxfId="3687" totalsRowDxfId="3686"/>
    <tableColumn id="13" name="(M)_x000a_Accounts Receivable Balance_x000a_(K + L)" totalsRowFunction="sum" dataDxfId="3685" totalsRowDxfId="3684"/>
    <tableColumn id="14" name="(N)_x000a_Net Balance_x000a_(J minus M)" totalsRowFunction="sum" dataDxfId="3683" totalsRowDxfId="368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1.xml><?xml version="1.0" encoding="utf-8"?>
<table xmlns="http://schemas.openxmlformats.org/spreadsheetml/2006/main" id="191" name="Program226" displayName="Program226" ref="A779:N787" totalsRowCount="1" headerRowDxfId="3681" dataDxfId="3679" totalsRowDxfId="3677" headerRowBorderDxfId="3680" tableBorderDxfId="3678" totalsRowBorderDxfId="3676">
  <autoFilter ref="A779:N786"/>
  <tableColumns count="14">
    <tableColumn id="1" name="(A)_x000a_Program Name" totalsRowLabel="Total Program 226" dataDxfId="3675" totalsRowDxfId="3674"/>
    <tableColumn id="2" name="(B)_x000a_Fiscal _x000a_Year" totalsRowLabel="N/A" dataDxfId="3673" totalsRowDxfId="3672"/>
    <tableColumn id="3" name="(C)_x000a_Program_x000a_Costs" totalsRowFunction="sum" dataDxfId="3671" totalsRowDxfId="3670"/>
    <tableColumn id="4" name="(D)_x000a_Prior Period Adjustments" totalsRowFunction="sum" dataDxfId="3669" totalsRowDxfId="3668"/>
    <tableColumn id="5" name="(E)_x000a_Current Period Desk _x000a_Reviews" totalsRowFunction="sum" dataDxfId="3667" totalsRowDxfId="3666"/>
    <tableColumn id="6" name="(F)_x000a_Current Period _x000a_Final _x000a_Audits" totalsRowFunction="sum" dataDxfId="3665" totalsRowDxfId="3664"/>
    <tableColumn id="7" name="(G)_x000a_Current Period _x000a_Other Adjustments" totalsRowFunction="sum" dataDxfId="3663" totalsRowDxfId="3662"/>
    <tableColumn id="8" name="(H)_x000a_Net Program Costs_x000a_Sum (C through G)" totalsRowFunction="sum" dataDxfId="3661" totalsRowDxfId="3660"/>
    <tableColumn id="9" name="(I)_x000a_Payments_x000a_ and Offsets" totalsRowFunction="sum" dataDxfId="3659" totalsRowDxfId="3658"/>
    <tableColumn id="10" name="(J)_x000a_Accounts Payable Balance_x000a_(H + I)" totalsRowFunction="sum" dataDxfId="3657" totalsRowDxfId="3656"/>
    <tableColumn id="11" name="(K)_x000a_Established _x000a_Accounts Receivable" totalsRowFunction="sum" dataDxfId="3655" totalsRowDxfId="3654"/>
    <tableColumn id="12" name="(L)_x000a_Recovered_x000a_ Accounts Receivable" totalsRowFunction="sum" dataDxfId="3653" totalsRowDxfId="3652"/>
    <tableColumn id="13" name="(M)_x000a_Accounts Receivable Balance_x000a_(K + L)" totalsRowFunction="sum" dataDxfId="3651" totalsRowDxfId="3650"/>
    <tableColumn id="14" name="(N)_x000a_Net Balance_x000a_(J minus M)" totalsRowFunction="sum" dataDxfId="3649" totalsRowDxfId="36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2.xml><?xml version="1.0" encoding="utf-8"?>
<table xmlns="http://schemas.openxmlformats.org/spreadsheetml/2006/main" id="192" name="Program166" displayName="Program166" ref="A789:N815" totalsRowCount="1" headerRowDxfId="3647" dataDxfId="3645" totalsRowDxfId="3643" headerRowBorderDxfId="3646" tableBorderDxfId="3644" totalsRowBorderDxfId="3642">
  <autoFilter ref="A789:N814"/>
  <tableColumns count="14">
    <tableColumn id="1" name="(A)_x000a_Program Name" totalsRowLabel="Total Program 166" dataDxfId="3641" totalsRowDxfId="3640"/>
    <tableColumn id="2" name="(B)_x000a_Fiscal _x000a_Year" totalsRowLabel="N/A" dataDxfId="3639" totalsRowDxfId="3638"/>
    <tableColumn id="3" name="(C)_x000a_Program_x000a_Costs" totalsRowFunction="sum" dataDxfId="3637" totalsRowDxfId="3636"/>
    <tableColumn id="4" name="(D)_x000a_Prior Period Adjustments" totalsRowFunction="sum" dataDxfId="3635" totalsRowDxfId="3634"/>
    <tableColumn id="5" name="(E)_x000a_Current Period Desk _x000a_Reviews" totalsRowFunction="sum" dataDxfId="3633" totalsRowDxfId="3632"/>
    <tableColumn id="6" name="(F)_x000a_Current Period _x000a_Final _x000a_Audits" totalsRowFunction="sum" dataDxfId="3631" totalsRowDxfId="3630"/>
    <tableColumn id="7" name="(G)_x000a_Current Period _x000a_Other Adjustments" totalsRowFunction="sum" dataDxfId="3629" totalsRowDxfId="3628"/>
    <tableColumn id="8" name="(H)_x000a_Net Program Costs_x000a_Sum (C through G)" totalsRowFunction="sum" dataDxfId="3627" totalsRowDxfId="3626"/>
    <tableColumn id="9" name="(I)_x000a_Payments_x000a_ and Offsets" totalsRowFunction="sum" dataDxfId="3625" totalsRowDxfId="3624"/>
    <tableColumn id="10" name="(J)_x000a_Accounts Payable Balance_x000a_(H + I)" totalsRowFunction="sum" dataDxfId="3623" totalsRowDxfId="3622"/>
    <tableColumn id="11" name="(K)_x000a_Established _x000a_Accounts Receivable" totalsRowFunction="sum" dataDxfId="3621" totalsRowDxfId="3620"/>
    <tableColumn id="12" name="(L)_x000a_Recovered_x000a_ Accounts Receivable" totalsRowFunction="sum" dataDxfId="3619" totalsRowDxfId="3618"/>
    <tableColumn id="13" name="(M)_x000a_Accounts Receivable Balance_x000a_(K + L)" totalsRowFunction="sum" dataDxfId="3617" totalsRowDxfId="3616"/>
    <tableColumn id="14" name="(N)_x000a_Net Balance_x000a_(J minus M)" totalsRowFunction="sum" dataDxfId="3615" totalsRowDxfId="36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3.xml><?xml version="1.0" encoding="utf-8"?>
<table xmlns="http://schemas.openxmlformats.org/spreadsheetml/2006/main" id="193" name="Program268" displayName="Program268" ref="A817:N835" totalsRowCount="1" headerRowDxfId="3613" dataDxfId="3611" totalsRowDxfId="3609" headerRowBorderDxfId="3612" tableBorderDxfId="3610" totalsRowBorderDxfId="3608">
  <autoFilter ref="A817:N834"/>
  <tableColumns count="14">
    <tableColumn id="1" name="(A)_x000a_Program Name" totalsRowLabel="Total Program 268" dataDxfId="3607" totalsRowDxfId="3606"/>
    <tableColumn id="2" name="(B)_x000a_Fiscal _x000a_Year" totalsRowLabel="N/A" dataDxfId="3605" totalsRowDxfId="3604"/>
    <tableColumn id="3" name="(C)_x000a_Program_x000a_Costs" totalsRowFunction="sum" dataDxfId="3603" totalsRowDxfId="3602"/>
    <tableColumn id="4" name="(D)_x000a_Prior Period Adjustments" totalsRowFunction="sum" dataDxfId="3601" totalsRowDxfId="3600"/>
    <tableColumn id="5" name="(E)_x000a_Current Period Desk _x000a_Reviews" totalsRowFunction="sum" dataDxfId="3599" totalsRowDxfId="3598"/>
    <tableColumn id="6" name="(F)_x000a_Current Period _x000a_Final _x000a_Audits" totalsRowFunction="sum" dataDxfId="3597" totalsRowDxfId="3596"/>
    <tableColumn id="7" name="(G)_x000a_Current Period _x000a_Other Adjustments" totalsRowFunction="sum" dataDxfId="3595" totalsRowDxfId="3594"/>
    <tableColumn id="8" name="(H)_x000a_Net Program Costs_x000a_Sum (C through G)" totalsRowFunction="sum" dataDxfId="3593" totalsRowDxfId="3592"/>
    <tableColumn id="9" name="(I)_x000a_Payments_x000a_ and Offsets" totalsRowFunction="sum" dataDxfId="3591" totalsRowDxfId="3590"/>
    <tableColumn id="10" name="(J)_x000a_Accounts Payable Balance_x000a_(H + I)" totalsRowFunction="sum" dataDxfId="3589" totalsRowDxfId="3588"/>
    <tableColumn id="11" name="(K)_x000a_Established _x000a_Accounts Receivable" totalsRowFunction="sum" dataDxfId="3587" totalsRowDxfId="3586"/>
    <tableColumn id="12" name="(L)_x000a_Recovered_x000a_ Accounts Receivable" totalsRowFunction="sum" dataDxfId="3585" totalsRowDxfId="3584"/>
    <tableColumn id="13" name="(M)_x000a_Accounts Receivable Balance_x000a_(K + L)" totalsRowFunction="sum" dataDxfId="3583" totalsRowDxfId="3582"/>
    <tableColumn id="14" name="(N)_x000a_Net Balance_x000a_(J minus M)" totalsRowFunction="sum" dataDxfId="3581" totalsRowDxfId="358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4.xml><?xml version="1.0" encoding="utf-8"?>
<table xmlns="http://schemas.openxmlformats.org/spreadsheetml/2006/main" id="194" name="Program230" displayName="Program230" ref="A837:N856" totalsRowCount="1" headerRowDxfId="3579" dataDxfId="3577" totalsRowDxfId="3575" headerRowBorderDxfId="3578" tableBorderDxfId="3576" totalsRowBorderDxfId="3574">
  <autoFilter ref="A837:N855"/>
  <tableColumns count="14">
    <tableColumn id="1" name="(A)_x000a_Program Name" totalsRowLabel="Total Program 230" dataDxfId="3573" totalsRowDxfId="3572"/>
    <tableColumn id="2" name="(B)_x000a_Fiscal _x000a_Year" totalsRowLabel="N/A" dataDxfId="3571" totalsRowDxfId="3570"/>
    <tableColumn id="3" name="(C)_x000a_Program_x000a_Costs" totalsRowFunction="sum" dataDxfId="3569" totalsRowDxfId="3568"/>
    <tableColumn id="4" name="(D)_x000a_Prior Period Adjustments" totalsRowFunction="sum" dataDxfId="3567" totalsRowDxfId="3566"/>
    <tableColumn id="5" name="(E)_x000a_Current Period Desk _x000a_Reviews" totalsRowFunction="sum" dataDxfId="3565" totalsRowDxfId="3564"/>
    <tableColumn id="6" name="(F)_x000a_Current Period _x000a_Final _x000a_Audits" totalsRowFunction="sum" dataDxfId="3563" totalsRowDxfId="3562"/>
    <tableColumn id="7" name="(G)_x000a_Current Period _x000a_Other Adjustments" totalsRowFunction="sum" dataDxfId="3561" totalsRowDxfId="3560"/>
    <tableColumn id="8" name="(H)_x000a_Net Program Costs_x000a_Sum (C through G)" totalsRowFunction="sum" dataDxfId="3559" totalsRowDxfId="3558"/>
    <tableColumn id="9" name="(I)_x000a_Payments_x000a_ and Offsets" totalsRowFunction="sum" dataDxfId="3557" totalsRowDxfId="3556"/>
    <tableColumn id="10" name="(J)_x000a_Accounts Payable Balance_x000a_(H + I)" totalsRowFunction="sum" dataDxfId="3555" totalsRowDxfId="3554"/>
    <tableColumn id="11" name="(K)_x000a_Established _x000a_Accounts Receivable" totalsRowFunction="sum" dataDxfId="3553" totalsRowDxfId="3552"/>
    <tableColumn id="12" name="(L)_x000a_Recovered_x000a_ Accounts Receivable" totalsRowFunction="sum" dataDxfId="3551" totalsRowDxfId="3550"/>
    <tableColumn id="13" name="(M)_x000a_Accounts Receivable Balance_x000a_(K + L)" totalsRowFunction="sum" dataDxfId="3549" totalsRowDxfId="3548"/>
    <tableColumn id="14" name="(N)_x000a_Net Balance_x000a_(J minus M)" totalsRowFunction="sum" dataDxfId="3547" totalsRowDxfId="35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5.xml><?xml version="1.0" encoding="utf-8"?>
<table xmlns="http://schemas.openxmlformats.org/spreadsheetml/2006/main" id="195" name="Program368" displayName="Program368" ref="A858:N866" totalsRowCount="1" headerRowDxfId="3545" dataDxfId="3543" totalsRowDxfId="3541" headerRowBorderDxfId="3544" tableBorderDxfId="3542" totalsRowBorderDxfId="3540">
  <autoFilter ref="A858:N865"/>
  <tableColumns count="14">
    <tableColumn id="1" name="(A)_x000a_Program Name" totalsRowLabel="Total Program 368" dataDxfId="3539" totalsRowDxfId="3538"/>
    <tableColumn id="2" name="(B)_x000a_Fiscal _x000a_Year" totalsRowLabel="N/A" dataDxfId="3537" totalsRowDxfId="3536"/>
    <tableColumn id="3" name="(C)_x000a_Program_x000a_Costs" totalsRowFunction="sum" dataDxfId="3535" totalsRowDxfId="3534"/>
    <tableColumn id="4" name="(D)_x000a_Prior Period Adjustments" totalsRowFunction="sum" dataDxfId="3533" totalsRowDxfId="3532"/>
    <tableColumn id="5" name="(E)_x000a_Current Period Desk _x000a_Reviews" totalsRowFunction="sum" dataDxfId="3531" totalsRowDxfId="3530"/>
    <tableColumn id="6" name="(F)_x000a_Current Period _x000a_Final _x000a_Audits" totalsRowFunction="sum" dataDxfId="3529" totalsRowDxfId="3528"/>
    <tableColumn id="7" name="(G)_x000a_Current Period _x000a_Other Adjustments" totalsRowFunction="sum" dataDxfId="3527" totalsRowDxfId="3526"/>
    <tableColumn id="8" name="(H)_x000a_Net Program Costs_x000a_Sum (C through G)" totalsRowFunction="sum" dataDxfId="3525" totalsRowDxfId="3524"/>
    <tableColumn id="9" name="(I)_x000a_Payments_x000a_ and Offsets" totalsRowFunction="sum" dataDxfId="3523" totalsRowDxfId="3522"/>
    <tableColumn id="10" name="(J)_x000a_Accounts Payable Balance_x000a_(H + I)" totalsRowFunction="sum" dataDxfId="3521" totalsRowDxfId="3520"/>
    <tableColumn id="11" name="(K)_x000a_Established _x000a_Accounts Receivable" totalsRowFunction="sum" dataDxfId="3519" totalsRowDxfId="3518"/>
    <tableColumn id="12" name="(L)_x000a_Recovered_x000a_ Accounts Receivable" totalsRowFunction="sum" dataDxfId="3517" totalsRowDxfId="3516"/>
    <tableColumn id="13" name="(M)_x000a_Accounts Receivable Balance_x000a_(K + L)" totalsRowFunction="sum" dataDxfId="3515" totalsRowDxfId="3514"/>
    <tableColumn id="14" name="(N)_x000a_Net Balance_x000a_(J minus M)" totalsRowFunction="sum" dataDxfId="3513" totalsRowDxfId="35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6.xml><?xml version="1.0" encoding="utf-8"?>
<table xmlns="http://schemas.openxmlformats.org/spreadsheetml/2006/main" id="196" name="Program357" displayName="Program357" ref="A868:N878" totalsRowCount="1" headerRowDxfId="3511" dataDxfId="3509" totalsRowDxfId="3507" headerRowBorderDxfId="3510" tableBorderDxfId="3508" totalsRowBorderDxfId="3506">
  <autoFilter ref="A868:N877"/>
  <tableColumns count="14">
    <tableColumn id="1" name="(A)_x000a_Program Name" totalsRowLabel="Total Program 357" dataDxfId="3505"/>
    <tableColumn id="2" name="(B)_x000a_Fiscal _x000a_Year" totalsRowLabel="N/A" dataDxfId="3504"/>
    <tableColumn id="3" name="(C)_x000a_Program_x000a_Costs" totalsRowFunction="sum" dataDxfId="3503"/>
    <tableColumn id="4" name="(D)_x000a_Prior Period Adjustments" totalsRowFunction="sum" dataDxfId="3502"/>
    <tableColumn id="5" name="(E)_x000a_Current Period Desk _x000a_Reviews" totalsRowFunction="sum" dataDxfId="3501"/>
    <tableColumn id="6" name="(F)_x000a_Current Period _x000a_Final _x000a_Audits" totalsRowFunction="sum" dataDxfId="3500"/>
    <tableColumn id="7" name="(G)_x000a_Current Period _x000a_Other Adjustments" totalsRowFunction="sum" dataDxfId="3499"/>
    <tableColumn id="8" name="(H)_x000a_Net Program Costs_x000a_Sum (C through G)" totalsRowFunction="sum" dataDxfId="3498"/>
    <tableColumn id="9" name="(I)_x000a_Payments_x000a_ and Offsets" totalsRowFunction="sum" dataDxfId="3497"/>
    <tableColumn id="10" name="(J)_x000a_Accounts Payable Balance_x000a_(H + I)" totalsRowFunction="sum" dataDxfId="3496"/>
    <tableColumn id="11" name="(K)_x000a_Established _x000a_Accounts Receivable" totalsRowFunction="sum" dataDxfId="3495"/>
    <tableColumn id="12" name="(L)_x000a_Recovered_x000a_ Accounts Receivable" totalsRowFunction="sum" dataDxfId="3494"/>
    <tableColumn id="13" name="(M)_x000a_Accounts Receivable Balance_x000a_(K + L)" totalsRowFunction="sum" dataDxfId="3493"/>
    <tableColumn id="14" name="(N)_x000a_Net Balance_x000a_(J minus M)" totalsRowFunction="sum" dataDxfId="34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7.xml><?xml version="1.0" encoding="utf-8"?>
<table xmlns="http://schemas.openxmlformats.org/spreadsheetml/2006/main" id="197" name="Program032" displayName="Program032" ref="A880:N914" totalsRowCount="1" headerRowDxfId="3491" dataDxfId="3489" totalsRowDxfId="3487" headerRowBorderDxfId="3490" tableBorderDxfId="3488" totalsRowBorderDxfId="3486">
  <autoFilter ref="A880:N913"/>
  <tableColumns count="14">
    <tableColumn id="1" name="(A)_x000a_Program Name" totalsRowLabel="Total Program 32" dataDxfId="3485" totalsRowDxfId="3484"/>
    <tableColumn id="2" name="(B)_x000a_Fiscal _x000a_Year" totalsRowLabel="N/A" dataDxfId="3483" totalsRowDxfId="3482"/>
    <tableColumn id="3" name="(C)_x000a_Program_x000a_Costs" totalsRowFunction="sum" dataDxfId="3481" totalsRowDxfId="3480"/>
    <tableColumn id="4" name="(D)_x000a_Prior Period Adjustments" totalsRowFunction="sum" dataDxfId="3479" totalsRowDxfId="3478"/>
    <tableColumn id="5" name="(E)_x000a_Current Period Desk _x000a_Reviews" totalsRowFunction="sum" dataDxfId="3477" totalsRowDxfId="3476"/>
    <tableColumn id="6" name="(F)_x000a_Current Period _x000a_Final _x000a_Audits" totalsRowFunction="sum" dataDxfId="3475" totalsRowDxfId="3474"/>
    <tableColumn id="7" name="(G)_x000a_Current Period _x000a_Other Adjustments" totalsRowFunction="sum" dataDxfId="3473" totalsRowDxfId="3472"/>
    <tableColumn id="8" name="(H)_x000a_Net Program Costs_x000a_Sum (C through G)" totalsRowFunction="sum" dataDxfId="3471" totalsRowDxfId="3470"/>
    <tableColumn id="9" name="(I)_x000a_Payments_x000a_ and Offsets" totalsRowFunction="sum" dataDxfId="3469" totalsRowDxfId="3468"/>
    <tableColumn id="10" name="(J)_x000a_Accounts Payable Balance_x000a_(H + I)" totalsRowFunction="sum" dataDxfId="3467" totalsRowDxfId="3466"/>
    <tableColumn id="11" name="(K)_x000a_Established _x000a_Accounts Receivable" totalsRowFunction="sum" dataDxfId="3465" totalsRowDxfId="3464"/>
    <tableColumn id="12" name="(L)_x000a_Recovered_x000a_ Accounts Receivable" totalsRowFunction="sum" dataDxfId="3463" totalsRowDxfId="3462"/>
    <tableColumn id="13" name="(M)_x000a_Accounts Receivable Balance_x000a_(K + L)" totalsRowFunction="sum" dataDxfId="3461" totalsRowDxfId="3460"/>
    <tableColumn id="14" name="(N)_x000a_Net Balance_x000a_(J minus M)" totalsRowFunction="sum" dataDxfId="3459" totalsRowDxfId="34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8.xml><?xml version="1.0" encoding="utf-8"?>
<table xmlns="http://schemas.openxmlformats.org/spreadsheetml/2006/main" id="198" name="Program148" displayName="Program148" ref="A916:N941" totalsRowCount="1" headerRowDxfId="3457" dataDxfId="3455" totalsRowDxfId="3453" headerRowBorderDxfId="3456" tableBorderDxfId="3454" totalsRowBorderDxfId="3452">
  <autoFilter ref="A916:N940"/>
  <tableColumns count="14">
    <tableColumn id="1" name="(A)_x000a_Program Name" totalsRowLabel="Total Program 148" dataDxfId="3451"/>
    <tableColumn id="2" name="(B)_x000a_Fiscal _x000a_Year" totalsRowLabel="N/A" dataDxfId="3450"/>
    <tableColumn id="3" name="(C)_x000a_Program_x000a_Costs" totalsRowFunction="sum" dataDxfId="3449"/>
    <tableColumn id="4" name="(D)_x000a_Prior Period Adjustments" totalsRowFunction="sum" dataDxfId="3448"/>
    <tableColumn id="5" name="(E)_x000a_Current Period Desk _x000a_Reviews" totalsRowFunction="sum" dataDxfId="3447"/>
    <tableColumn id="6" name="(F)_x000a_Current Period _x000a_Final _x000a_Audits" totalsRowFunction="sum" dataDxfId="3446"/>
    <tableColumn id="7" name="(G)_x000a_Current Period _x000a_Other Adjustments" totalsRowFunction="sum" dataDxfId="3445"/>
    <tableColumn id="8" name="(H)_x000a_Net Program Costs_x000a_Sum (C through G)" totalsRowFunction="sum" dataDxfId="3444"/>
    <tableColumn id="9" name="(I)_x000a_Payments_x000a_ and Offsets" totalsRowFunction="sum" dataDxfId="3443"/>
    <tableColumn id="10" name="(J)_x000a_Accounts Payable Balance_x000a_(H + I)" totalsRowFunction="sum" dataDxfId="3442"/>
    <tableColumn id="11" name="(K)_x000a_Established _x000a_Accounts Receivable" totalsRowFunction="sum" dataDxfId="3441"/>
    <tableColumn id="12" name="(L)_x000a_Recovered_x000a_ Accounts Receivable" totalsRowFunction="sum" dataDxfId="3440"/>
    <tableColumn id="13" name="(M)_x000a_Accounts Receivable Balance_x000a_(K + L)" totalsRowFunction="sum" dataDxfId="3439"/>
    <tableColumn id="14" name="(N)_x000a_Net Balance_x000a_(J minus M)" totalsRowFunction="sum" dataDxfId="34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199.xml><?xml version="1.0" encoding="utf-8"?>
<table xmlns="http://schemas.openxmlformats.org/spreadsheetml/2006/main" id="199" name="Program149" displayName="Program149" ref="A943:N956" totalsRowCount="1" headerRowDxfId="3437" dataDxfId="3435" totalsRowDxfId="3433" headerRowBorderDxfId="3436" tableBorderDxfId="3434" totalsRowBorderDxfId="3432">
  <autoFilter ref="A943:N955"/>
  <tableColumns count="14">
    <tableColumn id="1" name="(A)_x000a_Program Name" totalsRowLabel="Total Program 149" dataDxfId="3431" totalsRowDxfId="3430"/>
    <tableColumn id="2" name="(B)_x000a_Fiscal _x000a_Year" totalsRowLabel="N/A" dataDxfId="3429" totalsRowDxfId="3428"/>
    <tableColumn id="3" name="(C)_x000a_Program_x000a_Costs" totalsRowFunction="sum" dataDxfId="3427" totalsRowDxfId="3426"/>
    <tableColumn id="4" name="(D)_x000a_Prior Period Adjustments" totalsRowFunction="sum" dataDxfId="3425" totalsRowDxfId="3424"/>
    <tableColumn id="5" name="(E)_x000a_Current Period Desk _x000a_Reviews" totalsRowFunction="sum" dataDxfId="3423" totalsRowDxfId="3422"/>
    <tableColumn id="6" name="(F)_x000a_Current Period _x000a_Final _x000a_Audits" totalsRowFunction="sum" dataDxfId="3421" totalsRowDxfId="3420"/>
    <tableColumn id="7" name="(G)_x000a_Current Period _x000a_Other Adjustments" totalsRowFunction="sum" dataDxfId="3419" totalsRowDxfId="3418"/>
    <tableColumn id="8" name="(H)_x000a_Net Program Costs_x000a_Sum (C through G)" totalsRowFunction="sum" dataDxfId="3417" totalsRowDxfId="3416"/>
    <tableColumn id="9" name="(I)_x000a_Payments_x000a_ and Offsets" totalsRowFunction="sum" dataDxfId="3415" totalsRowDxfId="3414"/>
    <tableColumn id="10" name="(J)_x000a_Accounts Payable Balance_x000a_(H + I)" totalsRowFunction="sum" dataDxfId="3413" totalsRowDxfId="3412"/>
    <tableColumn id="11" name="(K)_x000a_Established _x000a_Accounts Receivable" totalsRowFunction="sum" dataDxfId="3411" totalsRowDxfId="3410"/>
    <tableColumn id="12" name="(L)_x000a_Recovered_x000a_ Accounts Receivable" totalsRowFunction="sum" dataDxfId="3409" totalsRowDxfId="3408"/>
    <tableColumn id="13" name="(M)_x000a_Accounts Receivable Balance_x000a_(K + L)" totalsRowFunction="sum" dataDxfId="3407" totalsRowDxfId="3406"/>
    <tableColumn id="14" name="(N)_x000a_Net Balance_x000a_(J minus M)" totalsRowFunction="sum" dataDxfId="3405" totalsRowDxfId="340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.xml><?xml version="1.0" encoding="utf-8"?>
<table xmlns="http://schemas.openxmlformats.org/spreadsheetml/2006/main" id="2" name="CumulativeAdjustments" displayName="CumulativeAdjustments" ref="A8:F11" totalsRowCount="1" headerRowDxfId="9983" dataDxfId="9981" totalsRowDxfId="9979" headerRowBorderDxfId="9982" tableBorderDxfId="9980" totalsRowBorderDxfId="9978">
  <autoFilter ref="A8:F10"/>
  <tableColumns count="6">
    <tableColumn id="1" name="Program Costs, Audit Adjustments and Balances" totalsRowLabel="Total Cumulative Adjustments" dataDxfId="9977" totalsRowDxfId="9976"/>
    <tableColumn id="2" name="Comments" totalsRowLabel="N/A" dataDxfId="9975" totalsRowDxfId="9974"/>
    <tableColumn id="3" name="Local Agencies" totalsRowFunction="sum" dataDxfId="9973" totalsRowDxfId="9972"/>
    <tableColumn id="4" name="School Districts" totalsRowFunction="sum" dataDxfId="9971" totalsRowDxfId="9970"/>
    <tableColumn id="5" name="Community College Districts" totalsRowFunction="sum" dataDxfId="9969" totalsRowDxfId="9968"/>
    <tableColumn id="6" name="Grand Total" totalsRowFunction="sum" dataDxfId="9967" totalsRowDxfId="99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Summary of State-Mandated Program Cost Report of Audit Findings. For the Period of April 1, 2020, through March 31, 2021."/>
    </ext>
  </extLst>
</table>
</file>

<file path=xl/tables/table20.xml><?xml version="1.0" encoding="utf-8"?>
<table xmlns="http://schemas.openxmlformats.org/spreadsheetml/2006/main" id="20" name="Program353" displayName="Program353" ref="A186:N200" totalsRowCount="1" headerRowDxfId="9466" dataDxfId="9464" totalsRowDxfId="9462" headerRowBorderDxfId="9465" tableBorderDxfId="9463" totalsRowBorderDxfId="9461">
  <autoFilter ref="A186:N199"/>
  <tableColumns count="14">
    <tableColumn id="1" name="(A)_x000a_Program Name" totalsRowLabel="Total Program 353" dataDxfId="9460"/>
    <tableColumn id="2" name="(B)_x000a_Fiscal _x000a_Year" totalsRowLabel="N/A" dataDxfId="9459"/>
    <tableColumn id="3" name="(C)_x000a_Program_x000a_Costs" totalsRowFunction="sum" dataDxfId="9458"/>
    <tableColumn id="4" name="(D)_x000a_Prior Period Adjustments" totalsRowFunction="sum" dataDxfId="9457"/>
    <tableColumn id="5" name="(E)_x000a_Current Period Desk _x000a_Reviews" totalsRowFunction="sum" dataDxfId="9456"/>
    <tableColumn id="6" name="(F)_x000a_Current Period _x000a_Final _x000a_Audits" totalsRowFunction="sum" dataDxfId="9455"/>
    <tableColumn id="7" name="(G)_x000a_Current Period _x000a_Other Adjustments" totalsRowFunction="sum" dataDxfId="9454"/>
    <tableColumn id="8" name="(H)_x000a_Net Program Costs_x000a_Sum (C through G)" totalsRowFunction="sum" dataDxfId="9453"/>
    <tableColumn id="9" name="(I)_x000a_Payments_x000a_ and Offsets" totalsRowFunction="sum" dataDxfId="9452"/>
    <tableColumn id="10" name="(J)_x000a_Accounts Payable Balance_x000a_(H + I)" totalsRowFunction="sum" dataDxfId="9451"/>
    <tableColumn id="11" name="(K)_x000a_Established _x000a_Accounts Receivable" totalsRowFunction="sum" dataDxfId="9450"/>
    <tableColumn id="12" name="(L)_x000a_Recovered_x000a_ Accounts Receivable" totalsRowFunction="sum" dataDxfId="9449"/>
    <tableColumn id="13" name="(M)_x000a_Accounts Receivable Balance_x000a_(K + L)" totalsRowFunction="sum" dataDxfId="9448"/>
    <tableColumn id="14" name="(N)_x000a_Net Balance_x000a_(J minus M)" totalsRowFunction="sum" dataDxfId="94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0.xml><?xml version="1.0" encoding="utf-8"?>
<table xmlns="http://schemas.openxmlformats.org/spreadsheetml/2006/main" id="200" name="Program153" displayName="Program153" ref="A958:N986" totalsRowCount="1" headerRowDxfId="3403" dataDxfId="3401" totalsRowDxfId="3399" headerRowBorderDxfId="3402" tableBorderDxfId="3400" totalsRowBorderDxfId="3398">
  <autoFilter ref="A958:N985"/>
  <tableColumns count="14">
    <tableColumn id="1" name="(A)_x000a_Program Name" totalsRowLabel="Total Program 153" dataDxfId="3397" totalsRowDxfId="3396"/>
    <tableColumn id="2" name="(B)_x000a_Fiscal _x000a_Year" totalsRowLabel="N/A" dataDxfId="3395" totalsRowDxfId="3394"/>
    <tableColumn id="3" name="(C)_x000a_Program_x000a_Costs" totalsRowFunction="sum" dataDxfId="3393" totalsRowDxfId="3392"/>
    <tableColumn id="4" name="(D)_x000a_Prior Period Adjustments" totalsRowFunction="sum" dataDxfId="3391" totalsRowDxfId="3390"/>
    <tableColumn id="5" name="(E)_x000a_Current Period Desk _x000a_Reviews" totalsRowFunction="sum" dataDxfId="3389" totalsRowDxfId="3388"/>
    <tableColumn id="6" name="(F)_x000a_Current Period _x000a_Final _x000a_Audits" totalsRowFunction="sum" dataDxfId="3387" totalsRowDxfId="3386"/>
    <tableColumn id="7" name="(G)_x000a_Current Period _x000a_Other Adjustments" totalsRowFunction="sum" dataDxfId="3385" totalsRowDxfId="3384"/>
    <tableColumn id="8" name="(H)_x000a_Net Program Costs_x000a_Sum (C through G)" totalsRowFunction="sum" dataDxfId="3383" totalsRowDxfId="3382"/>
    <tableColumn id="9" name="(I)_x000a_Payments_x000a_ and Offsets" totalsRowFunction="sum" dataDxfId="3381" totalsRowDxfId="3380"/>
    <tableColumn id="10" name="(J)_x000a_Accounts Payable Balance_x000a_(H + I)" totalsRowFunction="sum" dataDxfId="3379" totalsRowDxfId="3378"/>
    <tableColumn id="11" name="(K)_x000a_Established _x000a_Accounts Receivable" totalsRowFunction="sum" dataDxfId="3377" totalsRowDxfId="3376"/>
    <tableColumn id="12" name="(L)_x000a_Recovered_x000a_ Accounts Receivable" totalsRowFunction="sum" dataDxfId="3375" totalsRowDxfId="3374"/>
    <tableColumn id="13" name="(M)_x000a_Accounts Receivable Balance_x000a_(K + L)" totalsRowFunction="sum" dataDxfId="3373" totalsRowDxfId="3372"/>
    <tableColumn id="14" name="(N)_x000a_Net Balance_x000a_(J minus M)" totalsRowFunction="sum" dataDxfId="3371" totalsRowDxfId="337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1.xml><?xml version="1.0" encoding="utf-8"?>
<table xmlns="http://schemas.openxmlformats.org/spreadsheetml/2006/main" id="201" name="Program169" displayName="Program169" ref="A988:N998" totalsRowCount="1" headerRowDxfId="3369" dataDxfId="3367" totalsRowDxfId="3365" headerRowBorderDxfId="3368" tableBorderDxfId="3366" totalsRowBorderDxfId="3364">
  <autoFilter ref="A988:N997"/>
  <tableColumns count="14">
    <tableColumn id="1" name="(A)_x000a_Program Name" totalsRowLabel="Total Program 169" dataDxfId="3363" totalsRowDxfId="3362"/>
    <tableColumn id="2" name="(B)_x000a_Fiscal _x000a_Year" totalsRowLabel="N/A" dataDxfId="3361" totalsRowDxfId="3360"/>
    <tableColumn id="3" name="(C)_x000a_Program_x000a_Costs" totalsRowFunction="sum" dataDxfId="3359" totalsRowDxfId="3358"/>
    <tableColumn id="4" name="(D)_x000a_Prior Period Adjustments" totalsRowFunction="sum" dataDxfId="3357" totalsRowDxfId="3356"/>
    <tableColumn id="5" name="(E)_x000a_Current Period Desk _x000a_Reviews" totalsRowFunction="sum" dataDxfId="3355" totalsRowDxfId="3354"/>
    <tableColumn id="6" name="(F)_x000a_Current Period _x000a_Final _x000a_Audits" totalsRowFunction="sum" dataDxfId="3353" totalsRowDxfId="3352"/>
    <tableColumn id="7" name="(G)_x000a_Current Period _x000a_Other Adjustments" totalsRowFunction="sum" dataDxfId="3351" totalsRowDxfId="3350"/>
    <tableColumn id="8" name="(H)_x000a_Net Program Costs_x000a_Sum (C through G)" totalsRowFunction="sum" dataDxfId="3349" totalsRowDxfId="3348"/>
    <tableColumn id="9" name="(I)_x000a_Payments_x000a_ and Offsets" totalsRowFunction="sum" dataDxfId="3347" totalsRowDxfId="3346"/>
    <tableColumn id="10" name="(J)_x000a_Accounts Payable Balance_x000a_(H + I)" totalsRowFunction="sum" dataDxfId="3345" totalsRowDxfId="3344"/>
    <tableColumn id="11" name="(K)_x000a_Established _x000a_Accounts Receivable" totalsRowFunction="sum" dataDxfId="3343" totalsRowDxfId="3342"/>
    <tableColumn id="12" name="(L)_x000a_Recovered_x000a_ Accounts Receivable" totalsRowFunction="sum" dataDxfId="3341" totalsRowDxfId="3340"/>
    <tableColumn id="13" name="(M)_x000a_Accounts Receivable Balance_x000a_(K + L)" totalsRowFunction="sum" dataDxfId="3339" totalsRowDxfId="3338"/>
    <tableColumn id="14" name="(N)_x000a_Net Balance_x000a_(J minus M)" totalsRowFunction="sum" dataDxfId="3337" totalsRowDxfId="33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2.xml><?xml version="1.0" encoding="utf-8"?>
<table xmlns="http://schemas.openxmlformats.org/spreadsheetml/2006/main" id="202" name="Program155" displayName="Program155" ref="A1000:N1025" totalsRowCount="1" headerRowDxfId="3335" dataDxfId="3333" totalsRowDxfId="3331" headerRowBorderDxfId="3334" tableBorderDxfId="3332" totalsRowBorderDxfId="3330">
  <autoFilter ref="A1000:N1024"/>
  <tableColumns count="14">
    <tableColumn id="1" name="(A)_x000a_Program Name" totalsRowLabel="Total Program 155" dataDxfId="3329" totalsRowDxfId="3328"/>
    <tableColumn id="2" name="(B)_x000a_Fiscal _x000a_Year" totalsRowLabel="N/A" dataDxfId="3327" totalsRowDxfId="3326"/>
    <tableColumn id="3" name="(C)_x000a_Program_x000a_Costs" totalsRowFunction="sum" dataDxfId="3325" totalsRowDxfId="3324"/>
    <tableColumn id="4" name="(D)_x000a_Prior Period Adjustments" totalsRowFunction="sum" dataDxfId="3323" totalsRowDxfId="3322"/>
    <tableColumn id="5" name="(E)_x000a_Current Period Desk _x000a_Reviews" totalsRowFunction="sum" dataDxfId="3321" totalsRowDxfId="3320"/>
    <tableColumn id="6" name="(F)_x000a_Current Period _x000a_Final _x000a_Audits" totalsRowFunction="sum" dataDxfId="3319" totalsRowDxfId="3318"/>
    <tableColumn id="7" name="(G)_x000a_Current Period _x000a_Other Adjustments" totalsRowFunction="sum" dataDxfId="3317" totalsRowDxfId="3316"/>
    <tableColumn id="8" name="(H)_x000a_Net Program Costs_x000a_Sum (C through G)" totalsRowFunction="sum" dataDxfId="3315" totalsRowDxfId="3314"/>
    <tableColumn id="9" name="(I)_x000a_Payments_x000a_ and Offsets" totalsRowFunction="sum" dataDxfId="3313" totalsRowDxfId="3312"/>
    <tableColumn id="10" name="(J)_x000a_Accounts Payable Balance_x000a_(H + I)" totalsRowFunction="sum" dataDxfId="3311" totalsRowDxfId="3310"/>
    <tableColumn id="11" name="(K)_x000a_Established _x000a_Accounts Receivable" totalsRowFunction="sum" dataDxfId="3309" totalsRowDxfId="3308"/>
    <tableColumn id="12" name="(L)_x000a_Recovered_x000a_ Accounts Receivable" totalsRowFunction="sum" dataDxfId="3307" totalsRowDxfId="3306"/>
    <tableColumn id="13" name="(M)_x000a_Accounts Receivable Balance_x000a_(K + L)" totalsRowFunction="sum" dataDxfId="3305" totalsRowDxfId="3304"/>
    <tableColumn id="14" name="(N)_x000a_Net Balance_x000a_(J minus M)" totalsRowFunction="sum" dataDxfId="3303" totalsRowDxfId="330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3.xml><?xml version="1.0" encoding="utf-8"?>
<table xmlns="http://schemas.openxmlformats.org/spreadsheetml/2006/main" id="203" name="Program036" displayName="Program036" ref="A1027:N1034" totalsRowCount="1" headerRowDxfId="3301" dataDxfId="3299" totalsRowDxfId="3297" headerRowBorderDxfId="3300" tableBorderDxfId="3298" totalsRowBorderDxfId="3296">
  <autoFilter ref="A1027:N1033"/>
  <tableColumns count="14">
    <tableColumn id="1" name="(A)_x000a_Program Name" totalsRowLabel="Total Program 36" dataDxfId="3295" totalsRowDxfId="3294"/>
    <tableColumn id="2" name="(B)_x000a_Fiscal _x000a_Year" totalsRowLabel="N/A" dataDxfId="3293" totalsRowDxfId="3292"/>
    <tableColumn id="3" name="(C)_x000a_Program_x000a_Costs" totalsRowFunction="sum" dataDxfId="3291" totalsRowDxfId="3290"/>
    <tableColumn id="4" name="(D)_x000a_Prior Period Adjustments" totalsRowFunction="sum" dataDxfId="3289" totalsRowDxfId="3288"/>
    <tableColumn id="5" name="(E)_x000a_Current Period Desk _x000a_Reviews" totalsRowFunction="sum" dataDxfId="3287" totalsRowDxfId="3286"/>
    <tableColumn id="6" name="(F)_x000a_Current Period _x000a_Final _x000a_Audits" totalsRowFunction="sum" dataDxfId="3285" totalsRowDxfId="3284"/>
    <tableColumn id="7" name="(G)_x000a_Current Period _x000a_Other Adjustments" totalsRowFunction="sum" dataDxfId="3283" totalsRowDxfId="3282"/>
    <tableColumn id="8" name="(H)_x000a_Net Program Costs_x000a_Sum (C through G)" totalsRowFunction="sum" dataDxfId="3281" totalsRowDxfId="3280"/>
    <tableColumn id="9" name="(I)_x000a_Payments_x000a_ and Offsets" totalsRowFunction="sum" dataDxfId="3279" totalsRowDxfId="3278"/>
    <tableColumn id="10" name="(J)_x000a_Accounts Payable Balance_x000a_(H + I)" totalsRowFunction="sum" dataDxfId="3277" totalsRowDxfId="3276"/>
    <tableColumn id="11" name="(K)_x000a_Established _x000a_Accounts Receivable" totalsRowFunction="sum" dataDxfId="3275" totalsRowDxfId="3274"/>
    <tableColumn id="12" name="(L)_x000a_Recovered_x000a_ Accounts Receivable" totalsRowFunction="sum" dataDxfId="3273" totalsRowDxfId="3272"/>
    <tableColumn id="13" name="(M)_x000a_Accounts Receivable Balance_x000a_(K + L)" totalsRowFunction="sum" dataDxfId="3271" totalsRowDxfId="3270"/>
    <tableColumn id="14" name="(N)_x000a_Net Balance_x000a_(J minus M)" totalsRowFunction="sum" dataDxfId="3269" totalsRowDxfId="326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4.xml><?xml version="1.0" encoding="utf-8"?>
<table xmlns="http://schemas.openxmlformats.org/spreadsheetml/2006/main" id="204" name="Program157" displayName="Program157" ref="A1036:N1051" totalsRowCount="1" headerRowDxfId="3267" dataDxfId="3265" totalsRowDxfId="3263" headerRowBorderDxfId="3266" tableBorderDxfId="3264" totalsRowBorderDxfId="3262">
  <autoFilter ref="A1036:N1050"/>
  <tableColumns count="14">
    <tableColumn id="1" name="(A)_x000a_Program Name" totalsRowLabel="Total Program 157" dataDxfId="3261" totalsRowDxfId="3260"/>
    <tableColumn id="2" name="(B)_x000a_Fiscal _x000a_Year" totalsRowLabel="N/A" dataDxfId="3259" totalsRowDxfId="3258"/>
    <tableColumn id="3" name="(C)_x000a_Program_x000a_Costs" totalsRowFunction="sum" dataDxfId="3257" totalsRowDxfId="3256"/>
    <tableColumn id="4" name="(D)_x000a_Prior Period Adjustments" totalsRowFunction="sum" dataDxfId="3255" totalsRowDxfId="3254"/>
    <tableColumn id="5" name="(E)_x000a_Current Period Desk _x000a_Reviews" totalsRowFunction="sum" dataDxfId="3253" totalsRowDxfId="3252"/>
    <tableColumn id="6" name="(F)_x000a_Current Period _x000a_Final _x000a_Audits" totalsRowFunction="sum" dataDxfId="3251" totalsRowDxfId="3250"/>
    <tableColumn id="7" name="(G)_x000a_Current Period _x000a_Other Adjustments" totalsRowFunction="sum" dataDxfId="3249" totalsRowDxfId="3248"/>
    <tableColumn id="8" name="(H)_x000a_Net Program Costs_x000a_Sum (C through G)" totalsRowFunction="sum" dataDxfId="3247" totalsRowDxfId="3246"/>
    <tableColumn id="9" name="(I)_x000a_Payments_x000a_ and Offsets" totalsRowFunction="sum" dataDxfId="3245" totalsRowDxfId="3244"/>
    <tableColumn id="10" name="(J)_x000a_Accounts Payable Balance_x000a_(H + I)" totalsRowFunction="sum" dataDxfId="3243" totalsRowDxfId="3242"/>
    <tableColumn id="11" name="(K)_x000a_Established _x000a_Accounts Receivable" totalsRowFunction="sum" dataDxfId="3241" totalsRowDxfId="3240"/>
    <tableColumn id="12" name="(L)_x000a_Recovered_x000a_ Accounts Receivable" totalsRowFunction="sum" dataDxfId="3239" totalsRowDxfId="3238"/>
    <tableColumn id="13" name="(M)_x000a_Accounts Receivable Balance_x000a_(K + L)" totalsRowFunction="sum" dataDxfId="3237" totalsRowDxfId="3236"/>
    <tableColumn id="14" name="(N)_x000a_Net Balance_x000a_(J minus M)" totalsRowFunction="sum" dataDxfId="3235" totalsRowDxfId="323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5.xml><?xml version="1.0" encoding="utf-8"?>
<table xmlns="http://schemas.openxmlformats.org/spreadsheetml/2006/main" id="205" name="Program194" displayName="Program194" ref="A1053:N1058" totalsRowCount="1" headerRowDxfId="3233" dataDxfId="3231" totalsRowDxfId="3229" headerRowBorderDxfId="3232" tableBorderDxfId="3230" totalsRowBorderDxfId="3228">
  <autoFilter ref="A1053:N1057"/>
  <tableColumns count="14">
    <tableColumn id="1" name="(A)_x000a_Program Name" totalsRowLabel="Total Program 194" dataDxfId="3227" totalsRowDxfId="3226"/>
    <tableColumn id="2" name="(B)_x000a_Fiscal _x000a_Year" totalsRowLabel="N/A" dataDxfId="3225" totalsRowDxfId="3224"/>
    <tableColumn id="3" name="(C)_x000a_Program_x000a_Costs" totalsRowFunction="sum" dataDxfId="3223" totalsRowDxfId="3222"/>
    <tableColumn id="4" name="(D)_x000a_Prior Period Adjustments" totalsRowFunction="sum" dataDxfId="3221" totalsRowDxfId="3220"/>
    <tableColumn id="5" name="(E)_x000a_Current Period Desk _x000a_Reviews" totalsRowFunction="sum" dataDxfId="3219" totalsRowDxfId="3218"/>
    <tableColumn id="6" name="(F)_x000a_Current Period _x000a_Final _x000a_Audits" totalsRowFunction="sum" dataDxfId="3217" totalsRowDxfId="3216"/>
    <tableColumn id="7" name="(G)_x000a_Current Period _x000a_Other Adjustments" totalsRowFunction="sum" dataDxfId="3215" totalsRowDxfId="3214"/>
    <tableColumn id="8" name="(H)_x000a_Net Program Costs_x000a_Sum (C through G)" totalsRowFunction="sum" dataDxfId="3213" totalsRowDxfId="3212"/>
    <tableColumn id="9" name="(I)_x000a_Payments_x000a_ and Offsets" totalsRowFunction="sum" dataDxfId="3211" totalsRowDxfId="3210"/>
    <tableColumn id="10" name="(J)_x000a_Accounts Payable Balance_x000a_(H + I)" totalsRowFunction="sum" dataDxfId="3209" totalsRowDxfId="3208"/>
    <tableColumn id="11" name="(K)_x000a_Established _x000a_Accounts Receivable" totalsRowFunction="sum" dataDxfId="3207" totalsRowDxfId="3206"/>
    <tableColumn id="12" name="(L)_x000a_Recovered_x000a_ Accounts Receivable" totalsRowFunction="sum" dataDxfId="3205" totalsRowDxfId="3204"/>
    <tableColumn id="13" name="(M)_x000a_Accounts Receivable Balance_x000a_(K + L)" totalsRowFunction="sum" dataDxfId="3203" totalsRowDxfId="3202"/>
    <tableColumn id="14" name="(N)_x000a_Net Balance_x000a_(J minus M)" totalsRowFunction="sum" dataDxfId="3201" totalsRowDxfId="32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6.xml><?xml version="1.0" encoding="utf-8"?>
<table xmlns="http://schemas.openxmlformats.org/spreadsheetml/2006/main" id="206" name="Program042" displayName="Program042" ref="A1060:N1084" totalsRowCount="1" headerRowDxfId="3199" dataDxfId="3197" totalsRowDxfId="3195" headerRowBorderDxfId="3198" tableBorderDxfId="3196" totalsRowBorderDxfId="3194">
  <autoFilter ref="A1060:N1083"/>
  <tableColumns count="14">
    <tableColumn id="1" name="(A)_x000a_Program Name" totalsRowLabel="Total Program 42" dataDxfId="3193" totalsRowDxfId="3192"/>
    <tableColumn id="2" name="(B)_x000a_Fiscal _x000a_Year" totalsRowLabel="N/A" dataDxfId="3191" totalsRowDxfId="3190"/>
    <tableColumn id="3" name="(C)_x000a_Program_x000a_Costs" totalsRowFunction="sum" dataDxfId="3189" totalsRowDxfId="3188"/>
    <tableColumn id="4" name="(D)_x000a_Prior Period Adjustments" totalsRowFunction="sum" dataDxfId="3187" totalsRowDxfId="3186"/>
    <tableColumn id="5" name="(E)_x000a_Current Period Desk _x000a_Reviews" totalsRowFunction="sum" dataDxfId="3185" totalsRowDxfId="3184"/>
    <tableColumn id="6" name="(F)_x000a_Current Period _x000a_Final _x000a_Audits" totalsRowFunction="sum" dataDxfId="3183" totalsRowDxfId="3182"/>
    <tableColumn id="7" name="(G)_x000a_Current Period _x000a_Other Adjustments" totalsRowFunction="sum" dataDxfId="3181" totalsRowDxfId="3180"/>
    <tableColumn id="8" name="(H)_x000a_Net Program Costs_x000a_Sum (C through G)" totalsRowFunction="sum" dataDxfId="3179" totalsRowDxfId="3178"/>
    <tableColumn id="9" name="(I)_x000a_Payments_x000a_ and Offsets" totalsRowFunction="sum" dataDxfId="3177" totalsRowDxfId="3176"/>
    <tableColumn id="10" name="(J)_x000a_Accounts Payable Balance_x000a_(H + I)" totalsRowFunction="sum" dataDxfId="3175" totalsRowDxfId="3174"/>
    <tableColumn id="11" name="(K)_x000a_Established _x000a_Accounts Receivable" totalsRowFunction="sum" dataDxfId="3173" totalsRowDxfId="3172"/>
    <tableColumn id="12" name="(L)_x000a_Recovered_x000a_ Accounts Receivable" totalsRowFunction="sum" dataDxfId="3171" totalsRowDxfId="3170"/>
    <tableColumn id="13" name="(M)_x000a_Accounts Receivable Balance_x000a_(K + L)" totalsRowFunction="sum" dataDxfId="3169" totalsRowDxfId="3168"/>
    <tableColumn id="14" name="(N)_x000a_Net Balance_x000a_(J minus M)" totalsRowFunction="sum" dataDxfId="3167" totalsRowDxfId="31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7.xml><?xml version="1.0" encoding="utf-8"?>
<table xmlns="http://schemas.openxmlformats.org/spreadsheetml/2006/main" id="207" name="Program319" displayName="Program319" ref="A1086:N1089" totalsRowCount="1" headerRowDxfId="3165" dataDxfId="3163" totalsRowDxfId="3161" headerRowBorderDxfId="3164" tableBorderDxfId="3162" totalsRowBorderDxfId="3160">
  <autoFilter ref="A1086:N1088"/>
  <tableColumns count="14">
    <tableColumn id="1" name="(A)_x000a_Program Name" totalsRowLabel="Total Program 319" dataDxfId="3159" totalsRowDxfId="3158"/>
    <tableColumn id="2" name="(B)_x000a_Fiscal _x000a_Year" totalsRowLabel="N/A" dataDxfId="3157" totalsRowDxfId="3156"/>
    <tableColumn id="3" name="(C)_x000a_Program_x000a_Costs" totalsRowFunction="sum" dataDxfId="3155" totalsRowDxfId="3154"/>
    <tableColumn id="4" name="(D)_x000a_Prior Period Adjustments" totalsRowFunction="sum" dataDxfId="3153" totalsRowDxfId="3152"/>
    <tableColumn id="5" name="(E)_x000a_Current Period Desk _x000a_Reviews" totalsRowFunction="sum" dataDxfId="3151" totalsRowDxfId="3150"/>
    <tableColumn id="6" name="(F)_x000a_Current Period _x000a_Final _x000a_Audits" totalsRowFunction="sum" dataDxfId="3149" totalsRowDxfId="3148"/>
    <tableColumn id="7" name="(G)_x000a_Current Period _x000a_Other Adjustments" totalsRowFunction="sum" dataDxfId="3147" totalsRowDxfId="3146"/>
    <tableColumn id="8" name="(H)_x000a_Net Program Costs_x000a_Sum (C through G)" totalsRowFunction="sum" dataDxfId="3145" totalsRowDxfId="3144"/>
    <tableColumn id="9" name="(I)_x000a_Payments_x000a_ and Offsets" totalsRowFunction="sum" dataDxfId="3143" totalsRowDxfId="3142"/>
    <tableColumn id="10" name="(J)_x000a_Accounts Payable Balance_x000a_(H + I)" totalsRowFunction="sum" dataDxfId="3141" totalsRowDxfId="3140"/>
    <tableColumn id="11" name="(K)_x000a_Established _x000a_Accounts Receivable" totalsRowFunction="sum" dataDxfId="3139" totalsRowDxfId="3138"/>
    <tableColumn id="12" name="(L)_x000a_Recovered_x000a_ Accounts Receivable" totalsRowFunction="sum" dataDxfId="3137" totalsRowDxfId="3136"/>
    <tableColumn id="13" name="(M)_x000a_Accounts Receivable Balance_x000a_(K + L)" totalsRowFunction="sum" dataDxfId="3135" totalsRowDxfId="3134"/>
    <tableColumn id="14" name="(N)_x000a_Net Balance_x000a_(J minus M)" totalsRowFunction="sum" dataDxfId="3133" totalsRowDxfId="313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8.xml><?xml version="1.0" encoding="utf-8"?>
<table xmlns="http://schemas.openxmlformats.org/spreadsheetml/2006/main" id="208" name="Program275" displayName="Program275" ref="A1091:N1097" totalsRowCount="1" headerRowDxfId="3131" dataDxfId="3129" totalsRowDxfId="3127" headerRowBorderDxfId="3130" tableBorderDxfId="3128" totalsRowBorderDxfId="3126">
  <autoFilter ref="A1091:N1096"/>
  <tableColumns count="14">
    <tableColumn id="1" name="(A)_x000a_Program Name" totalsRowLabel="Total Program 275" dataDxfId="3125" totalsRowDxfId="3124"/>
    <tableColumn id="2" name="(B)_x000a_Fiscal _x000a_Year" totalsRowLabel="N/A" dataDxfId="3123" totalsRowDxfId="3122"/>
    <tableColumn id="3" name="(C)_x000a_Program_x000a_Costs" totalsRowFunction="sum" dataDxfId="3121" totalsRowDxfId="3120"/>
    <tableColumn id="4" name="(D)_x000a_Prior Period Adjustments" totalsRowFunction="sum" dataDxfId="3119" totalsRowDxfId="3118"/>
    <tableColumn id="5" name="(E)_x000a_Current Period Desk _x000a_Reviews" totalsRowFunction="sum" dataDxfId="3117" totalsRowDxfId="3116"/>
    <tableColumn id="6" name="(F)_x000a_Current Period _x000a_Final _x000a_Audits" totalsRowFunction="sum" dataDxfId="3115" totalsRowDxfId="3114"/>
    <tableColumn id="7" name="(G)_x000a_Current Period _x000a_Other Adjustments" totalsRowFunction="sum" dataDxfId="3113" totalsRowDxfId="3112"/>
    <tableColumn id="8" name="(H)_x000a_Net Program Costs_x000a_Sum (C through G)" totalsRowFunction="sum" dataDxfId="3111" totalsRowDxfId="3110"/>
    <tableColumn id="9" name="(I)_x000a_Payments_x000a_ and Offsets" totalsRowFunction="sum" dataDxfId="3109" totalsRowDxfId="3108"/>
    <tableColumn id="10" name="(J)_x000a_Accounts Payable Balance_x000a_(H + I)" totalsRowFunction="sum" dataDxfId="3107" totalsRowDxfId="3106"/>
    <tableColumn id="11" name="(K)_x000a_Established _x000a_Accounts Receivable" totalsRowFunction="sum" dataDxfId="3105" totalsRowDxfId="3104"/>
    <tableColumn id="12" name="(L)_x000a_Recovered_x000a_ Accounts Receivable" totalsRowFunction="sum" dataDxfId="3103" totalsRowDxfId="3102"/>
    <tableColumn id="13" name="(M)_x000a_Accounts Receivable Balance_x000a_(K + L)" totalsRowFunction="sum" dataDxfId="3101" totalsRowDxfId="3100"/>
    <tableColumn id="14" name="(N)_x000a_Net Balance_x000a_(J minus M)" totalsRowFunction="sum" dataDxfId="3099" totalsRowDxfId="309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09.xml><?xml version="1.0" encoding="utf-8"?>
<table xmlns="http://schemas.openxmlformats.org/spreadsheetml/2006/main" id="209" name="Program265" displayName="Program265" ref="A1099:N1106" totalsRowCount="1" headerRowDxfId="3097" dataDxfId="3095" totalsRowDxfId="3093" headerRowBorderDxfId="3096" tableBorderDxfId="3094" totalsRowBorderDxfId="3092">
  <autoFilter ref="A1099:N1105"/>
  <tableColumns count="14">
    <tableColumn id="1" name="(A)_x000a_Program Name" totalsRowLabel="Total Program 265" dataDxfId="3091" totalsRowDxfId="3090"/>
    <tableColumn id="2" name="(B)_x000a_Fiscal _x000a_Year" totalsRowLabel="N/A" dataDxfId="3089" totalsRowDxfId="3088"/>
    <tableColumn id="3" name="(C)_x000a_Program_x000a_Costs" totalsRowFunction="sum" dataDxfId="3087" totalsRowDxfId="3086"/>
    <tableColumn id="4" name="(D)_x000a_Prior Period Adjustments" totalsRowFunction="sum" dataDxfId="3085" totalsRowDxfId="3084"/>
    <tableColumn id="5" name="(E)_x000a_Current Period Desk _x000a_Reviews" totalsRowFunction="sum" dataDxfId="3083" totalsRowDxfId="3082"/>
    <tableColumn id="6" name="(F)_x000a_Current Period _x000a_Final _x000a_Audits" totalsRowFunction="sum" dataDxfId="3081" totalsRowDxfId="3080"/>
    <tableColumn id="7" name="(G)_x000a_Current Period _x000a_Other Adjustments" totalsRowFunction="sum" dataDxfId="3079" totalsRowDxfId="3078"/>
    <tableColumn id="8" name="(H)_x000a_Net Program Costs_x000a_Sum (C through G)" totalsRowFunction="sum" dataDxfId="3077" totalsRowDxfId="3076"/>
    <tableColumn id="9" name="(I)_x000a_Payments_x000a_ and Offsets" totalsRowFunction="sum" dataDxfId="3075" totalsRowDxfId="3074"/>
    <tableColumn id="10" name="(J)_x000a_Accounts Payable Balance_x000a_(H + I)" totalsRowFunction="sum" dataDxfId="3073" totalsRowDxfId="3072"/>
    <tableColumn id="11" name="(K)_x000a_Established _x000a_Accounts Receivable" totalsRowFunction="sum" dataDxfId="3071" totalsRowDxfId="3070"/>
    <tableColumn id="12" name="(L)_x000a_Recovered_x000a_ Accounts Receivable" totalsRowFunction="sum" dataDxfId="3069" totalsRowDxfId="3068"/>
    <tableColumn id="13" name="(M)_x000a_Accounts Receivable Balance_x000a_(K + L)" totalsRowFunction="sum" dataDxfId="3067" totalsRowDxfId="3066"/>
    <tableColumn id="14" name="(N)_x000a_Net Balance_x000a_(J minus M)" totalsRowFunction="sum" dataDxfId="3065" totalsRowDxfId="30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.xml><?xml version="1.0" encoding="utf-8"?>
<table xmlns="http://schemas.openxmlformats.org/spreadsheetml/2006/main" id="21" name="Program196" displayName="Program196" ref="A202:N209" totalsRowCount="1" headerRowDxfId="9446" dataDxfId="9444" totalsRowDxfId="9442" headerRowBorderDxfId="9445" tableBorderDxfId="9443" totalsRowBorderDxfId="9441">
  <autoFilter ref="A202:N208"/>
  <tableColumns count="14">
    <tableColumn id="1" name="(A)_x000a_Program Name" totalsRowLabel="Total Program 196" dataDxfId="9440" totalsRowDxfId="9439"/>
    <tableColumn id="2" name="(B)_x000a_Fiscal _x000a_Year" totalsRowLabel="N/A" dataDxfId="9438" totalsRowDxfId="9437"/>
    <tableColumn id="3" name="(C)_x000a_Program_x000a_Costs" totalsRowFunction="sum" dataDxfId="9436" totalsRowDxfId="9435"/>
    <tableColumn id="4" name="(D)_x000a_Prior Period Adjustments" totalsRowFunction="sum" dataDxfId="9434" totalsRowDxfId="9433"/>
    <tableColumn id="5" name="(E)_x000a_Current Period Desk _x000a_Reviews" totalsRowFunction="sum" dataDxfId="9432" totalsRowDxfId="9431"/>
    <tableColumn id="6" name="(F)_x000a_Current Period _x000a_Final _x000a_Audits" totalsRowFunction="sum" dataDxfId="9430" totalsRowDxfId="9429"/>
    <tableColumn id="7" name="(G)_x000a_Current Period _x000a_Other Adjustments" totalsRowFunction="sum" dataDxfId="9428" totalsRowDxfId="9427"/>
    <tableColumn id="8" name="(H)_x000a_Net Program Costs_x000a_Sum (C through G)" totalsRowFunction="sum" dataDxfId="9426" totalsRowDxfId="9425"/>
    <tableColumn id="9" name="(I)_x000a_Payments_x000a_ and Offsets" totalsRowFunction="sum" dataDxfId="9424" totalsRowDxfId="9423"/>
    <tableColumn id="10" name="(J)_x000a_Accounts Payable Balance_x000a_(H + I)" totalsRowFunction="sum" dataDxfId="9422" totalsRowDxfId="9421"/>
    <tableColumn id="11" name="(K)_x000a_Established _x000a_Accounts Receivable" totalsRowFunction="sum" dataDxfId="9420" totalsRowDxfId="9419"/>
    <tableColumn id="12" name="(L)_x000a_Recovered_x000a_ Accounts Receivable" totalsRowFunction="sum" dataDxfId="9418" totalsRowDxfId="9417"/>
    <tableColumn id="13" name="(M)_x000a_Accounts Receivable Balance_x000a_(K + L)" totalsRowFunction="sum" dataDxfId="9416" totalsRowDxfId="9415"/>
    <tableColumn id="14" name="(N)_x000a_Net Balance_x000a_(J minus M)" totalsRowFunction="sum" dataDxfId="9414" totalsRowDxfId="94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0.xml><?xml version="1.0" encoding="utf-8"?>
<table xmlns="http://schemas.openxmlformats.org/spreadsheetml/2006/main" id="210" name="Program048" displayName="Program048" ref="A1108:N1139" totalsRowCount="1" headerRowDxfId="3063" dataDxfId="3061" totalsRowDxfId="3059" headerRowBorderDxfId="3062" tableBorderDxfId="3060" totalsRowBorderDxfId="3058">
  <autoFilter ref="A1108:N1138"/>
  <tableColumns count="14">
    <tableColumn id="1" name="(A)_x000a_Program Name" totalsRowLabel="Total Program 48" dataDxfId="3057" totalsRowDxfId="3056"/>
    <tableColumn id="2" name="(B)_x000a_Fiscal _x000a_Year" totalsRowLabel="N/A" dataDxfId="3055" totalsRowDxfId="3054"/>
    <tableColumn id="3" name="(C)_x000a_Program_x000a_Costs" totalsRowFunction="sum" dataDxfId="3053" totalsRowDxfId="3052"/>
    <tableColumn id="4" name="(D)_x000a_Prior Period Adjustments" totalsRowFunction="sum" dataDxfId="3051" totalsRowDxfId="3050"/>
    <tableColumn id="5" name="(E)_x000a_Current Period Desk _x000a_Reviews" totalsRowFunction="sum" dataDxfId="3049" totalsRowDxfId="3048"/>
    <tableColumn id="6" name="(F)_x000a_Current Period _x000a_Final _x000a_Audits" totalsRowFunction="sum" dataDxfId="3047" totalsRowDxfId="3046"/>
    <tableColumn id="7" name="(G)_x000a_Current Period _x000a_Other Adjustments" totalsRowFunction="sum" dataDxfId="3045" totalsRowDxfId="3044"/>
    <tableColumn id="8" name="(H)_x000a_Net Program Costs_x000a_Sum (C through G)" totalsRowFunction="sum" dataDxfId="3043" totalsRowDxfId="3042"/>
    <tableColumn id="9" name="(I)_x000a_Payments_x000a_ and Offsets" totalsRowFunction="sum" dataDxfId="3041" totalsRowDxfId="3040"/>
    <tableColumn id="10" name="(J)_x000a_Accounts Payable Balance_x000a_(H + I)" totalsRowFunction="sum" dataDxfId="3039" totalsRowDxfId="3038"/>
    <tableColumn id="11" name="(K)_x000a_Established _x000a_Accounts Receivable" totalsRowFunction="sum" dataDxfId="3037" totalsRowDxfId="3036"/>
    <tableColumn id="12" name="(L)_x000a_Recovered_x000a_ Accounts Receivable" totalsRowFunction="sum" dataDxfId="3035" totalsRowDxfId="3034"/>
    <tableColumn id="13" name="(M)_x000a_Accounts Receivable Balance_x000a_(K + L)" totalsRowFunction="sum" dataDxfId="3033" totalsRowDxfId="3032"/>
    <tableColumn id="14" name="(N)_x000a_Net Balance_x000a_(J minus M)" totalsRowFunction="sum" dataDxfId="3031" totalsRowDxfId="30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1.xml><?xml version="1.0" encoding="utf-8"?>
<table xmlns="http://schemas.openxmlformats.org/spreadsheetml/2006/main" id="211" name="Program150" displayName="Program150" ref="A1141:N1157" totalsRowCount="1" headerRowDxfId="3029" dataDxfId="3027" totalsRowDxfId="3025" headerRowBorderDxfId="3028" tableBorderDxfId="3026" totalsRowBorderDxfId="3024">
  <autoFilter ref="A1141:N1156"/>
  <tableColumns count="14">
    <tableColumn id="1" name="(A)_x000a_Program Name" totalsRowLabel="Total Program 150" dataDxfId="3023" totalsRowDxfId="3022"/>
    <tableColumn id="2" name="(B)_x000a_Fiscal _x000a_Year" totalsRowLabel="N/A" dataDxfId="3021" totalsRowDxfId="3020"/>
    <tableColumn id="3" name="(C)_x000a_Program_x000a_Costs" totalsRowFunction="sum" dataDxfId="3019" totalsRowDxfId="3018"/>
    <tableColumn id="4" name="(D)_x000a_Prior Period Adjustments" totalsRowFunction="sum" dataDxfId="3017" totalsRowDxfId="3016"/>
    <tableColumn id="5" name="(E)_x000a_Current Period Desk _x000a_Reviews" totalsRowFunction="sum" dataDxfId="3015" totalsRowDxfId="3014"/>
    <tableColumn id="6" name="(F)_x000a_Current Period _x000a_Final _x000a_Audits" totalsRowFunction="sum" dataDxfId="3013" totalsRowDxfId="3012"/>
    <tableColumn id="7" name="(G)_x000a_Current Period _x000a_Other Adjustments" totalsRowFunction="sum" dataDxfId="3011" totalsRowDxfId="3010"/>
    <tableColumn id="8" name="(H)_x000a_Net Program Costs_x000a_Sum (C through G)" totalsRowFunction="sum" dataDxfId="3009" totalsRowDxfId="3008"/>
    <tableColumn id="9" name="(I)_x000a_Payments_x000a_ and Offsets" totalsRowFunction="sum" dataDxfId="3007" totalsRowDxfId="3006"/>
    <tableColumn id="10" name="(J)_x000a_Accounts Payable Balance_x000a_(H + I)" totalsRowFunction="sum" dataDxfId="3005" totalsRowDxfId="3004"/>
    <tableColumn id="11" name="(K)_x000a_Established _x000a_Accounts Receivable" totalsRowFunction="sum" dataDxfId="3003" totalsRowDxfId="3002"/>
    <tableColumn id="12" name="(L)_x000a_Recovered_x000a_ Accounts Receivable" totalsRowFunction="sum" dataDxfId="3001" totalsRowDxfId="3000"/>
    <tableColumn id="13" name="(M)_x000a_Accounts Receivable Balance_x000a_(K + L)" totalsRowFunction="sum" dataDxfId="2999" totalsRowDxfId="2998"/>
    <tableColumn id="14" name="(N)_x000a_Net Balance_x000a_(J minus M)" totalsRowFunction="sum" dataDxfId="2997" totalsRowDxfId="29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2.xml><?xml version="1.0" encoding="utf-8"?>
<table xmlns="http://schemas.openxmlformats.org/spreadsheetml/2006/main" id="212" name="Program092" displayName="Program092" ref="A1159:N1171" totalsRowCount="1" headerRowDxfId="2995" dataDxfId="2993" totalsRowDxfId="2991" headerRowBorderDxfId="2994" tableBorderDxfId="2992" totalsRowBorderDxfId="2990">
  <autoFilter ref="A1159:N1170"/>
  <tableColumns count="14">
    <tableColumn id="1" name="(A)_x000a_Program Name" totalsRowLabel="Total Program 92" dataDxfId="2989" totalsRowDxfId="2988"/>
    <tableColumn id="2" name="(B)_x000a_Fiscal _x000a_Year" totalsRowLabel="N/A" dataDxfId="2987" totalsRowDxfId="2986"/>
    <tableColumn id="3" name="(C)_x000a_Program_x000a_Costs" totalsRowFunction="sum" dataDxfId="2985" totalsRowDxfId="2984"/>
    <tableColumn id="4" name="(D)_x000a_Prior Period Adjustments" totalsRowFunction="sum" dataDxfId="2983" totalsRowDxfId="2982"/>
    <tableColumn id="5" name="(E)_x000a_Current Period Desk _x000a_Reviews" totalsRowFunction="sum" dataDxfId="2981" totalsRowDxfId="2980"/>
    <tableColumn id="6" name="(F)_x000a_Current Period _x000a_Final _x000a_Audits" totalsRowFunction="sum" dataDxfId="2979" totalsRowDxfId="2978"/>
    <tableColumn id="7" name="(G)_x000a_Current Period _x000a_Other Adjustments" totalsRowFunction="sum" dataDxfId="2977" totalsRowDxfId="2976"/>
    <tableColumn id="8" name="(H)_x000a_Net Program Costs_x000a_Sum (C through G)" totalsRowFunction="sum" dataDxfId="2975" totalsRowDxfId="2974"/>
    <tableColumn id="9" name="(I)_x000a_Payments_x000a_ and Offsets" totalsRowFunction="sum" dataDxfId="2973" totalsRowDxfId="2972"/>
    <tableColumn id="10" name="(J)_x000a_Accounts Payable Balance_x000a_(H + I)" totalsRowFunction="sum" dataDxfId="2971" totalsRowDxfId="2970"/>
    <tableColumn id="11" name="(K)_x000a_Established _x000a_Accounts Receivable" totalsRowFunction="sum" dataDxfId="2969" totalsRowDxfId="2968"/>
    <tableColumn id="12" name="(L)_x000a_Recovered_x000a_ Accounts Receivable" totalsRowFunction="sum" dataDxfId="2967" totalsRowDxfId="2966"/>
    <tableColumn id="13" name="(M)_x000a_Accounts Receivable Balance_x000a_(K + L)" totalsRowFunction="sum" dataDxfId="2965" totalsRowDxfId="2964"/>
    <tableColumn id="14" name="(N)_x000a_Net Balance_x000a_(J minus M)" totalsRowFunction="sum" dataDxfId="2963" totalsRowDxfId="29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3.xml><?xml version="1.0" encoding="utf-8"?>
<table xmlns="http://schemas.openxmlformats.org/spreadsheetml/2006/main" id="213" name="Program201" displayName="Program201" ref="A1173:N1179" totalsRowCount="1" headerRowDxfId="2961" dataDxfId="2959" totalsRowDxfId="2957" headerRowBorderDxfId="2960" tableBorderDxfId="2958" totalsRowBorderDxfId="2956">
  <autoFilter ref="A1173:N1178"/>
  <tableColumns count="14">
    <tableColumn id="1" name="(A)_x000a_Program Name" totalsRowLabel="Total Program 201" dataDxfId="2955" totalsRowDxfId="2954"/>
    <tableColumn id="2" name="(B)_x000a_Fiscal _x000a_Year" totalsRowLabel="N/A" dataDxfId="2953" totalsRowDxfId="2952"/>
    <tableColumn id="3" name="(C)_x000a_Program_x000a_Costs" totalsRowFunction="sum" dataDxfId="2951" totalsRowDxfId="2950"/>
    <tableColumn id="4" name="(D)_x000a_Prior Period Adjustments" totalsRowFunction="sum" dataDxfId="2949" totalsRowDxfId="2948"/>
    <tableColumn id="5" name="(E)_x000a_Current Period Desk _x000a_Reviews" totalsRowFunction="sum" dataDxfId="2947" totalsRowDxfId="2946"/>
    <tableColumn id="6" name="(F)_x000a_Current Period _x000a_Final _x000a_Audits" totalsRowFunction="sum" dataDxfId="2945" totalsRowDxfId="2944"/>
    <tableColumn id="7" name="(G)_x000a_Current Period _x000a_Other Adjustments" totalsRowFunction="sum" dataDxfId="2943" totalsRowDxfId="2942"/>
    <tableColumn id="8" name="(H)_x000a_Net Program Costs_x000a_Sum (C through G)" totalsRowFunction="sum" dataDxfId="2941" totalsRowDxfId="2940"/>
    <tableColumn id="9" name="(I)_x000a_Payments_x000a_ and Offsets" totalsRowFunction="sum" dataDxfId="2939" totalsRowDxfId="2938"/>
    <tableColumn id="10" name="(J)_x000a_Accounts Payable Balance_x000a_(H + I)" totalsRowFunction="sum" dataDxfId="2937" totalsRowDxfId="2936"/>
    <tableColumn id="11" name="(K)_x000a_Established _x000a_Accounts Receivable" totalsRowFunction="sum" dataDxfId="2935" totalsRowDxfId="2934"/>
    <tableColumn id="12" name="(L)_x000a_Recovered_x000a_ Accounts Receivable" totalsRowFunction="sum" dataDxfId="2933" totalsRowDxfId="2932"/>
    <tableColumn id="13" name="(M)_x000a_Accounts Receivable Balance_x000a_(K + L)" totalsRowFunction="sum" dataDxfId="2931" totalsRowDxfId="2930"/>
    <tableColumn id="14" name="(N)_x000a_Net Balance_x000a_(J minus M)" totalsRowFunction="sum" dataDxfId="2929" totalsRowDxfId="29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4.xml><?xml version="1.0" encoding="utf-8"?>
<table xmlns="http://schemas.openxmlformats.org/spreadsheetml/2006/main" id="214" name="Program218" displayName="Program218" ref="A1181:N1203" totalsRowCount="1" headerRowDxfId="2927" dataDxfId="2925" totalsRowDxfId="2923" headerRowBorderDxfId="2926" tableBorderDxfId="2924" totalsRowBorderDxfId="2922">
  <autoFilter ref="A1181:N1202"/>
  <tableColumns count="14">
    <tableColumn id="1" name="(A)_x000a_Program Name" totalsRowLabel="Total Program 218" dataDxfId="2921" totalsRowDxfId="2920"/>
    <tableColumn id="2" name="(B)_x000a_Fiscal _x000a_Year" totalsRowLabel="N/A" dataDxfId="2919" totalsRowDxfId="2918"/>
    <tableColumn id="3" name="(C)_x000a_Program_x000a_Costs" totalsRowFunction="sum" dataDxfId="2917" totalsRowDxfId="2916"/>
    <tableColumn id="4" name="(D)_x000a_Prior Period Adjustments" totalsRowFunction="sum" dataDxfId="2915" totalsRowDxfId="2914"/>
    <tableColumn id="5" name="(E)_x000a_Current Period Desk _x000a_Reviews" totalsRowFunction="sum" dataDxfId="2913" totalsRowDxfId="2912"/>
    <tableColumn id="6" name="(F)_x000a_Current Period _x000a_Final _x000a_Audits" totalsRowFunction="sum" dataDxfId="2911" totalsRowDxfId="2910"/>
    <tableColumn id="7" name="(G)_x000a_Current Period _x000a_Other Adjustments" totalsRowFunction="sum" dataDxfId="2909" totalsRowDxfId="2908"/>
    <tableColumn id="8" name="(H)_x000a_Net Program Costs_x000a_Sum (C through G)" totalsRowFunction="sum" dataDxfId="2907" totalsRowDxfId="2906"/>
    <tableColumn id="9" name="(I)_x000a_Payments_x000a_ and Offsets" totalsRowFunction="sum" dataDxfId="2905" totalsRowDxfId="2904"/>
    <tableColumn id="10" name="(J)_x000a_Accounts Payable Balance_x000a_(H + I)" totalsRowFunction="sum" dataDxfId="2903" totalsRowDxfId="2902"/>
    <tableColumn id="11" name="(K)_x000a_Established _x000a_Accounts Receivable" totalsRowFunction="sum" dataDxfId="2901" totalsRowDxfId="2900"/>
    <tableColumn id="12" name="(L)_x000a_Recovered_x000a_ Accounts Receivable" totalsRowFunction="sum" dataDxfId="2899" totalsRowDxfId="2898"/>
    <tableColumn id="13" name="(M)_x000a_Accounts Receivable Balance_x000a_(K + L)" totalsRowFunction="sum" dataDxfId="2897" totalsRowDxfId="2896"/>
    <tableColumn id="14" name="(N)_x000a_Net Balance_x000a_(J minus M)" totalsRowFunction="sum" dataDxfId="2895" totalsRowDxfId="28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5.xml><?xml version="1.0" encoding="utf-8"?>
<table xmlns="http://schemas.openxmlformats.org/spreadsheetml/2006/main" id="215" name="Program154" displayName="Program154" ref="A1205:N1220" totalsRowCount="1" headerRowDxfId="2893" dataDxfId="2891" totalsRowDxfId="2889" headerRowBorderDxfId="2892" tableBorderDxfId="2890" totalsRowBorderDxfId="2888">
  <autoFilter ref="A1205:N1219"/>
  <tableColumns count="14">
    <tableColumn id="1" name="(A)_x000a_Program Name" totalsRowLabel="Total Program 154" dataDxfId="2887" totalsRowDxfId="2886"/>
    <tableColumn id="2" name="(B)_x000a_Fiscal _x000a_Year" totalsRowLabel="N/A" dataDxfId="2885" totalsRowDxfId="2884"/>
    <tableColumn id="3" name="(C)_x000a_Program_x000a_Costs" totalsRowFunction="sum" dataDxfId="2883" totalsRowDxfId="2882"/>
    <tableColumn id="4" name="(D)_x000a_Prior Period Adjustments" totalsRowFunction="sum" dataDxfId="2881" totalsRowDxfId="2880"/>
    <tableColumn id="5" name="(E)_x000a_Current Period Desk _x000a_Reviews" totalsRowFunction="sum" dataDxfId="2879" totalsRowDxfId="2878"/>
    <tableColumn id="6" name="(F)_x000a_Current Period _x000a_Final _x000a_Audits" totalsRowFunction="sum" dataDxfId="2877" totalsRowDxfId="2876"/>
    <tableColumn id="7" name="(G)_x000a_Current Period _x000a_Other Adjustments" totalsRowFunction="sum" dataDxfId="2875" totalsRowDxfId="2874"/>
    <tableColumn id="8" name="(H)_x000a_Net Program Costs_x000a_Sum (C through G)" totalsRowFunction="sum" dataDxfId="2873" totalsRowDxfId="2872"/>
    <tableColumn id="9" name="(I)_x000a_Payments_x000a_ and Offsets" totalsRowFunction="sum" dataDxfId="2871" totalsRowDxfId="2870"/>
    <tableColumn id="10" name="(J)_x000a_Accounts Payable Balance_x000a_(H + I)" totalsRowFunction="sum" dataDxfId="2869" totalsRowDxfId="2868"/>
    <tableColumn id="11" name="(K)_x000a_Established _x000a_Accounts Receivable" totalsRowFunction="sum" dataDxfId="2867" totalsRowDxfId="2866"/>
    <tableColumn id="12" name="(L)_x000a_Recovered_x000a_ Accounts Receivable" totalsRowFunction="sum" dataDxfId="2865" totalsRowDxfId="2864"/>
    <tableColumn id="13" name="(M)_x000a_Accounts Receivable Balance_x000a_(K + L)" totalsRowFunction="sum" dataDxfId="2863" totalsRowDxfId="2862"/>
    <tableColumn id="14" name="(N)_x000a_Net Balance_x000a_(J minus M)" totalsRowFunction="sum" dataDxfId="2861" totalsRowDxfId="28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6.xml><?xml version="1.0" encoding="utf-8"?>
<table xmlns="http://schemas.openxmlformats.org/spreadsheetml/2006/main" id="216" name="Program350" displayName="Program350" ref="A1222:N1241" totalsRowCount="1" headerRowDxfId="2859" dataDxfId="2857" totalsRowDxfId="2855" headerRowBorderDxfId="2858" tableBorderDxfId="2856" totalsRowBorderDxfId="2854">
  <autoFilter ref="A1222:N1240"/>
  <tableColumns count="14">
    <tableColumn id="1" name="(A)_x000a_Program Name" totalsRowLabel="Total Program 350" dataDxfId="2853" totalsRowDxfId="2852"/>
    <tableColumn id="2" name="(B)_x000a_Fiscal _x000a_Year" totalsRowLabel="N/A" dataDxfId="2851" totalsRowDxfId="2850"/>
    <tableColumn id="3" name="(C)_x000a_Program_x000a_Costs" totalsRowFunction="sum" dataDxfId="2849" totalsRowDxfId="2848"/>
    <tableColumn id="4" name="(D)_x000a_Prior Period Adjustments" totalsRowFunction="sum" dataDxfId="2847" totalsRowDxfId="2846"/>
    <tableColumn id="5" name="(E)_x000a_Current Period Desk _x000a_Reviews" totalsRowFunction="sum" dataDxfId="2845" totalsRowDxfId="2844"/>
    <tableColumn id="6" name="(F)_x000a_Current Period _x000a_Final _x000a_Audits" totalsRowFunction="sum" dataDxfId="2843" totalsRowDxfId="2842"/>
    <tableColumn id="7" name="(G)_x000a_Current Period _x000a_Other Adjustments" totalsRowFunction="sum" dataDxfId="2841" totalsRowDxfId="2840"/>
    <tableColumn id="8" name="(H)_x000a_Net Program Costs_x000a_Sum (C through G)" totalsRowFunction="sum" dataDxfId="2839" totalsRowDxfId="2838"/>
    <tableColumn id="9" name="(I)_x000a_Payments_x000a_ and Offsets" totalsRowFunction="sum" dataDxfId="2837" totalsRowDxfId="2836"/>
    <tableColumn id="10" name="(J)_x000a_Accounts Payable Balance_x000a_(H + I)" totalsRowFunction="sum" dataDxfId="2835" totalsRowDxfId="2834"/>
    <tableColumn id="11" name="(K)_x000a_Established _x000a_Accounts Receivable" totalsRowFunction="sum" dataDxfId="2833" totalsRowDxfId="2832"/>
    <tableColumn id="12" name="(L)_x000a_Recovered_x000a_ Accounts Receivable" totalsRowFunction="sum" dataDxfId="2831" totalsRowDxfId="2830"/>
    <tableColumn id="13" name="(M)_x000a_Accounts Receivable Balance_x000a_(K + L)" totalsRowFunction="sum" dataDxfId="2829" totalsRowDxfId="2828"/>
    <tableColumn id="14" name="(N)_x000a_Net Balance_x000a_(J minus M)" totalsRowFunction="sum" dataDxfId="2827" totalsRowDxfId="28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7.xml><?xml version="1.0" encoding="utf-8"?>
<table xmlns="http://schemas.openxmlformats.org/spreadsheetml/2006/main" id="217" name="Program186" displayName="Program186" ref="A1243:N1254" totalsRowCount="1" headerRowDxfId="2825" dataDxfId="2823" totalsRowDxfId="2821" headerRowBorderDxfId="2824" tableBorderDxfId="2822" totalsRowBorderDxfId="2820">
  <autoFilter ref="A1243:N1253"/>
  <tableColumns count="14">
    <tableColumn id="1" name="(A)_x000a_Program Name" totalsRowLabel="Total Program 186" dataDxfId="2819" totalsRowDxfId="2818"/>
    <tableColumn id="2" name="(B)_x000a_Fiscal _x000a_Year" totalsRowLabel="N/A" dataDxfId="2817" totalsRowDxfId="2816"/>
    <tableColumn id="3" name="(C)_x000a_Program_x000a_Costs" totalsRowFunction="sum" dataDxfId="2815" totalsRowDxfId="2814"/>
    <tableColumn id="4" name="(D)_x000a_Prior Period Adjustments" totalsRowFunction="sum" dataDxfId="2813" totalsRowDxfId="2812"/>
    <tableColumn id="5" name="(E)_x000a_Current Period Desk _x000a_Reviews" totalsRowFunction="sum" dataDxfId="2811" totalsRowDxfId="2810"/>
    <tableColumn id="6" name="(F)_x000a_Current Period _x000a_Final _x000a_Audits" totalsRowFunction="sum" dataDxfId="2809" totalsRowDxfId="2808"/>
    <tableColumn id="7" name="(G)_x000a_Current Period _x000a_Other Adjustments" totalsRowFunction="sum" dataDxfId="2807" totalsRowDxfId="2806"/>
    <tableColumn id="8" name="(H)_x000a_Net Program Costs_x000a_Sum (C through G)" totalsRowFunction="sum" dataDxfId="2805" totalsRowDxfId="2804"/>
    <tableColumn id="9" name="(I)_x000a_Payments_x000a_ and Offsets" totalsRowFunction="sum" dataDxfId="2803" totalsRowDxfId="2802"/>
    <tableColumn id="10" name="(J)_x000a_Accounts Payable Balance_x000a_(H + I)" totalsRowFunction="sum" dataDxfId="2801" totalsRowDxfId="2800"/>
    <tableColumn id="11" name="(K)_x000a_Established _x000a_Accounts Receivable" totalsRowFunction="sum" dataDxfId="2799" totalsRowDxfId="2798"/>
    <tableColumn id="12" name="(L)_x000a_Recovered_x000a_ Accounts Receivable" totalsRowFunction="sum" dataDxfId="2797" totalsRowDxfId="2796"/>
    <tableColumn id="13" name="(M)_x000a_Accounts Receivable Balance_x000a_(K + L)" totalsRowFunction="sum" dataDxfId="2795" totalsRowDxfId="2794"/>
    <tableColumn id="14" name="(N)_x000a_Net Balance_x000a_(J minus M)" totalsRowFunction="sum" dataDxfId="2793" totalsRowDxfId="27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8.xml><?xml version="1.0" encoding="utf-8"?>
<table xmlns="http://schemas.openxmlformats.org/spreadsheetml/2006/main" id="218" name="Program214" displayName="Program214" ref="A1256:N1262" totalsRowCount="1" headerRowDxfId="2791" dataDxfId="2789" totalsRowDxfId="2787" headerRowBorderDxfId="2790" tableBorderDxfId="2788" totalsRowBorderDxfId="2786">
  <autoFilter ref="A1256:N1261"/>
  <tableColumns count="14">
    <tableColumn id="1" name="(A)_x000a_Program Name" totalsRowLabel="Total Program 214" dataDxfId="2785" totalsRowDxfId="2784"/>
    <tableColumn id="2" name="(B)_x000a_Fiscal _x000a_Year" totalsRowLabel="N/A" dataDxfId="2783" totalsRowDxfId="2782"/>
    <tableColumn id="3" name="(C)_x000a_Program_x000a_Costs" totalsRowFunction="sum" dataDxfId="2781" totalsRowDxfId="2780"/>
    <tableColumn id="4" name="(D)_x000a_Prior Period Adjustments" totalsRowFunction="sum" dataDxfId="2779" totalsRowDxfId="2778"/>
    <tableColumn id="5" name="(E)_x000a_Current Period Desk _x000a_Reviews" totalsRowFunction="sum" dataDxfId="2777" totalsRowDxfId="2776"/>
    <tableColumn id="6" name="(F)_x000a_Current Period _x000a_Final _x000a_Audits" totalsRowFunction="sum" dataDxfId="2775" totalsRowDxfId="2774"/>
    <tableColumn id="7" name="(G)_x000a_Current Period _x000a_Other Adjustments" totalsRowFunction="sum" dataDxfId="2773" totalsRowDxfId="2772"/>
    <tableColumn id="8" name="(H)_x000a_Net Program Costs_x000a_Sum (C through G)" totalsRowFunction="sum" dataDxfId="2771" totalsRowDxfId="2770"/>
    <tableColumn id="9" name="(I)_x000a_Payments_x000a_ and Offsets" totalsRowFunction="sum" dataDxfId="2769" totalsRowDxfId="2768"/>
    <tableColumn id="10" name="(J)_x000a_Accounts Payable Balance_x000a_(H + I)" totalsRowFunction="sum" dataDxfId="2767" totalsRowDxfId="2766"/>
    <tableColumn id="11" name="(K)_x000a_Established _x000a_Accounts Receivable" totalsRowFunction="sum" dataDxfId="2765" totalsRowDxfId="2764"/>
    <tableColumn id="12" name="(L)_x000a_Recovered_x000a_ Accounts Receivable" totalsRowFunction="sum" dataDxfId="2763" totalsRowDxfId="2762"/>
    <tableColumn id="13" name="(M)_x000a_Accounts Receivable Balance_x000a_(K + L)" totalsRowFunction="sum" dataDxfId="2761" totalsRowDxfId="2760"/>
    <tableColumn id="14" name="(N)_x000a_Net Balance_x000a_(J minus M)" totalsRowFunction="sum" dataDxfId="2759" totalsRowDxfId="27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19.xml><?xml version="1.0" encoding="utf-8"?>
<table xmlns="http://schemas.openxmlformats.org/spreadsheetml/2006/main" id="219" name="Program195" displayName="Program195" ref="A1264:N1279" totalsRowCount="1" headerRowDxfId="2757" dataDxfId="2755" totalsRowDxfId="2753" headerRowBorderDxfId="2756" tableBorderDxfId="2754" totalsRowBorderDxfId="2752">
  <autoFilter ref="A1264:N1278"/>
  <tableColumns count="14">
    <tableColumn id="1" name="(A)_x000a_Program Name" totalsRowLabel="Total Program 195" dataDxfId="2751" totalsRowDxfId="2750"/>
    <tableColumn id="2" name="(B)_x000a_Fiscal _x000a_Year" totalsRowLabel="N/A" dataDxfId="2749" totalsRowDxfId="2748"/>
    <tableColumn id="3" name="(C)_x000a_Program_x000a_Costs" totalsRowFunction="sum" dataDxfId="2747" totalsRowDxfId="2746"/>
    <tableColumn id="4" name="(D)_x000a_Prior Period Adjustments" totalsRowFunction="sum" dataDxfId="2745" totalsRowDxfId="2744"/>
    <tableColumn id="5" name="(E)_x000a_Current Period Desk _x000a_Reviews" totalsRowFunction="sum" dataDxfId="2743" totalsRowDxfId="2742"/>
    <tableColumn id="6" name="(F)_x000a_Current Period _x000a_Final _x000a_Audits" totalsRowFunction="sum" dataDxfId="2741" totalsRowDxfId="2740"/>
    <tableColumn id="7" name="(G)_x000a_Current Period _x000a_Other Adjustments" totalsRowFunction="sum" dataDxfId="2739" totalsRowDxfId="2738"/>
    <tableColumn id="8" name="(H)_x000a_Net Program Costs_x000a_Sum (C through G)" totalsRowFunction="sum" dataDxfId="2737" totalsRowDxfId="2736"/>
    <tableColumn id="9" name="(I)_x000a_Payments_x000a_ and Offsets" totalsRowFunction="sum" dataDxfId="2735" totalsRowDxfId="2734"/>
    <tableColumn id="10" name="(J)_x000a_Accounts Payable Balance_x000a_(H + I)" totalsRowFunction="sum" dataDxfId="2733" totalsRowDxfId="2732"/>
    <tableColumn id="11" name="(K)_x000a_Established _x000a_Accounts Receivable" totalsRowFunction="sum" dataDxfId="2731" totalsRowDxfId="2730"/>
    <tableColumn id="12" name="(L)_x000a_Recovered_x000a_ Accounts Receivable" totalsRowFunction="sum" dataDxfId="2729" totalsRowDxfId="2728"/>
    <tableColumn id="13" name="(M)_x000a_Accounts Receivable Balance_x000a_(K + L)" totalsRowFunction="sum" dataDxfId="2727" totalsRowDxfId="2726"/>
    <tableColumn id="14" name="(N)_x000a_Net Balance_x000a_(J minus M)" totalsRowFunction="sum" dataDxfId="2725" totalsRowDxfId="27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.xml><?xml version="1.0" encoding="utf-8"?>
<table xmlns="http://schemas.openxmlformats.org/spreadsheetml/2006/main" id="22" name="Program067" displayName="Program067" ref="A211:N232" totalsRowCount="1" headerRowDxfId="9412" dataDxfId="9410" totalsRowDxfId="9408" headerRowBorderDxfId="9411" tableBorderDxfId="9409" totalsRowBorderDxfId="9407">
  <autoFilter ref="A211:N231"/>
  <tableColumns count="14">
    <tableColumn id="1" name="(A)_x000a_Program Name" totalsRowLabel="Total Program 67" dataDxfId="9406" totalsRowDxfId="9405"/>
    <tableColumn id="2" name="(B)_x000a_Fiscal _x000a_Year" totalsRowLabel="N/A" dataDxfId="9404" totalsRowDxfId="9403"/>
    <tableColumn id="3" name="(C)_x000a_Program_x000a_Costs" totalsRowFunction="sum" dataDxfId="9402" totalsRowDxfId="9401"/>
    <tableColumn id="4" name="(D)_x000a_Prior Period Adjustments" totalsRowFunction="sum" dataDxfId="9400" totalsRowDxfId="9399"/>
    <tableColumn id="5" name="(E)_x000a_Current Period Desk _x000a_Reviews" totalsRowFunction="sum" dataDxfId="9398" totalsRowDxfId="9397"/>
    <tableColumn id="6" name="(F)_x000a_Current Period _x000a_Final _x000a_Audits" totalsRowFunction="sum" dataDxfId="9396" totalsRowDxfId="9395"/>
    <tableColumn id="7" name="(G)_x000a_Current Period _x000a_Other Adjustments" totalsRowFunction="sum" dataDxfId="9394" totalsRowDxfId="9393"/>
    <tableColumn id="8" name="(H)_x000a_Net Program Costs_x000a_Sum (C through G)" totalsRowFunction="sum" dataDxfId="9392" totalsRowDxfId="9391"/>
    <tableColumn id="9" name="(I)_x000a_Payments_x000a_ and Offsets" totalsRowFunction="sum" dataDxfId="9390" totalsRowDxfId="9389"/>
    <tableColumn id="10" name="(J)_x000a_Accounts Payable Balance_x000a_(H + I)" totalsRowFunction="sum" dataDxfId="9388" totalsRowDxfId="9387"/>
    <tableColumn id="11" name="(K)_x000a_Established _x000a_Accounts Receivable" totalsRowFunction="sum" dataDxfId="9386" totalsRowDxfId="9385"/>
    <tableColumn id="12" name="(L)_x000a_Recovered_x000a_ Accounts Receivable" totalsRowFunction="sum" dataDxfId="9384" totalsRowDxfId="9383"/>
    <tableColumn id="13" name="(M)_x000a_Accounts Receivable Balance_x000a_(K + L)" totalsRowFunction="sum" dataDxfId="9382" totalsRowDxfId="9381"/>
    <tableColumn id="14" name="(N)_x000a_Net Balance_x000a_(J minus M)" totalsRowFunction="sum" dataDxfId="9380" totalsRowDxfId="93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0.xml><?xml version="1.0" encoding="utf-8"?>
<table xmlns="http://schemas.openxmlformats.org/spreadsheetml/2006/main" id="220" name="Program173" displayName="Program173" ref="A1281:N1306" totalsRowCount="1" headerRowDxfId="2723" dataDxfId="2721" totalsRowDxfId="2719" headerRowBorderDxfId="2722" tableBorderDxfId="2720" totalsRowBorderDxfId="2718">
  <autoFilter ref="A1281:N1305"/>
  <tableColumns count="14">
    <tableColumn id="1" name="(A)_x000a_Program Name" totalsRowLabel="Total Program 173" dataDxfId="2717" totalsRowDxfId="2716"/>
    <tableColumn id="2" name="(B)_x000a_Fiscal _x000a_Year" totalsRowLabel="N/A" dataDxfId="2715" totalsRowDxfId="2714"/>
    <tableColumn id="3" name="(C)_x000a_Program_x000a_Costs" totalsRowFunction="sum" dataDxfId="2713" totalsRowDxfId="2712"/>
    <tableColumn id="4" name="(D)_x000a_Prior Period Adjustments" totalsRowFunction="sum" dataDxfId="2711" totalsRowDxfId="2710"/>
    <tableColumn id="5" name="(E)_x000a_Current Period Desk _x000a_Reviews" totalsRowFunction="sum" dataDxfId="2709" totalsRowDxfId="2708"/>
    <tableColumn id="6" name="(F)_x000a_Current Period _x000a_Final _x000a_Audits" totalsRowFunction="sum" dataDxfId="2707" totalsRowDxfId="2706"/>
    <tableColumn id="7" name="(G)_x000a_Current Period _x000a_Other Adjustments" totalsRowFunction="sum" dataDxfId="2705" totalsRowDxfId="2704"/>
    <tableColumn id="8" name="(H)_x000a_Net Program Costs_x000a_Sum (C through G)" totalsRowFunction="sum" dataDxfId="2703" totalsRowDxfId="2702"/>
    <tableColumn id="9" name="(I)_x000a_Payments_x000a_ and Offsets" totalsRowFunction="sum" dataDxfId="2701" totalsRowDxfId="2700"/>
    <tableColumn id="10" name="(J)_x000a_Accounts Payable Balance_x000a_(H + I)" totalsRowFunction="sum" dataDxfId="2699" totalsRowDxfId="2698"/>
    <tableColumn id="11" name="(K)_x000a_Established _x000a_Accounts Receivable" totalsRowFunction="sum" dataDxfId="2697" totalsRowDxfId="2696"/>
    <tableColumn id="12" name="(L)_x000a_Recovered_x000a_ Accounts Receivable" totalsRowFunction="sum" dataDxfId="2695" totalsRowDxfId="2694"/>
    <tableColumn id="13" name="(M)_x000a_Accounts Receivable Balance_x000a_(K + L)" totalsRowFunction="sum" dataDxfId="2693" totalsRowDxfId="2692"/>
    <tableColumn id="14" name="(N)_x000a_Net Balance_x000a_(J minus M)" totalsRowFunction="sum" dataDxfId="2691" totalsRowDxfId="26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1.xml><?xml version="1.0" encoding="utf-8"?>
<table xmlns="http://schemas.openxmlformats.org/spreadsheetml/2006/main" id="221" name="Program304" displayName="Program304" ref="A1308:N1318" totalsRowCount="1" headerRowDxfId="2689" dataDxfId="2687" totalsRowDxfId="2685" headerRowBorderDxfId="2688" tableBorderDxfId="2686" totalsRowBorderDxfId="2684">
  <autoFilter ref="A1308:N1317"/>
  <tableColumns count="14">
    <tableColumn id="1" name="(A)_x000a_Program Name" totalsRowLabel="Total Program 304" dataDxfId="2683" totalsRowDxfId="2682"/>
    <tableColumn id="2" name="(B)_x000a_Fiscal _x000a_Year" totalsRowLabel="N/A" dataDxfId="2681" totalsRowDxfId="2680"/>
    <tableColumn id="3" name="(C)_x000a_Program_x000a_Costs" totalsRowFunction="sum" dataDxfId="2679" totalsRowDxfId="2678"/>
    <tableColumn id="4" name="(D)_x000a_Prior Period Adjustments" totalsRowFunction="sum" dataDxfId="2677" totalsRowDxfId="2676"/>
    <tableColumn id="5" name="(E)_x000a_Current Period Desk _x000a_Reviews" totalsRowFunction="sum" dataDxfId="2675" totalsRowDxfId="2674"/>
    <tableColumn id="6" name="(F)_x000a_Current Period _x000a_Final _x000a_Audits" totalsRowFunction="sum" dataDxfId="2673" totalsRowDxfId="2672"/>
    <tableColumn id="7" name="(G)_x000a_Current Period _x000a_Other Adjustments" totalsRowFunction="sum" dataDxfId="2671" totalsRowDxfId="2670"/>
    <tableColumn id="8" name="(H)_x000a_Net Program Costs_x000a_Sum (C through G)" totalsRowFunction="sum" dataDxfId="2669" totalsRowDxfId="2668"/>
    <tableColumn id="9" name="(I)_x000a_Payments_x000a_ and Offsets" totalsRowFunction="sum" dataDxfId="2667" totalsRowDxfId="2666"/>
    <tableColumn id="10" name="(J)_x000a_Accounts Payable Balance_x000a_(H + I)" totalsRowFunction="sum" dataDxfId="2665" totalsRowDxfId="2664"/>
    <tableColumn id="11" name="(K)_x000a_Established _x000a_Accounts Receivable" totalsRowFunction="sum" dataDxfId="2663" totalsRowDxfId="2662"/>
    <tableColumn id="12" name="(L)_x000a_Recovered_x000a_ Accounts Receivable" totalsRowFunction="sum" dataDxfId="2661" totalsRowDxfId="2660"/>
    <tableColumn id="13" name="(M)_x000a_Accounts Receivable Balance_x000a_(K + L)" totalsRowFunction="sum" dataDxfId="2659" totalsRowDxfId="2658"/>
    <tableColumn id="14" name="(N)_x000a_Net Balance_x000a_(J minus M)" totalsRowFunction="sum" dataDxfId="2657" totalsRowDxfId="26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2.xml><?xml version="1.0" encoding="utf-8"?>
<table xmlns="http://schemas.openxmlformats.org/spreadsheetml/2006/main" id="222" name="Program335" displayName="Program335" ref="A1320:N1334" totalsRowCount="1" headerRowDxfId="2655" dataDxfId="2653" totalsRowDxfId="2651" headerRowBorderDxfId="2654" tableBorderDxfId="2652" totalsRowBorderDxfId="2650">
  <autoFilter ref="A1320:N1333"/>
  <tableColumns count="14">
    <tableColumn id="1" name="(A)_x000a_Program Name" totalsRowLabel="Total Program 335" dataDxfId="2649" totalsRowDxfId="2648"/>
    <tableColumn id="2" name="(B)_x000a_Fiscal _x000a_Year" totalsRowLabel="N/A" dataDxfId="2647" totalsRowDxfId="2646"/>
    <tableColumn id="3" name="(C)_x000a_Program_x000a_Costs" totalsRowFunction="sum" dataDxfId="2645" totalsRowDxfId="2644"/>
    <tableColumn id="4" name="(D)_x000a_Prior Period Adjustments" totalsRowFunction="sum" dataDxfId="2643" totalsRowDxfId="2642"/>
    <tableColumn id="5" name="(E)_x000a_Current Period Desk _x000a_Reviews" totalsRowFunction="sum" dataDxfId="2641" totalsRowDxfId="2640"/>
    <tableColumn id="6" name="(F)_x000a_Current Period _x000a_Final _x000a_Audits" totalsRowFunction="sum" dataDxfId="2639" totalsRowDxfId="2638"/>
    <tableColumn id="7" name="(G)_x000a_Current Period _x000a_Other Adjustments" totalsRowFunction="sum" dataDxfId="2637" totalsRowDxfId="2636"/>
    <tableColumn id="8" name="(H)_x000a_Net Program Costs_x000a_Sum (C through G)" totalsRowFunction="sum" dataDxfId="2635" totalsRowDxfId="2634"/>
    <tableColumn id="9" name="(I)_x000a_Payments_x000a_ and Offsets" totalsRowFunction="sum" dataDxfId="2633" totalsRowDxfId="2632"/>
    <tableColumn id="10" name="(J)_x000a_Accounts Payable Balance_x000a_(H + I)" totalsRowFunction="sum" dataDxfId="2631" totalsRowDxfId="2630"/>
    <tableColumn id="11" name="(K)_x000a_Established _x000a_Accounts Receivable" totalsRowFunction="sum" dataDxfId="2629" totalsRowDxfId="2628"/>
    <tableColumn id="12" name="(L)_x000a_Recovered_x000a_ Accounts Receivable" totalsRowFunction="sum" dataDxfId="2627" totalsRowDxfId="2626"/>
    <tableColumn id="13" name="(M)_x000a_Accounts Receivable Balance_x000a_(K + L)" totalsRowFunction="sum" dataDxfId="2625" totalsRowDxfId="2624"/>
    <tableColumn id="14" name="(N)_x000a_Net Balance_x000a_(J minus M)" totalsRowFunction="sum" dataDxfId="2623" totalsRowDxfId="26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3.xml><?xml version="1.0" encoding="utf-8"?>
<table xmlns="http://schemas.openxmlformats.org/spreadsheetml/2006/main" id="223" name="Program374" displayName="Program374" ref="A1336:N1340" totalsRowCount="1" headerRowDxfId="2621" dataDxfId="2619" totalsRowDxfId="2617" headerRowBorderDxfId="2620" tableBorderDxfId="2618" totalsRowBorderDxfId="2616">
  <autoFilter ref="A1336:N1339"/>
  <tableColumns count="14">
    <tableColumn id="1" name="(A)_x000a_Program Name" totalsRowLabel="Total Program 374" dataDxfId="2615" totalsRowDxfId="2614"/>
    <tableColumn id="2" name="(B)_x000a_Fiscal _x000a_Year" totalsRowLabel="N/A" dataDxfId="2613" totalsRowDxfId="2612"/>
    <tableColumn id="3" name="(C)_x000a_Program_x000a_Costs" totalsRowFunction="sum" dataDxfId="2611" totalsRowDxfId="2610"/>
    <tableColumn id="4" name="(D)_x000a_Prior Period Adjustments" totalsRowFunction="sum" dataDxfId="2609" totalsRowDxfId="2608"/>
    <tableColumn id="5" name="(E)_x000a_Current Period Desk _x000a_Reviews" totalsRowFunction="sum" dataDxfId="2607" totalsRowDxfId="2606"/>
    <tableColumn id="6" name="(F)_x000a_Current Period _x000a_Final _x000a_Audits" totalsRowFunction="sum" dataDxfId="2605" totalsRowDxfId="2604"/>
    <tableColumn id="7" name="(G)_x000a_Current Period _x000a_Other Adjustments" totalsRowFunction="sum" dataDxfId="2603" totalsRowDxfId="2602"/>
    <tableColumn id="8" name="(H)_x000a_Net Program Costs_x000a_Sum (C through G)" totalsRowFunction="sum" dataDxfId="2601" totalsRowDxfId="2600"/>
    <tableColumn id="9" name="(I)_x000a_Payments_x000a_ and Offsets" totalsRowFunction="sum" dataDxfId="2599" totalsRowDxfId="2598"/>
    <tableColumn id="10" name="(J)_x000a_Accounts Payable Balance_x000a_(H + I)" totalsRowFunction="sum" dataDxfId="2597" totalsRowDxfId="2596"/>
    <tableColumn id="11" name="(K)_x000a_Established _x000a_Accounts Receivable" totalsRowFunction="sum" dataDxfId="2595" totalsRowDxfId="2594"/>
    <tableColumn id="12" name="(L)_x000a_Recovered_x000a_ Accounts Receivable" totalsRowFunction="sum" dataDxfId="2593" totalsRowDxfId="2592"/>
    <tableColumn id="13" name="(M)_x000a_Accounts Receivable Balance_x000a_(K + L)" totalsRowFunction="sum" dataDxfId="2591" totalsRowDxfId="2590"/>
    <tableColumn id="14" name="(N)_x000a_Net Balance_x000a_(J minus M)" totalsRowFunction="sum" dataDxfId="2589" totalsRowDxfId="25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4.xml><?xml version="1.0" encoding="utf-8"?>
<table xmlns="http://schemas.openxmlformats.org/spreadsheetml/2006/main" id="224" name="Program151" displayName="Program151" ref="A1342:N1357" totalsRowCount="1" headerRowDxfId="2587" dataDxfId="2585" totalsRowDxfId="2583" headerRowBorderDxfId="2586" tableBorderDxfId="2584" totalsRowBorderDxfId="2582">
  <autoFilter ref="A1342:N1356"/>
  <tableColumns count="14">
    <tableColumn id="1" name="(A)_x000a_Program Name" totalsRowLabel="Total Program 151" dataDxfId="2581" totalsRowDxfId="2580"/>
    <tableColumn id="2" name="(B)_x000a_Fiscal _x000a_Year" totalsRowLabel="N/A" dataDxfId="2579" totalsRowDxfId="2578"/>
    <tableColumn id="3" name="(C)_x000a_Program_x000a_Costs" totalsRowFunction="sum" dataDxfId="2577" totalsRowDxfId="2576"/>
    <tableColumn id="4" name="(D)_x000a_Prior Period Adjustments" totalsRowFunction="sum" dataDxfId="2575" totalsRowDxfId="2574"/>
    <tableColumn id="5" name="(E)_x000a_Current Period Desk _x000a_Reviews" totalsRowFunction="sum" dataDxfId="2573" totalsRowDxfId="2572"/>
    <tableColumn id="6" name="(F)_x000a_Current Period _x000a_Final _x000a_Audits" totalsRowFunction="sum" dataDxfId="2571" totalsRowDxfId="2570"/>
    <tableColumn id="7" name="(G)_x000a_Current Period _x000a_Other Adjustments" totalsRowFunction="sum" dataDxfId="2569" totalsRowDxfId="2568"/>
    <tableColumn id="8" name="(H)_x000a_Net Program Costs_x000a_Sum (C through G)" totalsRowFunction="sum" dataDxfId="2567" totalsRowDxfId="2566"/>
    <tableColumn id="9" name="(I)_x000a_Payments_x000a_ and Offsets" totalsRowFunction="sum" dataDxfId="2565" totalsRowDxfId="2564"/>
    <tableColumn id="10" name="(J)_x000a_Accounts Payable Balance_x000a_(H + I)" totalsRowFunction="sum" dataDxfId="2563" totalsRowDxfId="2562"/>
    <tableColumn id="11" name="(K)_x000a_Established _x000a_Accounts Receivable" totalsRowFunction="sum" dataDxfId="2561" totalsRowDxfId="2560"/>
    <tableColumn id="12" name="(L)_x000a_Recovered_x000a_ Accounts Receivable" totalsRowFunction="sum" dataDxfId="2559" totalsRowDxfId="2558"/>
    <tableColumn id="13" name="(M)_x000a_Accounts Receivable Balance_x000a_(K + L)" totalsRowFunction="sum" dataDxfId="2557" totalsRowDxfId="2556"/>
    <tableColumn id="14" name="(N)_x000a_Net Balance_x000a_(J minus M)" totalsRowFunction="sum" dataDxfId="2555" totalsRowDxfId="25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5.xml><?xml version="1.0" encoding="utf-8"?>
<table xmlns="http://schemas.openxmlformats.org/spreadsheetml/2006/main" id="225" name="Program160" displayName="Program160" ref="A1359:N1366" totalsRowCount="1" headerRowDxfId="2553" dataDxfId="2551" totalsRowDxfId="2549" headerRowBorderDxfId="2552" tableBorderDxfId="2550" totalsRowBorderDxfId="2548">
  <autoFilter ref="A1359:N1365"/>
  <tableColumns count="14">
    <tableColumn id="1" name="(A)_x000a_Program Name" totalsRowLabel="Total Program 160" dataDxfId="2547" totalsRowDxfId="2546"/>
    <tableColumn id="2" name="(B)_x000a_Fiscal _x000a_Year" totalsRowLabel="N/A" dataDxfId="2545" totalsRowDxfId="2544"/>
    <tableColumn id="3" name="(C)_x000a_Program_x000a_Costs" totalsRowFunction="sum" dataDxfId="2543" totalsRowDxfId="2542"/>
    <tableColumn id="4" name="(D)_x000a_Prior Period Adjustments" totalsRowFunction="sum" dataDxfId="2541" totalsRowDxfId="2540"/>
    <tableColumn id="5" name="(E)_x000a_Current Period Desk _x000a_Reviews" totalsRowFunction="sum" dataDxfId="2539" totalsRowDxfId="2538"/>
    <tableColumn id="6" name="(F)_x000a_Current Period _x000a_Final _x000a_Audits" totalsRowFunction="sum" dataDxfId="2537" totalsRowDxfId="2536"/>
    <tableColumn id="7" name="(G)_x000a_Current Period _x000a_Other Adjustments" totalsRowFunction="sum" dataDxfId="2535" totalsRowDxfId="2534"/>
    <tableColumn id="8" name="(H)_x000a_Net Program Costs_x000a_Sum (C through G)" totalsRowFunction="sum" dataDxfId="2533" totalsRowDxfId="2532"/>
    <tableColumn id="9" name="(I)_x000a_Payments_x000a_ and Offsets" totalsRowFunction="sum" dataDxfId="2531" totalsRowDxfId="2530"/>
    <tableColumn id="10" name="(J)_x000a_Accounts Payable Balance_x000a_(H + I)" totalsRowFunction="sum" dataDxfId="2529" totalsRowDxfId="2528"/>
    <tableColumn id="11" name="(K)_x000a_Established _x000a_Accounts Receivable" totalsRowFunction="sum" dataDxfId="2527" totalsRowDxfId="2526"/>
    <tableColumn id="12" name="(L)_x000a_Recovered_x000a_ Accounts Receivable" totalsRowFunction="sum" dataDxfId="2525" totalsRowDxfId="2524"/>
    <tableColumn id="13" name="(M)_x000a_Accounts Receivable Balance_x000a_(K + L)" totalsRowFunction="sum" dataDxfId="2523" totalsRowDxfId="2522"/>
    <tableColumn id="14" name="(N)_x000a_Net Balance_x000a_(J minus M)" totalsRowFunction="sum" dataDxfId="2521" totalsRowDxfId="25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6.xml><?xml version="1.0" encoding="utf-8"?>
<table xmlns="http://schemas.openxmlformats.org/spreadsheetml/2006/main" id="226" name="Program165" displayName="Program165" ref="A1368:N1384" totalsRowCount="1" headerRowDxfId="2519" dataDxfId="2517" totalsRowDxfId="2515" headerRowBorderDxfId="2518" tableBorderDxfId="2516" totalsRowBorderDxfId="2514">
  <autoFilter ref="A1368:N1383"/>
  <tableColumns count="14">
    <tableColumn id="1" name="(A)_x000a_Program Name" totalsRowLabel="Total Program 165" dataDxfId="2513" totalsRowDxfId="2512"/>
    <tableColumn id="2" name="(B)_x000a_Fiscal _x000a_Year" totalsRowLabel="N/A" dataDxfId="2511" totalsRowDxfId="2510"/>
    <tableColumn id="3" name="(C)_x000a_Program_x000a_Costs" totalsRowFunction="sum" dataDxfId="2509" totalsRowDxfId="2508"/>
    <tableColumn id="4" name="(D)_x000a_Prior Period Adjustments" totalsRowFunction="sum" dataDxfId="2507" totalsRowDxfId="2506"/>
    <tableColumn id="5" name="(E)_x000a_Current Period Desk _x000a_Reviews" totalsRowFunction="sum" dataDxfId="2505" totalsRowDxfId="2504"/>
    <tableColumn id="6" name="(F)_x000a_Current Period _x000a_Final _x000a_Audits" totalsRowFunction="sum" dataDxfId="2503" totalsRowDxfId="2502"/>
    <tableColumn id="7" name="(G)_x000a_Current Period _x000a_Other Adjustments" totalsRowFunction="sum" dataDxfId="2501" totalsRowDxfId="2500"/>
    <tableColumn id="8" name="(H)_x000a_Net Program Costs_x000a_Sum (C through G)" totalsRowFunction="sum" dataDxfId="2499" totalsRowDxfId="2498"/>
    <tableColumn id="9" name="(I)_x000a_Payments_x000a_ and Offsets" totalsRowFunction="sum" dataDxfId="2497" totalsRowDxfId="2496"/>
    <tableColumn id="10" name="(J)_x000a_Accounts Payable Balance_x000a_(H + I)" totalsRowFunction="sum" dataDxfId="2495" totalsRowDxfId="2494"/>
    <tableColumn id="11" name="(K)_x000a_Established _x000a_Accounts Receivable" totalsRowFunction="sum" dataDxfId="2493" totalsRowDxfId="2492"/>
    <tableColumn id="12" name="(L)_x000a_Recovered_x000a_ Accounts Receivable" totalsRowFunction="sum" dataDxfId="2491" totalsRowDxfId="2490"/>
    <tableColumn id="13" name="(M)_x000a_Accounts Receivable Balance_x000a_(K + L)" totalsRowFunction="sum" dataDxfId="2489" totalsRowDxfId="2488"/>
    <tableColumn id="14" name="(N)_x000a_Net Balance_x000a_(J minus M)" totalsRowFunction="sum" dataDxfId="2487" totalsRowDxfId="24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7.xml><?xml version="1.0" encoding="utf-8"?>
<table xmlns="http://schemas.openxmlformats.org/spreadsheetml/2006/main" id="227" name="Program271" displayName="Program271" ref="A1386:N1402" totalsRowCount="1" headerRowDxfId="2485" dataDxfId="2483" totalsRowDxfId="2481" headerRowBorderDxfId="2484" tableBorderDxfId="2482" totalsRowBorderDxfId="2480">
  <autoFilter ref="A1386:N1401"/>
  <tableColumns count="14">
    <tableColumn id="1" name="(A)_x000a_Program Name" totalsRowLabel="Total Program 271" dataDxfId="2479" totalsRowDxfId="2478"/>
    <tableColumn id="2" name="(B)_x000a_Fiscal _x000a_Year" totalsRowLabel="N/A" dataDxfId="2477" totalsRowDxfId="2476"/>
    <tableColumn id="3" name="(C)_x000a_Program_x000a_Costs" totalsRowFunction="sum" dataDxfId="2475" totalsRowDxfId="2474"/>
    <tableColumn id="4" name="(D)_x000a_Prior Period Adjustments" totalsRowFunction="sum" dataDxfId="2473" totalsRowDxfId="2472"/>
    <tableColumn id="5" name="(E)_x000a_Current Period Desk _x000a_Reviews" totalsRowFunction="sum" dataDxfId="2471" totalsRowDxfId="2470"/>
    <tableColumn id="6" name="(F)_x000a_Current Period _x000a_Final _x000a_Audits" totalsRowFunction="sum" dataDxfId="2469" totalsRowDxfId="2468"/>
    <tableColumn id="7" name="(G)_x000a_Current Period _x000a_Other Adjustments" totalsRowFunction="sum" dataDxfId="2467" totalsRowDxfId="2466"/>
    <tableColumn id="8" name="(H)_x000a_Net Program Costs_x000a_Sum (C through G)" totalsRowFunction="sum" dataDxfId="2465" totalsRowDxfId="2464"/>
    <tableColumn id="9" name="(I)_x000a_Payments_x000a_ and Offsets" totalsRowFunction="sum" dataDxfId="2463" totalsRowDxfId="2462"/>
    <tableColumn id="10" name="(J)_x000a_Accounts Payable Balance_x000a_(H + I)" totalsRowFunction="sum" dataDxfId="2461" totalsRowDxfId="2460"/>
    <tableColumn id="11" name="(K)_x000a_Established _x000a_Accounts Receivable" totalsRowFunction="sum" dataDxfId="2459" totalsRowDxfId="2458"/>
    <tableColumn id="12" name="(L)_x000a_Recovered_x000a_ Accounts Receivable" totalsRowFunction="sum" dataDxfId="2457" totalsRowDxfId="2456"/>
    <tableColumn id="13" name="(M)_x000a_Accounts Receivable Balance_x000a_(K + L)" totalsRowFunction="sum" dataDxfId="2455" totalsRowDxfId="2454"/>
    <tableColumn id="14" name="(N)_x000a_Net Balance_x000a_(J minus M)" totalsRowFunction="sum" dataDxfId="2453" totalsRowDxfId="24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8.xml><?xml version="1.0" encoding="utf-8"?>
<table xmlns="http://schemas.openxmlformats.org/spreadsheetml/2006/main" id="228" name="Program325" displayName="Program325" ref="A1404:N1406" totalsRowCount="1" headerRowDxfId="2451" dataDxfId="2449" totalsRowDxfId="2447" headerRowBorderDxfId="2450" tableBorderDxfId="2448" totalsRowBorderDxfId="2446">
  <autoFilter ref="A1404:N1405"/>
  <tableColumns count="14">
    <tableColumn id="1" name="(A)_x000a_Program Name" totalsRowLabel="Total Program 325" dataDxfId="2445" totalsRowDxfId="2444"/>
    <tableColumn id="2" name="(B)_x000a_Fiscal _x000a_Year" totalsRowLabel="N/A" dataDxfId="2443" totalsRowDxfId="2442"/>
    <tableColumn id="3" name="(C)_x000a_Program_x000a_Costs" totalsRowFunction="sum" dataDxfId="2441" totalsRowDxfId="2440"/>
    <tableColumn id="4" name="(D)_x000a_Prior Period Adjustments" totalsRowFunction="sum" dataDxfId="2439" totalsRowDxfId="2438"/>
    <tableColumn id="5" name="(E)_x000a_Current Period Desk _x000a_Reviews" totalsRowFunction="sum" dataDxfId="2437" totalsRowDxfId="2436"/>
    <tableColumn id="6" name="(F)_x000a_Current Period _x000a_Final _x000a_Audits" totalsRowFunction="sum" dataDxfId="2435" totalsRowDxfId="2434"/>
    <tableColumn id="7" name="(G)_x000a_Current Period _x000a_Other Adjustments" totalsRowFunction="sum" dataDxfId="2433" totalsRowDxfId="2432"/>
    <tableColumn id="8" name="(H)_x000a_Net Program Costs_x000a_Sum (C through G)" totalsRowFunction="sum" dataDxfId="2431" totalsRowDxfId="2430"/>
    <tableColumn id="9" name="(I)_x000a_Payments_x000a_ and Offsets" totalsRowFunction="sum" dataDxfId="2429" totalsRowDxfId="2428"/>
    <tableColumn id="10" name="(J)_x000a_Accounts Payable Balance_x000a_(H + I)" totalsRowFunction="sum" dataDxfId="2427" totalsRowDxfId="2426"/>
    <tableColumn id="11" name="(K)_x000a_Established _x000a_Accounts Receivable" totalsRowFunction="sum" dataDxfId="2425" totalsRowDxfId="2424"/>
    <tableColumn id="12" name="(L)_x000a_Recovered_x000a_ Accounts Receivable" totalsRowFunction="sum" dataDxfId="2423" totalsRowDxfId="2422"/>
    <tableColumn id="13" name="(M)_x000a_Accounts Receivable Balance_x000a_(K + L)" totalsRowFunction="sum" dataDxfId="2421" totalsRowDxfId="2420"/>
    <tableColumn id="14" name="(N)_x000a_Net Balance_x000a_(J minus M)" totalsRowFunction="sum" dataDxfId="2419" totalsRowDxfId="24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29.xml><?xml version="1.0" encoding="utf-8"?>
<table xmlns="http://schemas.openxmlformats.org/spreadsheetml/2006/main" id="229" name="Program326" displayName="Program326" ref="A1408:N1410" totalsRowCount="1" headerRowDxfId="2417" dataDxfId="2415" totalsRowDxfId="2413" headerRowBorderDxfId="2416" tableBorderDxfId="2414" totalsRowBorderDxfId="2412">
  <autoFilter ref="A1408:N1409"/>
  <tableColumns count="14">
    <tableColumn id="1" name="(A)_x000a_Program Name" totalsRowLabel="Total Program 326" dataDxfId="2411" totalsRowDxfId="2410"/>
    <tableColumn id="2" name="(B)_x000a_Fiscal _x000a_Year" totalsRowLabel="N/A" dataDxfId="2409" totalsRowDxfId="2408"/>
    <tableColumn id="3" name="(C)_x000a_Program_x000a_Costs" totalsRowFunction="sum" dataDxfId="2407" totalsRowDxfId="2406"/>
    <tableColumn id="4" name="(D)_x000a_Prior Period Adjustments" totalsRowFunction="sum" dataDxfId="2405" totalsRowDxfId="2404"/>
    <tableColumn id="5" name="(E)_x000a_Current Period Desk _x000a_Reviews" totalsRowFunction="sum" dataDxfId="2403" totalsRowDxfId="2402"/>
    <tableColumn id="6" name="(F)_x000a_Current Period _x000a_Final _x000a_Audits" totalsRowFunction="sum" dataDxfId="2401" totalsRowDxfId="2400"/>
    <tableColumn id="7" name="(G)_x000a_Current Period _x000a_Other Adjustments" totalsRowFunction="sum" dataDxfId="2399" totalsRowDxfId="2398"/>
    <tableColumn id="8" name="(H)_x000a_Net Program Costs_x000a_Sum (C through G)" totalsRowFunction="sum" dataDxfId="2397" totalsRowDxfId="2396"/>
    <tableColumn id="9" name="(I)_x000a_Payments_x000a_ and Offsets" totalsRowFunction="sum" dataDxfId="2395" totalsRowDxfId="2394"/>
    <tableColumn id="10" name="(J)_x000a_Accounts Payable Balance_x000a_(H + I)" totalsRowFunction="sum" dataDxfId="2393" totalsRowDxfId="2392"/>
    <tableColumn id="11" name="(K)_x000a_Established _x000a_Accounts Receivable" totalsRowFunction="sum" dataDxfId="2391" totalsRowDxfId="2390"/>
    <tableColumn id="12" name="(L)_x000a_Recovered_x000a_ Accounts Receivable" totalsRowFunction="sum" dataDxfId="2389" totalsRowDxfId="2388"/>
    <tableColumn id="13" name="(M)_x000a_Accounts Receivable Balance_x000a_(K + L)" totalsRowFunction="sum" dataDxfId="2387" totalsRowDxfId="2386"/>
    <tableColumn id="14" name="(N)_x000a_Net Balance_x000a_(J minus M)" totalsRowFunction="sum" dataDxfId="2385" totalsRowDxfId="23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.xml><?xml version="1.0" encoding="utf-8"?>
<table xmlns="http://schemas.openxmlformats.org/spreadsheetml/2006/main" id="23" name="Program088" displayName="Program088" ref="A234:N251" totalsRowCount="1" headerRowDxfId="9378" dataDxfId="9376" totalsRowDxfId="9374" headerRowBorderDxfId="9377" tableBorderDxfId="9375" totalsRowBorderDxfId="9373">
  <autoFilter ref="A234:N250"/>
  <tableColumns count="14">
    <tableColumn id="1" name="(A)_x000a_Program Name" totalsRowLabel="Total Program 88" dataDxfId="9372" totalsRowDxfId="9371"/>
    <tableColumn id="2" name="(B)_x000a_Fiscal _x000a_Year" totalsRowLabel="N/A" dataDxfId="9370" totalsRowDxfId="9369"/>
    <tableColumn id="3" name="(C)_x000a_Program_x000a_Costs" totalsRowFunction="sum" dataDxfId="9368" totalsRowDxfId="9367"/>
    <tableColumn id="4" name="(D)_x000a_Prior Period Adjustments" totalsRowFunction="sum" dataDxfId="9366" totalsRowDxfId="9365"/>
    <tableColumn id="5" name="(E)_x000a_Current Period Desk _x000a_Reviews" totalsRowFunction="sum" dataDxfId="9364" totalsRowDxfId="9363"/>
    <tableColumn id="6" name="(F)_x000a_Current Period _x000a_Final _x000a_Audits" totalsRowFunction="sum" dataDxfId="9362" totalsRowDxfId="9361"/>
    <tableColumn id="7" name="(G)_x000a_Current Period _x000a_Other Adjustments" totalsRowFunction="sum" dataDxfId="9360" totalsRowDxfId="9359"/>
    <tableColumn id="8" name="(H)_x000a_Net Program Costs_x000a_Sum (C through G)" totalsRowFunction="sum" dataDxfId="9358" totalsRowDxfId="9357"/>
    <tableColumn id="9" name="(I)_x000a_Payments_x000a_ and Offsets" totalsRowFunction="sum" dataDxfId="9356" totalsRowDxfId="9355"/>
    <tableColumn id="10" name="(J)_x000a_Accounts Payable Balance_x000a_(H + I)" totalsRowFunction="sum" dataDxfId="9354" totalsRowDxfId="9353"/>
    <tableColumn id="11" name="(K)_x000a_Established _x000a_Accounts Receivable" totalsRowFunction="sum" dataDxfId="9352" totalsRowDxfId="9351"/>
    <tableColumn id="12" name="(L)_x000a_Recovered_x000a_ Accounts Receivable" totalsRowFunction="sum" dataDxfId="9350" totalsRowDxfId="9349"/>
    <tableColumn id="13" name="(M)_x000a_Accounts Receivable Balance_x000a_(K + L)" totalsRowFunction="sum" dataDxfId="9348" totalsRowDxfId="9347"/>
    <tableColumn id="14" name="(N)_x000a_Net Balance_x000a_(J minus M)" totalsRowFunction="sum" dataDxfId="9346" totalsRowDxfId="93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0.xml><?xml version="1.0" encoding="utf-8"?>
<table xmlns="http://schemas.openxmlformats.org/spreadsheetml/2006/main" id="230" name="Program327" displayName="Program327" ref="A1412:N1415" totalsRowCount="1" headerRowDxfId="2383" dataDxfId="2381" totalsRowDxfId="2379" headerRowBorderDxfId="2382" tableBorderDxfId="2380" totalsRowBorderDxfId="2378">
  <autoFilter ref="A1412:N1414"/>
  <tableColumns count="14">
    <tableColumn id="1" name="(A)_x000a_Program Name" totalsRowLabel="Total Program 327" dataDxfId="2377" totalsRowDxfId="2376"/>
    <tableColumn id="2" name="(B)_x000a_Fiscal _x000a_Year" totalsRowLabel="N/A" dataDxfId="2375" totalsRowDxfId="2374"/>
    <tableColumn id="3" name="(C)_x000a_Program_x000a_Costs" totalsRowFunction="sum" dataDxfId="2373" totalsRowDxfId="2372"/>
    <tableColumn id="4" name="(D)_x000a_Prior Period Adjustments" totalsRowFunction="sum" dataDxfId="2371" totalsRowDxfId="2370"/>
    <tableColumn id="5" name="(E)_x000a_Current Period Desk _x000a_Reviews" totalsRowFunction="sum" dataDxfId="2369" totalsRowDxfId="2368"/>
    <tableColumn id="6" name="(F)_x000a_Current Period _x000a_Final _x000a_Audits" totalsRowFunction="sum" dataDxfId="2367" totalsRowDxfId="2366"/>
    <tableColumn id="7" name="(G)_x000a_Current Period _x000a_Other Adjustments" totalsRowFunction="sum" dataDxfId="2365" totalsRowDxfId="2364"/>
    <tableColumn id="8" name="(H)_x000a_Net Program Costs_x000a_Sum (C through G)" totalsRowFunction="sum" dataDxfId="2363" totalsRowDxfId="2362"/>
    <tableColumn id="9" name="(I)_x000a_Payments_x000a_ and Offsets" totalsRowFunction="sum" dataDxfId="2361" totalsRowDxfId="2360"/>
    <tableColumn id="10" name="(J)_x000a_Accounts Payable Balance_x000a_(H + I)" totalsRowFunction="sum" dataDxfId="2359" totalsRowDxfId="2358"/>
    <tableColumn id="11" name="(K)_x000a_Established _x000a_Accounts Receivable" totalsRowFunction="sum" dataDxfId="2357" totalsRowDxfId="2356"/>
    <tableColumn id="12" name="(L)_x000a_Recovered_x000a_ Accounts Receivable" totalsRowFunction="sum" dataDxfId="2355" totalsRowDxfId="2354"/>
    <tableColumn id="13" name="(M)_x000a_Accounts Receivable Balance_x000a_(K + L)" totalsRowFunction="sum" dataDxfId="2353" totalsRowDxfId="2352"/>
    <tableColumn id="14" name="(N)_x000a_Net Balance_x000a_(J minus M)" totalsRowFunction="sum" dataDxfId="2351" totalsRowDxfId="23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1.xml><?xml version="1.0" encoding="utf-8"?>
<table xmlns="http://schemas.openxmlformats.org/spreadsheetml/2006/main" id="231" name="Program328" displayName="Program328" ref="A1417:N1420" totalsRowCount="1" headerRowDxfId="2349" dataDxfId="2347" totalsRowDxfId="2345" headerRowBorderDxfId="2348" tableBorderDxfId="2346" totalsRowBorderDxfId="2344">
  <autoFilter ref="A1417:N1419"/>
  <tableColumns count="14">
    <tableColumn id="1" name="(A)_x000a_Program Name" totalsRowLabel="Total Program 328" dataDxfId="2343" totalsRowDxfId="2342"/>
    <tableColumn id="2" name="(B)_x000a_Fiscal _x000a_Year" totalsRowLabel="N/A" dataDxfId="2341" totalsRowDxfId="2340"/>
    <tableColumn id="3" name="(C)_x000a_Program_x000a_Costs" totalsRowFunction="sum" dataDxfId="2339" totalsRowDxfId="2338"/>
    <tableColumn id="4" name="(D)_x000a_Prior Period Adjustments" totalsRowFunction="sum" dataDxfId="2337" totalsRowDxfId="2336"/>
    <tableColumn id="5" name="(E)_x000a_Current Period Desk _x000a_Reviews" totalsRowFunction="sum" dataDxfId="2335" totalsRowDxfId="2334"/>
    <tableColumn id="6" name="(F)_x000a_Current Period _x000a_Final _x000a_Audits" totalsRowFunction="sum" dataDxfId="2333" totalsRowDxfId="2332"/>
    <tableColumn id="7" name="(G)_x000a_Current Period _x000a_Other Adjustments" totalsRowFunction="sum" dataDxfId="2331" totalsRowDxfId="2330"/>
    <tableColumn id="8" name="(H)_x000a_Net Program Costs_x000a_Sum (C through G)" totalsRowFunction="sum" dataDxfId="2329" totalsRowDxfId="2328"/>
    <tableColumn id="9" name="(I)_x000a_Payments_x000a_ and Offsets" totalsRowFunction="sum" dataDxfId="2327" totalsRowDxfId="2326"/>
    <tableColumn id="10" name="(J)_x000a_Accounts Payable Balance_x000a_(H + I)" totalsRowFunction="sum" dataDxfId="2325" totalsRowDxfId="2324"/>
    <tableColumn id="11" name="(K)_x000a_Established _x000a_Accounts Receivable" totalsRowFunction="sum" dataDxfId="2323" totalsRowDxfId="2322"/>
    <tableColumn id="12" name="(L)_x000a_Recovered_x000a_ Accounts Receivable" totalsRowFunction="sum" dataDxfId="2321" totalsRowDxfId="2320"/>
    <tableColumn id="13" name="(M)_x000a_Accounts Receivable Balance_x000a_(K + L)" totalsRowFunction="sum" dataDxfId="2319" totalsRowDxfId="2318"/>
    <tableColumn id="14" name="(N)_x000a_Net Balance_x000a_(J minus M)" totalsRowFunction="sum" dataDxfId="2317" totalsRowDxfId="23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2.xml><?xml version="1.0" encoding="utf-8"?>
<table xmlns="http://schemas.openxmlformats.org/spreadsheetml/2006/main" id="232" name="Program329" displayName="Program329" ref="A1422:N1434" totalsRowCount="1" headerRowDxfId="2315" dataDxfId="2313" totalsRowDxfId="2311" headerRowBorderDxfId="2314" tableBorderDxfId="2312" totalsRowBorderDxfId="2310">
  <autoFilter ref="A1422:N1433"/>
  <tableColumns count="14">
    <tableColumn id="1" name="(A)_x000a_Program Name" totalsRowLabel="Total Program 329" dataDxfId="2309" totalsRowDxfId="2308"/>
    <tableColumn id="2" name="(B)_x000a_Fiscal _x000a_Year" totalsRowLabel="N/A" dataDxfId="2307" totalsRowDxfId="2306"/>
    <tableColumn id="3" name="(C)_x000a_Program_x000a_Costs" totalsRowFunction="sum" dataDxfId="2305" totalsRowDxfId="2304"/>
    <tableColumn id="4" name="(D)_x000a_Prior Period Adjustments" totalsRowFunction="sum" dataDxfId="2303" totalsRowDxfId="2302"/>
    <tableColumn id="5" name="(E)_x000a_Current Period Desk _x000a_Reviews" totalsRowFunction="sum" dataDxfId="2301" totalsRowDxfId="2300"/>
    <tableColumn id="6" name="(F)_x000a_Current Period _x000a_Final _x000a_Audits" totalsRowFunction="sum" dataDxfId="2299" totalsRowDxfId="2298"/>
    <tableColumn id="7" name="(G)_x000a_Current Period _x000a_Other Adjustments" totalsRowFunction="sum" dataDxfId="2297" totalsRowDxfId="2296"/>
    <tableColumn id="8" name="(H)_x000a_Net Program Costs_x000a_Sum (C through G)" totalsRowFunction="sum" dataDxfId="2295" totalsRowDxfId="2294"/>
    <tableColumn id="9" name="(I)_x000a_Payments_x000a_ and Offsets" totalsRowFunction="sum" dataDxfId="2293" totalsRowDxfId="2292"/>
    <tableColumn id="10" name="(J)_x000a_Accounts Payable Balance_x000a_(H + I)" totalsRowFunction="sum" dataDxfId="2291" totalsRowDxfId="2290"/>
    <tableColumn id="11" name="(K)_x000a_Established _x000a_Accounts Receivable" totalsRowFunction="sum" dataDxfId="2289" totalsRowDxfId="2288"/>
    <tableColumn id="12" name="(L)_x000a_Recovered_x000a_ Accounts Receivable" totalsRowFunction="sum" dataDxfId="2287" totalsRowDxfId="2286"/>
    <tableColumn id="13" name="(M)_x000a_Accounts Receivable Balance_x000a_(K + L)" totalsRowFunction="sum" dataDxfId="2285" totalsRowDxfId="2284"/>
    <tableColumn id="14" name="(N)_x000a_Net Balance_x000a_(J minus M)" totalsRowFunction="sum" dataDxfId="2283" totalsRowDxfId="228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3.xml><?xml version="1.0" encoding="utf-8"?>
<table xmlns="http://schemas.openxmlformats.org/spreadsheetml/2006/main" id="233" name="Program139" displayName="Program139" ref="A1436:N1450" totalsRowCount="1" headerRowDxfId="2281" dataDxfId="2279" totalsRowDxfId="2277" headerRowBorderDxfId="2280" tableBorderDxfId="2278" totalsRowBorderDxfId="2276">
  <autoFilter ref="A1436:N1449"/>
  <tableColumns count="14">
    <tableColumn id="1" name="(A)_x000a_Program Name" totalsRowLabel="Total Program 139" dataDxfId="2275" totalsRowDxfId="2274"/>
    <tableColumn id="2" name="(B)_x000a_Fiscal _x000a_Year" totalsRowLabel="N/A" dataDxfId="2273" totalsRowDxfId="2272"/>
    <tableColumn id="3" name="(C)_x000a_Program_x000a_Costs" totalsRowFunction="sum" dataDxfId="2271" totalsRowDxfId="2270"/>
    <tableColumn id="4" name="(D)_x000a_Prior Period Adjustments" totalsRowFunction="sum" dataDxfId="2269" totalsRowDxfId="2268"/>
    <tableColumn id="5" name="(E)_x000a_Current Period Desk _x000a_Reviews" totalsRowFunction="sum" dataDxfId="2267" totalsRowDxfId="2266"/>
    <tableColumn id="6" name="(F)_x000a_Current Period _x000a_Final _x000a_Audits" totalsRowFunction="sum" dataDxfId="2265" totalsRowDxfId="2264"/>
    <tableColumn id="7" name="(G)_x000a_Current Period _x000a_Other Adjustments" totalsRowFunction="sum" dataDxfId="2263" totalsRowDxfId="2262"/>
    <tableColumn id="8" name="(H)_x000a_Net Program Costs_x000a_Sum (C through G)" totalsRowFunction="sum" dataDxfId="2261" totalsRowDxfId="2260"/>
    <tableColumn id="9" name="(I)_x000a_Payments_x000a_ and Offsets" totalsRowFunction="sum" dataDxfId="2259" totalsRowDxfId="2258"/>
    <tableColumn id="10" name="(J)_x000a_Accounts Payable Balance_x000a_(H + I)" totalsRowFunction="sum" dataDxfId="2257" totalsRowDxfId="2256"/>
    <tableColumn id="11" name="(K)_x000a_Established _x000a_Accounts Receivable" totalsRowFunction="sum" dataDxfId="2255" totalsRowDxfId="2254"/>
    <tableColumn id="12" name="(L)_x000a_Recovered_x000a_ Accounts Receivable" totalsRowFunction="sum" dataDxfId="2253" totalsRowDxfId="2252"/>
    <tableColumn id="13" name="(M)_x000a_Accounts Receivable Balance_x000a_(K + L)" totalsRowFunction="sum" dataDxfId="2251" totalsRowDxfId="2250"/>
    <tableColumn id="14" name="(N)_x000a_Net Balance_x000a_(J minus M)" totalsRowFunction="sum" dataDxfId="2249" totalsRowDxfId="22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4.xml><?xml version="1.0" encoding="utf-8"?>
<table xmlns="http://schemas.openxmlformats.org/spreadsheetml/2006/main" id="234" name="Program261" displayName="Program261" ref="A1452:N1467" totalsRowCount="1" headerRowDxfId="2247" dataDxfId="2245" totalsRowDxfId="2243" headerRowBorderDxfId="2246" tableBorderDxfId="2244" totalsRowBorderDxfId="2242">
  <autoFilter ref="A1452:N1466"/>
  <tableColumns count="14">
    <tableColumn id="1" name="(A)_x000a_Program Name" totalsRowLabel="Total Program 261" dataDxfId="2241"/>
    <tableColumn id="2" name="(B)_x000a_Fiscal _x000a_Year" totalsRowLabel="N/A" dataDxfId="2240"/>
    <tableColumn id="3" name="(C)_x000a_Program_x000a_Costs" totalsRowFunction="sum" dataDxfId="2239"/>
    <tableColumn id="4" name="(D)_x000a_Prior Period Adjustments" totalsRowFunction="sum" dataDxfId="2238"/>
    <tableColumn id="5" name="(E)_x000a_Current Period Desk _x000a_Reviews" totalsRowFunction="sum" dataDxfId="2237"/>
    <tableColumn id="6" name="(F)_x000a_Current Period _x000a_Final _x000a_Audits" totalsRowFunction="sum" dataDxfId="2236"/>
    <tableColumn id="7" name="(G)_x000a_Current Period _x000a_Other Adjustments" totalsRowFunction="sum" dataDxfId="2235"/>
    <tableColumn id="8" name="(H)_x000a_Net Program Costs_x000a_Sum (C through G)" totalsRowFunction="sum" dataDxfId="2234"/>
    <tableColumn id="9" name="(I)_x000a_Payments_x000a_ and Offsets" totalsRowFunction="sum" dataDxfId="2233"/>
    <tableColumn id="10" name="(J)_x000a_Accounts Payable Balance_x000a_(H + I)" totalsRowFunction="sum" dataDxfId="2232"/>
    <tableColumn id="11" name="(K)_x000a_Established _x000a_Accounts Receivable" totalsRowFunction="sum" dataDxfId="2231"/>
    <tableColumn id="12" name="(L)_x000a_Recovered_x000a_ Accounts Receivable" totalsRowFunction="sum" dataDxfId="2230"/>
    <tableColumn id="13" name="(M)_x000a_Accounts Receivable Balance_x000a_(K + L)" totalsRowFunction="sum" dataDxfId="2229"/>
    <tableColumn id="14" name="(N)_x000a_Net Balance_x000a_(J minus M)" totalsRowFunction="sum" dataDxfId="22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5.xml><?xml version="1.0" encoding="utf-8"?>
<table xmlns="http://schemas.openxmlformats.org/spreadsheetml/2006/main" id="235" name="Program244" displayName="Program244" ref="A1469:N1492" totalsRowCount="1" headerRowDxfId="2227" dataDxfId="2225" totalsRowDxfId="2223" headerRowBorderDxfId="2226" tableBorderDxfId="2224" totalsRowBorderDxfId="2222">
  <autoFilter ref="A1469:N1491"/>
  <tableColumns count="14">
    <tableColumn id="1" name="(A)_x000a_Program Name" totalsRowLabel="Total Program 244" dataDxfId="2221" totalsRowDxfId="2220"/>
    <tableColumn id="2" name="(B)_x000a_Fiscal _x000a_Year" totalsRowLabel="N/A" dataDxfId="2219" totalsRowDxfId="2218"/>
    <tableColumn id="3" name="(C)_x000a_Program_x000a_Costs" totalsRowFunction="sum" dataDxfId="2217" totalsRowDxfId="2216"/>
    <tableColumn id="4" name="(D)_x000a_Prior Period Adjustments" totalsRowFunction="sum" dataDxfId="2215" totalsRowDxfId="2214"/>
    <tableColumn id="5" name="(E)_x000a_Current Period Desk _x000a_Reviews" totalsRowFunction="sum" dataDxfId="2213" totalsRowDxfId="2212"/>
    <tableColumn id="6" name="(F)_x000a_Current Period _x000a_Final _x000a_Audits" totalsRowFunction="sum" dataDxfId="2211" totalsRowDxfId="2210"/>
    <tableColumn id="7" name="(G)_x000a_Current Period _x000a_Other Adjustments" totalsRowFunction="sum" dataDxfId="2209" totalsRowDxfId="2208"/>
    <tableColumn id="8" name="(H)_x000a_Net Program Costs_x000a_Sum (C through G)" totalsRowFunction="sum" dataDxfId="2207" totalsRowDxfId="2206"/>
    <tableColumn id="9" name="(I)_x000a_Payments_x000a_ and Offsets" totalsRowFunction="sum" dataDxfId="2205" totalsRowDxfId="2204"/>
    <tableColumn id="10" name="(J)_x000a_Accounts Payable Balance_x000a_(H + I)" totalsRowFunction="sum" dataDxfId="2203" totalsRowDxfId="2202"/>
    <tableColumn id="11" name="(K)_x000a_Established _x000a_Accounts Receivable" totalsRowFunction="sum" dataDxfId="2201" totalsRowDxfId="2200"/>
    <tableColumn id="12" name="(L)_x000a_Recovered_x000a_ Accounts Receivable" totalsRowFunction="sum" dataDxfId="2199" totalsRowDxfId="2198"/>
    <tableColumn id="13" name="(M)_x000a_Accounts Receivable Balance_x000a_(K + L)" totalsRowFunction="sum" dataDxfId="2197" totalsRowDxfId="2196"/>
    <tableColumn id="14" name="(N)_x000a_Net Balance_x000a_(J minus M)" totalsRowFunction="sum" dataDxfId="2195" totalsRowDxfId="21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6.xml><?xml version="1.0" encoding="utf-8"?>
<table xmlns="http://schemas.openxmlformats.org/spreadsheetml/2006/main" id="236" name="Program182" displayName="Program182" ref="A1494:N1511" totalsRowCount="1" headerRowDxfId="2193" dataDxfId="2191" totalsRowDxfId="2189" headerRowBorderDxfId="2192" tableBorderDxfId="2190" totalsRowBorderDxfId="2188">
  <autoFilter ref="A1494:N1510"/>
  <tableColumns count="14">
    <tableColumn id="1" name="(A)_x000a_Program Name" totalsRowLabel="Total Program 182" dataDxfId="2187" totalsRowDxfId="2186"/>
    <tableColumn id="2" name="(B)_x000a_Fiscal _x000a_Year" totalsRowLabel="N/A" dataDxfId="2185" totalsRowDxfId="2184"/>
    <tableColumn id="3" name="(C)_x000a_Program_x000a_Costs" totalsRowFunction="sum" dataDxfId="2183" totalsRowDxfId="2182"/>
    <tableColumn id="4" name="(D)_x000a_Prior Period Adjustments" totalsRowFunction="sum" dataDxfId="2181" totalsRowDxfId="2180"/>
    <tableColumn id="5" name="(E)_x000a_Current Period Desk _x000a_Reviews" totalsRowFunction="sum" dataDxfId="2179" totalsRowDxfId="2178"/>
    <tableColumn id="6" name="(F)_x000a_Current Period _x000a_Final _x000a_Audits" totalsRowFunction="sum" dataDxfId="2177" totalsRowDxfId="2176"/>
    <tableColumn id="7" name="(G)_x000a_Current Period _x000a_Other Adjustments" totalsRowFunction="sum" dataDxfId="2175" totalsRowDxfId="2174"/>
    <tableColumn id="8" name="(H)_x000a_Net Program Costs_x000a_Sum (C through G)" totalsRowFunction="sum" dataDxfId="2173" totalsRowDxfId="2172"/>
    <tableColumn id="9" name="(I)_x000a_Payments_x000a_ and Offsets" totalsRowFunction="sum" dataDxfId="2171" totalsRowDxfId="2170"/>
    <tableColumn id="10" name="(J)_x000a_Accounts Payable Balance_x000a_(H + I)" totalsRowFunction="sum" dataDxfId="2169" totalsRowDxfId="2168"/>
    <tableColumn id="11" name="(K)_x000a_Established _x000a_Accounts Receivable" totalsRowFunction="sum" dataDxfId="2167" totalsRowDxfId="2166"/>
    <tableColumn id="12" name="(L)_x000a_Recovered_x000a_ Accounts Receivable" totalsRowFunction="sum" dataDxfId="2165" totalsRowDxfId="2164"/>
    <tableColumn id="13" name="(M)_x000a_Accounts Receivable Balance_x000a_(K + L)" totalsRowFunction="sum" dataDxfId="2163" totalsRowDxfId="2162"/>
    <tableColumn id="14" name="(N)_x000a_Net Balance_x000a_(J minus M)" totalsRowFunction="sum" dataDxfId="2161" totalsRowDxfId="21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7.xml><?xml version="1.0" encoding="utf-8"?>
<table xmlns="http://schemas.openxmlformats.org/spreadsheetml/2006/main" id="237" name="Program280" displayName="Program280" ref="A1513:N1528" totalsRowCount="1" headerRowDxfId="2159" dataDxfId="2157" totalsRowDxfId="2155" headerRowBorderDxfId="2158" tableBorderDxfId="2156" totalsRowBorderDxfId="2154">
  <autoFilter ref="A1513:N1527"/>
  <tableColumns count="14">
    <tableColumn id="1" name="(A)_x000a_Program Name" totalsRowLabel="Total Program 280" dataDxfId="2153" totalsRowDxfId="2152"/>
    <tableColumn id="2" name="(B)_x000a_Fiscal _x000a_Year" totalsRowLabel="N/A" dataDxfId="2151" totalsRowDxfId="2150"/>
    <tableColumn id="3" name="(C)_x000a_Program_x000a_Costs" totalsRowFunction="sum" dataDxfId="2149" totalsRowDxfId="2148"/>
    <tableColumn id="4" name="(D)_x000a_Prior Period Adjustments" totalsRowFunction="sum" dataDxfId="2147" totalsRowDxfId="2146"/>
    <tableColumn id="5" name="(E)_x000a_Current Period Desk _x000a_Reviews" totalsRowFunction="sum" dataDxfId="2145" totalsRowDxfId="2144"/>
    <tableColumn id="6" name="(F)_x000a_Current Period _x000a_Final _x000a_Audits" totalsRowFunction="sum" dataDxfId="2143" totalsRowDxfId="2142"/>
    <tableColumn id="7" name="(G)_x000a_Current Period _x000a_Other Adjustments" totalsRowFunction="sum" dataDxfId="2141" totalsRowDxfId="2140"/>
    <tableColumn id="8" name="(H)_x000a_Net Program Costs_x000a_Sum (C through G)" totalsRowFunction="sum" dataDxfId="2139" totalsRowDxfId="2138"/>
    <tableColumn id="9" name="(I)_x000a_Payments_x000a_ and Offsets" totalsRowFunction="sum" dataDxfId="2137" totalsRowDxfId="2136"/>
    <tableColumn id="10" name="(J)_x000a_Accounts Payable Balance_x000a_(H + I)" totalsRowFunction="sum" dataDxfId="2135" totalsRowDxfId="2134"/>
    <tableColumn id="11" name="(K)_x000a_Established _x000a_Accounts Receivable" totalsRowFunction="sum" dataDxfId="2133" totalsRowDxfId="2132"/>
    <tableColumn id="12" name="(L)_x000a_Recovered_x000a_ Accounts Receivable" totalsRowFunction="sum" dataDxfId="2131" totalsRowDxfId="2130"/>
    <tableColumn id="13" name="(M)_x000a_Accounts Receivable Balance_x000a_(K + L)" totalsRowFunction="sum" dataDxfId="2129" totalsRowDxfId="2128"/>
    <tableColumn id="14" name="(N)_x000a_Net Balance_x000a_(J minus M)" totalsRowFunction="sum" dataDxfId="2127" totalsRowDxfId="21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8.xml><?xml version="1.0" encoding="utf-8"?>
<table xmlns="http://schemas.openxmlformats.org/spreadsheetml/2006/main" id="238" name="Program176" displayName="Program176" ref="A1530:N1550" totalsRowCount="1" headerRowDxfId="2125" dataDxfId="2123" totalsRowDxfId="2121" headerRowBorderDxfId="2124" tableBorderDxfId="2122" totalsRowBorderDxfId="2120">
  <autoFilter ref="A1530:N1549"/>
  <tableColumns count="14">
    <tableColumn id="1" name="(A)_x000a_Program Name" totalsRowLabel="Total Program 176" dataDxfId="2119" totalsRowDxfId="2118"/>
    <tableColumn id="2" name="(B)_x000a_Fiscal _x000a_Year" totalsRowLabel="N/A" dataDxfId="2117" totalsRowDxfId="2116"/>
    <tableColumn id="3" name="(C)_x000a_Program_x000a_Costs" totalsRowFunction="sum" dataDxfId="2115" totalsRowDxfId="2114"/>
    <tableColumn id="4" name="(D)_x000a_Prior Period Adjustments" totalsRowFunction="sum" dataDxfId="2113" totalsRowDxfId="2112"/>
    <tableColumn id="5" name="(E)_x000a_Current Period Desk _x000a_Reviews" totalsRowFunction="sum" dataDxfId="2111" totalsRowDxfId="2110"/>
    <tableColumn id="6" name="(F)_x000a_Current Period _x000a_Final _x000a_Audits" totalsRowFunction="sum" dataDxfId="2109" totalsRowDxfId="2108"/>
    <tableColumn id="7" name="(G)_x000a_Current Period _x000a_Other Adjustments" totalsRowFunction="sum" dataDxfId="2107" totalsRowDxfId="2106"/>
    <tableColumn id="8" name="(H)_x000a_Net Program Costs_x000a_Sum (C through G)" totalsRowFunction="sum" dataDxfId="2105" totalsRowDxfId="2104"/>
    <tableColumn id="9" name="(I)_x000a_Payments_x000a_ and Offsets" totalsRowFunction="sum" dataDxfId="2103" totalsRowDxfId="2102"/>
    <tableColumn id="10" name="(J)_x000a_Accounts Payable Balance_x000a_(H + I)" totalsRowFunction="sum" dataDxfId="2101" totalsRowDxfId="2100"/>
    <tableColumn id="11" name="(K)_x000a_Established _x000a_Accounts Receivable" totalsRowFunction="sum" dataDxfId="2099" totalsRowDxfId="2098"/>
    <tableColumn id="12" name="(L)_x000a_Recovered_x000a_ Accounts Receivable" totalsRowFunction="sum" dataDxfId="2097" totalsRowDxfId="2096"/>
    <tableColumn id="13" name="(M)_x000a_Accounts Receivable Balance_x000a_(K + L)" totalsRowFunction="sum" dataDxfId="2095" totalsRowDxfId="2094"/>
    <tableColumn id="14" name="(N)_x000a_Net Balance_x000a_(J minus M)" totalsRowFunction="sum" dataDxfId="2093" totalsRowDxfId="20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39.xml><?xml version="1.0" encoding="utf-8"?>
<table xmlns="http://schemas.openxmlformats.org/spreadsheetml/2006/main" id="239" name="Program362" displayName="Program362" ref="A1552:N1559" totalsRowCount="1" headerRowDxfId="2091" dataDxfId="2089" totalsRowDxfId="2087" headerRowBorderDxfId="2090" tableBorderDxfId="2088" totalsRowBorderDxfId="2086">
  <autoFilter ref="A1552:N1558"/>
  <tableColumns count="14">
    <tableColumn id="1" name="(A)_x000a_Program Name" totalsRowLabel="Total Program 362" dataDxfId="2085" totalsRowDxfId="2084"/>
    <tableColumn id="2" name="(B)_x000a_Fiscal _x000a_Year" totalsRowLabel="N/A" dataDxfId="2083" totalsRowDxfId="2082"/>
    <tableColumn id="3" name="(C)_x000a_Program_x000a_Costs" totalsRowFunction="sum" dataDxfId="2081" totalsRowDxfId="2080"/>
    <tableColumn id="4" name="(D)_x000a_Prior Period Adjustments" totalsRowFunction="sum" dataDxfId="2079" totalsRowDxfId="2078"/>
    <tableColumn id="5" name="(E)_x000a_Current Period Desk _x000a_Reviews" totalsRowFunction="sum" dataDxfId="2077" totalsRowDxfId="2076"/>
    <tableColumn id="6" name="(F)_x000a_Current Period _x000a_Final _x000a_Audits" totalsRowFunction="sum" dataDxfId="2075" totalsRowDxfId="2074"/>
    <tableColumn id="7" name="(G)_x000a_Current Period _x000a_Other Adjustments" totalsRowFunction="sum" dataDxfId="2073" totalsRowDxfId="2072"/>
    <tableColumn id="8" name="(H)_x000a_Net Program Costs_x000a_Sum (C through G)" totalsRowFunction="sum" dataDxfId="2071" totalsRowDxfId="2070"/>
    <tableColumn id="9" name="(I)_x000a_Payments_x000a_ and Offsets" totalsRowFunction="sum" dataDxfId="2069" totalsRowDxfId="2068"/>
    <tableColumn id="10" name="(J)_x000a_Accounts Payable Balance_x000a_(H + I)" totalsRowFunction="sum" dataDxfId="2067" totalsRowDxfId="2066"/>
    <tableColumn id="11" name="(K)_x000a_Established _x000a_Accounts Receivable" totalsRowFunction="sum" dataDxfId="2065" totalsRowDxfId="2064"/>
    <tableColumn id="12" name="(L)_x000a_Recovered_x000a_ Accounts Receivable" totalsRowFunction="sum" dataDxfId="2063" totalsRowDxfId="2062"/>
    <tableColumn id="13" name="(M)_x000a_Accounts Receivable Balance_x000a_(K + L)" totalsRowFunction="sum" dataDxfId="2061" totalsRowDxfId="2060"/>
    <tableColumn id="14" name="(N)_x000a_Net Balance_x000a_(J minus M)" totalsRowFunction="sum" dataDxfId="2059" totalsRowDxfId="20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.xml><?xml version="1.0" encoding="utf-8"?>
<table xmlns="http://schemas.openxmlformats.org/spreadsheetml/2006/main" id="24" name="Program207" displayName="Program207" ref="A253:N262" totalsRowCount="1" headerRowDxfId="9344" dataDxfId="9342" totalsRowDxfId="9340" headerRowBorderDxfId="9343" tableBorderDxfId="9341" totalsRowBorderDxfId="9339">
  <autoFilter ref="A253:N261"/>
  <tableColumns count="14">
    <tableColumn id="1" name="(A)_x000a_Program Name" totalsRowLabel="Total Program 207" dataDxfId="9338" totalsRowDxfId="9337"/>
    <tableColumn id="2" name="(B)_x000a_Fiscal _x000a_Year" totalsRowLabel="N/A" dataDxfId="9336" totalsRowDxfId="9335"/>
    <tableColumn id="3" name="(C)_x000a_Program_x000a_Costs" totalsRowFunction="sum" dataDxfId="9334" totalsRowDxfId="9333"/>
    <tableColumn id="4" name="(D)_x000a_Prior Period Adjustments" totalsRowFunction="sum" dataDxfId="9332" totalsRowDxfId="9331"/>
    <tableColumn id="5" name="(E)_x000a_Current Period Desk _x000a_Reviews" totalsRowFunction="sum" dataDxfId="9330" totalsRowDxfId="9329"/>
    <tableColumn id="6" name="(F)_x000a_Current Period _x000a_Final _x000a_Audits" totalsRowFunction="sum" dataDxfId="9328" totalsRowDxfId="9327"/>
    <tableColumn id="7" name="(G)_x000a_Current Period _x000a_Other Adjustments" totalsRowFunction="sum" dataDxfId="9326" totalsRowDxfId="9325"/>
    <tableColumn id="8" name="(H)_x000a_Net Program Costs_x000a_Sum (C through G)" totalsRowFunction="sum" dataDxfId="9324" totalsRowDxfId="9323"/>
    <tableColumn id="9" name="(I)_x000a_Payments_x000a_ and Offsets" totalsRowFunction="sum" dataDxfId="9322" totalsRowDxfId="9321"/>
    <tableColumn id="10" name="(J)_x000a_Accounts Payable Balance_x000a_(H + I)" totalsRowFunction="sum" dataDxfId="9320" totalsRowDxfId="9319"/>
    <tableColumn id="11" name="(K)_x000a_Established _x000a_Accounts Receivable" totalsRowFunction="sum" dataDxfId="9318" totalsRowDxfId="9317"/>
    <tableColumn id="12" name="(L)_x000a_Recovered_x000a_ Accounts Receivable" totalsRowFunction="sum" dataDxfId="9316" totalsRowDxfId="9315"/>
    <tableColumn id="13" name="(M)_x000a_Accounts Receivable Balance_x000a_(K + L)" totalsRowFunction="sum" dataDxfId="9314" totalsRowDxfId="9313"/>
    <tableColumn id="14" name="(N)_x000a_Net Balance_x000a_(J minus M)" totalsRowFunction="sum" dataDxfId="9312" totalsRowDxfId="93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0.xml><?xml version="1.0" encoding="utf-8"?>
<table xmlns="http://schemas.openxmlformats.org/spreadsheetml/2006/main" id="240" name="Program057" displayName="Program057" ref="A1561:N1589" totalsRowCount="1" headerRowDxfId="2057" dataDxfId="2055" totalsRowDxfId="2053" headerRowBorderDxfId="2056" tableBorderDxfId="2054" totalsRowBorderDxfId="2052">
  <autoFilter ref="A1561:N1588"/>
  <tableColumns count="14">
    <tableColumn id="1" name="(A)_x000a_Program Name" totalsRowLabel="Total Program 57" dataDxfId="2051" totalsRowDxfId="2050"/>
    <tableColumn id="2" name="(B)_x000a_Fiscal _x000a_Year" totalsRowLabel="N/A" dataDxfId="2049" totalsRowDxfId="2048"/>
    <tableColumn id="3" name="(C)_x000a_Program_x000a_Costs" totalsRowFunction="sum" dataDxfId="2047" totalsRowDxfId="2046"/>
    <tableColumn id="4" name="(D)_x000a_Prior Period Adjustments" totalsRowFunction="sum" dataDxfId="2045" totalsRowDxfId="2044"/>
    <tableColumn id="5" name="(E)_x000a_Current Period Desk _x000a_Reviews" totalsRowFunction="sum" dataDxfId="2043" totalsRowDxfId="2042"/>
    <tableColumn id="6" name="(F)_x000a_Current Period _x000a_Final _x000a_Audits" totalsRowFunction="sum" dataDxfId="2041" totalsRowDxfId="2040"/>
    <tableColumn id="7" name="(G)_x000a_Current Period _x000a_Other Adjustments" totalsRowFunction="sum" dataDxfId="2039" totalsRowDxfId="2038"/>
    <tableColumn id="8" name="(H)_x000a_Net Program Costs_x000a_Sum (C through G)" totalsRowFunction="sum" dataDxfId="2037" totalsRowDxfId="2036"/>
    <tableColumn id="9" name="(I)_x000a_Payments_x000a_ and Offsets" totalsRowFunction="sum" dataDxfId="2035" totalsRowDxfId="2034"/>
    <tableColumn id="10" name="(J)_x000a_Accounts Payable Balance_x000a_(H + I)" totalsRowFunction="sum" dataDxfId="2033" totalsRowDxfId="2032"/>
    <tableColumn id="11" name="(K)_x000a_Established _x000a_Accounts Receivable" totalsRowFunction="sum" dataDxfId="2031" totalsRowDxfId="2030"/>
    <tableColumn id="12" name="(L)_x000a_Recovered_x000a_ Accounts Receivable" totalsRowFunction="sum" dataDxfId="2029" totalsRowDxfId="2028"/>
    <tableColumn id="13" name="(M)_x000a_Accounts Receivable Balance_x000a_(K + L)" totalsRowFunction="sum" dataDxfId="2027" totalsRowDxfId="2026"/>
    <tableColumn id="14" name="(N)_x000a_Net Balance_x000a_(J minus M)" totalsRowFunction="sum" dataDxfId="2025" totalsRowDxfId="20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1.xml><?xml version="1.0" encoding="utf-8"?>
<table xmlns="http://schemas.openxmlformats.org/spreadsheetml/2006/main" id="241" name="Program171" displayName="Program171" ref="A1591:N1616" totalsRowCount="1" headerRowDxfId="2023" dataDxfId="2021" totalsRowDxfId="2019" headerRowBorderDxfId="2022" tableBorderDxfId="2020" totalsRowBorderDxfId="2018">
  <autoFilter ref="A1591:N1615"/>
  <tableColumns count="14">
    <tableColumn id="1" name="(A)_x000a_Program Name" totalsRowLabel="Total Program 171" dataDxfId="2017" totalsRowDxfId="2016"/>
    <tableColumn id="2" name="(B)_x000a_Fiscal _x000a_Year" totalsRowLabel="N/A" dataDxfId="2015" totalsRowDxfId="2014"/>
    <tableColumn id="3" name="(C)_x000a_Program_x000a_Costs" totalsRowFunction="sum" dataDxfId="2013" totalsRowDxfId="2012"/>
    <tableColumn id="4" name="(D)_x000a_Prior Period Adjustments" totalsRowFunction="sum" dataDxfId="2011" totalsRowDxfId="2010"/>
    <tableColumn id="5" name="(E)_x000a_Current Period Desk _x000a_Reviews" totalsRowFunction="sum" dataDxfId="2009" totalsRowDxfId="2008"/>
    <tableColumn id="6" name="(F)_x000a_Current Period _x000a_Final _x000a_Audits" totalsRowFunction="sum" dataDxfId="2007" totalsRowDxfId="2006"/>
    <tableColumn id="7" name="(G)_x000a_Current Period _x000a_Other Adjustments" totalsRowFunction="sum" dataDxfId="2005" totalsRowDxfId="2004"/>
    <tableColumn id="8" name="(H)_x000a_Net Program Costs_x000a_Sum (C through G)" totalsRowFunction="sum" dataDxfId="2003" totalsRowDxfId="2002"/>
    <tableColumn id="9" name="(I)_x000a_Payments_x000a_ and Offsets" totalsRowFunction="sum" dataDxfId="2001" totalsRowDxfId="2000"/>
    <tableColumn id="10" name="(J)_x000a_Accounts Payable Balance_x000a_(H + I)" totalsRowFunction="sum" dataDxfId="1999" totalsRowDxfId="1998"/>
    <tableColumn id="11" name="(K)_x000a_Established _x000a_Accounts Receivable" totalsRowFunction="sum" dataDxfId="1997" totalsRowDxfId="1996"/>
    <tableColumn id="12" name="(L)_x000a_Recovered_x000a_ Accounts Receivable" totalsRowFunction="sum" dataDxfId="1995" totalsRowDxfId="1994"/>
    <tableColumn id="13" name="(M)_x000a_Accounts Receivable Balance_x000a_(K + L)" totalsRowFunction="sum" dataDxfId="1993" totalsRowDxfId="1992"/>
    <tableColumn id="14" name="(N)_x000a_Net Balance_x000a_(J minus M)" totalsRowFunction="sum" dataDxfId="1991" totalsRowDxfId="19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2.xml><?xml version="1.0" encoding="utf-8"?>
<table xmlns="http://schemas.openxmlformats.org/spreadsheetml/2006/main" id="242" name="Program137" displayName="Program137" ref="A1618:N1627" totalsRowCount="1" headerRowDxfId="1989" dataDxfId="1987" totalsRowDxfId="1985" headerRowBorderDxfId="1988" tableBorderDxfId="1986" totalsRowBorderDxfId="1984">
  <autoFilter ref="A1618:N1626"/>
  <tableColumns count="14">
    <tableColumn id="1" name="(A)_x000a_Program Name" totalsRowLabel="Total Program 137" dataDxfId="1983" totalsRowDxfId="1982"/>
    <tableColumn id="2" name="(B)_x000a_Fiscal _x000a_Year" totalsRowLabel="N/A" dataDxfId="1981" totalsRowDxfId="1980"/>
    <tableColumn id="3" name="(C)_x000a_Program_x000a_Costs" totalsRowFunction="sum" dataDxfId="1979" totalsRowDxfId="1978"/>
    <tableColumn id="4" name="(D)_x000a_Prior Period Adjustments" totalsRowFunction="sum" dataDxfId="1977" totalsRowDxfId="1976"/>
    <tableColumn id="5" name="(E)_x000a_Current Period Desk _x000a_Reviews" totalsRowFunction="sum" dataDxfId="1975" totalsRowDxfId="1974"/>
    <tableColumn id="6" name="(F)_x000a_Current Period _x000a_Final _x000a_Audits" totalsRowFunction="sum" dataDxfId="1973" totalsRowDxfId="1972"/>
    <tableColumn id="7" name="(G)_x000a_Current Period _x000a_Other Adjustments" totalsRowFunction="sum" dataDxfId="1971" totalsRowDxfId="1970"/>
    <tableColumn id="8" name="(H)_x000a_Net Program Costs_x000a_Sum (C through G)" totalsRowFunction="sum" dataDxfId="1969" totalsRowDxfId="1968"/>
    <tableColumn id="9" name="(I)_x000a_Payments_x000a_ and Offsets" totalsRowFunction="sum" dataDxfId="1967" totalsRowDxfId="1966"/>
    <tableColumn id="10" name="(J)_x000a_Accounts Payable Balance_x000a_(H + I)" totalsRowFunction="sum" dataDxfId="1965" totalsRowDxfId="1964"/>
    <tableColumn id="11" name="(K)_x000a_Established _x000a_Accounts Receivable" totalsRowFunction="sum" dataDxfId="1963" totalsRowDxfId="1962"/>
    <tableColumn id="12" name="(L)_x000a_Recovered_x000a_ Accounts Receivable" totalsRowFunction="sum" dataDxfId="1961" totalsRowDxfId="1960"/>
    <tableColumn id="13" name="(M)_x000a_Accounts Receivable Balance_x000a_(K + L)" totalsRowFunction="sum" dataDxfId="1959" totalsRowDxfId="1958"/>
    <tableColumn id="14" name="(N)_x000a_Net Balance_x000a_(J minus M)" totalsRowFunction="sum" dataDxfId="1957" totalsRowDxfId="19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3.xml><?xml version="1.0" encoding="utf-8"?>
<table xmlns="http://schemas.openxmlformats.org/spreadsheetml/2006/main" id="243" name="Program184" displayName="Program184" ref="A1629:N1637" totalsRowCount="1" headerRowDxfId="1955" dataDxfId="1953" totalsRowDxfId="1951" headerRowBorderDxfId="1954" tableBorderDxfId="1952" totalsRowBorderDxfId="1950">
  <autoFilter ref="A1629:N1636"/>
  <tableColumns count="14">
    <tableColumn id="1" name="(A)_x000a_Program Name" totalsRowLabel="Total Program 184" dataDxfId="1949" totalsRowDxfId="1948"/>
    <tableColumn id="2" name="(B)_x000a_Fiscal _x000a_Year" totalsRowLabel="N/A" dataDxfId="1947" totalsRowDxfId="1946"/>
    <tableColumn id="3" name="(C)_x000a_Program_x000a_Costs" totalsRowFunction="sum" dataDxfId="1945" totalsRowDxfId="1944"/>
    <tableColumn id="4" name="(D)_x000a_Prior Period Adjustments" totalsRowFunction="sum" dataDxfId="1943" totalsRowDxfId="1942"/>
    <tableColumn id="5" name="(E)_x000a_Current Period Desk _x000a_Reviews" totalsRowFunction="sum" dataDxfId="1941" totalsRowDxfId="1940"/>
    <tableColumn id="6" name="(F)_x000a_Current Period _x000a_Final _x000a_Audits" totalsRowFunction="sum" dataDxfId="1939" totalsRowDxfId="1938"/>
    <tableColumn id="7" name="(G)_x000a_Current Period _x000a_Other Adjustments" totalsRowFunction="sum" dataDxfId="1937" totalsRowDxfId="1936"/>
    <tableColumn id="8" name="(H)_x000a_Net Program Costs_x000a_Sum (C through G)" totalsRowFunction="sum" dataDxfId="1935" totalsRowDxfId="1934"/>
    <tableColumn id="9" name="(I)_x000a_Payments_x000a_ and Offsets" totalsRowFunction="sum" dataDxfId="1933" totalsRowDxfId="1932"/>
    <tableColumn id="10" name="(J)_x000a_Accounts Payable Balance_x000a_(H + I)" totalsRowFunction="sum" dataDxfId="1931" totalsRowDxfId="1930"/>
    <tableColumn id="11" name="(K)_x000a_Established _x000a_Accounts Receivable" totalsRowFunction="sum" dataDxfId="1929" totalsRowDxfId="1928"/>
    <tableColumn id="12" name="(L)_x000a_Recovered_x000a_ Accounts Receivable" totalsRowFunction="sum" dataDxfId="1927" totalsRowDxfId="1926"/>
    <tableColumn id="13" name="(M)_x000a_Accounts Receivable Balance_x000a_(K + L)" totalsRowFunction="sum" dataDxfId="1925" totalsRowDxfId="1924"/>
    <tableColumn id="14" name="(N)_x000a_Net Balance_x000a_(J minus M)" totalsRowFunction="sum" dataDxfId="1923" totalsRowDxfId="19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4.xml><?xml version="1.0" encoding="utf-8"?>
<table xmlns="http://schemas.openxmlformats.org/spreadsheetml/2006/main" id="244" name="Program190" displayName="Program190" ref="A1639:N1647" totalsRowCount="1" headerRowDxfId="1921" dataDxfId="1919" totalsRowDxfId="1917" headerRowBorderDxfId="1920" tableBorderDxfId="1918" totalsRowBorderDxfId="1916">
  <autoFilter ref="A1639:N1646"/>
  <tableColumns count="14">
    <tableColumn id="1" name="(A)_x000a_Program Name" totalsRowLabel="Total Program 190" dataDxfId="1915" totalsRowDxfId="1914"/>
    <tableColumn id="2" name="(B)_x000a_Fiscal _x000a_Year" totalsRowLabel="N/A" dataDxfId="1913" totalsRowDxfId="1912"/>
    <tableColumn id="3" name="(C)_x000a_Program_x000a_Costs" totalsRowFunction="sum" dataDxfId="1911" totalsRowDxfId="1910"/>
    <tableColumn id="4" name="(D)_x000a_Prior Period Adjustments" totalsRowFunction="sum" dataDxfId="1909" totalsRowDxfId="1908"/>
    <tableColumn id="5" name="(E)_x000a_Current Period Desk _x000a_Reviews" totalsRowFunction="sum" dataDxfId="1907" totalsRowDxfId="1906"/>
    <tableColumn id="6" name="(F)_x000a_Current Period _x000a_Final _x000a_Audits" totalsRowFunction="sum" dataDxfId="1905" totalsRowDxfId="1904"/>
    <tableColumn id="7" name="(G)_x000a_Current Period _x000a_Other Adjustments" totalsRowFunction="sum" dataDxfId="1903" totalsRowDxfId="1902"/>
    <tableColumn id="8" name="(H)_x000a_Net Program Costs_x000a_Sum (C through G)" totalsRowFunction="sum" dataDxfId="1901" totalsRowDxfId="1900"/>
    <tableColumn id="9" name="(I)_x000a_Payments_x000a_ and Offsets" totalsRowFunction="sum" dataDxfId="1899" totalsRowDxfId="1898"/>
    <tableColumn id="10" name="(J)_x000a_Accounts Payable Balance_x000a_(H + I)" totalsRowFunction="sum" dataDxfId="1897" totalsRowDxfId="1896"/>
    <tableColumn id="11" name="(K)_x000a_Established _x000a_Accounts Receivable" totalsRowFunction="sum" dataDxfId="1895" totalsRowDxfId="1894"/>
    <tableColumn id="12" name="(L)_x000a_Recovered_x000a_ Accounts Receivable" totalsRowFunction="sum" dataDxfId="1893" totalsRowDxfId="1892"/>
    <tableColumn id="13" name="(M)_x000a_Accounts Receivable Balance_x000a_(K + L)" totalsRowFunction="sum" dataDxfId="1891" totalsRowDxfId="1890"/>
    <tableColumn id="14" name="(N)_x000a_Net Balance_x000a_(J minus M)" totalsRowFunction="sum" dataDxfId="1889" totalsRowDxfId="18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5.xml><?xml version="1.0" encoding="utf-8"?>
<table xmlns="http://schemas.openxmlformats.org/spreadsheetml/2006/main" id="245" name="Program109" displayName="Program109" ref="A1649:N1661" totalsRowCount="1" headerRowDxfId="1887" dataDxfId="1885" totalsRowDxfId="1883" headerRowBorderDxfId="1886" tableBorderDxfId="1884" totalsRowBorderDxfId="1882">
  <autoFilter ref="A1649:N1660"/>
  <tableColumns count="14">
    <tableColumn id="1" name="(A)_x000a_Program Name" totalsRowLabel="Total Program 109" dataDxfId="1881" totalsRowDxfId="1880"/>
    <tableColumn id="2" name="(B)_x000a_Fiscal _x000a_Year" totalsRowLabel="N/A" dataDxfId="1879" totalsRowDxfId="1878"/>
    <tableColumn id="3" name="(C)_x000a_Program_x000a_Costs" totalsRowFunction="sum" dataDxfId="1877" totalsRowDxfId="1876"/>
    <tableColumn id="4" name="(D)_x000a_Prior Period Adjustments" totalsRowFunction="sum" dataDxfId="1875" totalsRowDxfId="1874"/>
    <tableColumn id="5" name="(E)_x000a_Current Period Desk _x000a_Reviews" totalsRowFunction="sum" dataDxfId="1873" totalsRowDxfId="1872"/>
    <tableColumn id="6" name="(F)_x000a_Current Period _x000a_Final _x000a_Audits" totalsRowFunction="sum" dataDxfId="1871" totalsRowDxfId="1870"/>
    <tableColumn id="7" name="(G)_x000a_Current Period _x000a_Other Adjustments" totalsRowFunction="sum" dataDxfId="1869" totalsRowDxfId="1868"/>
    <tableColumn id="8" name="(H)_x000a_Net Program Costs_x000a_Sum (C through G)" totalsRowFunction="sum" dataDxfId="1867" totalsRowDxfId="1866"/>
    <tableColumn id="9" name="(I)_x000a_Payments_x000a_ and Offsets" totalsRowFunction="sum" dataDxfId="1865" totalsRowDxfId="1864"/>
    <tableColumn id="10" name="(J)_x000a_Accounts Payable Balance_x000a_(H + I)" totalsRowFunction="sum" dataDxfId="1863" totalsRowDxfId="1862"/>
    <tableColumn id="11" name="(K)_x000a_Established _x000a_Accounts Receivable" totalsRowFunction="sum" dataDxfId="1861" totalsRowDxfId="1860"/>
    <tableColumn id="12" name="(L)_x000a_Recovered_x000a_ Accounts Receivable" totalsRowFunction="sum" dataDxfId="1859" totalsRowDxfId="1858"/>
    <tableColumn id="13" name="(M)_x000a_Accounts Receivable Balance_x000a_(K + L)" totalsRowFunction="sum" dataDxfId="1857" totalsRowDxfId="1856"/>
    <tableColumn id="14" name="(N)_x000a_Net Balance_x000a_(J minus M)" totalsRowFunction="sum" dataDxfId="1855" totalsRowDxfId="18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6.xml><?xml version="1.0" encoding="utf-8"?>
<table xmlns="http://schemas.openxmlformats.org/spreadsheetml/2006/main" id="246" name="Program211" displayName="Program211" ref="A1663:N1675" totalsRowCount="1" headerRowDxfId="1853" dataDxfId="1851" totalsRowDxfId="1849" headerRowBorderDxfId="1852" tableBorderDxfId="1850" totalsRowBorderDxfId="1848">
  <autoFilter ref="A1663:N1674"/>
  <tableColumns count="14">
    <tableColumn id="1" name="(A)_x000a_Program Name" totalsRowLabel="Total Program 211" dataDxfId="1847" totalsRowDxfId="1846"/>
    <tableColumn id="2" name="(B)_x000a_Fiscal _x000a_Year" totalsRowLabel="N/A" dataDxfId="1845" totalsRowDxfId="1844"/>
    <tableColumn id="3" name="(C)_x000a_Program_x000a_Costs" totalsRowFunction="sum" dataDxfId="1843" totalsRowDxfId="1842"/>
    <tableColumn id="4" name="(D)_x000a_Prior Period Adjustments" totalsRowFunction="sum" dataDxfId="1841" totalsRowDxfId="1840"/>
    <tableColumn id="5" name="(E)_x000a_Current Period Desk _x000a_Reviews" totalsRowFunction="sum" dataDxfId="1839" totalsRowDxfId="1838"/>
    <tableColumn id="6" name="(F)_x000a_Current Period _x000a_Final _x000a_Audits" totalsRowFunction="sum" dataDxfId="1837" totalsRowDxfId="1836"/>
    <tableColumn id="7" name="(G)_x000a_Current Period _x000a_Other Adjustments" totalsRowFunction="sum" dataDxfId="1835" totalsRowDxfId="1834"/>
    <tableColumn id="8" name="(H)_x000a_Net Program Costs_x000a_Sum (C through G)" totalsRowFunction="sum" dataDxfId="1833" totalsRowDxfId="1832"/>
    <tableColumn id="9" name="(I)_x000a_Payments_x000a_ and Offsets" totalsRowFunction="sum" dataDxfId="1831" totalsRowDxfId="1830"/>
    <tableColumn id="10" name="(J)_x000a_Accounts Payable Balance_x000a_(H + I)" totalsRowFunction="sum" dataDxfId="1829" totalsRowDxfId="1828"/>
    <tableColumn id="11" name="(K)_x000a_Established _x000a_Accounts Receivable" totalsRowFunction="sum" dataDxfId="1827" totalsRowDxfId="1826"/>
    <tableColumn id="12" name="(L)_x000a_Recovered_x000a_ Accounts Receivable" totalsRowFunction="sum" dataDxfId="1825" totalsRowDxfId="1824"/>
    <tableColumn id="13" name="(M)_x000a_Accounts Receivable Balance_x000a_(K + L)" totalsRowFunction="sum" dataDxfId="1823" totalsRowDxfId="1822"/>
    <tableColumn id="14" name="(N)_x000a_Net Balance_x000a_(J minus M)" totalsRowFunction="sum" dataDxfId="1821" totalsRowDxfId="18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7.xml><?xml version="1.0" encoding="utf-8"?>
<table xmlns="http://schemas.openxmlformats.org/spreadsheetml/2006/main" id="247" name="Program258" displayName="Program258" ref="A1677:N1693" totalsRowCount="1" headerRowDxfId="1819" dataDxfId="1817" totalsRowDxfId="1815" headerRowBorderDxfId="1818" tableBorderDxfId="1816" totalsRowBorderDxfId="1814">
  <autoFilter ref="A1677:N1692"/>
  <tableColumns count="14">
    <tableColumn id="1" name="(A)_x000a_Program Name" totalsRowLabel="Total Program 258" dataDxfId="1813" totalsRowDxfId="1812"/>
    <tableColumn id="2" name="(B)_x000a_Fiscal _x000a_Year" totalsRowLabel="N/A" dataDxfId="1811" totalsRowDxfId="1810"/>
    <tableColumn id="3" name="(C)_x000a_Program_x000a_Costs" totalsRowFunction="sum" dataDxfId="1809" totalsRowDxfId="1808"/>
    <tableColumn id="4" name="(D)_x000a_Prior Period Adjustments" totalsRowFunction="sum" dataDxfId="1807" totalsRowDxfId="1806"/>
    <tableColumn id="5" name="(E)_x000a_Current Period Desk _x000a_Reviews" totalsRowFunction="sum" dataDxfId="1805" totalsRowDxfId="1804"/>
    <tableColumn id="6" name="(F)_x000a_Current Period _x000a_Final _x000a_Audits" totalsRowFunction="sum" dataDxfId="1803" totalsRowDxfId="1802"/>
    <tableColumn id="7" name="(G)_x000a_Current Period _x000a_Other Adjustments" totalsRowFunction="sum" dataDxfId="1801" totalsRowDxfId="1800"/>
    <tableColumn id="8" name="(H)_x000a_Net Program Costs_x000a_Sum (C through G)" totalsRowFunction="sum" dataDxfId="1799" totalsRowDxfId="1798"/>
    <tableColumn id="9" name="(I)_x000a_Payments_x000a_ and Offsets" totalsRowFunction="sum" dataDxfId="1797" totalsRowDxfId="1796"/>
    <tableColumn id="10" name="(J)_x000a_Accounts Payable Balance_x000a_(H + I)" totalsRowFunction="sum" dataDxfId="1795" totalsRowDxfId="1794"/>
    <tableColumn id="11" name="(K)_x000a_Established _x000a_Accounts Receivable" totalsRowFunction="sum" dataDxfId="1793" totalsRowDxfId="1792"/>
    <tableColumn id="12" name="(L)_x000a_Recovered_x000a_ Accounts Receivable" totalsRowFunction="sum" dataDxfId="1791" totalsRowDxfId="1790"/>
    <tableColumn id="13" name="(M)_x000a_Accounts Receivable Balance_x000a_(K + L)" totalsRowFunction="sum" dataDxfId="1789" totalsRowDxfId="1788"/>
    <tableColumn id="14" name="(N)_x000a_Net Balance_x000a_(J minus M)" totalsRowFunction="sum" dataDxfId="1787" totalsRowDxfId="17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8.xml><?xml version="1.0" encoding="utf-8"?>
<table xmlns="http://schemas.openxmlformats.org/spreadsheetml/2006/main" id="248" name="Program156" displayName="Program156" ref="A1695:N1706" totalsRowCount="1" headerRowDxfId="1785" dataDxfId="1783" totalsRowDxfId="1781" headerRowBorderDxfId="1784" tableBorderDxfId="1782" totalsRowBorderDxfId="1780">
  <autoFilter ref="A1695:N1705"/>
  <tableColumns count="14">
    <tableColumn id="1" name="(A)_x000a_Program Name" totalsRowLabel="Total Program 156" dataDxfId="1779" totalsRowDxfId="1778"/>
    <tableColumn id="2" name="(B)_x000a_Fiscal _x000a_Year" totalsRowLabel="N/A" dataDxfId="1777" totalsRowDxfId="1776"/>
    <tableColumn id="3" name="(C)_x000a_Program_x000a_Costs" totalsRowFunction="sum" dataDxfId="1775" totalsRowDxfId="1774"/>
    <tableColumn id="4" name="(D)_x000a_Prior Period Adjustments" totalsRowFunction="sum" dataDxfId="1773" totalsRowDxfId="1772"/>
    <tableColumn id="5" name="(E)_x000a_Current Period Desk _x000a_Reviews" totalsRowFunction="sum" dataDxfId="1771" totalsRowDxfId="1770"/>
    <tableColumn id="6" name="(F)_x000a_Current Period _x000a_Final _x000a_Audits" totalsRowFunction="sum" dataDxfId="1769" totalsRowDxfId="1768"/>
    <tableColumn id="7" name="(G)_x000a_Current Period _x000a_Other Adjustments" totalsRowFunction="sum" dataDxfId="1767" totalsRowDxfId="1766"/>
    <tableColumn id="8" name="(H)_x000a_Net Program Costs_x000a_Sum (C through G)" totalsRowFunction="sum" dataDxfId="1765" totalsRowDxfId="1764"/>
    <tableColumn id="9" name="(I)_x000a_Payments_x000a_ and Offsets" totalsRowFunction="sum" dataDxfId="1763" totalsRowDxfId="1762"/>
    <tableColumn id="10" name="(J)_x000a_Accounts Payable Balance_x000a_(H + I)" totalsRowFunction="sum" dataDxfId="1761" totalsRowDxfId="1760"/>
    <tableColumn id="11" name="(K)_x000a_Established _x000a_Accounts Receivable" totalsRowFunction="sum" dataDxfId="1759" totalsRowDxfId="1758"/>
    <tableColumn id="12" name="(L)_x000a_Recovered_x000a_ Accounts Receivable" totalsRowFunction="sum" dataDxfId="1757" totalsRowDxfId="1756"/>
    <tableColumn id="13" name="(M)_x000a_Accounts Receivable Balance_x000a_(K + L)" totalsRowFunction="sum" dataDxfId="1755" totalsRowDxfId="1754"/>
    <tableColumn id="14" name="(N)_x000a_Net Balance_x000a_(J minus M)" totalsRowFunction="sum" dataDxfId="1753" totalsRowDxfId="17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49.xml><?xml version="1.0" encoding="utf-8"?>
<table xmlns="http://schemas.openxmlformats.org/spreadsheetml/2006/main" id="249" name="Program228" displayName="Program228" ref="A1708:N1716" totalsRowCount="1" headerRowDxfId="1751" dataDxfId="1749" totalsRowDxfId="1747" headerRowBorderDxfId="1750" tableBorderDxfId="1748" totalsRowBorderDxfId="1746">
  <autoFilter ref="A1708:N1715"/>
  <tableColumns count="14">
    <tableColumn id="1" name="(A)_x000a_Program Name" totalsRowLabel="Total Program 228" dataDxfId="1745" totalsRowDxfId="1744"/>
    <tableColumn id="2" name="(B)_x000a_Fiscal _x000a_Year" totalsRowLabel="N/A" dataDxfId="1743" totalsRowDxfId="1742"/>
    <tableColumn id="3" name="(C)_x000a_Program_x000a_Costs" totalsRowFunction="sum" dataDxfId="1741" totalsRowDxfId="1740"/>
    <tableColumn id="4" name="(D)_x000a_Prior Period Adjustments" totalsRowFunction="sum" dataDxfId="1739" totalsRowDxfId="1738"/>
    <tableColumn id="5" name="(E)_x000a_Current Period Desk _x000a_Reviews" totalsRowFunction="sum" dataDxfId="1737" totalsRowDxfId="1736"/>
    <tableColumn id="6" name="(F)_x000a_Current Period _x000a_Final _x000a_Audits" totalsRowFunction="sum" dataDxfId="1735" totalsRowDxfId="1734"/>
    <tableColumn id="7" name="(G)_x000a_Current Period _x000a_Other Adjustments" totalsRowFunction="sum" dataDxfId="1733" totalsRowDxfId="1732"/>
    <tableColumn id="8" name="(H)_x000a_Net Program Costs_x000a_Sum (C through G)" totalsRowFunction="sum" dataDxfId="1731" totalsRowDxfId="1730"/>
    <tableColumn id="9" name="(I)_x000a_Payments_x000a_ and Offsets" totalsRowFunction="sum" dataDxfId="1729" totalsRowDxfId="1728"/>
    <tableColumn id="10" name="(J)_x000a_Accounts Payable Balance_x000a_(H + I)" totalsRowFunction="sum" dataDxfId="1727" totalsRowDxfId="1726"/>
    <tableColumn id="11" name="(K)_x000a_Established _x000a_Accounts Receivable" totalsRowFunction="sum" dataDxfId="1725" totalsRowDxfId="1724"/>
    <tableColumn id="12" name="(L)_x000a_Recovered_x000a_ Accounts Receivable" totalsRowFunction="sum" dataDxfId="1723" totalsRowDxfId="1722"/>
    <tableColumn id="13" name="(M)_x000a_Accounts Receivable Balance_x000a_(K + L)" totalsRowFunction="sum" dataDxfId="1721" totalsRowDxfId="1720"/>
    <tableColumn id="14" name="(N)_x000a_Net Balance_x000a_(J minus M)" totalsRowFunction="sum" dataDxfId="1719" totalsRowDxfId="17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.xml><?xml version="1.0" encoding="utf-8"?>
<table xmlns="http://schemas.openxmlformats.org/spreadsheetml/2006/main" id="25" name="Program090" displayName="Program090" ref="A264:N298" totalsRowCount="1" headerRowDxfId="9310" dataDxfId="9308" totalsRowDxfId="9306" headerRowBorderDxfId="9309" tableBorderDxfId="9307" totalsRowBorderDxfId="9305">
  <autoFilter ref="A264:N297"/>
  <tableColumns count="14">
    <tableColumn id="1" name="(A)_x000a_Program Name" totalsRowLabel="Total Program 90" dataDxfId="9304" totalsRowDxfId="9303"/>
    <tableColumn id="2" name="(B)_x000a_Fiscal _x000a_Year" totalsRowLabel="N/A" dataDxfId="9302" totalsRowDxfId="9301"/>
    <tableColumn id="3" name="(C)_x000a_Program_x000a_Costs" totalsRowFunction="sum" dataDxfId="9300" totalsRowDxfId="9299"/>
    <tableColumn id="4" name="(D)_x000a_Prior Period Adjustments" totalsRowFunction="sum" dataDxfId="9298" totalsRowDxfId="9297"/>
    <tableColumn id="5" name="(E)_x000a_Current Period Desk _x000a_Reviews" totalsRowFunction="sum" dataDxfId="9296" totalsRowDxfId="9295"/>
    <tableColumn id="6" name="(F)_x000a_Current Period _x000a_Final _x000a_Audits" totalsRowFunction="sum" dataDxfId="9294" totalsRowDxfId="9293"/>
    <tableColumn id="7" name="(G)_x000a_Current Period _x000a_Other Adjustments" totalsRowFunction="sum" dataDxfId="9292" totalsRowDxfId="9291"/>
    <tableColumn id="8" name="(H)_x000a_Net Program Costs_x000a_Sum (C through G)" totalsRowFunction="sum" dataDxfId="9290" totalsRowDxfId="9289"/>
    <tableColumn id="9" name="(I)_x000a_Payments_x000a_ and Offsets" totalsRowFunction="sum" dataDxfId="9288" totalsRowDxfId="9287"/>
    <tableColumn id="10" name="(J)_x000a_Accounts Payable Balance_x000a_(H + I)" totalsRowFunction="sum" dataDxfId="9286" totalsRowDxfId="9285"/>
    <tableColumn id="11" name="(K)_x000a_Established _x000a_Accounts Receivable" totalsRowFunction="sum" dataDxfId="9284" totalsRowDxfId="9283"/>
    <tableColumn id="12" name="(L)_x000a_Recovered_x000a_ Accounts Receivable" totalsRowFunction="sum" dataDxfId="9282" totalsRowDxfId="9281"/>
    <tableColumn id="13" name="(M)_x000a_Accounts Receivable Balance_x000a_(K + L)" totalsRowFunction="sum" dataDxfId="9280" totalsRowDxfId="9279"/>
    <tableColumn id="14" name="(N)_x000a_Net Balance_x000a_(J minus M)" totalsRowFunction="sum" dataDxfId="9278" totalsRowDxfId="92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0.xml><?xml version="1.0" encoding="utf-8"?>
<table xmlns="http://schemas.openxmlformats.org/spreadsheetml/2006/main" id="250" name="Program115" displayName="Program115" ref="A1718:N1727" totalsRowCount="1" headerRowDxfId="1717" dataDxfId="1715" totalsRowDxfId="1713" headerRowBorderDxfId="1716" tableBorderDxfId="1714" totalsRowBorderDxfId="1712">
  <autoFilter ref="A1718:N1726"/>
  <tableColumns count="14">
    <tableColumn id="1" name="(A)_x000a_Program Name" totalsRowLabel="Total Program 115" dataDxfId="1711" totalsRowDxfId="1710"/>
    <tableColumn id="2" name="(B)_x000a_Fiscal _x000a_Year" totalsRowLabel="N/A" dataDxfId="1709" totalsRowDxfId="1708"/>
    <tableColumn id="3" name="(C)_x000a_Program_x000a_Costs" totalsRowFunction="sum" dataDxfId="1707" totalsRowDxfId="1706"/>
    <tableColumn id="4" name="(D)_x000a_Prior Period Adjustments" totalsRowFunction="sum" dataDxfId="1705" totalsRowDxfId="1704"/>
    <tableColumn id="5" name="(E)_x000a_Current Period Desk _x000a_Reviews" totalsRowFunction="sum" dataDxfId="1703" totalsRowDxfId="1702"/>
    <tableColumn id="6" name="(F)_x000a_Current Period _x000a_Final _x000a_Audits" totalsRowFunction="sum" dataDxfId="1701" totalsRowDxfId="1700"/>
    <tableColumn id="7" name="(G)_x000a_Current Period _x000a_Other Adjustments" totalsRowFunction="sum" dataDxfId="1699" totalsRowDxfId="1698"/>
    <tableColumn id="8" name="(H)_x000a_Net Program Costs_x000a_Sum (C through G)" totalsRowFunction="sum" dataDxfId="1697" totalsRowDxfId="1696"/>
    <tableColumn id="9" name="(I)_x000a_Payments_x000a_ and Offsets" totalsRowFunction="sum" dataDxfId="1695" totalsRowDxfId="1694"/>
    <tableColumn id="10" name="(J)_x000a_Accounts Payable Balance_x000a_(H + I)" totalsRowFunction="sum" dataDxfId="1693" totalsRowDxfId="1692"/>
    <tableColumn id="11" name="(K)_x000a_Established _x000a_Accounts Receivable" totalsRowFunction="sum" dataDxfId="1691" totalsRowDxfId="1690"/>
    <tableColumn id="12" name="(L)_x000a_Recovered_x000a_ Accounts Receivable" totalsRowFunction="sum" dataDxfId="1689" totalsRowDxfId="1688"/>
    <tableColumn id="13" name="(M)_x000a_Accounts Receivable Balance_x000a_(K + L)" totalsRowFunction="sum" dataDxfId="1687" totalsRowDxfId="1686"/>
    <tableColumn id="14" name="(N)_x000a_Net Balance_x000a_(J minus M)" totalsRowFunction="sum" dataDxfId="1685" totalsRowDxfId="16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1.xml><?xml version="1.0" encoding="utf-8"?>
<table xmlns="http://schemas.openxmlformats.org/spreadsheetml/2006/main" id="251" name="Program146" displayName="Program146" ref="A1729:N1740" totalsRowCount="1" headerRowDxfId="1683" dataDxfId="1681" totalsRowDxfId="1679" headerRowBorderDxfId="1682" tableBorderDxfId="1680" totalsRowBorderDxfId="1678">
  <autoFilter ref="A1729:N1739"/>
  <tableColumns count="14">
    <tableColumn id="1" name="(A)_x000a_Program Name" totalsRowLabel="Total Program 146" dataDxfId="1677" totalsRowDxfId="1676"/>
    <tableColumn id="2" name="(B)_x000a_Fiscal _x000a_Year" totalsRowLabel="N/A" dataDxfId="1675" totalsRowDxfId="1674"/>
    <tableColumn id="3" name="(C)_x000a_Program_x000a_Costs" totalsRowFunction="sum" dataDxfId="1673" totalsRowDxfId="1672"/>
    <tableColumn id="4" name="(D)_x000a_Prior Period Adjustments" totalsRowFunction="sum" dataDxfId="1671" totalsRowDxfId="1670"/>
    <tableColumn id="5" name="(E)_x000a_Current Period Desk _x000a_Reviews" totalsRowFunction="sum" dataDxfId="1669" totalsRowDxfId="1668"/>
    <tableColumn id="6" name="(F)_x000a_Current Period _x000a_Final _x000a_Audits" totalsRowFunction="sum" dataDxfId="1667" totalsRowDxfId="1666"/>
    <tableColumn id="7" name="(G)_x000a_Current Period _x000a_Other Adjustments" totalsRowFunction="sum" dataDxfId="1665" totalsRowDxfId="1664"/>
    <tableColumn id="8" name="(H)_x000a_Net Program Costs_x000a_Sum (C through G)" totalsRowFunction="sum" dataDxfId="1663" totalsRowDxfId="1662"/>
    <tableColumn id="9" name="(I)_x000a_Payments_x000a_ and Offsets" totalsRowFunction="sum" dataDxfId="1661" totalsRowDxfId="1660"/>
    <tableColumn id="10" name="(J)_x000a_Accounts Payable Balance_x000a_(H + I)" totalsRowFunction="sum" dataDxfId="1659" totalsRowDxfId="1658"/>
    <tableColumn id="11" name="(K)_x000a_Established _x000a_Accounts Receivable" totalsRowFunction="sum" dataDxfId="1657" totalsRowDxfId="1656"/>
    <tableColumn id="12" name="(L)_x000a_Recovered_x000a_ Accounts Receivable" totalsRowFunction="sum" dataDxfId="1655" totalsRowDxfId="1654"/>
    <tableColumn id="13" name="(M)_x000a_Accounts Receivable Balance_x000a_(K + L)" totalsRowFunction="sum" dataDxfId="1653" totalsRowDxfId="1652"/>
    <tableColumn id="14" name="(N)_x000a_Net Balance_x000a_(J minus M)" totalsRowFunction="sum" dataDxfId="1651" totalsRowDxfId="16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2.xml><?xml version="1.0" encoding="utf-8"?>
<table xmlns="http://schemas.openxmlformats.org/spreadsheetml/2006/main" id="252" name="Program058" displayName="Program058" ref="A1742:N1768" totalsRowCount="1" headerRowDxfId="1649" dataDxfId="1647" totalsRowDxfId="1645" headerRowBorderDxfId="1648" tableBorderDxfId="1646" totalsRowBorderDxfId="1644">
  <autoFilter ref="A1742:N1767"/>
  <tableColumns count="14">
    <tableColumn id="1" name="(A)_x000a_Program Name" totalsRowLabel="Total Program 58" dataDxfId="1643" totalsRowDxfId="1642"/>
    <tableColumn id="2" name="(B)_x000a_Fiscal _x000a_Year" totalsRowLabel="N/A" dataDxfId="1641" totalsRowDxfId="1640"/>
    <tableColumn id="3" name="(C)_x000a_Program_x000a_Costs" totalsRowFunction="sum" dataDxfId="1639" totalsRowDxfId="1638"/>
    <tableColumn id="4" name="(D)_x000a_Prior Period Adjustments" totalsRowFunction="sum" dataDxfId="1637" totalsRowDxfId="1636"/>
    <tableColumn id="5" name="(E)_x000a_Current Period Desk _x000a_Reviews" totalsRowFunction="sum" dataDxfId="1635" totalsRowDxfId="1634"/>
    <tableColumn id="6" name="(F)_x000a_Current Period _x000a_Final _x000a_Audits" totalsRowFunction="sum" dataDxfId="1633" totalsRowDxfId="1632"/>
    <tableColumn id="7" name="(G)_x000a_Current Period _x000a_Other Adjustments" totalsRowFunction="sum" dataDxfId="1631" totalsRowDxfId="1630"/>
    <tableColumn id="8" name="(H)_x000a_Net Program Costs_x000a_Sum (C through G)" totalsRowFunction="sum" dataDxfId="1629" totalsRowDxfId="1628"/>
    <tableColumn id="9" name="(I)_x000a_Payments_x000a_ and Offsets" totalsRowFunction="sum" dataDxfId="1627" totalsRowDxfId="1626"/>
    <tableColumn id="10" name="(J)_x000a_Accounts Payable Balance_x000a_(H + I)" totalsRowFunction="sum" dataDxfId="1625" totalsRowDxfId="1624"/>
    <tableColumn id="11" name="(K)_x000a_Established _x000a_Accounts Receivable" totalsRowFunction="sum" dataDxfId="1623" totalsRowDxfId="1622"/>
    <tableColumn id="12" name="(L)_x000a_Recovered_x000a_ Accounts Receivable" totalsRowFunction="sum" dataDxfId="1621" totalsRowDxfId="1620"/>
    <tableColumn id="13" name="(M)_x000a_Accounts Receivable Balance_x000a_(K + L)" totalsRowFunction="sum" dataDxfId="1619" totalsRowDxfId="1618"/>
    <tableColumn id="14" name="(N)_x000a_Net Balance_x000a_(J minus M)" totalsRowFunction="sum" dataDxfId="1617" totalsRowDxfId="16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3.xml><?xml version="1.0" encoding="utf-8"?>
<table xmlns="http://schemas.openxmlformats.org/spreadsheetml/2006/main" id="253" name="Program208" displayName="Program208" ref="A1770:N1780" totalsRowCount="1" headerRowDxfId="1615" dataDxfId="1613" totalsRowDxfId="1611" headerRowBorderDxfId="1614" tableBorderDxfId="1612" totalsRowBorderDxfId="1610">
  <autoFilter ref="A1770:N1779"/>
  <tableColumns count="14">
    <tableColumn id="1" name="(A)_x000a_Program Name" totalsRowLabel="Total Program 208" dataDxfId="1609" totalsRowDxfId="1608"/>
    <tableColumn id="2" name="(B)_x000a_Fiscal _x000a_Year" totalsRowLabel="N/A" dataDxfId="1607" totalsRowDxfId="1606"/>
    <tableColumn id="3" name="(C)_x000a_Program_x000a_Costs" totalsRowFunction="sum" dataDxfId="1605" totalsRowDxfId="1604"/>
    <tableColumn id="4" name="(D)_x000a_Prior Period Adjustments" totalsRowFunction="sum" dataDxfId="1603" totalsRowDxfId="1602"/>
    <tableColumn id="5" name="(E)_x000a_Current Period Desk _x000a_Reviews" totalsRowFunction="sum" dataDxfId="1601" totalsRowDxfId="1600"/>
    <tableColumn id="6" name="(F)_x000a_Current Period _x000a_Final _x000a_Audits" totalsRowFunction="sum" dataDxfId="1599" totalsRowDxfId="1598"/>
    <tableColumn id="7" name="(G)_x000a_Current Period _x000a_Other Adjustments" totalsRowFunction="sum" dataDxfId="1597" totalsRowDxfId="1596"/>
    <tableColumn id="8" name="(H)_x000a_Net Program Costs_x000a_Sum (C through G)" totalsRowFunction="sum" dataDxfId="1595" totalsRowDxfId="1594"/>
    <tableColumn id="9" name="(I)_x000a_Payments_x000a_ and Offsets" totalsRowFunction="sum" dataDxfId="1593" totalsRowDxfId="1592"/>
    <tableColumn id="10" name="(J)_x000a_Accounts Payable Balance_x000a_(H + I)" totalsRowFunction="sum" dataDxfId="1591" totalsRowDxfId="1590"/>
    <tableColumn id="11" name="(K)_x000a_Established _x000a_Accounts Receivable" totalsRowFunction="sum" dataDxfId="1589" totalsRowDxfId="1588"/>
    <tableColumn id="12" name="(L)_x000a_Recovered_x000a_ Accounts Receivable" totalsRowFunction="sum" dataDxfId="1587" totalsRowDxfId="1586"/>
    <tableColumn id="13" name="(M)_x000a_Accounts Receivable Balance_x000a_(K + L)" totalsRowFunction="sum" dataDxfId="1585" totalsRowDxfId="1584"/>
    <tableColumn id="14" name="(N)_x000a_Net Balance_x000a_(J minus M)" totalsRowFunction="sum" dataDxfId="1583" totalsRowDxfId="158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4.xml><?xml version="1.0" encoding="utf-8"?>
<table xmlns="http://schemas.openxmlformats.org/spreadsheetml/2006/main" id="254" name="Program224" displayName="Program224" ref="A1782:N1785" totalsRowCount="1" headerRowDxfId="1581" dataDxfId="1579" totalsRowDxfId="1577" headerRowBorderDxfId="1580" tableBorderDxfId="1578" totalsRowBorderDxfId="1576">
  <autoFilter ref="A1782:N1784"/>
  <tableColumns count="14">
    <tableColumn id="1" name="(A)_x000a_Program Name" totalsRowLabel="Total Program 224" dataDxfId="1575" totalsRowDxfId="1574"/>
    <tableColumn id="2" name="(B)_x000a_Fiscal _x000a_Year" totalsRowLabel="N/A" dataDxfId="1573" totalsRowDxfId="1572"/>
    <tableColumn id="3" name="(C)_x000a_Program_x000a_Costs" totalsRowFunction="sum" dataDxfId="1571" totalsRowDxfId="1570"/>
    <tableColumn id="4" name="(D)_x000a_Prior Period Adjustments" totalsRowFunction="sum" dataDxfId="1569" totalsRowDxfId="1568"/>
    <tableColumn id="5" name="(E)_x000a_Current Period Desk _x000a_Reviews" totalsRowFunction="sum" dataDxfId="1567" totalsRowDxfId="1566"/>
    <tableColumn id="6" name="(F)_x000a_Current Period _x000a_Final _x000a_Audits" totalsRowFunction="sum" dataDxfId="1565" totalsRowDxfId="1564"/>
    <tableColumn id="7" name="(G)_x000a_Current Period _x000a_Other Adjustments" totalsRowFunction="sum" dataDxfId="1563" totalsRowDxfId="1562"/>
    <tableColumn id="8" name="(H)_x000a_Net Program Costs_x000a_Sum (C through G)" totalsRowFunction="sum" dataDxfId="1561" totalsRowDxfId="1560"/>
    <tableColumn id="9" name="(I)_x000a_Payments_x000a_ and Offsets" totalsRowFunction="sum" dataDxfId="1559" totalsRowDxfId="1558"/>
    <tableColumn id="10" name="(J)_x000a_Accounts Payable Balance_x000a_(H + I)" totalsRowFunction="sum" dataDxfId="1557" totalsRowDxfId="1556"/>
    <tableColumn id="11" name="(K)_x000a_Established _x000a_Accounts Receivable" totalsRowFunction="sum" dataDxfId="1555" totalsRowDxfId="1554"/>
    <tableColumn id="12" name="(L)_x000a_Recovered_x000a_ Accounts Receivable" totalsRowFunction="sum" dataDxfId="1553" totalsRowDxfId="1552"/>
    <tableColumn id="13" name="(M)_x000a_Accounts Receivable Balance_x000a_(K + L)" totalsRowFunction="sum" dataDxfId="1551" totalsRowDxfId="1550"/>
    <tableColumn id="14" name="(N)_x000a_Net Balance_x000a_(J minus M)" totalsRowFunction="sum" dataDxfId="1549" totalsRowDxfId="15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5.xml><?xml version="1.0" encoding="utf-8"?>
<table xmlns="http://schemas.openxmlformats.org/spreadsheetml/2006/main" id="255" name="Program308" displayName="Program308" ref="A1787:N1801" totalsRowCount="1" headerRowDxfId="1547" dataDxfId="1545" totalsRowDxfId="1543" headerRowBorderDxfId="1546" tableBorderDxfId="1544" totalsRowBorderDxfId="1542">
  <autoFilter ref="A1787:N1800"/>
  <tableColumns count="14">
    <tableColumn id="1" name="(A)_x000a_Program Name" totalsRowLabel="Total Program 308" dataDxfId="1541" totalsRowDxfId="1540"/>
    <tableColumn id="2" name="(B)_x000a_Fiscal _x000a_Year" totalsRowLabel="N/A" dataDxfId="1539" totalsRowDxfId="1538"/>
    <tableColumn id="3" name="(C)_x000a_Program_x000a_Costs" totalsRowFunction="sum" dataDxfId="1537" totalsRowDxfId="1536"/>
    <tableColumn id="4" name="(D)_x000a_Prior Period Adjustments" totalsRowFunction="sum" dataDxfId="1535" totalsRowDxfId="1534"/>
    <tableColumn id="5" name="(E)_x000a_Current Period Desk _x000a_Reviews" totalsRowFunction="sum" dataDxfId="1533" totalsRowDxfId="1532"/>
    <tableColumn id="6" name="(F)_x000a_Current Period _x000a_Final _x000a_Audits" totalsRowFunction="sum" dataDxfId="1531" totalsRowDxfId="1530"/>
    <tableColumn id="7" name="(G)_x000a_Current Period _x000a_Other Adjustments" totalsRowFunction="sum" dataDxfId="1529" totalsRowDxfId="1528"/>
    <tableColumn id="8" name="(H)_x000a_Net Program Costs_x000a_Sum (C through G)" totalsRowFunction="sum" dataDxfId="1527" totalsRowDxfId="1526"/>
    <tableColumn id="9" name="(I)_x000a_Payments_x000a_ and Offsets" totalsRowFunction="sum" dataDxfId="1525" totalsRowDxfId="1524"/>
    <tableColumn id="10" name="(J)_x000a_Accounts Payable Balance_x000a_(H + I)" totalsRowFunction="sum" dataDxfId="1523" totalsRowDxfId="1522"/>
    <tableColumn id="11" name="(K)_x000a_Established _x000a_Accounts Receivable" totalsRowFunction="sum" dataDxfId="1521" totalsRowDxfId="1520"/>
    <tableColumn id="12" name="(L)_x000a_Recovered_x000a_ Accounts Receivable" totalsRowFunction="sum" dataDxfId="1519" totalsRowDxfId="1518"/>
    <tableColumn id="13" name="(M)_x000a_Accounts Receivable Balance_x000a_(K + L)" totalsRowFunction="sum" dataDxfId="1517" totalsRowDxfId="1516"/>
    <tableColumn id="14" name="(N)_x000a_Net Balance_x000a_(J minus M)" totalsRowFunction="sum" dataDxfId="1515" totalsRowDxfId="15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6.xml><?xml version="1.0" encoding="utf-8"?>
<table xmlns="http://schemas.openxmlformats.org/spreadsheetml/2006/main" id="256" name="Program352" displayName="Program352" ref="A1803:N1809" totalsRowCount="1" headerRowDxfId="1513" dataDxfId="1511" totalsRowDxfId="1509" headerRowBorderDxfId="1512" tableBorderDxfId="1510" totalsRowBorderDxfId="1508">
  <autoFilter ref="A1803:N1808"/>
  <tableColumns count="14">
    <tableColumn id="1" name="(A)_x000a_Program Name" totalsRowLabel="Total Program 352" dataDxfId="1507" totalsRowDxfId="1506"/>
    <tableColumn id="2" name="(B)_x000a_Fiscal _x000a_Year" totalsRowLabel="N/A" dataDxfId="1505" totalsRowDxfId="1504"/>
    <tableColumn id="3" name="(C)_x000a_Program_x000a_Costs" totalsRowFunction="sum" dataDxfId="1503" totalsRowDxfId="1502"/>
    <tableColumn id="4" name="(D)_x000a_Prior Period Adjustments" totalsRowFunction="sum" dataDxfId="1501" totalsRowDxfId="1500"/>
    <tableColumn id="5" name="(E)_x000a_Current Period Desk _x000a_Reviews" totalsRowFunction="sum" dataDxfId="1499" totalsRowDxfId="1498"/>
    <tableColumn id="6" name="(F)_x000a_Current Period _x000a_Final _x000a_Audits" totalsRowFunction="sum" dataDxfId="1497" totalsRowDxfId="1496"/>
    <tableColumn id="7" name="(G)_x000a_Current Period _x000a_Other Adjustments" totalsRowFunction="sum" dataDxfId="1495" totalsRowDxfId="1494"/>
    <tableColumn id="8" name="(H)_x000a_Net Program Costs_x000a_Sum (C through G)" totalsRowFunction="sum" dataDxfId="1493" totalsRowDxfId="1492"/>
    <tableColumn id="9" name="(I)_x000a_Payments_x000a_ and Offsets" totalsRowFunction="sum" dataDxfId="1491" totalsRowDxfId="1490"/>
    <tableColumn id="10" name="(J)_x000a_Accounts Payable Balance_x000a_(H + I)" totalsRowFunction="sum" dataDxfId="1489" totalsRowDxfId="1488"/>
    <tableColumn id="11" name="(K)_x000a_Established _x000a_Accounts Receivable" totalsRowFunction="sum" dataDxfId="1487" totalsRowDxfId="1486"/>
    <tableColumn id="12" name="(L)_x000a_Recovered_x000a_ Accounts Receivable" totalsRowFunction="sum" dataDxfId="1485" totalsRowDxfId="1484"/>
    <tableColumn id="13" name="(M)_x000a_Accounts Receivable Balance_x000a_(K + L)" totalsRowFunction="sum" dataDxfId="1483" totalsRowDxfId="1482"/>
    <tableColumn id="14" name="(N)_x000a_Net Balance_x000a_(J minus M)" totalsRowFunction="sum" dataDxfId="1481" totalsRowDxfId="148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7.xml><?xml version="1.0" encoding="utf-8"?>
<table xmlns="http://schemas.openxmlformats.org/spreadsheetml/2006/main" id="257" name="Program252" displayName="Program252" ref="A1811:N1818" totalsRowCount="1" headerRowDxfId="1479" dataDxfId="1477" totalsRowDxfId="1475" headerRowBorderDxfId="1478" tableBorderDxfId="1476" totalsRowBorderDxfId="1474">
  <autoFilter ref="A1811:N1817"/>
  <tableColumns count="14">
    <tableColumn id="1" name="(A)_x000a_Program Name" totalsRowLabel="Total Program 252" dataDxfId="1473" totalsRowDxfId="1472"/>
    <tableColumn id="2" name="(B)_x000a_Fiscal _x000a_Year" totalsRowLabel="N/A" dataDxfId="1471" totalsRowDxfId="1470"/>
    <tableColumn id="3" name="(C)_x000a_Program_x000a_Costs" totalsRowFunction="sum" dataDxfId="1469" totalsRowDxfId="1468"/>
    <tableColumn id="4" name="(D)_x000a_Prior Period Adjustments" totalsRowFunction="sum" dataDxfId="1467" totalsRowDxfId="1466"/>
    <tableColumn id="5" name="(E)_x000a_Current Period Desk _x000a_Reviews" totalsRowFunction="sum" dataDxfId="1465" totalsRowDxfId="1464"/>
    <tableColumn id="6" name="(F)_x000a_Current Period _x000a_Final _x000a_Audits" totalsRowFunction="sum" dataDxfId="1463" totalsRowDxfId="1462"/>
    <tableColumn id="7" name="(G)_x000a_Current Period _x000a_Other Adjustments" totalsRowFunction="sum" dataDxfId="1461" totalsRowDxfId="1460"/>
    <tableColumn id="8" name="(H)_x000a_Net Program Costs_x000a_Sum (C through G)" totalsRowFunction="sum" dataDxfId="1459" totalsRowDxfId="1458"/>
    <tableColumn id="9" name="(I)_x000a_Payments_x000a_ and Offsets" totalsRowFunction="sum" dataDxfId="1457" totalsRowDxfId="1456"/>
    <tableColumn id="10" name="(J)_x000a_Accounts Payable Balance_x000a_(H + I)" totalsRowFunction="sum" dataDxfId="1455" totalsRowDxfId="1454"/>
    <tableColumn id="11" name="(K)_x000a_Established _x000a_Accounts Receivable" totalsRowFunction="sum" dataDxfId="1453" totalsRowDxfId="1452"/>
    <tableColumn id="12" name="(L)_x000a_Recovered_x000a_ Accounts Receivable" totalsRowFunction="sum" dataDxfId="1451" totalsRowDxfId="1450"/>
    <tableColumn id="13" name="(M)_x000a_Accounts Receivable Balance_x000a_(K + L)" totalsRowFunction="sum" dataDxfId="1449" totalsRowDxfId="1448"/>
    <tableColumn id="14" name="(N)_x000a_Net Balance_x000a_(J minus M)" totalsRowFunction="sum" dataDxfId="1447" totalsRowDxfId="14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8.xml><?xml version="1.0" encoding="utf-8"?>
<table xmlns="http://schemas.openxmlformats.org/spreadsheetml/2006/main" id="258" name="Program260" displayName="Program260" ref="A1820:N1844" totalsRowCount="1" headerRowDxfId="1445" dataDxfId="1443" totalsRowDxfId="1441" headerRowBorderDxfId="1444" tableBorderDxfId="1442" totalsRowBorderDxfId="1440">
  <autoFilter ref="A1820:N1843"/>
  <tableColumns count="14">
    <tableColumn id="1" name="(A)_x000a_Program Name" totalsRowLabel="Total Program 260" dataDxfId="1439" totalsRowDxfId="1438"/>
    <tableColumn id="2" name="(B)_x000a_Fiscal _x000a_Year" totalsRowLabel="N/A" dataDxfId="1437" totalsRowDxfId="1436"/>
    <tableColumn id="3" name="(C)_x000a_Program_x000a_Costs" totalsRowFunction="sum" dataDxfId="1435" totalsRowDxfId="1434"/>
    <tableColumn id="4" name="(D)_x000a_Prior Period Adjustments" totalsRowFunction="sum" dataDxfId="1433" totalsRowDxfId="1432"/>
    <tableColumn id="5" name="(E)_x000a_Current Period Desk _x000a_Reviews" totalsRowFunction="sum" dataDxfId="1431" totalsRowDxfId="1430"/>
    <tableColumn id="6" name="(F)_x000a_Current Period _x000a_Final _x000a_Audits" totalsRowFunction="sum" dataDxfId="1429" totalsRowDxfId="1428"/>
    <tableColumn id="7" name="(G)_x000a_Current Period _x000a_Other Adjustments" totalsRowFunction="sum" dataDxfId="1427" totalsRowDxfId="1426"/>
    <tableColumn id="8" name="(H)_x000a_Net Program Costs_x000a_Sum (C through G)" totalsRowFunction="sum" dataDxfId="1425" totalsRowDxfId="1424"/>
    <tableColumn id="9" name="(I)_x000a_Payments_x000a_ and Offsets" totalsRowFunction="sum" dataDxfId="1423" totalsRowDxfId="1422"/>
    <tableColumn id="10" name="(J)_x000a_Accounts Payable Balance_x000a_(H + I)" totalsRowFunction="sum" dataDxfId="1421" totalsRowDxfId="1420"/>
    <tableColumn id="11" name="(K)_x000a_Established _x000a_Accounts Receivable" totalsRowFunction="sum" dataDxfId="1419" totalsRowDxfId="1418"/>
    <tableColumn id="12" name="(L)_x000a_Recovered_x000a_ Accounts Receivable" totalsRowFunction="sum" dataDxfId="1417" totalsRowDxfId="1416"/>
    <tableColumn id="13" name="(M)_x000a_Accounts Receivable Balance_x000a_(K + L)" totalsRowFunction="sum" dataDxfId="1415" totalsRowDxfId="1414"/>
    <tableColumn id="14" name="(N)_x000a_Net Balance_x000a_(J minus M)" totalsRowFunction="sum" dataDxfId="1413" totalsRowDxfId="14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59.xml><?xml version="1.0" encoding="utf-8"?>
<table xmlns="http://schemas.openxmlformats.org/spreadsheetml/2006/main" id="259" name="Program367" displayName="Program367" ref="A1846:N1853" totalsRowCount="1" headerRowDxfId="1411" dataDxfId="1409" totalsRowDxfId="1407" headerRowBorderDxfId="1410" tableBorderDxfId="1408" totalsRowBorderDxfId="1406">
  <autoFilter ref="A1846:N1852"/>
  <tableColumns count="14">
    <tableColumn id="1" name="(A)_x000a_Program Name" totalsRowLabel="Total Program 367" dataDxfId="1405" totalsRowDxfId="1404"/>
    <tableColumn id="2" name="(B)_x000a_Fiscal _x000a_Year" totalsRowLabel="N/A" dataDxfId="1403" totalsRowDxfId="1402"/>
    <tableColumn id="3" name="(C)_x000a_Program_x000a_Costs" totalsRowFunction="sum" dataDxfId="1401" totalsRowDxfId="1400"/>
    <tableColumn id="4" name="(D)_x000a_Prior Period Adjustments" totalsRowFunction="sum" dataDxfId="1399" totalsRowDxfId="1398"/>
    <tableColumn id="5" name="(E)_x000a_Current Period Desk _x000a_Reviews" totalsRowFunction="sum" dataDxfId="1397" totalsRowDxfId="1396"/>
    <tableColumn id="6" name="(F)_x000a_Current Period _x000a_Final _x000a_Audits" totalsRowFunction="sum" dataDxfId="1395" totalsRowDxfId="1394"/>
    <tableColumn id="7" name="(G)_x000a_Current Period _x000a_Other Adjustments" totalsRowFunction="sum" dataDxfId="1393" totalsRowDxfId="1392"/>
    <tableColumn id="8" name="(H)_x000a_Net Program Costs_x000a_Sum (C through G)" totalsRowFunction="sum" dataDxfId="1391" totalsRowDxfId="1390"/>
    <tableColumn id="9" name="(I)_x000a_Payments_x000a_ and Offsets" totalsRowFunction="sum" dataDxfId="1389" totalsRowDxfId="1388"/>
    <tableColumn id="10" name="(J)_x000a_Accounts Payable Balance_x000a_(H + I)" totalsRowFunction="sum" dataDxfId="1387" totalsRowDxfId="1386"/>
    <tableColumn id="11" name="(K)_x000a_Established _x000a_Accounts Receivable" totalsRowFunction="sum" dataDxfId="1385" totalsRowDxfId="1384"/>
    <tableColumn id="12" name="(L)_x000a_Recovered_x000a_ Accounts Receivable" totalsRowFunction="sum" dataDxfId="1383" totalsRowDxfId="1382"/>
    <tableColumn id="13" name="(M)_x000a_Accounts Receivable Balance_x000a_(K + L)" totalsRowFunction="sum" dataDxfId="1381" totalsRowDxfId="1380"/>
    <tableColumn id="14" name="(N)_x000a_Net Balance_x000a_(J minus M)" totalsRowFunction="sum" dataDxfId="1379" totalsRowDxfId="137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.xml><?xml version="1.0" encoding="utf-8"?>
<table xmlns="http://schemas.openxmlformats.org/spreadsheetml/2006/main" id="26" name="Program085" displayName="Program085" ref="A300:N309" totalsRowCount="1" headerRowDxfId="9276" dataDxfId="9274" totalsRowDxfId="9272" headerRowBorderDxfId="9275" tableBorderDxfId="9273" totalsRowBorderDxfId="9271">
  <autoFilter ref="A300:N308"/>
  <tableColumns count="14">
    <tableColumn id="1" name="(A)_x000a_Program Name" totalsRowLabel="Total Program 85" dataDxfId="9270" totalsRowDxfId="9269"/>
    <tableColumn id="2" name="(B)_x000a_Fiscal _x000a_Year" totalsRowLabel="N/A" dataDxfId="9268" totalsRowDxfId="9267"/>
    <tableColumn id="3" name="(C)_x000a_Program_x000a_Costs" totalsRowFunction="sum" dataDxfId="9266" totalsRowDxfId="9265"/>
    <tableColumn id="4" name="(D)_x000a_Prior Period Adjustments" totalsRowFunction="sum" dataDxfId="9264" totalsRowDxfId="9263"/>
    <tableColumn id="5" name="(E)_x000a_Current Period Desk _x000a_Reviews" totalsRowFunction="sum" dataDxfId="9262" totalsRowDxfId="9261"/>
    <tableColumn id="6" name="(F)_x000a_Current Period _x000a_Final _x000a_Audits" totalsRowFunction="sum" dataDxfId="9260" totalsRowDxfId="9259"/>
    <tableColumn id="7" name="(G)_x000a_Current Period _x000a_Other Adjustments" totalsRowFunction="sum" dataDxfId="9258" totalsRowDxfId="9257"/>
    <tableColumn id="8" name="(H)_x000a_Net Program Costs_x000a_Sum (C through G)" totalsRowFunction="sum" dataDxfId="9256" totalsRowDxfId="9255"/>
    <tableColumn id="9" name="(I)_x000a_Payments_x000a_ and Offsets" totalsRowFunction="sum" dataDxfId="9254" totalsRowDxfId="9253"/>
    <tableColumn id="10" name="(J)_x000a_Accounts Payable Balance_x000a_(H + I)" totalsRowFunction="sum" dataDxfId="9252" totalsRowDxfId="9251"/>
    <tableColumn id="11" name="(K)_x000a_Established _x000a_Accounts Receivable" totalsRowFunction="sum" dataDxfId="9250" totalsRowDxfId="9249"/>
    <tableColumn id="12" name="(L)_x000a_Recovered_x000a_ Accounts Receivable" totalsRowFunction="sum" dataDxfId="9248" totalsRowDxfId="9247"/>
    <tableColumn id="13" name="(M)_x000a_Accounts Receivable Balance_x000a_(K + L)" totalsRowFunction="sum" dataDxfId="9246" totalsRowDxfId="9245"/>
    <tableColumn id="14" name="(N)_x000a_Net Balance_x000a_(J minus M)" totalsRowFunction="sum" dataDxfId="9244" totalsRowDxfId="92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0.xml><?xml version="1.0" encoding="utf-8"?>
<table xmlns="http://schemas.openxmlformats.org/spreadsheetml/2006/main" id="260" name="Program346" displayName="Program346" ref="A1855:N1871" totalsRowCount="1" headerRowDxfId="1377" dataDxfId="1375" totalsRowDxfId="1373" headerRowBorderDxfId="1376" tableBorderDxfId="1374" totalsRowBorderDxfId="1372">
  <autoFilter ref="A1855:N1870"/>
  <tableColumns count="14">
    <tableColumn id="1" name="(A)_x000a_Program Name" totalsRowLabel="Total Program 346" dataDxfId="1371" totalsRowDxfId="1370"/>
    <tableColumn id="2" name="(B)_x000a_Fiscal _x000a_Year" totalsRowLabel="N/A" dataDxfId="1369" totalsRowDxfId="1368"/>
    <tableColumn id="3" name="(C)_x000a_Program_x000a_Costs" totalsRowFunction="sum" dataDxfId="1367" totalsRowDxfId="1366"/>
    <tableColumn id="4" name="(D)_x000a_Prior Period Adjustments" totalsRowFunction="sum" dataDxfId="1365" totalsRowDxfId="1364"/>
    <tableColumn id="5" name="(E)_x000a_Current Period Desk _x000a_Reviews" totalsRowFunction="sum" dataDxfId="1363" totalsRowDxfId="1362"/>
    <tableColumn id="6" name="(F)_x000a_Current Period _x000a_Final _x000a_Audits" totalsRowFunction="sum" dataDxfId="1361" totalsRowDxfId="1360"/>
    <tableColumn id="7" name="(G)_x000a_Current Period _x000a_Other Adjustments" totalsRowFunction="sum" dataDxfId="1359" totalsRowDxfId="1358"/>
    <tableColumn id="8" name="(H)_x000a_Net Program Costs_x000a_Sum (C through G)" totalsRowFunction="sum" dataDxfId="1357" totalsRowDxfId="1356"/>
    <tableColumn id="9" name="(I)_x000a_Payments_x000a_ and Offsets" totalsRowFunction="sum" dataDxfId="1355" totalsRowDxfId="1354"/>
    <tableColumn id="10" name="(J)_x000a_Accounts Payable Balance_x000a_(H + I)" totalsRowFunction="sum" dataDxfId="1353" totalsRowDxfId="1352"/>
    <tableColumn id="11" name="(K)_x000a_Established _x000a_Accounts Receivable" totalsRowFunction="sum" dataDxfId="1351" totalsRowDxfId="1350"/>
    <tableColumn id="12" name="(L)_x000a_Recovered_x000a_ Accounts Receivable" totalsRowFunction="sum" dataDxfId="1349" totalsRowDxfId="1348"/>
    <tableColumn id="13" name="(M)_x000a_Accounts Receivable Balance_x000a_(K + L)" totalsRowFunction="sum" dataDxfId="1347" totalsRowDxfId="1346"/>
    <tableColumn id="14" name="(N)_x000a_Net Balance_x000a_(J minus M)" totalsRowFunction="sum" dataDxfId="1345" totalsRowDxfId="13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1.xml><?xml version="1.0" encoding="utf-8"?>
<table xmlns="http://schemas.openxmlformats.org/spreadsheetml/2006/main" id="261" name="Program351" displayName="Program351" ref="A1873:N1890" totalsRowCount="1" headerRowDxfId="1343" dataDxfId="1341" totalsRowDxfId="1339" headerRowBorderDxfId="1342" tableBorderDxfId="1340" totalsRowBorderDxfId="1338">
  <autoFilter ref="A1873:N1889"/>
  <tableColumns count="14">
    <tableColumn id="1" name="(A)_x000a_Program Name" totalsRowLabel="Total Program 351" dataDxfId="1337" totalsRowDxfId="1336"/>
    <tableColumn id="2" name="(B)_x000a_Fiscal _x000a_Year" totalsRowLabel="N/A" dataDxfId="1335" totalsRowDxfId="1334"/>
    <tableColumn id="3" name="(C)_x000a_Program_x000a_Costs" totalsRowFunction="sum" dataDxfId="1333" totalsRowDxfId="1332"/>
    <tableColumn id="4" name="(D)_x000a_Prior Period Adjustments" totalsRowFunction="sum" dataDxfId="1331" totalsRowDxfId="1330"/>
    <tableColumn id="5" name="(E)_x000a_Current Period Desk _x000a_Reviews" totalsRowFunction="sum" dataDxfId="1329" totalsRowDxfId="1328"/>
    <tableColumn id="6" name="(F)_x000a_Current Period _x000a_Final _x000a_Audits" totalsRowFunction="sum" dataDxfId="1327" totalsRowDxfId="1326"/>
    <tableColumn id="7" name="(G)_x000a_Current Period _x000a_Other Adjustments" totalsRowFunction="sum" dataDxfId="1325" totalsRowDxfId="1324"/>
    <tableColumn id="8" name="(H)_x000a_Net Program Costs_x000a_Sum (C through G)" totalsRowFunction="sum" dataDxfId="1323" totalsRowDxfId="1322"/>
    <tableColumn id="9" name="(I)_x000a_Payments_x000a_ and Offsets" totalsRowFunction="sum" dataDxfId="1321" totalsRowDxfId="1320"/>
    <tableColumn id="10" name="(J)_x000a_Accounts Payable Balance_x000a_(H + I)" totalsRowFunction="sum" dataDxfId="1319" totalsRowDxfId="1318"/>
    <tableColumn id="11" name="(K)_x000a_Established _x000a_Accounts Receivable" totalsRowFunction="sum" dataDxfId="1317" totalsRowDxfId="1316"/>
    <tableColumn id="12" name="(L)_x000a_Recovered_x000a_ Accounts Receivable" totalsRowFunction="sum" dataDxfId="1315" totalsRowDxfId="1314"/>
    <tableColumn id="13" name="(M)_x000a_Accounts Receivable Balance_x000a_(K + L)" totalsRowFunction="sum" dataDxfId="1313" totalsRowDxfId="1312"/>
    <tableColumn id="14" name="(N)_x000a_Net Balance_x000a_(J minus M)" totalsRowFunction="sum" dataDxfId="1311" totalsRowDxfId="131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2.xml><?xml version="1.0" encoding="utf-8"?>
<table xmlns="http://schemas.openxmlformats.org/spreadsheetml/2006/main" id="262" name="School" displayName="School" ref="A1892:N2016" totalsRowCount="1" headerRowDxfId="1309" dataDxfId="1307" totalsRowDxfId="1305" headerRowBorderDxfId="1308" tableBorderDxfId="1306" totalsRowBorderDxfId="1304">
  <autoFilter ref="A1892:N2015"/>
  <tableColumns count="14">
    <tableColumn id="1" name="(A)_x000a_Program Name" totalsRowLabel="Grand Total School Districts" dataDxfId="1303" totalsRowDxfId="1302"/>
    <tableColumn id="2" name="(B)_x000a_Fiscal _x000a_Year" totalsRowLabel="N/A" dataDxfId="1301" totalsRowDxfId="1300"/>
    <tableColumn id="3" name="(C)_x000a_Program_x000a_Costs" totalsRowFunction="sum" dataDxfId="1299" totalsRowDxfId="1298"/>
    <tableColumn id="4" name="(D)_x000a_Prior Period Adjustments" totalsRowFunction="sum" dataDxfId="1297" totalsRowDxfId="1296"/>
    <tableColumn id="5" name="(E)_x000a_Current Period Desk _x000a_Reviews" totalsRowFunction="sum" dataDxfId="1295" totalsRowDxfId="1294"/>
    <tableColumn id="6" name="(F)_x000a_Current Period _x000a_Final _x000a_Audits" totalsRowFunction="sum" dataDxfId="1293" totalsRowDxfId="1292"/>
    <tableColumn id="7" name="(G)_x000a_Current Period _x000a_Other Adjustments" totalsRowFunction="sum" dataDxfId="1291" totalsRowDxfId="1290"/>
    <tableColumn id="8" name="(H)_x000a_Net Program Costs_x000a_Sum (C through G)" totalsRowFunction="sum" dataDxfId="1289" totalsRowDxfId="1288"/>
    <tableColumn id="9" name="(I)_x000a_Payments_x000a_ and Offsets" totalsRowFunction="sum" dataDxfId="1287" totalsRowDxfId="1286"/>
    <tableColumn id="10" name="(J)_x000a_Accounts Payable Balance_x000a_(H + I)" totalsRowFunction="sum" dataDxfId="1285" totalsRowDxfId="1284"/>
    <tableColumn id="11" name="(K)_x000a_Established _x000a_Accounts Receivable" totalsRowFunction="sum" dataDxfId="1283" totalsRowDxfId="1282"/>
    <tableColumn id="12" name="(L)_x000a_Recovered_x000a_ Accounts Receivable" totalsRowFunction="sum" dataDxfId="1281" totalsRowDxfId="1280"/>
    <tableColumn id="13" name="(M)_x000a_Accounts Receivable Balance_x000a_(K + L)" totalsRowFunction="sum" dataDxfId="1279" totalsRowDxfId="1278"/>
    <tableColumn id="14" name="(N)_x000a_Net Balance_x000a_(J minus M)" totalsRowFunction="sum" dataDxfId="1277" totalsRowDxfId="12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3.xml><?xml version="1.0" encoding="utf-8"?>
<table xmlns="http://schemas.openxmlformats.org/spreadsheetml/2006/main" id="263" name="Program231" displayName="Program231" ref="A2:N6" totalsRowCount="1" headerRowDxfId="1275" dataDxfId="1273" totalsRowDxfId="1271" headerRowBorderDxfId="1274" tableBorderDxfId="1272" totalsRowBorderDxfId="1270">
  <autoFilter ref="A2:N5"/>
  <tableColumns count="14">
    <tableColumn id="1" name="(A)_x000a_Program Name" totalsRowLabel="Total Program 231" dataDxfId="1269" totalsRowDxfId="1268"/>
    <tableColumn id="2" name="(B)_x000a_Fiscal _x000a_Year" totalsRowLabel="N/A" dataDxfId="1267" totalsRowDxfId="1266"/>
    <tableColumn id="3" name="(C)_x000a_Program_x000a_Costs" totalsRowFunction="sum" dataDxfId="1265" totalsRowDxfId="1264"/>
    <tableColumn id="4" name="(D)_x000a_Prior Period Adjustments" totalsRowFunction="sum" dataDxfId="1263" totalsRowDxfId="1262"/>
    <tableColumn id="5" name="(E)_x000a_Current Period Desk _x000a_Reviews" totalsRowFunction="sum" dataDxfId="1261" totalsRowDxfId="1260"/>
    <tableColumn id="6" name="(F)_x000a_Current Period _x000a_Final _x000a_Audits" totalsRowFunction="sum" dataDxfId="1259" totalsRowDxfId="1258"/>
    <tableColumn id="7" name="(G)_x000a_Current Period _x000a_Other Adjustments" totalsRowFunction="sum" dataDxfId="1257" totalsRowDxfId="1256"/>
    <tableColumn id="8" name="(H)_x000a_Net Program Costs_x000a_Sum (C through G)" totalsRowFunction="sum" dataDxfId="1255" totalsRowDxfId="1254"/>
    <tableColumn id="9" name="(I)_x000a_Payments_x000a_ and Offsets" totalsRowFunction="sum" dataDxfId="1253" totalsRowDxfId="1252"/>
    <tableColumn id="10" name="(J)_x000a_Accounts Payable Balance_x000a_(H + I)" totalsRowFunction="sum" dataDxfId="1251" totalsRowDxfId="1250"/>
    <tableColumn id="11" name="(K)_x000a_Established _x000a_Accounts Receivable" totalsRowFunction="sum" dataDxfId="1249" totalsRowDxfId="1248"/>
    <tableColumn id="12" name="(L)_x000a_Recovered_x000a_ Accounts Receivable" totalsRowFunction="sum" dataDxfId="1247" totalsRowDxfId="1246"/>
    <tableColumn id="13" name="(M)_x000a_Accounts Receivable Balance_x000a_(K + L)" totalsRowFunction="sum" dataDxfId="1245" totalsRowDxfId="1244"/>
    <tableColumn id="14" name="(N)_x000a_Net Balance_x000a_(J minus M)" totalsRowFunction="sum" dataDxfId="1243" totalsRowDxfId="124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4.xml><?xml version="1.0" encoding="utf-8"?>
<table xmlns="http://schemas.openxmlformats.org/spreadsheetml/2006/main" id="264" name="Program270" displayName="Program270" ref="A8:N21" totalsRowCount="1" headerRowDxfId="1241" dataDxfId="1239" totalsRowDxfId="1237" headerRowBorderDxfId="1240" tableBorderDxfId="1238" totalsRowBorderDxfId="1236">
  <autoFilter ref="A8:N20"/>
  <tableColumns count="14">
    <tableColumn id="1" name="(A)_x000a_Program Name" totalsRowLabel="Total Program 270" dataDxfId="1235" totalsRowDxfId="1234"/>
    <tableColumn id="2" name="(B)_x000a_Fiscal _x000a_Year" totalsRowLabel="N/A" dataDxfId="1233" totalsRowDxfId="1232"/>
    <tableColumn id="3" name="(C)_x000a_Program_x000a_Costs" totalsRowFunction="sum" dataDxfId="1231" totalsRowDxfId="1230"/>
    <tableColumn id="4" name="(D)_x000a_Prior Period Adjustments" totalsRowFunction="sum" dataDxfId="1229" totalsRowDxfId="1228"/>
    <tableColumn id="5" name="(E)_x000a_Current Period Desk _x000a_Reviews" totalsRowFunction="sum" dataDxfId="1227" totalsRowDxfId="1226"/>
    <tableColumn id="6" name="(F)_x000a_Current Period _x000a_Final _x000a_Audits" totalsRowFunction="sum" dataDxfId="1225" totalsRowDxfId="1224"/>
    <tableColumn id="7" name="(G)_x000a_Current Period _x000a_Other Adjustments" totalsRowFunction="sum" dataDxfId="1223" totalsRowDxfId="1222"/>
    <tableColumn id="8" name="(H)_x000a_Net Program Costs_x000a_Sum (C through G)" totalsRowFunction="sum" dataDxfId="1221" totalsRowDxfId="1220"/>
    <tableColumn id="9" name="(I)_x000a_Payments_x000a_ and Offsets" totalsRowFunction="sum" dataDxfId="1219" totalsRowDxfId="1218"/>
    <tableColumn id="10" name="(J)_x000a_Accounts Payable Balance_x000a_(H + I)" totalsRowFunction="sum" dataDxfId="1217" totalsRowDxfId="1216"/>
    <tableColumn id="11" name="(K)_x000a_Established _x000a_Accounts Receivable" totalsRowFunction="sum" dataDxfId="1215" totalsRowDxfId="1214"/>
    <tableColumn id="12" name="(L)_x000a_Recovered_x000a_ Accounts Receivable" totalsRowFunction="sum" dataDxfId="1213" totalsRowDxfId="1212"/>
    <tableColumn id="13" name="(M)_x000a_Accounts Receivable Balance_x000a_(K + L)" totalsRowFunction="sum" dataDxfId="1211" totalsRowDxfId="1210"/>
    <tableColumn id="14" name="(N)_x000a_Net Balance_x000a_(J minus M)" totalsRowFunction="sum" dataDxfId="1209" totalsRowDxfId="120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5.xml><?xml version="1.0" encoding="utf-8"?>
<table xmlns="http://schemas.openxmlformats.org/spreadsheetml/2006/main" id="265" name="Program302" displayName="Program302" ref="A23:N35" totalsRowCount="1" headerRowDxfId="1207" dataDxfId="1205" totalsRowDxfId="1203" headerRowBorderDxfId="1206" tableBorderDxfId="1204" totalsRowBorderDxfId="1202">
  <autoFilter ref="A23:N34"/>
  <tableColumns count="14">
    <tableColumn id="1" name="(A)_x000a_Program Name" totalsRowLabel="Total Program 302" dataDxfId="1201" totalsRowDxfId="1200"/>
    <tableColumn id="2" name="(B)_x000a_Fiscal _x000a_Year" totalsRowLabel="N/A" dataDxfId="1199" totalsRowDxfId="1198"/>
    <tableColumn id="3" name="(C)_x000a_Program_x000a_Costs" totalsRowFunction="sum" dataDxfId="1197" totalsRowDxfId="1196"/>
    <tableColumn id="4" name="(D)_x000a_Prior Period Adjustments" totalsRowFunction="sum" dataDxfId="1195" totalsRowDxfId="1194"/>
    <tableColumn id="5" name="(E)_x000a_Current Period Desk _x000a_Reviews" totalsRowFunction="sum" dataDxfId="1193" totalsRowDxfId="1192"/>
    <tableColumn id="6" name="(F)_x000a_Current Period _x000a_Final _x000a_Audits" totalsRowFunction="sum" dataDxfId="1191" totalsRowDxfId="1190"/>
    <tableColumn id="7" name="(G)_x000a_Current Period _x000a_Other Adjustments" totalsRowFunction="sum" dataDxfId="1189" totalsRowDxfId="1188"/>
    <tableColumn id="8" name="(H)_x000a_Net Program Costs_x000a_Sum (C through G)" totalsRowFunction="sum" dataDxfId="1187" totalsRowDxfId="1186"/>
    <tableColumn id="9" name="(I)_x000a_Payments_x000a_ and Offsets" totalsRowFunction="sum" dataDxfId="1185" totalsRowDxfId="1184"/>
    <tableColumn id="10" name="(J)_x000a_Accounts Payable Balance_x000a_(H + I)" totalsRowFunction="sum" dataDxfId="1183" totalsRowDxfId="1182"/>
    <tableColumn id="11" name="(K)_x000a_Established _x000a_Accounts Receivable" totalsRowFunction="sum" dataDxfId="1181" totalsRowDxfId="1180"/>
    <tableColumn id="12" name="(L)_x000a_Recovered_x000a_ Accounts Receivable" totalsRowFunction="sum" dataDxfId="1179" totalsRowDxfId="1178"/>
    <tableColumn id="13" name="(M)_x000a_Accounts Receivable Balance_x000a_(K + L)" totalsRowFunction="sum" dataDxfId="1177" totalsRowDxfId="1176"/>
    <tableColumn id="14" name="(N)_x000a_Net Balance_x000a_(J minus M)" totalsRowFunction="sum" dataDxfId="1175" totalsRowDxfId="117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6.xml><?xml version="1.0" encoding="utf-8"?>
<table xmlns="http://schemas.openxmlformats.org/spreadsheetml/2006/main" id="266" name="Program355" displayName="Program355" ref="A37:N44" totalsRowCount="1" headerRowDxfId="1173" dataDxfId="1171" totalsRowDxfId="1169" headerRowBorderDxfId="1172" tableBorderDxfId="1170" totalsRowBorderDxfId="1168">
  <autoFilter ref="A37:N43"/>
  <tableColumns count="14">
    <tableColumn id="1" name="(A)_x000a_Program Name" totalsRowLabel="Total Program 355" dataDxfId="1167" totalsRowDxfId="1166"/>
    <tableColumn id="2" name="(B)_x000a_Fiscal _x000a_Year" totalsRowLabel="N/A" dataDxfId="1165" totalsRowDxfId="1164"/>
    <tableColumn id="3" name="(C)_x000a_Program_x000a_Costs" totalsRowFunction="sum" dataDxfId="1163" totalsRowDxfId="1162"/>
    <tableColumn id="4" name="(D)_x000a_Prior Period Adjustments" totalsRowFunction="sum" dataDxfId="1161" totalsRowDxfId="1160"/>
    <tableColumn id="5" name="(E)_x000a_Current Period Desk _x000a_Reviews" totalsRowFunction="sum" dataDxfId="1159" totalsRowDxfId="1158"/>
    <tableColumn id="6" name="(F)_x000a_Current Period _x000a_Final _x000a_Audits" totalsRowFunction="sum" dataDxfId="1157" totalsRowDxfId="1156"/>
    <tableColumn id="7" name="(G)_x000a_Current Period _x000a_Other Adjustments" totalsRowFunction="sum" dataDxfId="1155" totalsRowDxfId="1154"/>
    <tableColumn id="8" name="(H)_x000a_Net Program Costs_x000a_Sum (C through G)" totalsRowFunction="sum" dataDxfId="1153" totalsRowDxfId="1152"/>
    <tableColumn id="9" name="(I)_x000a_Payments_x000a_ and Offsets" totalsRowFunction="sum" dataDxfId="1151" totalsRowDxfId="1150"/>
    <tableColumn id="10" name="(J)_x000a_Accounts Payable Balance_x000a_(H + I)" totalsRowFunction="sum" dataDxfId="1149" totalsRowDxfId="1148"/>
    <tableColumn id="11" name="(K)_x000a_Established _x000a_Accounts Receivable" totalsRowFunction="sum" dataDxfId="1147" totalsRowDxfId="1146"/>
    <tableColumn id="12" name="(L)_x000a_Recovered_x000a_ Accounts Receivable" totalsRowFunction="sum" dataDxfId="1145" totalsRowDxfId="1144"/>
    <tableColumn id="13" name="(M)_x000a_Accounts Receivable Balance_x000a_(K + L)" totalsRowFunction="sum" dataDxfId="1143" totalsRowDxfId="1142"/>
    <tableColumn id="14" name="(N)_x000a_Net Balance_x000a_(J minus M)" totalsRowFunction="sum" dataDxfId="1141" totalsRowDxfId="114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7.xml><?xml version="1.0" encoding="utf-8"?>
<table xmlns="http://schemas.openxmlformats.org/spreadsheetml/2006/main" id="267" name="Program287" displayName="Program287" ref="A46:N58" totalsRowCount="1" headerRowDxfId="1139" dataDxfId="1137" totalsRowDxfId="1135" headerRowBorderDxfId="1138" tableBorderDxfId="1136" totalsRowBorderDxfId="1134">
  <autoFilter ref="A46:N57"/>
  <tableColumns count="14">
    <tableColumn id="1" name="(A)_x000a_Program Name" totalsRowLabel="Total Program 287" dataDxfId="1133" totalsRowDxfId="1132"/>
    <tableColumn id="2" name="(B)_x000a_Fiscal _x000a_Year" totalsRowLabel="N/A" dataDxfId="1131" totalsRowDxfId="1130"/>
    <tableColumn id="3" name="(C)_x000a_Program_x000a_Costs" totalsRowFunction="sum" dataDxfId="1129" totalsRowDxfId="1128"/>
    <tableColumn id="4" name="(D)_x000a_Prior Period Adjustments" totalsRowFunction="sum" dataDxfId="1127" totalsRowDxfId="1126"/>
    <tableColumn id="5" name="(E)_x000a_Current Period Desk _x000a_Reviews" totalsRowFunction="sum" dataDxfId="1125" totalsRowDxfId="1124"/>
    <tableColumn id="6" name="(F)_x000a_Current Period _x000a_Final _x000a_Audits" totalsRowFunction="sum" dataDxfId="1123" totalsRowDxfId="1122"/>
    <tableColumn id="7" name="(G)_x000a_Current Period _x000a_Other Adjustments" totalsRowFunction="sum" dataDxfId="1121" totalsRowDxfId="1120"/>
    <tableColumn id="8" name="(H)_x000a_Net Program Costs_x000a_Sum (C through G)" totalsRowFunction="sum" dataDxfId="1119" totalsRowDxfId="1118"/>
    <tableColumn id="9" name="(I)_x000a_Payments_x000a_ and Offsets" totalsRowFunction="sum" dataDxfId="1117" totalsRowDxfId="1116"/>
    <tableColumn id="10" name="(J)_x000a_Accounts Payable Balance_x000a_(H + I)" totalsRowFunction="sum" dataDxfId="1115" totalsRowDxfId="1114"/>
    <tableColumn id="11" name="(K)_x000a_Established _x000a_Accounts Receivable" totalsRowFunction="sum" dataDxfId="1113" totalsRowDxfId="1112"/>
    <tableColumn id="12" name="(L)_x000a_Recovered_x000a_ Accounts Receivable" totalsRowFunction="sum" dataDxfId="1111" totalsRowDxfId="1110"/>
    <tableColumn id="13" name="(M)_x000a_Accounts Receivable Balance_x000a_(K + L)" totalsRowFunction="sum" dataDxfId="1109" totalsRowDxfId="1108"/>
    <tableColumn id="14" name="(N)_x000a_Net Balance_x000a_(J minus M)" totalsRowFunction="sum" dataDxfId="1107" totalsRowDxfId="11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8.xml><?xml version="1.0" encoding="utf-8"?>
<table xmlns="http://schemas.openxmlformats.org/spreadsheetml/2006/main" id="268" name="Program232" displayName="Program232" ref="A60:N82" totalsRowCount="1" headerRowDxfId="1105" dataDxfId="1103" totalsRowDxfId="1101" headerRowBorderDxfId="1104" tableBorderDxfId="1102" totalsRowBorderDxfId="1100">
  <autoFilter ref="A60:N81"/>
  <tableColumns count="14">
    <tableColumn id="1" name="(A)_x000a_Program Name" totalsRowLabel="Total Program 232" dataDxfId="1099" totalsRowDxfId="1098"/>
    <tableColumn id="2" name="(B)_x000a_Fiscal _x000a_Year" totalsRowLabel="N/A" dataDxfId="1097" totalsRowDxfId="1096"/>
    <tableColumn id="3" name="(C)_x000a_Program_x000a_Costs" totalsRowFunction="sum" dataDxfId="1095" totalsRowDxfId="1094"/>
    <tableColumn id="4" name="(D)_x000a_Prior Period Adjustments" totalsRowFunction="sum" dataDxfId="1093" totalsRowDxfId="1092"/>
    <tableColumn id="5" name="(E)_x000a_Current Period Desk _x000a_Reviews" totalsRowFunction="sum" dataDxfId="1091" totalsRowDxfId="1090"/>
    <tableColumn id="6" name="(F)_x000a_Current Period _x000a_Final _x000a_Audits" totalsRowFunction="sum" dataDxfId="1089" totalsRowDxfId="1088"/>
    <tableColumn id="7" name="(G)_x000a_Current Period _x000a_Other Adjustments" totalsRowFunction="sum" dataDxfId="1087" totalsRowDxfId="1086"/>
    <tableColumn id="8" name="(H)_x000a_Net Program Costs_x000a_Sum (C through G)" totalsRowFunction="sum" dataDxfId="1085" totalsRowDxfId="1084"/>
    <tableColumn id="9" name="(I)_x000a_Payments_x000a_ and Offsets" totalsRowFunction="sum" dataDxfId="1083" totalsRowDxfId="1082"/>
    <tableColumn id="10" name="(J)_x000a_Accounts Payable Balance_x000a_(H + I)" totalsRowFunction="sum" dataDxfId="1081" totalsRowDxfId="1080"/>
    <tableColumn id="11" name="(K)_x000a_Established _x000a_Accounts Receivable" totalsRowFunction="sum" dataDxfId="1079" totalsRowDxfId="1078"/>
    <tableColumn id="12" name="(L)_x000a_Recovered_x000a_ Accounts Receivable" totalsRowFunction="sum" dataDxfId="1077" totalsRowDxfId="1076"/>
    <tableColumn id="13" name="(M)_x000a_Accounts Receivable Balance_x000a_(K + L)" totalsRowFunction="sum" dataDxfId="1075" totalsRowDxfId="1074"/>
    <tableColumn id="14" name="(N)_x000a_Net Balance_x000a_(J minus M)" totalsRowFunction="sum" dataDxfId="1073" totalsRowDxfId="107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69.xml><?xml version="1.0" encoding="utf-8"?>
<table xmlns="http://schemas.openxmlformats.org/spreadsheetml/2006/main" id="269" name="Program332" displayName="Program332" ref="A84:N96" totalsRowCount="1" headerRowDxfId="1071" dataDxfId="1069" totalsRowDxfId="1067" headerRowBorderDxfId="1070" tableBorderDxfId="1068" totalsRowBorderDxfId="1066">
  <autoFilter ref="A84:N95"/>
  <tableColumns count="14">
    <tableColumn id="1" name="(A)_x000a_Program Name" totalsRowLabel="Total Program 332" dataDxfId="1065" totalsRowDxfId="1064"/>
    <tableColumn id="2" name="(B)_x000a_Fiscal _x000a_Year" totalsRowLabel="N/A" dataDxfId="1063" totalsRowDxfId="1062"/>
    <tableColumn id="3" name="(C)_x000a_Program_x000a_Costs" totalsRowFunction="sum" dataDxfId="1061" totalsRowDxfId="1060"/>
    <tableColumn id="4" name="(D)_x000a_Prior Period Adjustments" totalsRowFunction="sum" dataDxfId="1059" totalsRowDxfId="1058"/>
    <tableColumn id="5" name="(E)_x000a_Current Period Desk _x000a_Reviews" totalsRowFunction="sum" dataDxfId="1057" totalsRowDxfId="1056"/>
    <tableColumn id="6" name="(F)_x000a_Current Period _x000a_Final _x000a_Audits" totalsRowFunction="sum" dataDxfId="1055" totalsRowDxfId="1054"/>
    <tableColumn id="7" name="(G)_x000a_Current Period _x000a_Other Adjustments" totalsRowFunction="sum" dataDxfId="1053" totalsRowDxfId="1052"/>
    <tableColumn id="8" name="(H)_x000a_Net Program Costs_x000a_Sum (C through G)" totalsRowFunction="sum" dataDxfId="1051" totalsRowDxfId="1050"/>
    <tableColumn id="9" name="(I)_x000a_Payments_x000a_ and Offsets" totalsRowFunction="sum" dataDxfId="1049" totalsRowDxfId="1048"/>
    <tableColumn id="10" name="(J)_x000a_Accounts Payable Balance_x000a_(H + I)" totalsRowFunction="sum" dataDxfId="1047" totalsRowDxfId="1046"/>
    <tableColumn id="11" name="(K)_x000a_Established _x000a_Accounts Receivable" totalsRowFunction="sum" dataDxfId="1045" totalsRowDxfId="1044"/>
    <tableColumn id="12" name="(L)_x000a_Recovered_x000a_ Accounts Receivable" totalsRowFunction="sum" dataDxfId="1043" totalsRowDxfId="1042"/>
    <tableColumn id="13" name="(M)_x000a_Accounts Receivable Balance_x000a_(K + L)" totalsRowFunction="sum" dataDxfId="1041" totalsRowDxfId="1040"/>
    <tableColumn id="14" name="(N)_x000a_Net Balance_x000a_(J minus M)" totalsRowFunction="sum" dataDxfId="1039" totalsRowDxfId="10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.xml><?xml version="1.0" encoding="utf-8"?>
<table xmlns="http://schemas.openxmlformats.org/spreadsheetml/2006/main" id="27" name="Program008" displayName="Program008" ref="A311:N317" totalsRowCount="1" headerRowDxfId="9242" dataDxfId="9240" totalsRowDxfId="9238" headerRowBorderDxfId="9241" tableBorderDxfId="9239" totalsRowBorderDxfId="9237">
  <autoFilter ref="A311:N316"/>
  <tableColumns count="14">
    <tableColumn id="1" name="(A)_x000a_Program Name" totalsRowLabel="Total Program 8" dataDxfId="9236" totalsRowDxfId="9235"/>
    <tableColumn id="2" name="(B)_x000a_Fiscal _x000a_Year" totalsRowLabel="N/A" dataDxfId="9234" totalsRowDxfId="9233"/>
    <tableColumn id="3" name="(C)_x000a_Program_x000a_Costs" totalsRowFunction="sum" dataDxfId="9232" totalsRowDxfId="9231"/>
    <tableColumn id="4" name="(D)_x000a_Prior Period Adjustments" totalsRowFunction="sum" dataDxfId="9230" totalsRowDxfId="9229"/>
    <tableColumn id="5" name="(E)_x000a_Current Period Desk _x000a_Reviews" totalsRowFunction="sum" dataDxfId="9228" totalsRowDxfId="9227"/>
    <tableColumn id="6" name="(F)_x000a_Current Period _x000a_Final _x000a_Audits" totalsRowFunction="sum" dataDxfId="9226" totalsRowDxfId="9225"/>
    <tableColumn id="7" name="(G)_x000a_Current Period _x000a_Other Adjustments" totalsRowFunction="sum" dataDxfId="9224" totalsRowDxfId="9223"/>
    <tableColumn id="8" name="(H)_x000a_Net Program Costs_x000a_Sum (C through G)" totalsRowFunction="sum" dataDxfId="9222" totalsRowDxfId="9221"/>
    <tableColumn id="9" name="(I)_x000a_Payments_x000a_ and Offsets" totalsRowFunction="sum" dataDxfId="9220" totalsRowDxfId="9219"/>
    <tableColumn id="10" name="(J)_x000a_Accounts Payable Balance_x000a_(H + I)" totalsRowFunction="sum" dataDxfId="9218" totalsRowDxfId="9217"/>
    <tableColumn id="11" name="(K)_x000a_Established _x000a_Accounts Receivable" totalsRowFunction="sum" dataDxfId="9216" totalsRowDxfId="9215"/>
    <tableColumn id="12" name="(L)_x000a_Recovered_x000a_ Accounts Receivable" totalsRowFunction="sum" dataDxfId="9214" totalsRowDxfId="9213"/>
    <tableColumn id="13" name="(M)_x000a_Accounts Receivable Balance_x000a_(K + L)" totalsRowFunction="sum" dataDxfId="9212" totalsRowDxfId="9211"/>
    <tableColumn id="14" name="(N)_x000a_Net Balance_x000a_(J minus M)" totalsRowFunction="sum" dataDxfId="9210" totalsRowDxfId="92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0.xml><?xml version="1.0" encoding="utf-8"?>
<table xmlns="http://schemas.openxmlformats.org/spreadsheetml/2006/main" id="270" name="Program338" displayName="Program338" ref="A98:N100" totalsRowCount="1" headerRowDxfId="1037" dataDxfId="1035" totalsRowDxfId="1033" headerRowBorderDxfId="1036" tableBorderDxfId="1034" totalsRowBorderDxfId="1032">
  <autoFilter ref="A98:N99"/>
  <tableColumns count="14">
    <tableColumn id="1" name="(A)_x000a_Program Name" totalsRowLabel="Total Program 338" dataDxfId="1031" totalsRowDxfId="1030"/>
    <tableColumn id="2" name="(B)_x000a_Fiscal _x000a_Year" totalsRowLabel="N/A" dataDxfId="1029" totalsRowDxfId="1028"/>
    <tableColumn id="3" name="(C)_x000a_Program_x000a_Costs" totalsRowFunction="sum" dataDxfId="1027" totalsRowDxfId="1026"/>
    <tableColumn id="4" name="(D)_x000a_Prior Period Adjustments" totalsRowFunction="sum" dataDxfId="1025" totalsRowDxfId="1024"/>
    <tableColumn id="5" name="(E)_x000a_Current Period Desk _x000a_Reviews" totalsRowFunction="sum" dataDxfId="1023" totalsRowDxfId="1022"/>
    <tableColumn id="6" name="(F)_x000a_Current Period _x000a_Final _x000a_Audits" totalsRowFunction="sum" dataDxfId="1021" totalsRowDxfId="1020"/>
    <tableColumn id="7" name="(G)_x000a_Current Period _x000a_Other Adjustments" totalsRowFunction="sum" dataDxfId="1019" totalsRowDxfId="1018"/>
    <tableColumn id="8" name="(H)_x000a_Net Program Costs_x000a_Sum (C through G)" totalsRowFunction="sum" dataDxfId="1017" totalsRowDxfId="1016"/>
    <tableColumn id="9" name="(I)_x000a_Payments_x000a_ and Offsets" totalsRowFunction="sum" dataDxfId="1015" totalsRowDxfId="1014"/>
    <tableColumn id="10" name="(J)_x000a_Accounts Payable Balance_x000a_(H + I)" totalsRowFunction="sum" dataDxfId="1013" totalsRowDxfId="1012"/>
    <tableColumn id="11" name="(K)_x000a_Established _x000a_Accounts Receivable" totalsRowFunction="sum" dataDxfId="1011" totalsRowDxfId="1010"/>
    <tableColumn id="12" name="(L)_x000a_Recovered_x000a_ Accounts Receivable" totalsRowFunction="sum" dataDxfId="1009" totalsRowDxfId="1008"/>
    <tableColumn id="13" name="(M)_x000a_Accounts Receivable Balance_x000a_(K + L)" totalsRowFunction="sum" dataDxfId="1007" totalsRowDxfId="1006"/>
    <tableColumn id="14" name="(N)_x000a_Net Balance_x000a_(J minus M)" totalsRowFunction="sum" dataDxfId="1005" totalsRowDxfId="100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1.xml><?xml version="1.0" encoding="utf-8"?>
<table xmlns="http://schemas.openxmlformats.org/spreadsheetml/2006/main" id="271" name="Program339" displayName="Program339" ref="A102:N104" totalsRowCount="1" headerRowDxfId="1003" dataDxfId="1001" totalsRowDxfId="999" headerRowBorderDxfId="1002" tableBorderDxfId="1000" totalsRowBorderDxfId="998">
  <autoFilter ref="A102:N103"/>
  <tableColumns count="14">
    <tableColumn id="1" name="(A)_x000a_Program Name" totalsRowLabel="Total Program 339" dataDxfId="997" totalsRowDxfId="996"/>
    <tableColumn id="2" name="(B)_x000a_Fiscal _x000a_Year" totalsRowLabel="N/A" dataDxfId="995" totalsRowDxfId="994"/>
    <tableColumn id="3" name="(C)_x000a_Program_x000a_Costs" totalsRowFunction="sum" dataDxfId="993" totalsRowDxfId="992"/>
    <tableColumn id="4" name="(D)_x000a_Prior Period Adjustments" totalsRowFunction="sum" dataDxfId="991" totalsRowDxfId="990"/>
    <tableColumn id="5" name="(E)_x000a_Current Period Desk _x000a_Reviews" totalsRowFunction="sum" dataDxfId="989" totalsRowDxfId="988"/>
    <tableColumn id="6" name="(F)_x000a_Current Period _x000a_Final _x000a_Audits" totalsRowFunction="sum" dataDxfId="987" totalsRowDxfId="986"/>
    <tableColumn id="7" name="(G)_x000a_Current Period _x000a_Other Adjustments" totalsRowFunction="sum" dataDxfId="985" totalsRowDxfId="984"/>
    <tableColumn id="8" name="(H)_x000a_Net Program Costs_x000a_Sum (C through G)" totalsRowFunction="sum" dataDxfId="983" totalsRowDxfId="982"/>
    <tableColumn id="9" name="(I)_x000a_Payments_x000a_ and Offsets" totalsRowFunction="sum" dataDxfId="981" totalsRowDxfId="980"/>
    <tableColumn id="10" name="(J)_x000a_Accounts Payable Balance_x000a_(H + I)" totalsRowFunction="sum" dataDxfId="979" totalsRowDxfId="978"/>
    <tableColumn id="11" name="(K)_x000a_Established _x000a_Accounts Receivable" totalsRowFunction="sum" dataDxfId="977" totalsRowDxfId="976"/>
    <tableColumn id="12" name="(L)_x000a_Recovered_x000a_ Accounts Receivable" totalsRowFunction="sum" dataDxfId="975" totalsRowDxfId="974"/>
    <tableColumn id="13" name="(M)_x000a_Accounts Receivable Balance_x000a_(K + L)" totalsRowFunction="sum" dataDxfId="973" totalsRowDxfId="972"/>
    <tableColumn id="14" name="(N)_x000a_Net Balance_x000a_(J minus M)" totalsRowFunction="sum" dataDxfId="971" totalsRowDxfId="97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2.xml><?xml version="1.0" encoding="utf-8"?>
<table xmlns="http://schemas.openxmlformats.org/spreadsheetml/2006/main" id="272" name="Program340" displayName="Program340" ref="A106:N116" totalsRowCount="1" headerRowDxfId="969" dataDxfId="967" totalsRowDxfId="965" headerRowBorderDxfId="968" tableBorderDxfId="966" totalsRowBorderDxfId="964">
  <autoFilter ref="A106:N115"/>
  <tableColumns count="14">
    <tableColumn id="1" name="(A)_x000a_Program Name" totalsRowLabel="Total Program 340" dataDxfId="963" totalsRowDxfId="962"/>
    <tableColumn id="2" name="(B)_x000a_Fiscal _x000a_Year" totalsRowLabel="N/A" dataDxfId="961" totalsRowDxfId="960"/>
    <tableColumn id="3" name="(C)_x000a_Program_x000a_Costs" totalsRowFunction="sum" dataDxfId="959" totalsRowDxfId="958"/>
    <tableColumn id="4" name="(D)_x000a_Prior Period Adjustments" totalsRowFunction="sum" dataDxfId="957" totalsRowDxfId="956"/>
    <tableColumn id="5" name="(E)_x000a_Current Period Desk _x000a_Reviews" totalsRowFunction="sum" dataDxfId="955" totalsRowDxfId="954"/>
    <tableColumn id="6" name="(F)_x000a_Current Period _x000a_Final _x000a_Audits" totalsRowFunction="sum" dataDxfId="953" totalsRowDxfId="952"/>
    <tableColumn id="7" name="(G)_x000a_Current Period _x000a_Other Adjustments" totalsRowFunction="sum" dataDxfId="951" totalsRowDxfId="950"/>
    <tableColumn id="8" name="(H)_x000a_Net Program Costs_x000a_Sum (C through G)" totalsRowFunction="sum" dataDxfId="949" totalsRowDxfId="948"/>
    <tableColumn id="9" name="(I)_x000a_Payments_x000a_ and Offsets" totalsRowFunction="sum" dataDxfId="947" totalsRowDxfId="946"/>
    <tableColumn id="10" name="(J)_x000a_Accounts Payable Balance_x000a_(H + I)" totalsRowFunction="sum" dataDxfId="945" totalsRowDxfId="944"/>
    <tableColumn id="11" name="(K)_x000a_Established _x000a_Accounts Receivable" totalsRowFunction="sum" dataDxfId="943" totalsRowDxfId="942"/>
    <tableColumn id="12" name="(L)_x000a_Recovered_x000a_ Accounts Receivable" totalsRowFunction="sum" dataDxfId="941" totalsRowDxfId="940"/>
    <tableColumn id="13" name="(M)_x000a_Accounts Receivable Balance_x000a_(K + L)" totalsRowFunction="sum" dataDxfId="939" totalsRowDxfId="938"/>
    <tableColumn id="14" name="(N)_x000a_Net Balance_x000a_(J minus M)" totalsRowFunction="sum" dataDxfId="937" totalsRowDxfId="93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3.xml><?xml version="1.0" encoding="utf-8"?>
<table xmlns="http://schemas.openxmlformats.org/spreadsheetml/2006/main" id="273" name="Program343" displayName="Program343" ref="A118:N120" totalsRowCount="1" headerRowDxfId="935" dataDxfId="933" totalsRowDxfId="931" headerRowBorderDxfId="934" tableBorderDxfId="932" totalsRowBorderDxfId="930">
  <autoFilter ref="A118:N119"/>
  <tableColumns count="14">
    <tableColumn id="1" name="(A)_x000a_Program Name" totalsRowLabel="Total Program 343" dataDxfId="929" totalsRowDxfId="928"/>
    <tableColumn id="2" name="(B)_x000a_Fiscal _x000a_Year" totalsRowLabel="N/A" dataDxfId="927" totalsRowDxfId="926"/>
    <tableColumn id="3" name="(C)_x000a_Program_x000a_Costs" totalsRowFunction="sum" dataDxfId="925" totalsRowDxfId="924"/>
    <tableColumn id="4" name="(D)_x000a_Prior Period Adjustments" totalsRowFunction="sum" dataDxfId="923" totalsRowDxfId="922"/>
    <tableColumn id="5" name="(E)_x000a_Current Period Desk _x000a_Reviews" totalsRowFunction="sum" dataDxfId="921" totalsRowDxfId="920"/>
    <tableColumn id="6" name="(F)_x000a_Current Period _x000a_Final _x000a_Audits" totalsRowFunction="sum" dataDxfId="919" totalsRowDxfId="918"/>
    <tableColumn id="7" name="(G)_x000a_Current Period _x000a_Other Adjustments" totalsRowFunction="sum" dataDxfId="917" totalsRowDxfId="916"/>
    <tableColumn id="8" name="(H)_x000a_Net Program Costs_x000a_Sum (C through G)" totalsRowFunction="sum" dataDxfId="915" totalsRowDxfId="914"/>
    <tableColumn id="9" name="(I)_x000a_Payments_x000a_ and Offsets" totalsRowFunction="sum" dataDxfId="913" totalsRowDxfId="912"/>
    <tableColumn id="10" name="(J)_x000a_Accounts Payable Balance_x000a_(H + I)" totalsRowFunction="sum" dataDxfId="911" totalsRowDxfId="910"/>
    <tableColumn id="11" name="(K)_x000a_Established _x000a_Accounts Receivable" totalsRowFunction="sum" dataDxfId="909" totalsRowDxfId="908"/>
    <tableColumn id="12" name="(L)_x000a_Recovered_x000a_ Accounts Receivable" totalsRowFunction="sum" dataDxfId="907" totalsRowDxfId="906"/>
    <tableColumn id="13" name="(M)_x000a_Accounts Receivable Balance_x000a_(K + L)" totalsRowFunction="sum" dataDxfId="905" totalsRowDxfId="904"/>
    <tableColumn id="14" name="(N)_x000a_Net Balance_x000a_(J minus M)" totalsRowFunction="sum" dataDxfId="903" totalsRowDxfId="90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4.xml><?xml version="1.0" encoding="utf-8"?>
<table xmlns="http://schemas.openxmlformats.org/spreadsheetml/2006/main" id="274" name="Program344" displayName="Program344" ref="A122:N133" totalsRowCount="1" headerRowDxfId="901" dataDxfId="899" totalsRowDxfId="897" headerRowBorderDxfId="900" tableBorderDxfId="898" totalsRowBorderDxfId="896">
  <autoFilter ref="A122:N132"/>
  <tableColumns count="14">
    <tableColumn id="1" name="(A)_x000a_Program Name" totalsRowLabel="Total Program 344" dataDxfId="895" totalsRowDxfId="894"/>
    <tableColumn id="2" name="(B)_x000a_Fiscal _x000a_Year" totalsRowLabel="N/A" dataDxfId="893" totalsRowDxfId="892"/>
    <tableColumn id="3" name="(C)_x000a_Program_x000a_Costs" totalsRowFunction="sum" dataDxfId="891" totalsRowDxfId="890"/>
    <tableColumn id="4" name="(D)_x000a_Prior Period Adjustments" totalsRowFunction="sum" dataDxfId="889" totalsRowDxfId="888"/>
    <tableColumn id="5" name="(E)_x000a_Current Period Desk _x000a_Reviews" totalsRowFunction="sum" dataDxfId="887" totalsRowDxfId="886"/>
    <tableColumn id="6" name="(F)_x000a_Current Period _x000a_Final _x000a_Audits" totalsRowFunction="sum" dataDxfId="885" totalsRowDxfId="884"/>
    <tableColumn id="7" name="(G)_x000a_Current Period _x000a_Other Adjustments" totalsRowFunction="sum" dataDxfId="883" totalsRowDxfId="882"/>
    <tableColumn id="8" name="(H)_x000a_Net Program Costs_x000a_Sum (C through G)" totalsRowFunction="sum" dataDxfId="881" totalsRowDxfId="880"/>
    <tableColumn id="9" name="(I)_x000a_Payments_x000a_ and Offsets" totalsRowFunction="sum" dataDxfId="879" totalsRowDxfId="878"/>
    <tableColumn id="10" name="(J)_x000a_Accounts Payable Balance_x000a_(H + I)" totalsRowFunction="sum" dataDxfId="877" totalsRowDxfId="876"/>
    <tableColumn id="11" name="(K)_x000a_Established _x000a_Accounts Receivable" totalsRowFunction="sum" dataDxfId="875" totalsRowDxfId="874"/>
    <tableColumn id="12" name="(L)_x000a_Recovered_x000a_ Accounts Receivable" totalsRowFunction="sum" dataDxfId="873" totalsRowDxfId="872"/>
    <tableColumn id="13" name="(M)_x000a_Accounts Receivable Balance_x000a_(K + L)" totalsRowFunction="sum" dataDxfId="871" totalsRowDxfId="870"/>
    <tableColumn id="14" name="(N)_x000a_Net Balance_x000a_(J minus M)" totalsRowFunction="sum" dataDxfId="869" totalsRowDxfId="86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5.xml><?xml version="1.0" encoding="utf-8"?>
<table xmlns="http://schemas.openxmlformats.org/spreadsheetml/2006/main" id="275" name="Program267" displayName="Program267" ref="A135:N153" totalsRowCount="1" headerRowDxfId="867" dataDxfId="865" totalsRowDxfId="863" headerRowBorderDxfId="866" tableBorderDxfId="864" totalsRowBorderDxfId="862">
  <autoFilter ref="A135:N152"/>
  <tableColumns count="14">
    <tableColumn id="1" name="(A)_x000a_Program Name" totalsRowLabel="Total Program 267" dataDxfId="861" totalsRowDxfId="860"/>
    <tableColumn id="2" name="(B)_x000a_Fiscal _x000a_Year" totalsRowLabel="N/A" dataDxfId="859" totalsRowDxfId="858"/>
    <tableColumn id="3" name="(C)_x000a_Program_x000a_Costs" totalsRowFunction="sum" dataDxfId="857" totalsRowDxfId="856"/>
    <tableColumn id="4" name="(D)_x000a_Prior Period Adjustments" totalsRowFunction="sum" dataDxfId="855" totalsRowDxfId="854"/>
    <tableColumn id="5" name="(E)_x000a_Current Period Desk _x000a_Reviews" totalsRowFunction="sum" dataDxfId="853" totalsRowDxfId="852"/>
    <tableColumn id="6" name="(F)_x000a_Current Period _x000a_Final _x000a_Audits" totalsRowFunction="sum" dataDxfId="851" totalsRowDxfId="850"/>
    <tableColumn id="7" name="(G)_x000a_Current Period _x000a_Other Adjustments" totalsRowFunction="sum" dataDxfId="849" totalsRowDxfId="848"/>
    <tableColumn id="8" name="(H)_x000a_Net Program Costs_x000a_Sum (C through G)" totalsRowFunction="sum" dataDxfId="847" totalsRowDxfId="846"/>
    <tableColumn id="9" name="(I)_x000a_Payments_x000a_ and Offsets" totalsRowFunction="sum" dataDxfId="845" totalsRowDxfId="844"/>
    <tableColumn id="10" name="(J)_x000a_Accounts Payable Balance_x000a_(H + I)" totalsRowFunction="sum" dataDxfId="843" totalsRowDxfId="842"/>
    <tableColumn id="11" name="(K)_x000a_Established _x000a_Accounts Receivable" totalsRowFunction="sum" dataDxfId="841" totalsRowDxfId="840"/>
    <tableColumn id="12" name="(L)_x000a_Recovered_x000a_ Accounts Receivable" totalsRowFunction="sum" dataDxfId="839" totalsRowDxfId="838"/>
    <tableColumn id="13" name="(M)_x000a_Accounts Receivable Balance_x000a_(K + L)" totalsRowFunction="sum" dataDxfId="837" totalsRowDxfId="836"/>
    <tableColumn id="14" name="(N)_x000a_Net Balance_x000a_(J minus M)" totalsRowFunction="sum" dataDxfId="835" totalsRowDxfId="83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6.xml><?xml version="1.0" encoding="utf-8"?>
<table xmlns="http://schemas.openxmlformats.org/spreadsheetml/2006/main" id="276" name="Program243" displayName="Program243" ref="A155:N160" totalsRowCount="1" headerRowDxfId="833" dataDxfId="831" totalsRowDxfId="829" headerRowBorderDxfId="832" tableBorderDxfId="830" totalsRowBorderDxfId="828">
  <autoFilter ref="A155:N159"/>
  <tableColumns count="14">
    <tableColumn id="1" name="(A)_x000a_Program Name" totalsRowLabel="Total Program 243" dataDxfId="827" totalsRowDxfId="826"/>
    <tableColumn id="2" name="(B)_x000a_Fiscal _x000a_Year" totalsRowLabel="N/A" dataDxfId="825" totalsRowDxfId="824"/>
    <tableColumn id="3" name="(C)_x000a_Program_x000a_Costs" totalsRowFunction="sum" dataDxfId="823" totalsRowDxfId="822"/>
    <tableColumn id="4" name="(D)_x000a_Prior Period Adjustments" totalsRowFunction="sum" dataDxfId="821" totalsRowDxfId="820"/>
    <tableColumn id="5" name="(E)_x000a_Current Period Desk _x000a_Reviews" totalsRowFunction="sum" dataDxfId="819" totalsRowDxfId="818"/>
    <tableColumn id="6" name="(F)_x000a_Current Period _x000a_Final _x000a_Audits" totalsRowFunction="sum" dataDxfId="817" totalsRowDxfId="816"/>
    <tableColumn id="7" name="(G)_x000a_Current Period _x000a_Other Adjustments" totalsRowFunction="sum" dataDxfId="815" totalsRowDxfId="814"/>
    <tableColumn id="8" name="(H)_x000a_Net Program Costs_x000a_Sum (C through G)" totalsRowFunction="sum" dataDxfId="813" totalsRowDxfId="812"/>
    <tableColumn id="9" name="(I)_x000a_Payments_x000a_ and Offsets" totalsRowFunction="sum" dataDxfId="811" totalsRowDxfId="810"/>
    <tableColumn id="10" name="(J)_x000a_Accounts Payable Balance_x000a_(H + I)" totalsRowFunction="sum" dataDxfId="809" totalsRowDxfId="808"/>
    <tableColumn id="11" name="(K)_x000a_Established _x000a_Accounts Receivable" totalsRowFunction="sum" dataDxfId="807" totalsRowDxfId="806"/>
    <tableColumn id="12" name="(L)_x000a_Recovered_x000a_ Accounts Receivable" totalsRowFunction="sum" dataDxfId="805" totalsRowDxfId="804"/>
    <tableColumn id="13" name="(M)_x000a_Accounts Receivable Balance_x000a_(K + L)" totalsRowFunction="sum" dataDxfId="803" totalsRowDxfId="802"/>
    <tableColumn id="14" name="(N)_x000a_Net Balance_x000a_(J minus M)" totalsRowFunction="sum" dataDxfId="801" totalsRowDxfId="8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7.xml><?xml version="1.0" encoding="utf-8"?>
<table xmlns="http://schemas.openxmlformats.org/spreadsheetml/2006/main" id="277" name="Program233" displayName="Program233" ref="A162:N167" totalsRowCount="1" headerRowDxfId="799" dataDxfId="797" totalsRowDxfId="795" headerRowBorderDxfId="798" tableBorderDxfId="796" totalsRowBorderDxfId="794">
  <autoFilter ref="A162:N166"/>
  <tableColumns count="14">
    <tableColumn id="1" name="(A)_x000a_Program Name" totalsRowLabel="Total Program 233" dataDxfId="793" totalsRowDxfId="792"/>
    <tableColumn id="2" name="(B)_x000a_Fiscal _x000a_Year" totalsRowLabel="N/A" dataDxfId="791" totalsRowDxfId="790"/>
    <tableColumn id="3" name="(C)_x000a_Program_x000a_Costs" totalsRowFunction="sum" dataDxfId="789" totalsRowDxfId="788"/>
    <tableColumn id="4" name="(D)_x000a_Prior Period Adjustments" totalsRowFunction="sum" dataDxfId="787" totalsRowDxfId="786"/>
    <tableColumn id="5" name="(E)_x000a_Current Period Desk _x000a_Reviews" totalsRowFunction="sum" dataDxfId="785" totalsRowDxfId="784"/>
    <tableColumn id="6" name="(F)_x000a_Current Period _x000a_Final _x000a_Audits" totalsRowFunction="sum" dataDxfId="783" totalsRowDxfId="782"/>
    <tableColumn id="7" name="(G)_x000a_Current Period _x000a_Other Adjustments" totalsRowFunction="sum" dataDxfId="781" totalsRowDxfId="780"/>
    <tableColumn id="8" name="(H)_x000a_Net Program Costs_x000a_Sum (C through G)" totalsRowFunction="sum" dataDxfId="779" totalsRowDxfId="778"/>
    <tableColumn id="9" name="(I)_x000a_Payments_x000a_ and Offsets" totalsRowFunction="sum" dataDxfId="777" totalsRowDxfId="776"/>
    <tableColumn id="10" name="(J)_x000a_Accounts Payable Balance_x000a_(H + I)" totalsRowFunction="sum" dataDxfId="775" totalsRowDxfId="774"/>
    <tableColumn id="11" name="(K)_x000a_Established _x000a_Accounts Receivable" totalsRowFunction="sum" dataDxfId="773" totalsRowDxfId="772"/>
    <tableColumn id="12" name="(L)_x000a_Recovered_x000a_ Accounts Receivable" totalsRowFunction="sum" dataDxfId="771" totalsRowDxfId="770"/>
    <tableColumn id="13" name="(M)_x000a_Accounts Receivable Balance_x000a_(K + L)" totalsRowFunction="sum" dataDxfId="769" totalsRowDxfId="768"/>
    <tableColumn id="14" name="(N)_x000a_Net Balance_x000a_(J minus M)" totalsRowFunction="sum" dataDxfId="767" totalsRowDxfId="76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8.xml><?xml version="1.0" encoding="utf-8"?>
<table xmlns="http://schemas.openxmlformats.org/spreadsheetml/2006/main" id="278" name="Program029" displayName="Program029" ref="A169:N177" totalsRowCount="1" headerRowDxfId="765" dataDxfId="763" totalsRowDxfId="761" headerRowBorderDxfId="764" tableBorderDxfId="762" totalsRowBorderDxfId="760">
  <autoFilter ref="A169:N176"/>
  <tableColumns count="14">
    <tableColumn id="1" name="(A)_x000a_Program Name" totalsRowLabel="Total Program 29" dataDxfId="759" totalsRowDxfId="758"/>
    <tableColumn id="2" name="(B)_x000a_Fiscal _x000a_Year" totalsRowLabel="N/A" dataDxfId="757" totalsRowDxfId="756"/>
    <tableColumn id="3" name="(C)_x000a_Program_x000a_Costs" totalsRowFunction="sum" dataDxfId="755" totalsRowDxfId="754"/>
    <tableColumn id="4" name="(D)_x000a_Prior Period Adjustments" totalsRowFunction="sum" dataDxfId="753" totalsRowDxfId="752"/>
    <tableColumn id="5" name="(E)_x000a_Current Period Desk _x000a_Reviews" totalsRowFunction="sum" dataDxfId="751" totalsRowDxfId="750"/>
    <tableColumn id="6" name="(F)_x000a_Current Period _x000a_Final _x000a_Audits" totalsRowFunction="sum" dataDxfId="749" totalsRowDxfId="748"/>
    <tableColumn id="7" name="(G)_x000a_Current Period _x000a_Other Adjustments" totalsRowFunction="sum" dataDxfId="747" totalsRowDxfId="746"/>
    <tableColumn id="8" name="(H)_x000a_Net Program Costs_x000a_Sum (C through G)" totalsRowFunction="sum" dataDxfId="745" totalsRowDxfId="744"/>
    <tableColumn id="9" name="(I)_x000a_Payments_x000a_ and Offsets" totalsRowFunction="sum" dataDxfId="743" totalsRowDxfId="742"/>
    <tableColumn id="10" name="(J)_x000a_Accounts Payable Balance_x000a_(H + I)" totalsRowFunction="sum" dataDxfId="741" totalsRowDxfId="740"/>
    <tableColumn id="11" name="(K)_x000a_Established _x000a_Accounts Receivable" totalsRowFunction="sum" dataDxfId="739" totalsRowDxfId="738"/>
    <tableColumn id="12" name="(L)_x000a_Recovered_x000a_ Accounts Receivable" totalsRowFunction="sum" dataDxfId="737" totalsRowDxfId="736"/>
    <tableColumn id="13" name="(M)_x000a_Accounts Receivable Balance_x000a_(K + L)" totalsRowFunction="sum" dataDxfId="735" totalsRowDxfId="734"/>
    <tableColumn id="14" name="(N)_x000a_Net Balance_x000a_(J minus M)" totalsRowFunction="sum" dataDxfId="733" totalsRowDxfId="73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79.xml><?xml version="1.0" encoding="utf-8"?>
<table xmlns="http://schemas.openxmlformats.org/spreadsheetml/2006/main" id="279" name="Program234" displayName="Program234" ref="A179:N199" totalsRowCount="1" headerRowDxfId="731" dataDxfId="729" totalsRowDxfId="727" headerRowBorderDxfId="730" tableBorderDxfId="728" totalsRowBorderDxfId="726">
  <autoFilter ref="A179:N198"/>
  <tableColumns count="14">
    <tableColumn id="1" name="(A)_x000a_Program Name" totalsRowLabel="Total Program 234" dataDxfId="725" totalsRowDxfId="724"/>
    <tableColumn id="2" name="(B)_x000a_Fiscal _x000a_Year" totalsRowLabel="N/A" dataDxfId="723" totalsRowDxfId="722"/>
    <tableColumn id="3" name="(C)_x000a_Program_x000a_Costs" totalsRowFunction="sum" dataDxfId="721" totalsRowDxfId="720"/>
    <tableColumn id="4" name="(D)_x000a_Prior Period Adjustments" totalsRowFunction="sum" dataDxfId="719" totalsRowDxfId="718"/>
    <tableColumn id="5" name="(E)_x000a_Current Period Desk _x000a_Reviews" totalsRowFunction="sum" dataDxfId="717" totalsRowDxfId="716"/>
    <tableColumn id="6" name="(F)_x000a_Current Period _x000a_Final _x000a_Audits" totalsRowFunction="sum" dataDxfId="715" totalsRowDxfId="714"/>
    <tableColumn id="7" name="(G)_x000a_Current Period _x000a_Other Adjustments" totalsRowFunction="sum" dataDxfId="713" totalsRowDxfId="712"/>
    <tableColumn id="8" name="(H)_x000a_Net Program Costs_x000a_Sum (C through G)" totalsRowFunction="sum" dataDxfId="711" totalsRowDxfId="710"/>
    <tableColumn id="9" name="(I)_x000a_Payments_x000a_ and Offsets" totalsRowFunction="sum" dataDxfId="709" totalsRowDxfId="708"/>
    <tableColumn id="10" name="(J)_x000a_Accounts Payable Balance_x000a_(H + I)" totalsRowFunction="sum" dataDxfId="707" totalsRowDxfId="706"/>
    <tableColumn id="11" name="(K)_x000a_Established _x000a_Accounts Receivable" totalsRowFunction="sum" dataDxfId="705" totalsRowDxfId="704"/>
    <tableColumn id="12" name="(L)_x000a_Recovered_x000a_ Accounts Receivable" totalsRowFunction="sum" dataDxfId="703" totalsRowDxfId="702"/>
    <tableColumn id="13" name="(M)_x000a_Accounts Receivable Balance_x000a_(K + L)" totalsRowFunction="sum" dataDxfId="701" totalsRowDxfId="700"/>
    <tableColumn id="14" name="(N)_x000a_Net Balance_x000a_(J minus M)" totalsRowFunction="sum" dataDxfId="699" totalsRowDxfId="69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.xml><?xml version="1.0" encoding="utf-8"?>
<table xmlns="http://schemas.openxmlformats.org/spreadsheetml/2006/main" id="28" name="Program310" displayName="Program310" ref="A319:N331" totalsRowCount="1" headerRowDxfId="9208" dataDxfId="9206" totalsRowDxfId="9204" headerRowBorderDxfId="9207" tableBorderDxfId="9205" totalsRowBorderDxfId="9203">
  <autoFilter ref="A319:N330"/>
  <tableColumns count="14">
    <tableColumn id="1" name="(A)_x000a_Program Name" totalsRowLabel="Total Program 310" dataDxfId="9202" totalsRowDxfId="9201"/>
    <tableColumn id="2" name="(B)_x000a_Fiscal _x000a_Year" totalsRowLabel="N/A" dataDxfId="9200" totalsRowDxfId="9199"/>
    <tableColumn id="3" name="(C)_x000a_Program_x000a_Costs" totalsRowFunction="sum" dataDxfId="9198" totalsRowDxfId="9197"/>
    <tableColumn id="4" name="(D)_x000a_Prior Period Adjustments" totalsRowFunction="sum" dataDxfId="9196" totalsRowDxfId="9195"/>
    <tableColumn id="5" name="(E)_x000a_Current Period Desk _x000a_Reviews" totalsRowFunction="sum" dataDxfId="9194" totalsRowDxfId="9193"/>
    <tableColumn id="6" name="(F)_x000a_Current Period _x000a_Final _x000a_Audits" totalsRowFunction="sum" dataDxfId="9192" totalsRowDxfId="9191"/>
    <tableColumn id="7" name="(G)_x000a_Current Period _x000a_Other Adjustments" totalsRowFunction="sum" dataDxfId="9190" totalsRowDxfId="9189"/>
    <tableColumn id="8" name="(H)_x000a_Net Program Costs_x000a_Sum (C through G)" totalsRowFunction="sum" dataDxfId="9188" totalsRowDxfId="9187"/>
    <tableColumn id="9" name="(I)_x000a_Payments_x000a_ and Offsets" totalsRowFunction="sum" dataDxfId="9186" totalsRowDxfId="9185"/>
    <tableColumn id="10" name="(J)_x000a_Accounts Payable Balance_x000a_(H + I)" totalsRowFunction="sum" dataDxfId="9184" totalsRowDxfId="9183"/>
    <tableColumn id="11" name="(K)_x000a_Established _x000a_Accounts Receivable" totalsRowFunction="sum" dataDxfId="9182" totalsRowDxfId="9181"/>
    <tableColumn id="12" name="(L)_x000a_Recovered_x000a_ Accounts Receivable" totalsRowFunction="sum" dataDxfId="9180" totalsRowDxfId="9179"/>
    <tableColumn id="13" name="(M)_x000a_Accounts Receivable Balance_x000a_(K + L)" totalsRowFunction="sum" dataDxfId="9178" totalsRowDxfId="9177"/>
    <tableColumn id="14" name="(N)_x000a_Net Balance_x000a_(J minus M)" totalsRowFunction="sum" dataDxfId="9176" totalsRowDxfId="91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0.xml><?xml version="1.0" encoding="utf-8"?>
<table xmlns="http://schemas.openxmlformats.org/spreadsheetml/2006/main" id="280" name="Program256" displayName="Program256" ref="A201:N214" totalsRowCount="1" headerRowDxfId="697" dataDxfId="695" totalsRowDxfId="693" headerRowBorderDxfId="696" tableBorderDxfId="694" totalsRowBorderDxfId="692">
  <autoFilter ref="A201:N213"/>
  <tableColumns count="14">
    <tableColumn id="1" name="(A)_x000a_Program Name" totalsRowLabel="Total Program 256" dataDxfId="691" totalsRowDxfId="690"/>
    <tableColumn id="2" name="(B)_x000a_Fiscal _x000a_Year" totalsRowLabel="N/A" dataDxfId="689" totalsRowDxfId="688"/>
    <tableColumn id="3" name="(C)_x000a_Program_x000a_Costs" totalsRowFunction="sum" dataDxfId="687" totalsRowDxfId="686"/>
    <tableColumn id="4" name="(D)_x000a_Prior Period Adjustments" totalsRowFunction="sum" dataDxfId="685" totalsRowDxfId="684"/>
    <tableColumn id="5" name="(E)_x000a_Current Period Desk _x000a_Reviews" totalsRowFunction="sum" dataDxfId="683" totalsRowDxfId="682"/>
    <tableColumn id="6" name="(F)_x000a_Current Period _x000a_Final _x000a_Audits" totalsRowFunction="sum" dataDxfId="681" totalsRowDxfId="680"/>
    <tableColumn id="7" name="(G)_x000a_Current Period _x000a_Other Adjustments" totalsRowFunction="sum" dataDxfId="679" totalsRowDxfId="678"/>
    <tableColumn id="8" name="(H)_x000a_Net Program Costs_x000a_Sum (C through G)" totalsRowFunction="sum" dataDxfId="677" totalsRowDxfId="676"/>
    <tableColumn id="9" name="(I)_x000a_Payments_x000a_ and Offsets" totalsRowFunction="sum" dataDxfId="675" totalsRowDxfId="674"/>
    <tableColumn id="10" name="(J)_x000a_Accounts Payable Balance_x000a_(H + I)" totalsRowFunction="sum" dataDxfId="673" totalsRowDxfId="672"/>
    <tableColumn id="11" name="(K)_x000a_Established _x000a_Accounts Receivable" totalsRowFunction="sum" dataDxfId="671" totalsRowDxfId="670"/>
    <tableColumn id="12" name="(L)_x000a_Recovered_x000a_ Accounts Receivable" totalsRowFunction="sum" dataDxfId="669" totalsRowDxfId="668"/>
    <tableColumn id="13" name="(M)_x000a_Accounts Receivable Balance_x000a_(K + L)" totalsRowFunction="sum" dataDxfId="667" totalsRowDxfId="666"/>
    <tableColumn id="14" name="(N)_x000a_Net Balance_x000a_(J minus M)" totalsRowFunction="sum" dataDxfId="665" totalsRowDxfId="6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1.xml><?xml version="1.0" encoding="utf-8"?>
<table xmlns="http://schemas.openxmlformats.org/spreadsheetml/2006/main" id="281" name="Program235" displayName="Program235" ref="A216:N221" totalsRowCount="1" headerRowDxfId="663" dataDxfId="661" totalsRowDxfId="659" headerRowBorderDxfId="662" tableBorderDxfId="660" totalsRowBorderDxfId="658">
  <autoFilter ref="A216:N220"/>
  <tableColumns count="14">
    <tableColumn id="1" name="(A)_x000a_Program Name" totalsRowLabel="Total Program 235" dataDxfId="657" totalsRowDxfId="656"/>
    <tableColumn id="2" name="(B)_x000a_Fiscal _x000a_Year" totalsRowLabel="N/A" dataDxfId="655" totalsRowDxfId="654"/>
    <tableColumn id="3" name="(C)_x000a_Program_x000a_Costs" totalsRowFunction="sum" dataDxfId="653" totalsRowDxfId="652"/>
    <tableColumn id="4" name="(D)_x000a_Prior Period Adjustments" totalsRowFunction="sum" dataDxfId="651" totalsRowDxfId="650"/>
    <tableColumn id="5" name="(E)_x000a_Current Period Desk _x000a_Reviews" totalsRowFunction="sum" dataDxfId="649" totalsRowDxfId="648"/>
    <tableColumn id="6" name="(F)_x000a_Current Period _x000a_Final _x000a_Audits" totalsRowFunction="sum" dataDxfId="647" totalsRowDxfId="646"/>
    <tableColumn id="7" name="(G)_x000a_Current Period _x000a_Other Adjustments" totalsRowFunction="sum" dataDxfId="645" totalsRowDxfId="644"/>
    <tableColumn id="8" name="(H)_x000a_Net Program Costs_x000a_Sum (C through G)" totalsRowFunction="sum" dataDxfId="643" totalsRowDxfId="642"/>
    <tableColumn id="9" name="(I)_x000a_Payments_x000a_ and Offsets" totalsRowFunction="sum" dataDxfId="641" totalsRowDxfId="640"/>
    <tableColumn id="10" name="(J)_x000a_Accounts Payable Balance_x000a_(H + I)" totalsRowFunction="sum" dataDxfId="639" totalsRowDxfId="638"/>
    <tableColumn id="11" name="(K)_x000a_Established _x000a_Accounts Receivable" totalsRowFunction="sum" dataDxfId="637" totalsRowDxfId="636"/>
    <tableColumn id="12" name="(L)_x000a_Recovered_x000a_ Accounts Receivable" totalsRowFunction="sum" dataDxfId="635" totalsRowDxfId="634"/>
    <tableColumn id="13" name="(M)_x000a_Accounts Receivable Balance_x000a_(K + L)" totalsRowFunction="sum" dataDxfId="633" totalsRowDxfId="632"/>
    <tableColumn id="14" name="(N)_x000a_Net Balance_x000a_(J minus M)" totalsRowFunction="sum" dataDxfId="631" totalsRowDxfId="6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2.xml><?xml version="1.0" encoding="utf-8"?>
<table xmlns="http://schemas.openxmlformats.org/spreadsheetml/2006/main" id="282" name="Program212" displayName="Program212" ref="A223:N233" totalsRowCount="1" headerRowDxfId="629" dataDxfId="627" totalsRowDxfId="625" headerRowBorderDxfId="628" tableBorderDxfId="626" totalsRowBorderDxfId="624">
  <autoFilter ref="A223:N232"/>
  <tableColumns count="14">
    <tableColumn id="1" name="(A)_x000a_Program Name" totalsRowLabel="Total Program 212" dataDxfId="623" totalsRowDxfId="622"/>
    <tableColumn id="2" name="(B)_x000a_Fiscal _x000a_Year" totalsRowLabel="N/A" dataDxfId="621" totalsRowDxfId="620"/>
    <tableColumn id="3" name="(C)_x000a_Program_x000a_Costs" totalsRowFunction="sum" dataDxfId="619" totalsRowDxfId="618"/>
    <tableColumn id="4" name="(D)_x000a_Prior Period Adjustments" totalsRowFunction="sum" dataDxfId="617" totalsRowDxfId="616"/>
    <tableColumn id="5" name="(E)_x000a_Current Period Desk _x000a_Reviews" totalsRowFunction="sum" dataDxfId="615" totalsRowDxfId="614"/>
    <tableColumn id="6" name="(F)_x000a_Current Period _x000a_Final _x000a_Audits" totalsRowFunction="sum" dataDxfId="613" totalsRowDxfId="612"/>
    <tableColumn id="7" name="(G)_x000a_Current Period _x000a_Other Adjustments" totalsRowFunction="sum" dataDxfId="611" totalsRowDxfId="610"/>
    <tableColumn id="8" name="(H)_x000a_Net Program Costs_x000a_Sum (C through G)" totalsRowFunction="sum" dataDxfId="609" totalsRowDxfId="608"/>
    <tableColumn id="9" name="(I)_x000a_Payments_x000a_ and Offsets" totalsRowFunction="sum" dataDxfId="607" totalsRowDxfId="606"/>
    <tableColumn id="10" name="(J)_x000a_Accounts Payable Balance_x000a_(H + I)" totalsRowFunction="sum" dataDxfId="605" totalsRowDxfId="604"/>
    <tableColumn id="11" name="(K)_x000a_Established _x000a_Accounts Receivable" totalsRowFunction="sum" dataDxfId="603" totalsRowDxfId="602"/>
    <tableColumn id="12" name="(L)_x000a_Recovered_x000a_ Accounts Receivable" totalsRowFunction="sum" dataDxfId="601" totalsRowDxfId="600"/>
    <tableColumn id="13" name="(M)_x000a_Accounts Receivable Balance_x000a_(K + L)" totalsRowFunction="sum" dataDxfId="599" totalsRowDxfId="598"/>
    <tableColumn id="14" name="(N)_x000a_Net Balance_x000a_(J minus M)" totalsRowFunction="sum" dataDxfId="597" totalsRowDxfId="5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3.xml><?xml version="1.0" encoding="utf-8"?>
<table xmlns="http://schemas.openxmlformats.org/spreadsheetml/2006/main" id="283" name="Program236" displayName="Program236" ref="A235:N240" totalsRowCount="1" headerRowDxfId="595" dataDxfId="593" totalsRowDxfId="591" headerRowBorderDxfId="594" tableBorderDxfId="592" totalsRowBorderDxfId="590">
  <autoFilter ref="A235:N239"/>
  <tableColumns count="14">
    <tableColumn id="1" name="(A)_x000a_Program Name" totalsRowLabel="Total Program 236" dataDxfId="589" totalsRowDxfId="588"/>
    <tableColumn id="2" name="(B)_x000a_Fiscal _x000a_Year" totalsRowLabel="N/A" dataDxfId="587" totalsRowDxfId="586"/>
    <tableColumn id="3" name="(C)_x000a_Program_x000a_Costs" totalsRowFunction="sum" dataDxfId="585" totalsRowDxfId="584"/>
    <tableColumn id="4" name="(D)_x000a_Prior Period Adjustments" totalsRowFunction="sum" dataDxfId="583" totalsRowDxfId="582"/>
    <tableColumn id="5" name="(E)_x000a_Current Period Desk _x000a_Reviews" totalsRowFunction="sum" dataDxfId="581" totalsRowDxfId="580"/>
    <tableColumn id="6" name="(F)_x000a_Current Period _x000a_Final _x000a_Audits" totalsRowFunction="sum" dataDxfId="579" totalsRowDxfId="578"/>
    <tableColumn id="7" name="(G)_x000a_Current Period _x000a_Other Adjustments" totalsRowFunction="sum" dataDxfId="577" totalsRowDxfId="576"/>
    <tableColumn id="8" name="(H)_x000a_Net Program Costs_x000a_Sum (C through G)" totalsRowFunction="sum" dataDxfId="575" totalsRowDxfId="574"/>
    <tableColumn id="9" name="(I)_x000a_Payments_x000a_ and Offsets" totalsRowFunction="sum" dataDxfId="573" totalsRowDxfId="572"/>
    <tableColumn id="10" name="(J)_x000a_Accounts Payable Balance_x000a_(H + I)" totalsRowFunction="sum" dataDxfId="571" totalsRowDxfId="570"/>
    <tableColumn id="11" name="(K)_x000a_Established _x000a_Accounts Receivable" totalsRowFunction="sum" dataDxfId="569" totalsRowDxfId="568"/>
    <tableColumn id="12" name="(L)_x000a_Recovered_x000a_ Accounts Receivable" totalsRowFunction="sum" dataDxfId="567" totalsRowDxfId="566"/>
    <tableColumn id="13" name="(M)_x000a_Accounts Receivable Balance_x000a_(K + L)" totalsRowFunction="sum" dataDxfId="565" totalsRowDxfId="564"/>
    <tableColumn id="14" name="(N)_x000a_Net Balance_x000a_(J minus M)" totalsRowFunction="sum" dataDxfId="563" totalsRowDxfId="5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4.xml><?xml version="1.0" encoding="utf-8"?>
<table xmlns="http://schemas.openxmlformats.org/spreadsheetml/2006/main" id="284" name="Program237" displayName="Program237" ref="A242:N256" totalsRowCount="1" headerRowDxfId="561" dataDxfId="559" totalsRowDxfId="557" headerRowBorderDxfId="560" tableBorderDxfId="558" totalsRowBorderDxfId="556">
  <autoFilter ref="A242:N255"/>
  <tableColumns count="14">
    <tableColumn id="1" name="(A)_x000a_Program Name" totalsRowLabel="Total Program 237" dataDxfId="555" totalsRowDxfId="554"/>
    <tableColumn id="2" name="(B)_x000a_Fiscal _x000a_Year" totalsRowLabel="N/A" dataDxfId="553" totalsRowDxfId="552"/>
    <tableColumn id="3" name="(C)_x000a_Program_x000a_Costs" totalsRowFunction="sum" dataDxfId="551" totalsRowDxfId="550"/>
    <tableColumn id="4" name="(D)_x000a_Prior Period Adjustments" totalsRowFunction="sum" dataDxfId="549" totalsRowDxfId="548"/>
    <tableColumn id="5" name="(E)_x000a_Current Period Desk _x000a_Reviews" totalsRowFunction="sum" dataDxfId="547" totalsRowDxfId="546"/>
    <tableColumn id="6" name="(F)_x000a_Current Period _x000a_Final _x000a_Audits" totalsRowFunction="sum" dataDxfId="545" totalsRowDxfId="544"/>
    <tableColumn id="7" name="(G)_x000a_Current Period _x000a_Other Adjustments" totalsRowFunction="sum" dataDxfId="543" totalsRowDxfId="542"/>
    <tableColumn id="8" name="(H)_x000a_Net Program Costs_x000a_Sum (C through G)" totalsRowFunction="sum" dataDxfId="541" totalsRowDxfId="540"/>
    <tableColumn id="9" name="(I)_x000a_Payments_x000a_ and Offsets" totalsRowFunction="sum" dataDxfId="539" totalsRowDxfId="538"/>
    <tableColumn id="10" name="(J)_x000a_Accounts Payable Balance_x000a_(H + I)" totalsRowFunction="sum" dataDxfId="537" totalsRowDxfId="536"/>
    <tableColumn id="11" name="(K)_x000a_Established _x000a_Accounts Receivable" totalsRowFunction="sum" dataDxfId="535" totalsRowDxfId="534"/>
    <tableColumn id="12" name="(L)_x000a_Recovered_x000a_ Accounts Receivable" totalsRowFunction="sum" dataDxfId="533" totalsRowDxfId="532"/>
    <tableColumn id="13" name="(M)_x000a_Accounts Receivable Balance_x000a_(K + L)" totalsRowFunction="sum" dataDxfId="531" totalsRowDxfId="530"/>
    <tableColumn id="14" name="(N)_x000a_Net Balance_x000a_(J minus M)" totalsRowFunction="sum" dataDxfId="529" totalsRowDxfId="5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5.xml><?xml version="1.0" encoding="utf-8"?>
<table xmlns="http://schemas.openxmlformats.org/spreadsheetml/2006/main" id="285" name="Program320" displayName="Program320" ref="A258:N261" totalsRowCount="1" headerRowDxfId="527" dataDxfId="525" totalsRowDxfId="523" headerRowBorderDxfId="526" tableBorderDxfId="524" totalsRowBorderDxfId="522">
  <autoFilter ref="A258:N260"/>
  <tableColumns count="14">
    <tableColumn id="1" name="(A)_x000a_Program Name" totalsRowLabel="Total Program 320" dataDxfId="521" totalsRowDxfId="520"/>
    <tableColumn id="2" name="(B)_x000a_Fiscal _x000a_Year" totalsRowLabel="N/A" dataDxfId="519" totalsRowDxfId="518"/>
    <tableColumn id="3" name="(C)_x000a_Program_x000a_Costs" totalsRowFunction="sum" dataDxfId="517" totalsRowDxfId="516"/>
    <tableColumn id="4" name="(D)_x000a_Prior Period Adjustments" totalsRowFunction="sum" dataDxfId="515" totalsRowDxfId="514"/>
    <tableColumn id="5" name="(E)_x000a_Current Period Desk _x000a_Reviews" totalsRowFunction="sum" dataDxfId="513" totalsRowDxfId="512"/>
    <tableColumn id="6" name="(F)_x000a_Current Period _x000a_Final _x000a_Audits" totalsRowFunction="sum" dataDxfId="511" totalsRowDxfId="510"/>
    <tableColumn id="7" name="(G)_x000a_Current Period _x000a_Other Adjustments" totalsRowFunction="sum" dataDxfId="509" totalsRowDxfId="508"/>
    <tableColumn id="8" name="(H)_x000a_Net Program Costs_x000a_Sum (C through G)" totalsRowFunction="sum" dataDxfId="507" totalsRowDxfId="506"/>
    <tableColumn id="9" name="(I)_x000a_Payments_x000a_ and Offsets" totalsRowFunction="sum" dataDxfId="505" totalsRowDxfId="504"/>
    <tableColumn id="10" name="(J)_x000a_Accounts Payable Balance_x000a_(H + I)" totalsRowFunction="sum" dataDxfId="503" totalsRowDxfId="502"/>
    <tableColumn id="11" name="(K)_x000a_Established _x000a_Accounts Receivable" totalsRowFunction="sum" dataDxfId="501" totalsRowDxfId="500"/>
    <tableColumn id="12" name="(L)_x000a_Recovered_x000a_ Accounts Receivable" totalsRowFunction="sum" dataDxfId="499" totalsRowDxfId="498"/>
    <tableColumn id="13" name="(M)_x000a_Accounts Receivable Balance_x000a_(K + L)" totalsRowFunction="sum" dataDxfId="497" totalsRowDxfId="496"/>
    <tableColumn id="14" name="(N)_x000a_Net Balance_x000a_(J minus M)" totalsRowFunction="sum" dataDxfId="495" totalsRowDxfId="4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6.xml><?xml version="1.0" encoding="utf-8"?>
<table xmlns="http://schemas.openxmlformats.org/spreadsheetml/2006/main" id="286" name="Program317" displayName="Program317" ref="A263:N265" totalsRowCount="1" headerRowDxfId="493" dataDxfId="491" totalsRowDxfId="489" headerRowBorderDxfId="492" tableBorderDxfId="490" totalsRowBorderDxfId="488">
  <autoFilter ref="A263:N264"/>
  <tableColumns count="14">
    <tableColumn id="1" name="(A)_x000a_Program Name" totalsRowLabel="Total Program 317" dataDxfId="487" totalsRowDxfId="486"/>
    <tableColumn id="2" name="(B)_x000a_Fiscal _x000a_Year" totalsRowLabel="N/A" dataDxfId="485" totalsRowDxfId="484"/>
    <tableColumn id="3" name="(C)_x000a_Program_x000a_Costs" totalsRowFunction="sum" dataDxfId="483" totalsRowDxfId="482"/>
    <tableColumn id="4" name="(D)_x000a_Prior Period Adjustments" totalsRowFunction="sum" dataDxfId="481" totalsRowDxfId="480"/>
    <tableColumn id="5" name="(E)_x000a_Current Period Desk _x000a_Reviews" totalsRowFunction="sum" dataDxfId="479" totalsRowDxfId="478"/>
    <tableColumn id="6" name="(F)_x000a_Current Period _x000a_Final _x000a_Audits" totalsRowFunction="sum" dataDxfId="477" totalsRowDxfId="476"/>
    <tableColumn id="7" name="(G)_x000a_Current Period _x000a_Other Adjustments" totalsRowFunction="sum" dataDxfId="475" totalsRowDxfId="474"/>
    <tableColumn id="8" name="(H)_x000a_Net Program Costs_x000a_Sum (C through G)" totalsRowFunction="sum" dataDxfId="473" totalsRowDxfId="472"/>
    <tableColumn id="9" name="(I)_x000a_Payments_x000a_ and Offsets" totalsRowFunction="sum" dataDxfId="471" totalsRowDxfId="470"/>
    <tableColumn id="10" name="(J)_x000a_Accounts Payable Balance_x000a_(H + I)" totalsRowFunction="sum" dataDxfId="469" totalsRowDxfId="468"/>
    <tableColumn id="11" name="(K)_x000a_Established _x000a_Accounts Receivable" totalsRowFunction="sum" dataDxfId="467" totalsRowDxfId="466"/>
    <tableColumn id="12" name="(L)_x000a_Recovered_x000a_ Accounts Receivable" totalsRowFunction="sum" dataDxfId="465" totalsRowDxfId="464"/>
    <tableColumn id="13" name="(M)_x000a_Accounts Receivable Balance_x000a_(K + L)" totalsRowFunction="sum" dataDxfId="463" totalsRowDxfId="462"/>
    <tableColumn id="14" name="(N)_x000a_Net Balance_x000a_(J minus M)" totalsRowFunction="sum" dataDxfId="461" totalsRowDxfId="4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7.xml><?xml version="1.0" encoding="utf-8"?>
<table xmlns="http://schemas.openxmlformats.org/spreadsheetml/2006/main" id="287" name="Program347" displayName="Program347" ref="A267:N282" totalsRowCount="1" headerRowDxfId="459" dataDxfId="457" totalsRowDxfId="455" headerRowBorderDxfId="458" tableBorderDxfId="456" totalsRowBorderDxfId="454">
  <autoFilter ref="A267:N281"/>
  <tableColumns count="14">
    <tableColumn id="1" name="(A)_x000a_Program Name" totalsRowLabel="Total Program 347" dataDxfId="453" totalsRowDxfId="452"/>
    <tableColumn id="2" name="(B)_x000a_Fiscal _x000a_Year" totalsRowLabel="N/A" dataDxfId="451" totalsRowDxfId="450"/>
    <tableColumn id="3" name="(C)_x000a_Program_x000a_Costs" totalsRowFunction="sum" dataDxfId="449" totalsRowDxfId="448"/>
    <tableColumn id="4" name="(D)_x000a_Prior Period Adjustments" totalsRowFunction="sum" dataDxfId="447" totalsRowDxfId="446"/>
    <tableColumn id="5" name="(E)_x000a_Current Period Desk _x000a_Reviews" totalsRowFunction="sum" dataDxfId="445" totalsRowDxfId="444"/>
    <tableColumn id="6" name="(F)_x000a_Current Period _x000a_Final _x000a_Audits" totalsRowFunction="sum" dataDxfId="443" totalsRowDxfId="442"/>
    <tableColumn id="7" name="(G)_x000a_Current Period _x000a_Other Adjustments" totalsRowFunction="sum" dataDxfId="441" totalsRowDxfId="440"/>
    <tableColumn id="8" name="(H)_x000a_Net Program Costs_x000a_Sum (C through G)" totalsRowFunction="sum" dataDxfId="439" totalsRowDxfId="438"/>
    <tableColumn id="9" name="(I)_x000a_Payments_x000a_ and Offsets" totalsRowFunction="sum" dataDxfId="437" totalsRowDxfId="436"/>
    <tableColumn id="10" name="(J)_x000a_Accounts Payable Balance_x000a_(H + I)" totalsRowFunction="sum" dataDxfId="435" totalsRowDxfId="434"/>
    <tableColumn id="11" name="(K)_x000a_Established _x000a_Accounts Receivable" totalsRowFunction="sum" dataDxfId="433" totalsRowDxfId="432"/>
    <tableColumn id="12" name="(L)_x000a_Recovered_x000a_ Accounts Receivable" totalsRowFunction="sum" dataDxfId="431" totalsRowDxfId="430"/>
    <tableColumn id="13" name="(M)_x000a_Accounts Receivable Balance_x000a_(K + L)" totalsRowFunction="sum" dataDxfId="429" totalsRowDxfId="428"/>
    <tableColumn id="14" name="(N)_x000a_Net Balance_x000a_(J minus M)" totalsRowFunction="sum" dataDxfId="427" totalsRowDxfId="4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8.xml><?xml version="1.0" encoding="utf-8"?>
<table xmlns="http://schemas.openxmlformats.org/spreadsheetml/2006/main" id="288" name="Program254" displayName="Program254" ref="A284:N287" totalsRowCount="1" headerRowDxfId="425" dataDxfId="423" totalsRowDxfId="421" headerRowBorderDxfId="424" tableBorderDxfId="422" totalsRowBorderDxfId="420">
  <autoFilter ref="A284:N286"/>
  <tableColumns count="14">
    <tableColumn id="1" name="(A)_x000a_Program Name" totalsRowLabel="Total Program 254" dataDxfId="419" totalsRowDxfId="418"/>
    <tableColumn id="2" name="(B)_x000a_Fiscal _x000a_Year" totalsRowLabel="N/A" dataDxfId="417" totalsRowDxfId="416"/>
    <tableColumn id="3" name="(C)_x000a_Program_x000a_Costs" totalsRowFunction="sum" dataDxfId="415" totalsRowDxfId="414"/>
    <tableColumn id="4" name="(D)_x000a_Prior Period Adjustments" totalsRowFunction="sum" dataDxfId="413" totalsRowDxfId="412"/>
    <tableColumn id="5" name="(E)_x000a_Current Period Desk _x000a_Reviews" totalsRowFunction="sum" dataDxfId="411" totalsRowDxfId="410"/>
    <tableColumn id="6" name="(F)_x000a_Current Period _x000a_Final _x000a_Audits" totalsRowFunction="sum" dataDxfId="409" totalsRowDxfId="408"/>
    <tableColumn id="7" name="(G)_x000a_Current Period _x000a_Other Adjustments" totalsRowFunction="sum" dataDxfId="407" totalsRowDxfId="406"/>
    <tableColumn id="8" name="(H)_x000a_Net Program Costs_x000a_Sum (C through G)" totalsRowFunction="sum" dataDxfId="405" totalsRowDxfId="404"/>
    <tableColumn id="9" name="(I)_x000a_Payments_x000a_ and Offsets" totalsRowFunction="sum" dataDxfId="403" totalsRowDxfId="402"/>
    <tableColumn id="10" name="(J)_x000a_Accounts Payable Balance_x000a_(H + I)" totalsRowFunction="sum" dataDxfId="401" totalsRowDxfId="400"/>
    <tableColumn id="11" name="(K)_x000a_Established _x000a_Accounts Receivable" totalsRowFunction="sum" dataDxfId="399" totalsRowDxfId="398"/>
    <tableColumn id="12" name="(L)_x000a_Recovered_x000a_ Accounts Receivable" totalsRowFunction="sum" dataDxfId="397" totalsRowDxfId="396"/>
    <tableColumn id="13" name="(M)_x000a_Accounts Receivable Balance_x000a_(K + L)" totalsRowFunction="sum" dataDxfId="395" totalsRowDxfId="394"/>
    <tableColumn id="14" name="(N)_x000a_Net Balance_x000a_(J minus M)" totalsRowFunction="sum" dataDxfId="393" totalsRowDxfId="3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89.xml><?xml version="1.0" encoding="utf-8"?>
<table xmlns="http://schemas.openxmlformats.org/spreadsheetml/2006/main" id="289" name="Program238" displayName="Program238" ref="A289:N311" totalsRowCount="1" headerRowDxfId="391" dataDxfId="389" totalsRowDxfId="387" headerRowBorderDxfId="390" tableBorderDxfId="388" totalsRowBorderDxfId="386">
  <autoFilter ref="A289:N310"/>
  <tableColumns count="14">
    <tableColumn id="1" name="(A)_x000a_Program Name" totalsRowLabel="Total Program 238" dataDxfId="385" totalsRowDxfId="384"/>
    <tableColumn id="2" name="(B)_x000a_Fiscal _x000a_Year" totalsRowLabel="N/A" dataDxfId="383" totalsRowDxfId="382"/>
    <tableColumn id="3" name="(C)_x000a_Program_x000a_Costs" totalsRowFunction="sum" dataDxfId="381" totalsRowDxfId="380"/>
    <tableColumn id="4" name="(D)_x000a_Prior Period Adjustments" totalsRowFunction="sum" dataDxfId="379" totalsRowDxfId="378"/>
    <tableColumn id="5" name="(E)_x000a_Current Period Desk _x000a_Reviews" totalsRowFunction="sum" dataDxfId="377" totalsRowDxfId="376"/>
    <tableColumn id="6" name="(F)_x000a_Current Period _x000a_Final _x000a_Audits" totalsRowFunction="sum" dataDxfId="375" totalsRowDxfId="374"/>
    <tableColumn id="7" name="(G)_x000a_Current Period _x000a_Other Adjustments" totalsRowFunction="sum" dataDxfId="373" totalsRowDxfId="372"/>
    <tableColumn id="8" name="(H)_x000a_Net Program Costs_x000a_Sum (C through G)" totalsRowFunction="sum" dataDxfId="371" totalsRowDxfId="370"/>
    <tableColumn id="9" name="(I)_x000a_Payments_x000a_ and Offsets" totalsRowFunction="sum" dataDxfId="369" totalsRowDxfId="368"/>
    <tableColumn id="10" name="(J)_x000a_Accounts Payable Balance_x000a_(H + I)" totalsRowFunction="sum" dataDxfId="367" totalsRowDxfId="366"/>
    <tableColumn id="11" name="(K)_x000a_Established _x000a_Accounts Receivable" totalsRowFunction="sum" dataDxfId="365" totalsRowDxfId="364"/>
    <tableColumn id="12" name="(L)_x000a_Recovered_x000a_ Accounts Receivable" totalsRowFunction="sum" dataDxfId="363" totalsRowDxfId="362"/>
    <tableColumn id="13" name="(M)_x000a_Accounts Receivable Balance_x000a_(K + L)" totalsRowFunction="sum" dataDxfId="361" totalsRowDxfId="360"/>
    <tableColumn id="14" name="(N)_x000a_Net Balance_x000a_(J minus M)" totalsRowFunction="sum" dataDxfId="359" totalsRowDxfId="3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.xml><?xml version="1.0" encoding="utf-8"?>
<table xmlns="http://schemas.openxmlformats.org/spreadsheetml/2006/main" id="29" name="Program262" displayName="Program262" ref="A333:N355" totalsRowCount="1" headerRowDxfId="9174" dataDxfId="9172" totalsRowDxfId="9170" headerRowBorderDxfId="9173" tableBorderDxfId="9171" totalsRowBorderDxfId="9169">
  <autoFilter ref="A333:N354"/>
  <tableColumns count="14">
    <tableColumn id="1" name="(A)_x000a_Program Name" totalsRowLabel="Total Program 262" dataDxfId="9168" totalsRowDxfId="9167"/>
    <tableColumn id="2" name="(B)_x000a_Fiscal _x000a_Year" totalsRowLabel="N/A" dataDxfId="9166" totalsRowDxfId="9165"/>
    <tableColumn id="3" name="(C)_x000a_Program_x000a_Costs" totalsRowFunction="sum" dataDxfId="9164" totalsRowDxfId="9163"/>
    <tableColumn id="4" name="(D)_x000a_Prior Period Adjustments" totalsRowFunction="sum" dataDxfId="9162" totalsRowDxfId="9161"/>
    <tableColumn id="5" name="(E)_x000a_Current Period Desk _x000a_Reviews" totalsRowFunction="sum" dataDxfId="9160" totalsRowDxfId="9159"/>
    <tableColumn id="6" name="(F)_x000a_Current Period _x000a_Final _x000a_Audits" totalsRowFunction="sum" dataDxfId="9158" totalsRowDxfId="9157"/>
    <tableColumn id="7" name="(G)_x000a_Current Period _x000a_Other Adjustments" totalsRowFunction="sum" dataDxfId="9156" totalsRowDxfId="9155"/>
    <tableColumn id="8" name="(H)_x000a_Net Program Costs_x000a_Sum (C through G)" totalsRowFunction="sum" dataDxfId="9154" totalsRowDxfId="9153"/>
    <tableColumn id="9" name="(I)_x000a_Payments_x000a_ and Offsets" totalsRowFunction="sum" dataDxfId="9152" totalsRowDxfId="9151"/>
    <tableColumn id="10" name="(J)_x000a_Accounts Payable Balance_x000a_(H + I)" totalsRowFunction="sum" dataDxfId="9150" totalsRowDxfId="9149"/>
    <tableColumn id="11" name="(K)_x000a_Established _x000a_Accounts Receivable" totalsRowFunction="sum" dataDxfId="9148" totalsRowDxfId="9147"/>
    <tableColumn id="12" name="(L)_x000a_Recovered_x000a_ Accounts Receivable" totalsRowFunction="sum" dataDxfId="9146" totalsRowDxfId="9145"/>
    <tableColumn id="13" name="(M)_x000a_Accounts Receivable Balance_x000a_(K + L)" totalsRowFunction="sum" dataDxfId="9144" totalsRowDxfId="9143"/>
    <tableColumn id="14" name="(N)_x000a_Net Balance_x000a_(J minus M)" totalsRowFunction="sum" dataDxfId="9142" totalsRowDxfId="91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0.xml><?xml version="1.0" encoding="utf-8"?>
<table xmlns="http://schemas.openxmlformats.org/spreadsheetml/2006/main" id="290" name="Program239" displayName="Program239" ref="A313:N327" totalsRowCount="1" headerRowDxfId="357" dataDxfId="355" totalsRowDxfId="353" headerRowBorderDxfId="356" tableBorderDxfId="354" totalsRowBorderDxfId="352">
  <autoFilter ref="A313:N326"/>
  <tableColumns count="14">
    <tableColumn id="1" name="(A)_x000a_Program Name" totalsRowLabel="Total Program 239" dataDxfId="351" totalsRowDxfId="350"/>
    <tableColumn id="2" name="(B)_x000a_Fiscal _x000a_Year" totalsRowLabel="N/A" dataDxfId="349" totalsRowDxfId="348"/>
    <tableColumn id="3" name="(C)_x000a_Program_x000a_Costs" totalsRowFunction="sum" dataDxfId="347" totalsRowDxfId="346"/>
    <tableColumn id="4" name="(D)_x000a_Prior Period Adjustments" totalsRowFunction="sum" dataDxfId="345" totalsRowDxfId="344"/>
    <tableColumn id="5" name="(E)_x000a_Current Period Desk _x000a_Reviews" totalsRowFunction="sum" dataDxfId="343" totalsRowDxfId="342"/>
    <tableColumn id="6" name="(F)_x000a_Current Period _x000a_Final _x000a_Audits" totalsRowFunction="sum" dataDxfId="341" totalsRowDxfId="340"/>
    <tableColumn id="7" name="(G)_x000a_Current Period _x000a_Other Adjustments" totalsRowFunction="sum" dataDxfId="339" totalsRowDxfId="338"/>
    <tableColumn id="8" name="(H)_x000a_Net Program Costs_x000a_Sum (C through G)" totalsRowFunction="sum" dataDxfId="337" totalsRowDxfId="336"/>
    <tableColumn id="9" name="(I)_x000a_Payments_x000a_ and Offsets" totalsRowFunction="sum" dataDxfId="335" totalsRowDxfId="334"/>
    <tableColumn id="10" name="(J)_x000a_Accounts Payable Balance_x000a_(H + I)" totalsRowFunction="sum" dataDxfId="333" totalsRowDxfId="332"/>
    <tableColumn id="11" name="(K)_x000a_Established _x000a_Accounts Receivable" totalsRowFunction="sum" dataDxfId="331" totalsRowDxfId="330"/>
    <tableColumn id="12" name="(L)_x000a_Recovered_x000a_ Accounts Receivable" totalsRowFunction="sum" dataDxfId="329" totalsRowDxfId="328"/>
    <tableColumn id="13" name="(M)_x000a_Accounts Receivable Balance_x000a_(K + L)" totalsRowFunction="sum" dataDxfId="327" totalsRowDxfId="326"/>
    <tableColumn id="14" name="(N)_x000a_Net Balance_x000a_(J minus M)" totalsRowFunction="sum" dataDxfId="325" totalsRowDxfId="3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1.xml><?xml version="1.0" encoding="utf-8"?>
<table xmlns="http://schemas.openxmlformats.org/spreadsheetml/2006/main" id="291" name="Program240" displayName="Program240" ref="A329:N336" totalsRowCount="1" headerRowDxfId="323" dataDxfId="321" totalsRowDxfId="319" headerRowBorderDxfId="322" tableBorderDxfId="320" totalsRowBorderDxfId="318">
  <autoFilter ref="A329:N335"/>
  <tableColumns count="14">
    <tableColumn id="1" name="(A)_x000a_Program Name" totalsRowLabel="Total Program 240" dataDxfId="317" totalsRowDxfId="316"/>
    <tableColumn id="2" name="(B)_x000a_Fiscal _x000a_Year" totalsRowLabel="N/A" dataDxfId="315" totalsRowDxfId="314"/>
    <tableColumn id="3" name="(C)_x000a_Program_x000a_Costs" totalsRowFunction="sum" dataDxfId="313" totalsRowDxfId="312"/>
    <tableColumn id="4" name="(D)_x000a_Prior Period Adjustments" totalsRowFunction="sum" dataDxfId="311" totalsRowDxfId="310"/>
    <tableColumn id="5" name="(E)_x000a_Current Period Desk _x000a_Reviews" totalsRowFunction="sum" dataDxfId="309" totalsRowDxfId="308"/>
    <tableColumn id="6" name="(F)_x000a_Current Period _x000a_Final _x000a_Audits" totalsRowFunction="sum" dataDxfId="307" totalsRowDxfId="306"/>
    <tableColumn id="7" name="(G)_x000a_Current Period _x000a_Other Adjustments" totalsRowFunction="sum" dataDxfId="305" totalsRowDxfId="304"/>
    <tableColumn id="8" name="(H)_x000a_Net Program Costs_x000a_Sum (C through G)" totalsRowFunction="sum" dataDxfId="303" totalsRowDxfId="302"/>
    <tableColumn id="9" name="(I)_x000a_Payments_x000a_ and Offsets" totalsRowFunction="sum" dataDxfId="301" totalsRowDxfId="300"/>
    <tableColumn id="10" name="(J)_x000a_Accounts Payable Balance_x000a_(H + I)" totalsRowFunction="sum" dataDxfId="299" totalsRowDxfId="298"/>
    <tableColumn id="11" name="(K)_x000a_Established _x000a_Accounts Receivable" totalsRowFunction="sum" dataDxfId="297" totalsRowDxfId="296"/>
    <tableColumn id="12" name="(L)_x000a_Recovered_x000a_ Accounts Receivable" totalsRowFunction="sum" dataDxfId="295" totalsRowDxfId="294"/>
    <tableColumn id="13" name="(M)_x000a_Accounts Receivable Balance_x000a_(K + L)" totalsRowFunction="sum" dataDxfId="293" totalsRowDxfId="292"/>
    <tableColumn id="14" name="(N)_x000a_Net Balance_x000a_(J minus M)" totalsRowFunction="sum" dataDxfId="291" totalsRowDxfId="2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2.xml><?xml version="1.0" encoding="utf-8"?>
<table xmlns="http://schemas.openxmlformats.org/spreadsheetml/2006/main" id="292" name="Program303" displayName="Program303" ref="A338:N348" totalsRowCount="1" headerRowDxfId="289" dataDxfId="287" totalsRowDxfId="285" headerRowBorderDxfId="288" tableBorderDxfId="286" totalsRowBorderDxfId="284">
  <autoFilter ref="A338:N347"/>
  <tableColumns count="14">
    <tableColumn id="1" name="(A)_x000a_Program Name" totalsRowLabel="Total Program 303" dataDxfId="283" totalsRowDxfId="282"/>
    <tableColumn id="2" name="(B)_x000a_Fiscal _x000a_Year" totalsRowLabel="N/A" dataDxfId="281" totalsRowDxfId="280"/>
    <tableColumn id="3" name="(C)_x000a_Program_x000a_Costs" totalsRowFunction="sum" dataDxfId="279" totalsRowDxfId="278"/>
    <tableColumn id="4" name="(D)_x000a_Prior Period Adjustments" totalsRowFunction="sum" dataDxfId="277" totalsRowDxfId="276"/>
    <tableColumn id="5" name="(E)_x000a_Current Period Desk _x000a_Reviews" totalsRowFunction="sum" dataDxfId="275" totalsRowDxfId="274"/>
    <tableColumn id="6" name="(F)_x000a_Current Period _x000a_Final _x000a_Audits" totalsRowFunction="sum" dataDxfId="273" totalsRowDxfId="272"/>
    <tableColumn id="7" name="(G)_x000a_Current Period _x000a_Other Adjustments" totalsRowFunction="sum" dataDxfId="271" totalsRowDxfId="270"/>
    <tableColumn id="8" name="(H)_x000a_Net Program Costs_x000a_Sum (C through G)" totalsRowFunction="sum" dataDxfId="269" totalsRowDxfId="268"/>
    <tableColumn id="9" name="(I)_x000a_Payments_x000a_ and Offsets" totalsRowFunction="sum" dataDxfId="267" totalsRowDxfId="266"/>
    <tableColumn id="10" name="(J)_x000a_Accounts Payable Balance_x000a_(H + I)" totalsRowFunction="sum" dataDxfId="265" totalsRowDxfId="264"/>
    <tableColumn id="11" name="(K)_x000a_Established _x000a_Accounts Receivable" totalsRowFunction="sum" dataDxfId="263" totalsRowDxfId="262"/>
    <tableColumn id="12" name="(L)_x000a_Recovered_x000a_ Accounts Receivable" totalsRowFunction="sum" dataDxfId="261" totalsRowDxfId="260"/>
    <tableColumn id="13" name="(M)_x000a_Accounts Receivable Balance_x000a_(K + L)" totalsRowFunction="sum" dataDxfId="259" totalsRowDxfId="258"/>
    <tableColumn id="14" name="(N)_x000a_Net Balance_x000a_(J minus M)" totalsRowFunction="sum" dataDxfId="257" totalsRowDxfId="2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3.xml><?xml version="1.0" encoding="utf-8"?>
<table xmlns="http://schemas.openxmlformats.org/spreadsheetml/2006/main" id="293" name="Program294" displayName="Program294" ref="A350:N355" totalsRowCount="1" headerRowDxfId="255" dataDxfId="253" totalsRowDxfId="251" headerRowBorderDxfId="254" tableBorderDxfId="252" totalsRowBorderDxfId="250">
  <autoFilter ref="A350:N354"/>
  <tableColumns count="14">
    <tableColumn id="1" name="(A)_x000a_Program Name" totalsRowLabel="Total Program 294" dataDxfId="249" totalsRowDxfId="248"/>
    <tableColumn id="2" name="(B)_x000a_Fiscal _x000a_Year" totalsRowLabel="N/A" dataDxfId="247" totalsRowDxfId="246"/>
    <tableColumn id="3" name="(C)_x000a_Program_x000a_Costs" totalsRowFunction="sum" dataDxfId="245" totalsRowDxfId="244"/>
    <tableColumn id="4" name="(D)_x000a_Prior Period Adjustments" totalsRowFunction="sum" dataDxfId="243" totalsRowDxfId="242"/>
    <tableColumn id="5" name="(E)_x000a_Current Period Desk _x000a_Reviews" totalsRowFunction="sum" dataDxfId="241" totalsRowDxfId="240"/>
    <tableColumn id="6" name="(F)_x000a_Current Period _x000a_Final _x000a_Audits" totalsRowFunction="sum" dataDxfId="239" totalsRowDxfId="238"/>
    <tableColumn id="7" name="(G)_x000a_Current Period _x000a_Other Adjustments" totalsRowFunction="sum" dataDxfId="237" totalsRowDxfId="236"/>
    <tableColumn id="8" name="(H)_x000a_Net Program Costs_x000a_Sum (C through G)" totalsRowFunction="sum" dataDxfId="235" totalsRowDxfId="234"/>
    <tableColumn id="9" name="(I)_x000a_Payments_x000a_ and Offsets" totalsRowFunction="sum" dataDxfId="233" totalsRowDxfId="232"/>
    <tableColumn id="10" name="(J)_x000a_Accounts Payable Balance_x000a_(H + I)" totalsRowFunction="sum" dataDxfId="231" totalsRowDxfId="230"/>
    <tableColumn id="11" name="(K)_x000a_Established _x000a_Accounts Receivable" totalsRowFunction="sum" dataDxfId="229" totalsRowDxfId="228"/>
    <tableColumn id="12" name="(L)_x000a_Recovered_x000a_ Accounts Receivable" totalsRowFunction="sum" dataDxfId="227" totalsRowDxfId="226"/>
    <tableColumn id="13" name="(M)_x000a_Accounts Receivable Balance_x000a_(K + L)" totalsRowFunction="sum" dataDxfId="225" totalsRowDxfId="224"/>
    <tableColumn id="14" name="(N)_x000a_Net Balance_x000a_(J minus M)" totalsRowFunction="sum" dataDxfId="223" totalsRowDxfId="2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4.xml><?xml version="1.0" encoding="utf-8"?>
<table xmlns="http://schemas.openxmlformats.org/spreadsheetml/2006/main" id="294" name="Program241" displayName="Program241" ref="A357:N359" totalsRowCount="1" headerRowDxfId="221" dataDxfId="219" totalsRowDxfId="217" headerRowBorderDxfId="220" tableBorderDxfId="218" totalsRowBorderDxfId="216">
  <autoFilter ref="A357:N358"/>
  <tableColumns count="14">
    <tableColumn id="1" name="(A)_x000a_Program Name" totalsRowLabel="Total Program 241" dataDxfId="215" totalsRowDxfId="214"/>
    <tableColumn id="2" name="(B)_x000a_Fiscal _x000a_Year" totalsRowLabel="N/A" dataDxfId="213" totalsRowDxfId="212"/>
    <tableColumn id="3" name="(C)_x000a_Program_x000a_Costs" totalsRowFunction="sum" dataDxfId="211" totalsRowDxfId="210"/>
    <tableColumn id="4" name="(D)_x000a_Prior Period Adjustments" totalsRowFunction="sum" dataDxfId="209" totalsRowDxfId="208"/>
    <tableColumn id="5" name="(E)_x000a_Current Period Desk _x000a_Reviews" totalsRowFunction="sum" dataDxfId="207" totalsRowDxfId="206"/>
    <tableColumn id="6" name="(F)_x000a_Current Period _x000a_Final _x000a_Audits" totalsRowFunction="sum" dataDxfId="205" totalsRowDxfId="204"/>
    <tableColumn id="7" name="(G)_x000a_Current Period _x000a_Other Adjustments" totalsRowFunction="sum" dataDxfId="203" totalsRowDxfId="202"/>
    <tableColumn id="8" name="(H)_x000a_Net Program Costs_x000a_Sum (C through G)" totalsRowFunction="sum" dataDxfId="201" totalsRowDxfId="200"/>
    <tableColumn id="9" name="(I)_x000a_Payments_x000a_ and Offsets" totalsRowFunction="sum" dataDxfId="199" totalsRowDxfId="198"/>
    <tableColumn id="10" name="(J)_x000a_Accounts Payable Balance_x000a_(H + I)" totalsRowFunction="sum" dataDxfId="197" totalsRowDxfId="196"/>
    <tableColumn id="11" name="(K)_x000a_Established _x000a_Accounts Receivable" totalsRowFunction="sum" dataDxfId="195" totalsRowDxfId="194"/>
    <tableColumn id="12" name="(L)_x000a_Recovered_x000a_ Accounts Receivable" totalsRowFunction="sum" dataDxfId="193" totalsRowDxfId="192"/>
    <tableColumn id="13" name="(M)_x000a_Accounts Receivable Balance_x000a_(K + L)" totalsRowFunction="sum" dataDxfId="191" totalsRowDxfId="190"/>
    <tableColumn id="14" name="(N)_x000a_Net Balance_x000a_(J minus M)" totalsRowFunction="sum" dataDxfId="189" totalsRowDxfId="1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5.xml><?xml version="1.0" encoding="utf-8"?>
<table xmlns="http://schemas.openxmlformats.org/spreadsheetml/2006/main" id="295" name="Program247" displayName="Program247" ref="A361:N364" totalsRowCount="1" headerRowDxfId="187" dataDxfId="185" totalsRowDxfId="183" headerRowBorderDxfId="186" tableBorderDxfId="184" totalsRowBorderDxfId="182">
  <autoFilter ref="A361:N363"/>
  <tableColumns count="14">
    <tableColumn id="1" name="(A)_x000a_Program Name" totalsRowLabel="Total Program 247" dataDxfId="181" totalsRowDxfId="180"/>
    <tableColumn id="2" name="(B)_x000a_Fiscal _x000a_Year" totalsRowLabel="N/A" dataDxfId="179" totalsRowDxfId="178"/>
    <tableColumn id="3" name="(C)_x000a_Program_x000a_Costs" totalsRowFunction="sum" dataDxfId="177" totalsRowDxfId="176"/>
    <tableColumn id="4" name="(D)_x000a_Prior Period Adjustments" totalsRowFunction="sum" dataDxfId="175" totalsRowDxfId="174"/>
    <tableColumn id="5" name="(E)_x000a_Current Period Desk _x000a_Reviews" totalsRowFunction="sum" dataDxfId="173" totalsRowDxfId="172"/>
    <tableColumn id="6" name="(F)_x000a_Current Period _x000a_Final _x000a_Audits" totalsRowFunction="sum" dataDxfId="171" totalsRowDxfId="170"/>
    <tableColumn id="7" name="(G)_x000a_Current Period _x000a_Other Adjustments" totalsRowFunction="sum" dataDxfId="169" totalsRowDxfId="168"/>
    <tableColumn id="8" name="(H)_x000a_Net Program Costs_x000a_Sum (C through G)" totalsRowFunction="sum" dataDxfId="167" totalsRowDxfId="166"/>
    <tableColumn id="9" name="(I)_x000a_Payments_x000a_ and Offsets" totalsRowFunction="sum" dataDxfId="165" totalsRowDxfId="164"/>
    <tableColumn id="10" name="(J)_x000a_Accounts Payable Balance_x000a_(H + I)" totalsRowFunction="sum" dataDxfId="163" totalsRowDxfId="162"/>
    <tableColumn id="11" name="(K)_x000a_Established _x000a_Accounts Receivable" totalsRowFunction="sum" dataDxfId="161" totalsRowDxfId="160"/>
    <tableColumn id="12" name="(L)_x000a_Recovered_x000a_ Accounts Receivable" totalsRowFunction="sum" dataDxfId="159" totalsRowDxfId="158"/>
    <tableColumn id="13" name="(M)_x000a_Accounts Receivable Balance_x000a_(K + L)" totalsRowFunction="sum" dataDxfId="157" totalsRowDxfId="156"/>
    <tableColumn id="14" name="(N)_x000a_Net Balance_x000a_(J minus M)" totalsRowFunction="sum" dataDxfId="155" totalsRowDxfId="1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6.xml><?xml version="1.0" encoding="utf-8"?>
<table xmlns="http://schemas.openxmlformats.org/spreadsheetml/2006/main" id="296" name="Program307" displayName="Program307" ref="A366:N368" totalsRowCount="1" headerRowDxfId="153" dataDxfId="151" totalsRowDxfId="149" headerRowBorderDxfId="152" tableBorderDxfId="150" totalsRowBorderDxfId="148">
  <autoFilter ref="A366:N367"/>
  <tableColumns count="14">
    <tableColumn id="1" name="(A)_x000a_Program Name" totalsRowLabel="Total Program 307" dataDxfId="147" totalsRowDxfId="146"/>
    <tableColumn id="2" name="(B)_x000a_Fiscal _x000a_Year" totalsRowLabel="N/A" dataDxfId="145" totalsRowDxfId="144"/>
    <tableColumn id="3" name="(C)_x000a_Program_x000a_Costs" totalsRowFunction="sum" dataDxfId="143" totalsRowDxfId="142"/>
    <tableColumn id="4" name="(D)_x000a_Prior Period Adjustments" totalsRowFunction="sum" dataDxfId="141" totalsRowDxfId="140"/>
    <tableColumn id="5" name="(E)_x000a_Current Period Desk _x000a_Reviews" totalsRowFunction="sum" dataDxfId="139" totalsRowDxfId="138"/>
    <tableColumn id="6" name="(F)_x000a_Current Period _x000a_Final _x000a_Audits" totalsRowFunction="sum" dataDxfId="137" totalsRowDxfId="136"/>
    <tableColumn id="7" name="(G)_x000a_Current Period _x000a_Other Adjustments" totalsRowFunction="sum" dataDxfId="135" totalsRowDxfId="134"/>
    <tableColumn id="8" name="(H)_x000a_Net Program Costs_x000a_Sum (C through G)" totalsRowFunction="sum" dataDxfId="133" totalsRowDxfId="132"/>
    <tableColumn id="9" name="(I)_x000a_Payments_x000a_ and Offsets" totalsRowFunction="sum" dataDxfId="131" totalsRowDxfId="130"/>
    <tableColumn id="10" name="(J)_x000a_Accounts Payable Balance_x000a_(H + I)" totalsRowFunction="sum" dataDxfId="129" totalsRowDxfId="128"/>
    <tableColumn id="11" name="(K)_x000a_Established _x000a_Accounts Receivable" totalsRowFunction="sum" dataDxfId="127" totalsRowDxfId="126"/>
    <tableColumn id="12" name="(L)_x000a_Recovered_x000a_ Accounts Receivable" totalsRowFunction="sum" dataDxfId="125" totalsRowDxfId="124"/>
    <tableColumn id="13" name="(M)_x000a_Accounts Receivable Balance_x000a_(K + L)" totalsRowFunction="sum" dataDxfId="123" totalsRowDxfId="122"/>
    <tableColumn id="14" name="(N)_x000a_Net Balance_x000a_(J minus M)" totalsRowFunction="sum" dataDxfId="121" totalsRowDxfId="1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7.xml><?xml version="1.0" encoding="utf-8"?>
<table xmlns="http://schemas.openxmlformats.org/spreadsheetml/2006/main" id="297" name="Program301" displayName="Program301" ref="A370:N382" totalsRowCount="1" headerRowDxfId="119" dataDxfId="117" totalsRowDxfId="115" headerRowBorderDxfId="118" tableBorderDxfId="116" totalsRowBorderDxfId="114">
  <autoFilter ref="A370:N381"/>
  <tableColumns count="14">
    <tableColumn id="1" name="(A)_x000a_Program Name" totalsRowLabel="Total Program 301" dataDxfId="113" totalsRowDxfId="112"/>
    <tableColumn id="2" name="(B)_x000a_Fiscal _x000a_Year" totalsRowLabel="N/A" dataDxfId="111" totalsRowDxfId="110"/>
    <tableColumn id="3" name="(C)_x000a_Program_x000a_Costs" totalsRowFunction="sum" dataDxfId="109" totalsRowDxfId="108"/>
    <tableColumn id="4" name="(D)_x000a_Prior Period Adjustments" totalsRowFunction="sum" dataDxfId="107" totalsRowDxfId="106"/>
    <tableColumn id="5" name="(E)_x000a_Current Period Desk _x000a_Reviews" totalsRowFunction="sum" dataDxfId="105" totalsRowDxfId="104"/>
    <tableColumn id="6" name="(F)_x000a_Current Period _x000a_Final _x000a_Audits" totalsRowFunction="sum" dataDxfId="103" totalsRowDxfId="102"/>
    <tableColumn id="7" name="(G)_x000a_Current Period _x000a_Other Adjustments" totalsRowFunction="sum" dataDxfId="101" totalsRowDxfId="100"/>
    <tableColumn id="8" name="(H)_x000a_Net Program Costs_x000a_Sum (C through G)" totalsRowFunction="sum" dataDxfId="99" totalsRowDxfId="98"/>
    <tableColumn id="9" name="(I)_x000a_Payments_x000a_ and Offsets" totalsRowFunction="sum" dataDxfId="97" totalsRowDxfId="96"/>
    <tableColumn id="10" name="(J)_x000a_Accounts Payable Balance_x000a_(H + I)" totalsRowFunction="sum" dataDxfId="95" totalsRowDxfId="94"/>
    <tableColumn id="11" name="(K)_x000a_Established _x000a_Accounts Receivable" totalsRowFunction="sum" dataDxfId="93" totalsRowDxfId="92"/>
    <tableColumn id="12" name="(L)_x000a_Recovered_x000a_ Accounts Receivable" totalsRowFunction="sum" dataDxfId="91" totalsRowDxfId="90"/>
    <tableColumn id="13" name="(M)_x000a_Accounts Receivable Balance_x000a_(K + L)" totalsRowFunction="sum" dataDxfId="89" totalsRowDxfId="88"/>
    <tableColumn id="14" name="(N)_x000a_Net Balance_x000a_(J minus M)" totalsRowFunction="sum" dataDxfId="87" totalsRowDxfId="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8.xml><?xml version="1.0" encoding="utf-8"?>
<table xmlns="http://schemas.openxmlformats.org/spreadsheetml/2006/main" id="298" name="College" displayName="College" ref="A384:N420" totalsRowCount="1" headerRowDxfId="85" dataDxfId="83" totalsRowDxfId="81" headerRowBorderDxfId="84" tableBorderDxfId="82" totalsRowBorderDxfId="80">
  <autoFilter ref="A384:N419"/>
  <tableColumns count="14">
    <tableColumn id="1" name="(A)_x000a_Program Name" totalsRowLabel="Grand Total Community College Districts" dataDxfId="79" totalsRowDxfId="78"/>
    <tableColumn id="2" name="(B)_x000a_Fiscal _x000a_Year" totalsRowLabel="N/A" dataDxfId="77" totalsRowDxfId="76"/>
    <tableColumn id="3" name="(C)_x000a_Program_x000a_Costs" totalsRowFunction="sum" dataDxfId="75" totalsRowDxfId="74"/>
    <tableColumn id="4" name="(D)_x000a_Prior Period Adjustments" totalsRowFunction="sum" dataDxfId="73" totalsRowDxfId="72"/>
    <tableColumn id="5" name="(E)_x000a_Current Period Desk _x000a_Reviews" totalsRowFunction="sum" dataDxfId="71" totalsRowDxfId="70"/>
    <tableColumn id="6" name="(F)_x000a_Current Period _x000a_Final _x000a_Audits" totalsRowFunction="sum" dataDxfId="69" totalsRowDxfId="68"/>
    <tableColumn id="7" name="(G)_x000a_Current Period _x000a_Other Adjustments" totalsRowFunction="sum" dataDxfId="67" totalsRowDxfId="66"/>
    <tableColumn id="8" name="(H)_x000a_Net Program Costs_x000a_Sum (C through G)" totalsRowFunction="sum" dataDxfId="65" totalsRowDxfId="64"/>
    <tableColumn id="9" name="(I)_x000a_Payments_x000a_ and Offsets" totalsRowFunction="sum" dataDxfId="63" totalsRowDxfId="62"/>
    <tableColumn id="10" name="(J)_x000a_Accounts Payable Balance_x000a_(H + I)" totalsRowFunction="sum" dataDxfId="61" totalsRowDxfId="60"/>
    <tableColumn id="11" name="(K)_x000a_Established _x000a_Accounts Receivable" totalsRowFunction="sum" dataDxfId="59" totalsRowDxfId="58"/>
    <tableColumn id="12" name="(L)_x000a_Recovered_x000a_ Accounts Receivable" totalsRowFunction="sum" dataDxfId="57" totalsRowDxfId="56"/>
    <tableColumn id="13" name="(M)_x000a_Accounts Receivable Balance_x000a_(K + L)" totalsRowFunction="sum" dataDxfId="55" totalsRowDxfId="54"/>
    <tableColumn id="14" name="(N)_x000a_Net Balance_x000a_(J minus M)" totalsRowFunction="sum" dataDxfId="53" totalsRowDxfId="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299.xml><?xml version="1.0" encoding="utf-8"?>
<table xmlns="http://schemas.openxmlformats.org/spreadsheetml/2006/main" id="299" name="GrandTotal" displayName="GrandTotal" ref="A422:N426" totalsRowCount="1" headerRowDxfId="51" dataDxfId="49" totalsRowDxfId="47" headerRowBorderDxfId="50" tableBorderDxfId="48" totalsRowBorderDxfId="46">
  <autoFilter ref="A422:N425"/>
  <tableColumns count="14">
    <tableColumn id="1" name="(A)_x000a_Program Name" totalsRowLabel="Grand Total" dataDxfId="45" totalsRowDxfId="44"/>
    <tableColumn id="2" name="(B)_x000a_Fiscal _x000a_Year" totalsRowLabel="N/A" dataDxfId="43" totalsRowDxfId="42"/>
    <tableColumn id="3" name="(C)_x000a_Program_x000a_Costs" totalsRowFunction="sum" dataDxfId="41" totalsRowDxfId="40"/>
    <tableColumn id="4" name="(D)_x000a_Prior Period Adjustments" totalsRowFunction="sum" dataDxfId="39" totalsRowDxfId="38"/>
    <tableColumn id="5" name="(E)_x000a_Current Period Desk _x000a_Reviews" totalsRowFunction="sum" dataDxfId="37" totalsRowDxfId="36"/>
    <tableColumn id="6" name="(F)_x000a_Current Period _x000a_Final _x000a_Audits" totalsRowFunction="sum" dataDxfId="35" totalsRowDxfId="34"/>
    <tableColumn id="7" name="(G)_x000a_Current Period _x000a_Other Adjustments" totalsRowFunction="sum" dataDxfId="33" totalsRowDxfId="32"/>
    <tableColumn id="8" name="(H)_x000a_Net Program Costs_x000a_Sum (C through G)" totalsRowFunction="sum" dataDxfId="31" totalsRowDxfId="30"/>
    <tableColumn id="9" name="(I)_x000a_Payments_x000a_ and Offsets" totalsRowFunction="sum" dataDxfId="29" totalsRowDxfId="28"/>
    <tableColumn id="10" name="(J)_x000a_Accounts Payable Balance_x000a_(H + I)" totalsRowFunction="sum" dataDxfId="27" totalsRowDxfId="26"/>
    <tableColumn id="11" name="(K)_x000a_Established _x000a_Accounts Receivable" totalsRowFunction="sum" dataDxfId="25" totalsRowDxfId="24"/>
    <tableColumn id="12" name="(L)_x000a_Recovered_x000a_ Accounts Receivable" totalsRowFunction="sum" dataDxfId="23" totalsRowDxfId="22"/>
    <tableColumn id="13" name="(M)_x000a_Accounts Receivable Balance_x000a_(K + L)" totalsRowFunction="sum" dataDxfId="21" totalsRowDxfId="20"/>
    <tableColumn id="14" name="(N)_x000a_Net Balance_x000a_(J minus M)" totalsRowFunction="sum" dataDxfId="19" totalsRowDxfId="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.xml><?xml version="1.0" encoding="utf-8"?>
<table xmlns="http://schemas.openxmlformats.org/spreadsheetml/2006/main" id="3" name="ProgramCosts" displayName="ProgramCosts" ref="A13:F16" totalsRowCount="1" headerRowDxfId="9965" dataDxfId="9963" totalsRowDxfId="9961" headerRowBorderDxfId="9964" tableBorderDxfId="9962" totalsRowBorderDxfId="9960">
  <autoFilter ref="A13:F15"/>
  <tableColumns count="6">
    <tableColumn id="1" name="Program Costs, Audit Adjustments and Balances" totalsRowLabel="Net Program Costs²" totalsRowDxfId="11" dataCellStyle="Hyperlink"/>
    <tableColumn id="2" name="Comments" totalsRowLabel="Comment: Total Program Costs plus Total Cumulative Adjustments equals Net Program Costs." dataDxfId="9959" totalsRowDxfId="10"/>
    <tableColumn id="3" name="Local Agencies" totalsRowFunction="sum" dataDxfId="9958" totalsRowDxfId="9"/>
    <tableColumn id="4" name="School Districts" totalsRowFunction="sum" dataDxfId="9957" totalsRowDxfId="8"/>
    <tableColumn id="5" name="Community College Districts" totalsRowFunction="sum" dataDxfId="9956" totalsRowDxfId="7"/>
    <tableColumn id="6" name="Grand Total" totalsRowFunction="sum" dataDxfId="9955" totalsRowDxfId="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Summary of State-Mandated Program Cost Report of Audit Findings. For the Period of April 1, 2020, through March 31, 2021."/>
    </ext>
  </extLst>
</table>
</file>

<file path=xl/tables/table30.xml><?xml version="1.0" encoding="utf-8"?>
<table xmlns="http://schemas.openxmlformats.org/spreadsheetml/2006/main" id="30" name="Program306" displayName="Program306" ref="A357:N368" totalsRowCount="1" headerRowDxfId="9140" dataDxfId="9138" totalsRowDxfId="9136" headerRowBorderDxfId="9139" tableBorderDxfId="9137" totalsRowBorderDxfId="9135">
  <autoFilter ref="A357:N367"/>
  <tableColumns count="14">
    <tableColumn id="1" name="(A)_x000a_Program Name" totalsRowLabel="Total Program 306" dataDxfId="9134" totalsRowDxfId="9133"/>
    <tableColumn id="2" name="(B)_x000a_Fiscal _x000a_Year" totalsRowLabel="N/A" dataDxfId="9132" totalsRowDxfId="9131"/>
    <tableColumn id="3" name="(C)_x000a_Program_x000a_Costs" totalsRowFunction="sum" dataDxfId="9130" totalsRowDxfId="9129"/>
    <tableColumn id="4" name="(D)_x000a_Prior Period Adjustments" totalsRowFunction="sum" dataDxfId="9128" totalsRowDxfId="9127"/>
    <tableColumn id="5" name="(E)_x000a_Current Period Desk _x000a_Reviews" totalsRowFunction="sum" dataDxfId="9126" totalsRowDxfId="9125"/>
    <tableColumn id="6" name="(F)_x000a_Current Period _x000a_Final _x000a_Audits" totalsRowFunction="sum" dataDxfId="9124" totalsRowDxfId="9123"/>
    <tableColumn id="7" name="(G)_x000a_Current Period _x000a_Other Adjustments" totalsRowFunction="sum" dataDxfId="9122" totalsRowDxfId="9121"/>
    <tableColumn id="8" name="(H)_x000a_Net Program Costs_x000a_Sum (C through G)" totalsRowFunction="sum" dataDxfId="9120" totalsRowDxfId="9119"/>
    <tableColumn id="9" name="(I)_x000a_Payments_x000a_ and Offsets" totalsRowFunction="sum" dataDxfId="9118" totalsRowDxfId="9117"/>
    <tableColumn id="10" name="(J)_x000a_Accounts Payable Balance_x000a_(H + I)" totalsRowFunction="sum" dataDxfId="9116" totalsRowDxfId="9115"/>
    <tableColumn id="11" name="(K)_x000a_Established _x000a_Accounts Receivable" totalsRowFunction="sum" dataDxfId="9114" totalsRowDxfId="9113"/>
    <tableColumn id="12" name="(L)_x000a_Recovered_x000a_ Accounts Receivable" totalsRowFunction="sum" dataDxfId="9112" totalsRowDxfId="9111"/>
    <tableColumn id="13" name="(M)_x000a_Accounts Receivable Balance_x000a_(K + L)" totalsRowFunction="sum" dataDxfId="9110" totalsRowDxfId="9109"/>
    <tableColumn id="14" name="(N)_x000a_Net Balance_x000a_(J minus M)" totalsRowFunction="sum" dataDxfId="9108" totalsRowDxfId="91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1.xml><?xml version="1.0" encoding="utf-8"?>
<table xmlns="http://schemas.openxmlformats.org/spreadsheetml/2006/main" id="31" name="Program158" displayName="Program158" ref="A370:N386" totalsRowCount="1" headerRowDxfId="9106" dataDxfId="9104" totalsRowDxfId="9102" headerRowBorderDxfId="9105" tableBorderDxfId="9103" totalsRowBorderDxfId="9101">
  <autoFilter ref="A370:N385"/>
  <tableColumns count="14">
    <tableColumn id="1" name="(A)_x000a_Program Name" totalsRowLabel="Total Program 158" dataDxfId="9100" totalsRowDxfId="9099"/>
    <tableColumn id="2" name="(B)_x000a_Fiscal _x000a_Year" totalsRowLabel="N/A" dataDxfId="9098" totalsRowDxfId="9097"/>
    <tableColumn id="3" name="(C)_x000a_Program_x000a_Costs" totalsRowFunction="sum" dataDxfId="9096" totalsRowDxfId="9095"/>
    <tableColumn id="4" name="(D)_x000a_Prior Period Adjustments" totalsRowFunction="sum" dataDxfId="9094" totalsRowDxfId="9093"/>
    <tableColumn id="5" name="(E)_x000a_Current Period Desk _x000a_Reviews" totalsRowFunction="sum" dataDxfId="9092" totalsRowDxfId="9091"/>
    <tableColumn id="6" name="(F)_x000a_Current Period _x000a_Final _x000a_Audits" totalsRowFunction="sum" dataDxfId="9090" totalsRowDxfId="9089"/>
    <tableColumn id="7" name="(G)_x000a_Current Period _x000a_Other Adjustments" totalsRowFunction="sum" dataDxfId="9088" totalsRowDxfId="9087"/>
    <tableColumn id="8" name="(H)_x000a_Net Program Costs_x000a_Sum (C through G)" totalsRowFunction="sum" dataDxfId="9086" totalsRowDxfId="9085"/>
    <tableColumn id="9" name="(I)_x000a_Payments_x000a_ and Offsets" totalsRowFunction="sum" dataDxfId="9084" totalsRowDxfId="9083"/>
    <tableColumn id="10" name="(J)_x000a_Accounts Payable Balance_x000a_(H + I)" totalsRowFunction="sum" dataDxfId="9082" totalsRowDxfId="9081"/>
    <tableColumn id="11" name="(K)_x000a_Established _x000a_Accounts Receivable" totalsRowFunction="sum" dataDxfId="9080" totalsRowDxfId="9079"/>
    <tableColumn id="12" name="(L)_x000a_Recovered_x000a_ Accounts Receivable" totalsRowFunction="sum" dataDxfId="9078" totalsRowDxfId="9077"/>
    <tableColumn id="13" name="(M)_x000a_Accounts Receivable Balance_x000a_(K + L)" totalsRowFunction="sum" dataDxfId="9076" totalsRowDxfId="9075"/>
    <tableColumn id="14" name="(N)_x000a_Net Balance_x000a_(J minus M)" totalsRowFunction="sum" dataDxfId="9074" totalsRowDxfId="90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2.xml><?xml version="1.0" encoding="utf-8"?>
<table xmlns="http://schemas.openxmlformats.org/spreadsheetml/2006/main" id="32" name="Program013" displayName="Program013" ref="A388:N420" totalsRowCount="1" headerRowDxfId="9072" dataDxfId="9070" totalsRowDxfId="9068" headerRowBorderDxfId="9071" tableBorderDxfId="9069" totalsRowBorderDxfId="9067">
  <autoFilter ref="A388:N419"/>
  <tableColumns count="14">
    <tableColumn id="1" name="(A)_x000a_Program Name" totalsRowLabel="Total Program 13" dataDxfId="9066" totalsRowDxfId="9065"/>
    <tableColumn id="2" name="(B)_x000a_Fiscal _x000a_Year" totalsRowLabel="N/A" dataDxfId="9064" totalsRowDxfId="9063"/>
    <tableColumn id="3" name="(C)_x000a_Program_x000a_Costs" totalsRowFunction="sum" dataDxfId="9062" totalsRowDxfId="9061"/>
    <tableColumn id="4" name="(D)_x000a_Prior Period Adjustments" totalsRowFunction="sum" dataDxfId="9060" totalsRowDxfId="9059"/>
    <tableColumn id="5" name="(E)_x000a_Current Period Desk _x000a_Reviews" totalsRowFunction="sum" dataDxfId="9058" totalsRowDxfId="9057"/>
    <tableColumn id="6" name="(F)_x000a_Current Period _x000a_Final _x000a_Audits" totalsRowFunction="sum" dataDxfId="9056" totalsRowDxfId="9055"/>
    <tableColumn id="7" name="(G)_x000a_Current Period _x000a_Other Adjustments" totalsRowFunction="sum" dataDxfId="9054" totalsRowDxfId="9053"/>
    <tableColumn id="8" name="(H)_x000a_Net Program Costs_x000a_Sum (C through G)" totalsRowFunction="sum" dataDxfId="9052" totalsRowDxfId="9051"/>
    <tableColumn id="9" name="(I)_x000a_Payments_x000a_ and Offsets" totalsRowFunction="sum" dataDxfId="9050" totalsRowDxfId="9049"/>
    <tableColumn id="10" name="(J)_x000a_Accounts Payable Balance_x000a_(H + I)" totalsRowFunction="sum" dataDxfId="9048" totalsRowDxfId="9047"/>
    <tableColumn id="11" name="(K)_x000a_Established _x000a_Accounts Receivable" totalsRowFunction="sum" dataDxfId="9046" totalsRowDxfId="9045"/>
    <tableColumn id="12" name="(L)_x000a_Recovered_x000a_ Accounts Receivable" totalsRowFunction="sum" dataDxfId="9044" totalsRowDxfId="9043"/>
    <tableColumn id="13" name="(M)_x000a_Accounts Receivable Balance_x000a_(K + L)" totalsRowFunction="sum" dataDxfId="9042" totalsRowDxfId="9041"/>
    <tableColumn id="14" name="(N)_x000a_Net Balance_x000a_(J minus M)" totalsRowFunction="sum" dataDxfId="9040" totalsRowDxfId="90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3.xml><?xml version="1.0" encoding="utf-8"?>
<table xmlns="http://schemas.openxmlformats.org/spreadsheetml/2006/main" id="33" name="Program062" displayName="Program062" ref="A422:N426" totalsRowCount="1" headerRowDxfId="9038" dataDxfId="9036" totalsRowDxfId="9034" headerRowBorderDxfId="9037" tableBorderDxfId="9035" totalsRowBorderDxfId="9033">
  <autoFilter ref="A422:N425"/>
  <tableColumns count="14">
    <tableColumn id="1" name="(A)_x000a_Program Name" totalsRowLabel="Total Program 62" dataDxfId="9032" totalsRowDxfId="9031"/>
    <tableColumn id="2" name="(B)_x000a_Fiscal _x000a_Year" totalsRowLabel="N/A" dataDxfId="9030" totalsRowDxfId="9029"/>
    <tableColumn id="3" name="(C)_x000a_Program_x000a_Costs" totalsRowFunction="sum" dataDxfId="9028" totalsRowDxfId="9027"/>
    <tableColumn id="4" name="(D)_x000a_Prior Period Adjustments" totalsRowFunction="sum" dataDxfId="9026" totalsRowDxfId="9025"/>
    <tableColumn id="5" name="(E)_x000a_Current Period Desk _x000a_Reviews" totalsRowFunction="sum" dataDxfId="9024" totalsRowDxfId="9023"/>
    <tableColumn id="6" name="(F)_x000a_Current Period _x000a_Final _x000a_Audits" totalsRowFunction="sum" dataDxfId="9022" totalsRowDxfId="9021"/>
    <tableColumn id="7" name="(G)_x000a_Current Period _x000a_Other Adjustments" totalsRowFunction="sum" dataDxfId="9020" totalsRowDxfId="9019"/>
    <tableColumn id="8" name="(H)_x000a_Net Program Costs_x000a_Sum (C through G)" totalsRowFunction="sum" dataDxfId="9018" totalsRowDxfId="9017"/>
    <tableColumn id="9" name="(I)_x000a_Payments_x000a_ and Offsets" totalsRowFunction="sum" dataDxfId="9016" totalsRowDxfId="9015"/>
    <tableColumn id="10" name="(J)_x000a_Accounts Payable Balance_x000a_(H + I)" totalsRowFunction="sum" dataDxfId="9014" totalsRowDxfId="9013"/>
    <tableColumn id="11" name="(K)_x000a_Established _x000a_Accounts Receivable" totalsRowFunction="sum" dataDxfId="9012" totalsRowDxfId="9011"/>
    <tableColumn id="12" name="(L)_x000a_Recovered_x000a_ Accounts Receivable" totalsRowFunction="sum" dataDxfId="9010" totalsRowDxfId="9009"/>
    <tableColumn id="13" name="(M)_x000a_Accounts Receivable Balance_x000a_(K + L)" totalsRowFunction="sum" dataDxfId="9008" totalsRowDxfId="9007"/>
    <tableColumn id="14" name="(N)_x000a_Net Balance_x000a_(J minus M)" totalsRowFunction="sum" dataDxfId="9006" totalsRowDxfId="90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4.xml><?xml version="1.0" encoding="utf-8"?>
<table xmlns="http://schemas.openxmlformats.org/spreadsheetml/2006/main" id="34" name="Program087" displayName="Program087" ref="A428:N449" totalsRowCount="1" headerRowDxfId="9004" dataDxfId="9002" totalsRowDxfId="9000" headerRowBorderDxfId="9003" tableBorderDxfId="9001" totalsRowBorderDxfId="8999">
  <autoFilter ref="A428:N448"/>
  <tableColumns count="14">
    <tableColumn id="1" name="(A)_x000a_Program Name" totalsRowLabel="Total Program 87" dataDxfId="8998" totalsRowDxfId="8997"/>
    <tableColumn id="2" name="(B)_x000a_Fiscal _x000a_Year" totalsRowLabel="N/A" dataDxfId="8996" totalsRowDxfId="8995"/>
    <tableColumn id="3" name="(C)_x000a_Program_x000a_Costs" totalsRowFunction="sum" dataDxfId="8994" totalsRowDxfId="8993"/>
    <tableColumn id="4" name="(D)_x000a_Prior Period Adjustments" totalsRowFunction="sum" dataDxfId="8992" totalsRowDxfId="8991"/>
    <tableColumn id="5" name="(E)_x000a_Current Period Desk _x000a_Reviews" totalsRowFunction="sum" dataDxfId="8990" totalsRowDxfId="8989"/>
    <tableColumn id="6" name="(F)_x000a_Current Period _x000a_Final _x000a_Audits" totalsRowFunction="sum" dataDxfId="8988" totalsRowDxfId="8987"/>
    <tableColumn id="7" name="(G)_x000a_Current Period _x000a_Other Adjustments" totalsRowFunction="sum" dataDxfId="8986" totalsRowDxfId="8985"/>
    <tableColumn id="8" name="(H)_x000a_Net Program Costs_x000a_Sum (C through G)" totalsRowFunction="sum" dataDxfId="8984" totalsRowDxfId="8983"/>
    <tableColumn id="9" name="(I)_x000a_Payments_x000a_ and Offsets" totalsRowFunction="sum" dataDxfId="8982" totalsRowDxfId="8981"/>
    <tableColumn id="10" name="(J)_x000a_Accounts Payable Balance_x000a_(H + I)" totalsRowFunction="sum" dataDxfId="8980" totalsRowDxfId="8979"/>
    <tableColumn id="11" name="(K)_x000a_Established _x000a_Accounts Receivable" totalsRowFunction="sum" dataDxfId="8978" totalsRowDxfId="8977"/>
    <tableColumn id="12" name="(L)_x000a_Recovered_x000a_ Accounts Receivable" totalsRowFunction="sum" dataDxfId="8976" totalsRowDxfId="8975"/>
    <tableColumn id="13" name="(M)_x000a_Accounts Receivable Balance_x000a_(K + L)" totalsRowFunction="sum" dataDxfId="8974" totalsRowDxfId="8973"/>
    <tableColumn id="14" name="(N)_x000a_Net Balance_x000a_(J minus M)" totalsRowFunction="sum" dataDxfId="8972" totalsRowDxfId="89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5.xml><?xml version="1.0" encoding="utf-8"?>
<table xmlns="http://schemas.openxmlformats.org/spreadsheetml/2006/main" id="35" name="Program143" displayName="Program143" ref="A451:N453" totalsRowCount="1" headerRowDxfId="8970" dataDxfId="8968" totalsRowDxfId="8966" headerRowBorderDxfId="8969" tableBorderDxfId="8967" totalsRowBorderDxfId="8965">
  <autoFilter ref="A451:N452"/>
  <tableColumns count="14">
    <tableColumn id="1" name="(A)_x000a_Program Name" totalsRowLabel="Total Program 143" dataDxfId="8964" totalsRowDxfId="8963"/>
    <tableColumn id="2" name="(B)_x000a_Fiscal _x000a_Year" totalsRowLabel="N/A" dataDxfId="8962" totalsRowDxfId="8961">
      <calculatedColumnFormula>[1]Locals!A426</calculatedColumnFormula>
    </tableColumn>
    <tableColumn id="3" name="(C)_x000a_Program_x000a_Costs" totalsRowFunction="sum" dataDxfId="8960" totalsRowDxfId="8959">
      <calculatedColumnFormula>[1]Locals!B426</calculatedColumnFormula>
    </tableColumn>
    <tableColumn id="4" name="(D)_x000a_Prior Period Adjustments" totalsRowFunction="sum" dataDxfId="8958" totalsRowDxfId="8957">
      <calculatedColumnFormula>[1]Locals!C426</calculatedColumnFormula>
    </tableColumn>
    <tableColumn id="5" name="(E)_x000a_Current Period Desk _x000a_Reviews" totalsRowFunction="sum" dataDxfId="8956" totalsRowDxfId="8955">
      <calculatedColumnFormula>[1]Locals!D426</calculatedColumnFormula>
    </tableColumn>
    <tableColumn id="6" name="(F)_x000a_Current Period _x000a_Final _x000a_Audits" totalsRowFunction="sum" dataDxfId="8954" totalsRowDxfId="8953">
      <calculatedColumnFormula>[1]Locals!E426</calculatedColumnFormula>
    </tableColumn>
    <tableColumn id="7" name="(G)_x000a_Current Period _x000a_Other Adjustments" totalsRowFunction="sum" dataDxfId="8952" totalsRowDxfId="8951">
      <calculatedColumnFormula>[1]Locals!F426</calculatedColumnFormula>
    </tableColumn>
    <tableColumn id="8" name="(H)_x000a_Net Program Costs_x000a_Sum (C through G)" totalsRowFunction="sum" dataDxfId="8950" totalsRowDxfId="8949">
      <calculatedColumnFormula>[1]Locals!G426</calculatedColumnFormula>
    </tableColumn>
    <tableColumn id="9" name="(I)_x000a_Payments_x000a_ and Offsets" totalsRowFunction="sum" dataDxfId="8948" totalsRowDxfId="8947">
      <calculatedColumnFormula>[1]Locals!H426</calculatedColumnFormula>
    </tableColumn>
    <tableColumn id="10" name="(J)_x000a_Accounts Payable Balance_x000a_(H + I)" totalsRowFunction="sum" dataDxfId="8946" totalsRowDxfId="8945">
      <calculatedColumnFormula>[1]Locals!I426</calculatedColumnFormula>
    </tableColumn>
    <tableColumn id="11" name="(K)_x000a_Established _x000a_Accounts Receivable" totalsRowFunction="sum" dataDxfId="8944" totalsRowDxfId="8943">
      <calculatedColumnFormula>[1]Locals!J426</calculatedColumnFormula>
    </tableColumn>
    <tableColumn id="12" name="(L)_x000a_Recovered_x000a_ Accounts Receivable" totalsRowFunction="sum" dataDxfId="8942" totalsRowDxfId="8941">
      <calculatedColumnFormula>[1]Locals!K426</calculatedColumnFormula>
    </tableColumn>
    <tableColumn id="13" name="(M)_x000a_Accounts Receivable Balance_x000a_(K + L)" totalsRowFunction="sum" dataDxfId="8940" totalsRowDxfId="8939">
      <calculatedColumnFormula>[1]Locals!L426</calculatedColumnFormula>
    </tableColumn>
    <tableColumn id="14" name="(N)_x000a_Net Balance_x000a_(J minus M)" totalsRowFunction="sum" dataDxfId="8938" totalsRowDxfId="8937">
      <calculatedColumnFormula>[1]Locals!M426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6.xml><?xml version="1.0" encoding="utf-8"?>
<table xmlns="http://schemas.openxmlformats.org/spreadsheetml/2006/main" id="36" name="Program266" displayName="Program266" ref="A455:N464" totalsRowCount="1" headerRowDxfId="8936" dataDxfId="8934" totalsRowDxfId="8932" headerRowBorderDxfId="8935" tableBorderDxfId="8933" totalsRowBorderDxfId="8931">
  <autoFilter ref="A455:N463"/>
  <tableColumns count="14">
    <tableColumn id="1" name="(A)_x000a_Program Name" totalsRowLabel="Total Program 266" dataDxfId="8930" totalsRowDxfId="8929"/>
    <tableColumn id="2" name="(B)_x000a_Fiscal _x000a_Year" totalsRowLabel="N/A" dataDxfId="8928" totalsRowDxfId="8927"/>
    <tableColumn id="3" name="(C)_x000a_Program_x000a_Costs" totalsRowFunction="sum" dataDxfId="8926" totalsRowDxfId="8925"/>
    <tableColumn id="4" name="(D)_x000a_Prior Period Adjustments" totalsRowFunction="sum" dataDxfId="8924" totalsRowDxfId="8923"/>
    <tableColumn id="5" name="(E)_x000a_Current Period Desk _x000a_Reviews" totalsRowFunction="sum" dataDxfId="8922" totalsRowDxfId="8921"/>
    <tableColumn id="6" name="(F)_x000a_Current Period _x000a_Final _x000a_Audits" totalsRowFunction="sum" dataDxfId="8920" totalsRowDxfId="8919"/>
    <tableColumn id="7" name="(G)_x000a_Current Period _x000a_Other Adjustments" totalsRowFunction="sum" dataDxfId="8918" totalsRowDxfId="8917"/>
    <tableColumn id="8" name="(H)_x000a_Net Program Costs_x000a_Sum (C through G)" totalsRowFunction="sum" dataDxfId="8916" totalsRowDxfId="8915"/>
    <tableColumn id="9" name="(I)_x000a_Payments_x000a_ and Offsets" totalsRowFunction="sum" dataDxfId="8914" totalsRowDxfId="8913"/>
    <tableColumn id="10" name="(J)_x000a_Accounts Payable Balance_x000a_(H + I)" totalsRowFunction="sum" dataDxfId="8912" totalsRowDxfId="8911"/>
    <tableColumn id="11" name="(K)_x000a_Established _x000a_Accounts Receivable" totalsRowFunction="sum" dataDxfId="8910" totalsRowDxfId="8909"/>
    <tableColumn id="12" name="(L)_x000a_Recovered_x000a_ Accounts Receivable" totalsRowFunction="sum" dataDxfId="8908" totalsRowDxfId="8907"/>
    <tableColumn id="13" name="(M)_x000a_Accounts Receivable Balance_x000a_(K + L)" totalsRowFunction="sum" dataDxfId="8906" totalsRowDxfId="8905"/>
    <tableColumn id="14" name="(N)_x000a_Net Balance_x000a_(J minus M)" totalsRowFunction="sum" dataDxfId="8904" totalsRowDxfId="89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7.xml><?xml version="1.0" encoding="utf-8"?>
<table xmlns="http://schemas.openxmlformats.org/spreadsheetml/2006/main" id="37" name="Program167" displayName="Program167" ref="A466:N492" totalsRowCount="1" headerRowDxfId="8902" dataDxfId="8900" totalsRowDxfId="8898" headerRowBorderDxfId="8901" tableBorderDxfId="8899" totalsRowBorderDxfId="8897">
  <autoFilter ref="A466:N491"/>
  <tableColumns count="14">
    <tableColumn id="1" name="(A)_x000a_Program Name" totalsRowLabel="Total Program 167" dataDxfId="8896" totalsRowDxfId="8895"/>
    <tableColumn id="2" name="(B)_x000a_Fiscal _x000a_Year" totalsRowLabel="N/A" dataDxfId="8894" totalsRowDxfId="8893"/>
    <tableColumn id="3" name="(C)_x000a_Program_x000a_Costs" totalsRowFunction="sum" dataDxfId="8892" totalsRowDxfId="8891"/>
    <tableColumn id="4" name="(D)_x000a_Prior Period Adjustments" totalsRowFunction="sum" dataDxfId="8890" totalsRowDxfId="8889"/>
    <tableColumn id="5" name="(E)_x000a_Current Period Desk _x000a_Reviews" totalsRowFunction="sum" dataDxfId="8888" totalsRowDxfId="8887"/>
    <tableColumn id="6" name="(F)_x000a_Current Period _x000a_Final _x000a_Audits" totalsRowFunction="sum" dataDxfId="8886" totalsRowDxfId="8885"/>
    <tableColumn id="7" name="(G)_x000a_Current Period _x000a_Other Adjustments" totalsRowFunction="sum" dataDxfId="8884" totalsRowDxfId="8883"/>
    <tableColumn id="8" name="(H)_x000a_Net Program Costs_x000a_Sum (C through G)" totalsRowFunction="sum" dataDxfId="8882" totalsRowDxfId="8881"/>
    <tableColumn id="9" name="(I)_x000a_Payments_x000a_ and Offsets" totalsRowFunction="sum" dataDxfId="8880" totalsRowDxfId="8879"/>
    <tableColumn id="10" name="(J)_x000a_Accounts Payable Balance_x000a_(H + I)" totalsRowFunction="sum" dataDxfId="8878" totalsRowDxfId="8877"/>
    <tableColumn id="11" name="(K)_x000a_Established _x000a_Accounts Receivable" totalsRowFunction="sum" dataDxfId="8876" totalsRowDxfId="8875"/>
    <tableColumn id="12" name="(L)_x000a_Recovered_x000a_ Accounts Receivable" totalsRowFunction="sum" dataDxfId="8874" totalsRowDxfId="8873"/>
    <tableColumn id="13" name="(M)_x000a_Accounts Receivable Balance_x000a_(K + L)" totalsRowFunction="sum" dataDxfId="8872" totalsRowDxfId="8871"/>
    <tableColumn id="14" name="(N)_x000a_Net Balance_x000a_(J minus M)" totalsRowFunction="sum" dataDxfId="8870" totalsRowDxfId="88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8.xml><?xml version="1.0" encoding="utf-8"?>
<table xmlns="http://schemas.openxmlformats.org/spreadsheetml/2006/main" id="38" name="Program274" displayName="Program274" ref="A494:N517" totalsRowCount="1" headerRowDxfId="8868" dataDxfId="8866" totalsRowDxfId="8864" headerRowBorderDxfId="8867" tableBorderDxfId="8865" totalsRowBorderDxfId="8863">
  <autoFilter ref="A494:N516"/>
  <tableColumns count="14">
    <tableColumn id="1" name="(A)_x000a_Program Name" totalsRowLabel="Total Program 274" dataDxfId="8862" totalsRowDxfId="8861"/>
    <tableColumn id="2" name="(B)_x000a_Fiscal _x000a_Year" totalsRowLabel="N/A" dataDxfId="8860" totalsRowDxfId="8859"/>
    <tableColumn id="3" name="(C)_x000a_Program_x000a_Costs" totalsRowFunction="sum" dataDxfId="8858" totalsRowDxfId="8857"/>
    <tableColumn id="4" name="(D)_x000a_Prior Period Adjustments" totalsRowFunction="sum" dataDxfId="8856" totalsRowDxfId="8855"/>
    <tableColumn id="5" name="(E)_x000a_Current Period Desk _x000a_Reviews" totalsRowFunction="sum" dataDxfId="8854" totalsRowDxfId="8853"/>
    <tableColumn id="6" name="(F)_x000a_Current Period _x000a_Final _x000a_Audits" totalsRowFunction="sum" dataDxfId="8852" totalsRowDxfId="8851"/>
    <tableColumn id="7" name="(G)_x000a_Current Period _x000a_Other Adjustments" totalsRowFunction="sum" dataDxfId="8850" totalsRowDxfId="8849"/>
    <tableColumn id="8" name="(H)_x000a_Net Program Costs_x000a_Sum (C through G)" totalsRowFunction="sum" dataDxfId="8848" totalsRowDxfId="8847"/>
    <tableColumn id="9" name="(I)_x000a_Payments_x000a_ and Offsets" totalsRowFunction="sum" dataDxfId="8846" totalsRowDxfId="8845"/>
    <tableColumn id="10" name="(J)_x000a_Accounts Payable Balance_x000a_(H + I)" totalsRowFunction="sum" dataDxfId="8844" totalsRowDxfId="8843"/>
    <tableColumn id="11" name="(K)_x000a_Established _x000a_Accounts Receivable" totalsRowFunction="sum" dataDxfId="8842" totalsRowDxfId="8841"/>
    <tableColumn id="12" name="(L)_x000a_Recovered_x000a_ Accounts Receivable" totalsRowFunction="sum" dataDxfId="8840" totalsRowDxfId="8839"/>
    <tableColumn id="13" name="(M)_x000a_Accounts Receivable Balance_x000a_(K + L)" totalsRowFunction="sum" dataDxfId="8838" totalsRowDxfId="8837"/>
    <tableColumn id="14" name="(N)_x000a_Net Balance_x000a_(J minus M)" totalsRowFunction="sum" dataDxfId="8836" totalsRowDxfId="88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39.xml><?xml version="1.0" encoding="utf-8"?>
<table xmlns="http://schemas.openxmlformats.org/spreadsheetml/2006/main" id="39" name="Program322" displayName="Program322" ref="A519:N532" totalsRowCount="1" headerRowDxfId="8834" dataDxfId="8832" totalsRowDxfId="8830" headerRowBorderDxfId="8833" tableBorderDxfId="8831" totalsRowBorderDxfId="8829">
  <autoFilter ref="A519:N531"/>
  <tableColumns count="14">
    <tableColumn id="1" name="(A)_x000a_Program Name" totalsRowLabel="Total Program 322" dataDxfId="8828" totalsRowDxfId="8827"/>
    <tableColumn id="2" name="(B)_x000a_Fiscal _x000a_Year" totalsRowLabel="N/A" dataDxfId="8826" totalsRowDxfId="8825"/>
    <tableColumn id="3" name="(C)_x000a_Program_x000a_Costs" totalsRowFunction="sum" dataDxfId="8824" totalsRowDxfId="8823"/>
    <tableColumn id="4" name="(D)_x000a_Prior Period Adjustments" totalsRowFunction="sum" dataDxfId="8822" totalsRowDxfId="8821"/>
    <tableColumn id="5" name="(E)_x000a_Current Period Desk _x000a_Reviews" totalsRowFunction="sum" dataDxfId="8820" totalsRowDxfId="8819"/>
    <tableColumn id="6" name="(F)_x000a_Current Period _x000a_Final _x000a_Audits" totalsRowFunction="sum" dataDxfId="8818" totalsRowDxfId="8817"/>
    <tableColumn id="7" name="(G)_x000a_Current Period _x000a_Other Adjustments" totalsRowFunction="sum" dataDxfId="8816" totalsRowDxfId="8815"/>
    <tableColumn id="8" name="(H)_x000a_Net Program Costs_x000a_Sum (C through G)" totalsRowFunction="sum" dataDxfId="8814" totalsRowDxfId="8813"/>
    <tableColumn id="9" name="(I)_x000a_Payments_x000a_ and Offsets" totalsRowFunction="sum" dataDxfId="8812" totalsRowDxfId="8811"/>
    <tableColumn id="10" name="(J)_x000a_Accounts Payable Balance_x000a_(H + I)" totalsRowFunction="sum" dataDxfId="8810" totalsRowDxfId="8809"/>
    <tableColumn id="11" name="(K)_x000a_Established _x000a_Accounts Receivable" totalsRowFunction="sum" dataDxfId="8808" totalsRowDxfId="8807"/>
    <tableColumn id="12" name="(L)_x000a_Recovered_x000a_ Accounts Receivable" totalsRowFunction="sum" dataDxfId="8806" totalsRowDxfId="8805"/>
    <tableColumn id="13" name="(M)_x000a_Accounts Receivable Balance_x000a_(K + L)" totalsRowFunction="sum" dataDxfId="8804" totalsRowDxfId="8803"/>
    <tableColumn id="14" name="(N)_x000a_Net Balance_x000a_(J minus M)" totalsRowFunction="sum" dataDxfId="8802" totalsRowDxfId="88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.xml><?xml version="1.0" encoding="utf-8"?>
<table xmlns="http://schemas.openxmlformats.org/spreadsheetml/2006/main" id="4" name="AccountsPayable" displayName="AccountsPayable" ref="A18:F21" totalsRowCount="1" headerRowDxfId="9954" dataDxfId="9952" totalsRowDxfId="9950" headerRowBorderDxfId="9953" tableBorderDxfId="9951" totalsRowBorderDxfId="9949">
  <autoFilter ref="A18:F20"/>
  <tableColumns count="6">
    <tableColumn id="1" name="Program Costs, Audit Adjustments and Balances" totalsRowLabel="Total Accounts Payable Balance" dataDxfId="9948" totalsRowDxfId="9947"/>
    <tableColumn id="2" name="Comments" totalsRowLabel="N/A" dataDxfId="9946" totalsRowDxfId="9945"/>
    <tableColumn id="3" name="Local Agencies" totalsRowFunction="sum" dataDxfId="9944" totalsRowDxfId="9943"/>
    <tableColumn id="4" name="School Districts" totalsRowFunction="sum" dataDxfId="9942" totalsRowDxfId="9941"/>
    <tableColumn id="5" name="Community College Districts" totalsRowFunction="sum" dataDxfId="9940" totalsRowDxfId="9939"/>
    <tableColumn id="6" name="Grand Total" totalsRowFunction="sum" dataDxfId="9938" totalsRowDxfId="99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Summary of State-Mandated Program Cost Report of Audit Findings. For the Period of April 1, 2020, through March 31, 2021."/>
    </ext>
  </extLst>
</table>
</file>

<file path=xl/tables/table40.xml><?xml version="1.0" encoding="utf-8"?>
<table xmlns="http://schemas.openxmlformats.org/spreadsheetml/2006/main" id="40" name="Program016" displayName="Program016" ref="A534:N541" totalsRowCount="1" headerRowDxfId="8800" dataDxfId="8798" totalsRowDxfId="8796" headerRowBorderDxfId="8799" tableBorderDxfId="8797" totalsRowBorderDxfId="8795">
  <autoFilter ref="A534:N540"/>
  <tableColumns count="14">
    <tableColumn id="1" name="(A)_x000a_Program Name" totalsRowLabel="Total Program 16" dataDxfId="8794" totalsRowDxfId="8793"/>
    <tableColumn id="2" name="(B)_x000a_Fiscal _x000a_Year" totalsRowLabel="N/A" dataDxfId="8792" totalsRowDxfId="8791"/>
    <tableColumn id="3" name="(C)_x000a_Program_x000a_Costs" totalsRowFunction="sum" dataDxfId="8790" totalsRowDxfId="8789"/>
    <tableColumn id="4" name="(D)_x000a_Prior Period Adjustments" totalsRowFunction="sum" dataDxfId="8788" totalsRowDxfId="8787"/>
    <tableColumn id="5" name="(E)_x000a_Current Period Desk _x000a_Reviews" totalsRowFunction="sum" dataDxfId="8786" totalsRowDxfId="8785"/>
    <tableColumn id="6" name="(F)_x000a_Current Period _x000a_Final _x000a_Audits" totalsRowFunction="sum" dataDxfId="8784" totalsRowDxfId="8783"/>
    <tableColumn id="7" name="(G)_x000a_Current Period _x000a_Other Adjustments" totalsRowFunction="sum" dataDxfId="8782" totalsRowDxfId="8781"/>
    <tableColumn id="8" name="(H)_x000a_Net Program Costs_x000a_Sum (C through G)" totalsRowFunction="sum" dataDxfId="8780" totalsRowDxfId="8779"/>
    <tableColumn id="9" name="(I)_x000a_Payments_x000a_ and Offsets" totalsRowFunction="sum" dataDxfId="8778" totalsRowDxfId="8777"/>
    <tableColumn id="10" name="(J)_x000a_Accounts Payable Balance_x000a_(H + I)" totalsRowFunction="sum" dataDxfId="8776" totalsRowDxfId="8775"/>
    <tableColumn id="11" name="(K)_x000a_Established _x000a_Accounts Receivable" totalsRowFunction="sum" dataDxfId="8774" totalsRowDxfId="8773"/>
    <tableColumn id="12" name="(L)_x000a_Recovered_x000a_ Accounts Receivable" totalsRowFunction="sum" dataDxfId="8772" totalsRowDxfId="8771"/>
    <tableColumn id="13" name="(M)_x000a_Accounts Receivable Balance_x000a_(K + L)" totalsRowFunction="sum" dataDxfId="8770" totalsRowDxfId="8769"/>
    <tableColumn id="14" name="(N)_x000a_Net Balance_x000a_(J minus M)" totalsRowFunction="sum" dataDxfId="8768" totalsRowDxfId="87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1.xml><?xml version="1.0" encoding="utf-8"?>
<table xmlns="http://schemas.openxmlformats.org/spreadsheetml/2006/main" id="41" name="Program159" displayName="Program159" ref="A543:N546" totalsRowCount="1" headerRowDxfId="8766" dataDxfId="8764" totalsRowDxfId="8762" headerRowBorderDxfId="8765" tableBorderDxfId="8763" totalsRowBorderDxfId="8761">
  <autoFilter ref="A543:N545"/>
  <tableColumns count="14">
    <tableColumn id="1" name="(A)_x000a_Program Name" totalsRowLabel="Total Program 159" dataDxfId="8760" totalsRowDxfId="8759"/>
    <tableColumn id="2" name="(B)_x000a_Fiscal _x000a_Year" totalsRowLabel="N/A" dataDxfId="8758" totalsRowDxfId="8757"/>
    <tableColumn id="3" name="(C)_x000a_Program_x000a_Costs" totalsRowFunction="sum" dataDxfId="8756" totalsRowDxfId="8755"/>
    <tableColumn id="4" name="(D)_x000a_Prior Period Adjustments" totalsRowFunction="sum" dataDxfId="8754" totalsRowDxfId="8753"/>
    <tableColumn id="5" name="(E)_x000a_Current Period Desk _x000a_Reviews" totalsRowFunction="sum" dataDxfId="8752" totalsRowDxfId="8751"/>
    <tableColumn id="6" name="(F)_x000a_Current Period _x000a_Final _x000a_Audits" totalsRowFunction="sum" dataDxfId="8750" totalsRowDxfId="8749"/>
    <tableColumn id="7" name="(G)_x000a_Current Period _x000a_Other Adjustments" totalsRowFunction="sum" dataDxfId="8748" totalsRowDxfId="8747"/>
    <tableColumn id="8" name="(H)_x000a_Net Program Costs_x000a_Sum (C through G)" totalsRowFunction="sum" dataDxfId="8746" totalsRowDxfId="8745"/>
    <tableColumn id="9" name="(I)_x000a_Payments_x000a_ and Offsets" totalsRowFunction="sum" dataDxfId="8744" totalsRowDxfId="8743"/>
    <tableColumn id="10" name="(J)_x000a_Accounts Payable Balance_x000a_(H + I)" totalsRowFunction="sum" dataDxfId="8742" totalsRowDxfId="8741"/>
    <tableColumn id="11" name="(K)_x000a_Established _x000a_Accounts Receivable" totalsRowFunction="sum" dataDxfId="8740" totalsRowDxfId="8739"/>
    <tableColumn id="12" name="(L)_x000a_Recovered_x000a_ Accounts Receivable" totalsRowFunction="sum" dataDxfId="8738" totalsRowDxfId="8737"/>
    <tableColumn id="13" name="(M)_x000a_Accounts Receivable Balance_x000a_(K + L)" totalsRowFunction="sum" dataDxfId="8736" totalsRowDxfId="8735"/>
    <tableColumn id="14" name="(N)_x000a_Net Balance_x000a_(J minus M)" totalsRowFunction="sum" dataDxfId="8734" totalsRowDxfId="87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2.xml><?xml version="1.0" encoding="utf-8"?>
<table xmlns="http://schemas.openxmlformats.org/spreadsheetml/2006/main" id="42" name="Program015" displayName="Program015" ref="A548:N555" totalsRowCount="1" headerRowDxfId="8732" dataDxfId="8730" totalsRowDxfId="8728" headerRowBorderDxfId="8731" tableBorderDxfId="8729" totalsRowBorderDxfId="8727">
  <autoFilter ref="A548:N554"/>
  <tableColumns count="14">
    <tableColumn id="1" name="(A)_x000a_Program Name" totalsRowLabel="Total Program 15" dataDxfId="8726" totalsRowDxfId="8725"/>
    <tableColumn id="2" name="(B)_x000a_Fiscal _x000a_Year" totalsRowLabel="N/A" dataDxfId="8724" totalsRowDxfId="8723"/>
    <tableColumn id="3" name="(C)_x000a_Program_x000a_Costs" totalsRowFunction="sum" dataDxfId="8722" totalsRowDxfId="8721"/>
    <tableColumn id="4" name="(D)_x000a_Prior Period Adjustments" totalsRowFunction="sum" dataDxfId="8720" totalsRowDxfId="8719"/>
    <tableColumn id="5" name="(E)_x000a_Current Period Desk _x000a_Reviews" totalsRowFunction="sum" dataDxfId="8718" totalsRowDxfId="8717"/>
    <tableColumn id="6" name="(F)_x000a_Current Period _x000a_Final _x000a_Audits" totalsRowFunction="sum" dataDxfId="8716" totalsRowDxfId="8715"/>
    <tableColumn id="7" name="(G)_x000a_Current Period _x000a_Other Adjustments" totalsRowFunction="sum" dataDxfId="8714" totalsRowDxfId="8713"/>
    <tableColumn id="8" name="(H)_x000a_Net Program Costs_x000a_Sum (C through G)" totalsRowFunction="sum" dataDxfId="8712" totalsRowDxfId="8711"/>
    <tableColumn id="9" name="(I)_x000a_Payments_x000a_ and Offsets" totalsRowFunction="sum" dataDxfId="8710" totalsRowDxfId="8709"/>
    <tableColumn id="10" name="(J)_x000a_Accounts Payable Balance_x000a_(H + I)" totalsRowFunction="sum" dataDxfId="8708" totalsRowDxfId="8707"/>
    <tableColumn id="11" name="(K)_x000a_Established _x000a_Accounts Receivable" totalsRowFunction="sum" dataDxfId="8706" totalsRowDxfId="8705"/>
    <tableColumn id="12" name="(L)_x000a_Recovered_x000a_ Accounts Receivable" totalsRowFunction="sum" dataDxfId="8704" totalsRowDxfId="8703"/>
    <tableColumn id="13" name="(M)_x000a_Accounts Receivable Balance_x000a_(K + L)" totalsRowFunction="sum" dataDxfId="8702" totalsRowDxfId="8701"/>
    <tableColumn id="14" name="(N)_x000a_Net Balance_x000a_(J minus M)" totalsRowFunction="sum" dataDxfId="8700" totalsRowDxfId="86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3.xml><?xml version="1.0" encoding="utf-8"?>
<table xmlns="http://schemas.openxmlformats.org/spreadsheetml/2006/main" id="43" name="Program142" displayName="Program142" ref="A557:N564" totalsRowCount="1" headerRowDxfId="8698" dataDxfId="8696" totalsRowDxfId="8694" headerRowBorderDxfId="8697" tableBorderDxfId="8695" totalsRowBorderDxfId="8693">
  <autoFilter ref="A557:N563"/>
  <tableColumns count="14">
    <tableColumn id="1" name="(A)_x000a_Program Name" totalsRowLabel="Total Program 142" dataDxfId="8692" totalsRowDxfId="8691"/>
    <tableColumn id="2" name="(B)_x000a_Fiscal _x000a_Year" totalsRowLabel="N/A" dataDxfId="8690" totalsRowDxfId="8689"/>
    <tableColumn id="3" name="(C)_x000a_Program_x000a_Costs" totalsRowFunction="sum" dataDxfId="8688" totalsRowDxfId="8687"/>
    <tableColumn id="4" name="(D)_x000a_Prior Period Adjustments" totalsRowFunction="sum" dataDxfId="8686" totalsRowDxfId="8685"/>
    <tableColumn id="5" name="(E)_x000a_Current Period Desk _x000a_Reviews" totalsRowFunction="sum" dataDxfId="8684" totalsRowDxfId="8683"/>
    <tableColumn id="6" name="(F)_x000a_Current Period _x000a_Final _x000a_Audits" totalsRowFunction="sum" dataDxfId="8682" totalsRowDxfId="8681"/>
    <tableColumn id="7" name="(G)_x000a_Current Period _x000a_Other Adjustments" totalsRowFunction="sum" dataDxfId="8680" totalsRowDxfId="8679"/>
    <tableColumn id="8" name="(H)_x000a_Net Program Costs_x000a_Sum (C through G)" totalsRowFunction="sum" dataDxfId="8678" totalsRowDxfId="8677"/>
    <tableColumn id="9" name="(I)_x000a_Payments_x000a_ and Offsets" totalsRowFunction="sum" dataDxfId="8676" totalsRowDxfId="8675"/>
    <tableColumn id="10" name="(J)_x000a_Accounts Payable Balance_x000a_(H + I)" totalsRowFunction="sum" dataDxfId="8674" totalsRowDxfId="8673"/>
    <tableColumn id="11" name="(K)_x000a_Established _x000a_Accounts Receivable" totalsRowFunction="sum" dataDxfId="8672" totalsRowDxfId="8671"/>
    <tableColumn id="12" name="(L)_x000a_Recovered_x000a_ Accounts Receivable" totalsRowFunction="sum" dataDxfId="8670" totalsRowDxfId="8669"/>
    <tableColumn id="13" name="(M)_x000a_Accounts Receivable Balance_x000a_(K + L)" totalsRowFunction="sum" dataDxfId="8668" totalsRowDxfId="8667"/>
    <tableColumn id="14" name="(N)_x000a_Net Balance_x000a_(J minus M)" totalsRowFunction="sum" dataDxfId="8666" totalsRowDxfId="86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4.xml><?xml version="1.0" encoding="utf-8"?>
<table xmlns="http://schemas.openxmlformats.org/spreadsheetml/2006/main" id="44" name="Program177" displayName="Program177" ref="A566:N592" totalsRowCount="1" headerRowDxfId="8664" dataDxfId="8662" totalsRowDxfId="8660" headerRowBorderDxfId="8663" tableBorderDxfId="8661" totalsRowBorderDxfId="8659">
  <autoFilter ref="A566:N591"/>
  <tableColumns count="14">
    <tableColumn id="1" name="(A)_x000a_Program Name" totalsRowLabel="Total Program 177" dataDxfId="8658" totalsRowDxfId="8657"/>
    <tableColumn id="2" name="(B)_x000a_Fiscal _x000a_Year" totalsRowLabel="N/A" dataDxfId="8656" totalsRowDxfId="8655"/>
    <tableColumn id="3" name="(C)_x000a_Program_x000a_Costs" totalsRowFunction="sum" dataDxfId="8654" totalsRowDxfId="8653"/>
    <tableColumn id="4" name="(D)_x000a_Prior Period Adjustments" totalsRowFunction="sum" dataDxfId="8652" totalsRowDxfId="8651"/>
    <tableColumn id="5" name="(E)_x000a_Current Period Desk _x000a_Reviews" totalsRowFunction="sum" dataDxfId="8650" totalsRowDxfId="8649"/>
    <tableColumn id="6" name="(F)_x000a_Current Period _x000a_Final _x000a_Audits" totalsRowFunction="sum" dataDxfId="8648" totalsRowDxfId="8647"/>
    <tableColumn id="7" name="(G)_x000a_Current Period _x000a_Other Adjustments" totalsRowFunction="sum" dataDxfId="8646" totalsRowDxfId="8645"/>
    <tableColumn id="8" name="(H)_x000a_Net Program Costs_x000a_Sum (C through G)" totalsRowFunction="sum" dataDxfId="8644" totalsRowDxfId="8643"/>
    <tableColumn id="9" name="(I)_x000a_Payments_x000a_ and Offsets" totalsRowFunction="sum" dataDxfId="8642" totalsRowDxfId="8641"/>
    <tableColumn id="10" name="(J)_x000a_Accounts Payable Balance_x000a_(H + I)" totalsRowFunction="sum" dataDxfId="8640" totalsRowDxfId="8639"/>
    <tableColumn id="11" name="(K)_x000a_Established _x000a_Accounts Receivable" totalsRowFunction="sum" dataDxfId="8638" totalsRowDxfId="8637"/>
    <tableColumn id="12" name="(L)_x000a_Recovered_x000a_ Accounts Receivable" totalsRowFunction="sum" dataDxfId="8636" totalsRowDxfId="8635"/>
    <tableColumn id="13" name="(M)_x000a_Accounts Receivable Balance_x000a_(K + L)" totalsRowFunction="sum" dataDxfId="8634" totalsRowDxfId="8633"/>
    <tableColumn id="14" name="(N)_x000a_Net Balance_x000a_(J minus M)" totalsRowFunction="sum" dataDxfId="8632" totalsRowDxfId="86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5.xml><?xml version="1.0" encoding="utf-8"?>
<table xmlns="http://schemas.openxmlformats.org/spreadsheetml/2006/main" id="45" name="Program205" displayName="Program205" ref="A594:N601" totalsRowCount="1" headerRowDxfId="8630" dataDxfId="8628" totalsRowDxfId="8626" headerRowBorderDxfId="8629" tableBorderDxfId="8627" totalsRowBorderDxfId="8625">
  <autoFilter ref="A594:N600"/>
  <tableColumns count="14">
    <tableColumn id="1" name="(A)_x000a_Program Name" totalsRowLabel="Total Program 205" dataDxfId="8624" totalsRowDxfId="8623"/>
    <tableColumn id="2" name="(B)_x000a_Fiscal _x000a_Year" totalsRowLabel="N/A" dataDxfId="8622" totalsRowDxfId="8621"/>
    <tableColumn id="3" name="(C)_x000a_Program_x000a_Costs" totalsRowFunction="sum" dataDxfId="8620" totalsRowDxfId="8619"/>
    <tableColumn id="4" name="(D)_x000a_Prior Period Adjustments" totalsRowFunction="sum" dataDxfId="8618" totalsRowDxfId="8617"/>
    <tableColumn id="5" name="(E)_x000a_Current Period Desk _x000a_Reviews" totalsRowFunction="sum" dataDxfId="8616" totalsRowDxfId="8615"/>
    <tableColumn id="6" name="(F)_x000a_Current Period _x000a_Final _x000a_Audits" totalsRowFunction="sum" dataDxfId="8614" totalsRowDxfId="8613"/>
    <tableColumn id="7" name="(G)_x000a_Current Period _x000a_Other Adjustments" totalsRowFunction="sum" dataDxfId="8612" totalsRowDxfId="8611"/>
    <tableColumn id="8" name="(H)_x000a_Net Program Costs_x000a_Sum (C through G)" totalsRowFunction="sum" dataDxfId="8610" totalsRowDxfId="8609"/>
    <tableColumn id="9" name="(I)_x000a_Payments_x000a_ and Offsets" totalsRowFunction="sum" dataDxfId="8608" totalsRowDxfId="8607"/>
    <tableColumn id="10" name="(J)_x000a_Accounts Payable Balance_x000a_(H + I)" totalsRowFunction="sum" dataDxfId="8606" totalsRowDxfId="8605"/>
    <tableColumn id="11" name="(K)_x000a_Established _x000a_Accounts Receivable" totalsRowFunction="sum" dataDxfId="8604" totalsRowDxfId="8603"/>
    <tableColumn id="12" name="(L)_x000a_Recovered_x000a_ Accounts Receivable" totalsRowFunction="sum" dataDxfId="8602" totalsRowDxfId="8601"/>
    <tableColumn id="13" name="(M)_x000a_Accounts Receivable Balance_x000a_(K + L)" totalsRowFunction="sum" dataDxfId="8600" totalsRowDxfId="8599"/>
    <tableColumn id="14" name="(N)_x000a_Net Balance_x000a_(J minus M)" totalsRowFunction="sum" dataDxfId="8598" totalsRowDxfId="85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6.xml><?xml version="1.0" encoding="utf-8"?>
<table xmlns="http://schemas.openxmlformats.org/spreadsheetml/2006/main" id="46" name="Program017" displayName="Program017" ref="A603:N606" totalsRowCount="1" headerRowDxfId="8596" dataDxfId="8594" totalsRowDxfId="8592" headerRowBorderDxfId="8595" tableBorderDxfId="8593" totalsRowBorderDxfId="8591">
  <autoFilter ref="A603:N605"/>
  <tableColumns count="14">
    <tableColumn id="1" name="(A)_x000a_Program Name" totalsRowLabel="Total Program 17" dataDxfId="8590" totalsRowDxfId="8589"/>
    <tableColumn id="2" name="(B)_x000a_Fiscal _x000a_Year" totalsRowLabel="N/A" dataDxfId="8588" totalsRowDxfId="8587"/>
    <tableColumn id="3" name="(C)_x000a_Program_x000a_Costs" totalsRowFunction="sum" dataDxfId="8586" totalsRowDxfId="8585"/>
    <tableColumn id="4" name="(D)_x000a_Prior Period Adjustments" totalsRowFunction="sum" dataDxfId="8584" totalsRowDxfId="8583"/>
    <tableColumn id="5" name="(E)_x000a_Current Period Desk _x000a_Reviews" totalsRowFunction="sum" dataDxfId="8582" totalsRowDxfId="8581"/>
    <tableColumn id="6" name="(F)_x000a_Current Period _x000a_Final _x000a_Audits" totalsRowFunction="sum" dataDxfId="8580" totalsRowDxfId="8579"/>
    <tableColumn id="7" name="(G)_x000a_Current Period _x000a_Other Adjustments" totalsRowFunction="sum" dataDxfId="8578" totalsRowDxfId="8577"/>
    <tableColumn id="8" name="(H)_x000a_Net Program Costs_x000a_Sum (C through G)" totalsRowFunction="sum" dataDxfId="8576" totalsRowDxfId="8575"/>
    <tableColumn id="9" name="(I)_x000a_Payments_x000a_ and Offsets" totalsRowFunction="sum" dataDxfId="8574" totalsRowDxfId="8573"/>
    <tableColumn id="10" name="(J)_x000a_Accounts Payable Balance_x000a_(H + I)" totalsRowFunction="sum" dataDxfId="8572" totalsRowDxfId="8571"/>
    <tableColumn id="11" name="(K)_x000a_Established _x000a_Accounts Receivable" totalsRowFunction="sum" dataDxfId="8570" totalsRowDxfId="8569"/>
    <tableColumn id="12" name="(L)_x000a_Recovered_x000a_ Accounts Receivable" totalsRowFunction="sum" dataDxfId="8568" totalsRowDxfId="8567"/>
    <tableColumn id="13" name="(M)_x000a_Accounts Receivable Balance_x000a_(K + L)" totalsRowFunction="sum" dataDxfId="8566" totalsRowDxfId="8565"/>
    <tableColumn id="14" name="(N)_x000a_Net Balance_x000a_(J minus M)" totalsRowFunction="sum" dataDxfId="8564" totalsRowDxfId="85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7.xml><?xml version="1.0" encoding="utf-8"?>
<table xmlns="http://schemas.openxmlformats.org/spreadsheetml/2006/main" id="47" name="Program204" displayName="Program204" ref="A608:N615" totalsRowCount="1" headerRowDxfId="8562" dataDxfId="8560" totalsRowDxfId="8558" headerRowBorderDxfId="8561" tableBorderDxfId="8559" totalsRowBorderDxfId="8557">
  <autoFilter ref="A608:N614"/>
  <tableColumns count="14">
    <tableColumn id="1" name="(A)_x000a_Program Name" totalsRowLabel="Total Program 204" dataDxfId="8556" totalsRowDxfId="8555"/>
    <tableColumn id="2" name="(B)_x000a_Fiscal _x000a_Year" totalsRowLabel="N/A" dataDxfId="8554" totalsRowDxfId="8553"/>
    <tableColumn id="3" name="(C)_x000a_Program_x000a_Costs" totalsRowFunction="sum" dataDxfId="8552" totalsRowDxfId="8551"/>
    <tableColumn id="4" name="(D)_x000a_Prior Period Adjustments" totalsRowFunction="sum" dataDxfId="8550" totalsRowDxfId="8549"/>
    <tableColumn id="5" name="(E)_x000a_Current Period Desk _x000a_Reviews" totalsRowFunction="sum" dataDxfId="8548" totalsRowDxfId="8547"/>
    <tableColumn id="6" name="(F)_x000a_Current Period _x000a_Final _x000a_Audits" totalsRowFunction="sum" dataDxfId="8546" totalsRowDxfId="8545"/>
    <tableColumn id="7" name="(G)_x000a_Current Period _x000a_Other Adjustments" totalsRowFunction="sum" dataDxfId="8544" totalsRowDxfId="8543"/>
    <tableColumn id="8" name="(H)_x000a_Net Program Costs_x000a_Sum (C through G)" totalsRowFunction="sum" dataDxfId="8542" totalsRowDxfId="8541"/>
    <tableColumn id="9" name="(I)_x000a_Payments_x000a_ and Offsets" totalsRowFunction="sum" dataDxfId="8540" totalsRowDxfId="8539"/>
    <tableColumn id="10" name="(J)_x000a_Accounts Payable Balance_x000a_(H + I)" totalsRowFunction="sum" dataDxfId="8538" totalsRowDxfId="8537"/>
    <tableColumn id="11" name="(K)_x000a_Established _x000a_Accounts Receivable" totalsRowFunction="sum" dataDxfId="8536" totalsRowDxfId="8535"/>
    <tableColumn id="12" name="(L)_x000a_Recovered_x000a_ Accounts Receivable" totalsRowFunction="sum" dataDxfId="8534" totalsRowDxfId="8533"/>
    <tableColumn id="13" name="(M)_x000a_Accounts Receivable Balance_x000a_(K + L)" totalsRowFunction="sum" dataDxfId="8532" totalsRowDxfId="8531"/>
    <tableColumn id="14" name="(N)_x000a_Net Balance_x000a_(J minus M)" totalsRowFunction="sum" dataDxfId="8530" totalsRowDxfId="85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8.xml><?xml version="1.0" encoding="utf-8"?>
<table xmlns="http://schemas.openxmlformats.org/spreadsheetml/2006/main" id="48" name="Program257" displayName="Program257" ref="A617:N628" totalsRowCount="1" headerRowDxfId="8528" dataDxfId="8526" totalsRowDxfId="8524" headerRowBorderDxfId="8527" tableBorderDxfId="8525" totalsRowBorderDxfId="8523">
  <autoFilter ref="A617:N627"/>
  <tableColumns count="14">
    <tableColumn id="1" name="(A)_x000a_Program Name" totalsRowLabel="Total Program 257" dataDxfId="8522" totalsRowDxfId="8521"/>
    <tableColumn id="2" name="(B)_x000a_Fiscal _x000a_Year" totalsRowLabel="N/A" dataDxfId="8520" totalsRowDxfId="8519"/>
    <tableColumn id="3" name="(C)_x000a_Program_x000a_Costs" totalsRowFunction="sum" dataDxfId="8518" totalsRowDxfId="8517"/>
    <tableColumn id="4" name="(D)_x000a_Prior Period Adjustments" totalsRowFunction="sum" dataDxfId="8516" totalsRowDxfId="8515"/>
    <tableColumn id="5" name="(E)_x000a_Current Period Desk _x000a_Reviews" totalsRowFunction="sum" dataDxfId="8514" totalsRowDxfId="8513"/>
    <tableColumn id="6" name="(F)_x000a_Current Period _x000a_Final _x000a_Audits" totalsRowFunction="sum" dataDxfId="8512" totalsRowDxfId="8511"/>
    <tableColumn id="7" name="(G)_x000a_Current Period _x000a_Other Adjustments" totalsRowFunction="sum" dataDxfId="8510" totalsRowDxfId="8509"/>
    <tableColumn id="8" name="(H)_x000a_Net Program Costs_x000a_Sum (C through G)" totalsRowFunction="sum" dataDxfId="8508" totalsRowDxfId="8507"/>
    <tableColumn id="9" name="(I)_x000a_Payments_x000a_ and Offsets" totalsRowFunction="sum" dataDxfId="8506" totalsRowDxfId="8505"/>
    <tableColumn id="10" name="(J)_x000a_Accounts Payable Balance_x000a_(H + I)" totalsRowFunction="sum" dataDxfId="8504" totalsRowDxfId="8503"/>
    <tableColumn id="11" name="(K)_x000a_Established _x000a_Accounts Receivable" totalsRowFunction="sum" dataDxfId="8502" totalsRowDxfId="8501"/>
    <tableColumn id="12" name="(L)_x000a_Recovered_x000a_ Accounts Receivable" totalsRowFunction="sum" dataDxfId="8500" totalsRowDxfId="8499"/>
    <tableColumn id="13" name="(M)_x000a_Accounts Receivable Balance_x000a_(K + L)" totalsRowFunction="sum" dataDxfId="8498" totalsRowDxfId="8497"/>
    <tableColumn id="14" name="(N)_x000a_Net Balance_x000a_(J minus M)" totalsRowFunction="sum" dataDxfId="8496" totalsRowDxfId="84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49.xml><?xml version="1.0" encoding="utf-8"?>
<table xmlns="http://schemas.openxmlformats.org/spreadsheetml/2006/main" id="49" name="Program290" displayName="Program290" ref="A630:N632" totalsRowCount="1" headerRowDxfId="8494" dataDxfId="8492" totalsRowDxfId="8490" headerRowBorderDxfId="8493" tableBorderDxfId="8491" totalsRowBorderDxfId="8489">
  <autoFilter ref="A630:N631"/>
  <tableColumns count="14">
    <tableColumn id="1" name="(A)_x000a_Program Name" totalsRowLabel="Total Program 290" dataDxfId="8488" totalsRowDxfId="8487"/>
    <tableColumn id="2" name="(B)_x000a_Fiscal _x000a_Year" totalsRowLabel="N/A" dataDxfId="8486" totalsRowDxfId="8485"/>
    <tableColumn id="3" name="(C)_x000a_Program_x000a_Costs" totalsRowFunction="sum" dataDxfId="8484" totalsRowDxfId="8483"/>
    <tableColumn id="4" name="(D)_x000a_Prior Period Adjustments" totalsRowFunction="sum" dataDxfId="8482" totalsRowDxfId="8481"/>
    <tableColumn id="5" name="(E)_x000a_Current Period Desk _x000a_Reviews" totalsRowFunction="sum" dataDxfId="8480" totalsRowDxfId="8479"/>
    <tableColumn id="6" name="(F)_x000a_Current Period _x000a_Final _x000a_Audits" totalsRowFunction="sum" dataDxfId="8478" totalsRowDxfId="8477"/>
    <tableColumn id="7" name="(G)_x000a_Current Period _x000a_Other Adjustments" totalsRowFunction="sum" dataDxfId="8476" totalsRowDxfId="8475"/>
    <tableColumn id="8" name="(H)_x000a_Net Program Costs_x000a_Sum (C through G)" totalsRowFunction="sum" dataDxfId="8474" totalsRowDxfId="8473"/>
    <tableColumn id="9" name="(I)_x000a_Payments_x000a_ and Offsets" totalsRowFunction="sum" dataDxfId="8472" totalsRowDxfId="8471"/>
    <tableColumn id="10" name="(J)_x000a_Accounts Payable Balance_x000a_(H + I)" totalsRowFunction="sum" dataDxfId="8470" totalsRowDxfId="8469"/>
    <tableColumn id="11" name="(K)_x000a_Established _x000a_Accounts Receivable" totalsRowFunction="sum" dataDxfId="8468" totalsRowDxfId="8467"/>
    <tableColumn id="12" name="(L)_x000a_Recovered_x000a_ Accounts Receivable" totalsRowFunction="sum" dataDxfId="8466" totalsRowDxfId="8465"/>
    <tableColumn id="13" name="(M)_x000a_Accounts Receivable Balance_x000a_(K + L)" totalsRowFunction="sum" dataDxfId="8464" totalsRowDxfId="8463"/>
    <tableColumn id="14" name="(N)_x000a_Net Balance_x000a_(J minus M)" totalsRowFunction="sum" dataDxfId="8462" totalsRowDxfId="84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.xml><?xml version="1.0" encoding="utf-8"?>
<table xmlns="http://schemas.openxmlformats.org/spreadsheetml/2006/main" id="5" name="AccountsReceivable" displayName="AccountsReceivable" ref="A23:F26" totalsRowCount="1" headerRowDxfId="9936" dataDxfId="9934" totalsRowDxfId="9932" headerRowBorderDxfId="9935" tableBorderDxfId="9933" totalsRowBorderDxfId="9931">
  <autoFilter ref="A23:F25"/>
  <tableColumns count="6">
    <tableColumn id="1" name="Program Costs, Audit Adjustments and Balances" totalsRowLabel="Total Accounts Receivable Balance" totalsRowDxfId="9930"/>
    <tableColumn id="2" name="Comments" totalsRowLabel="N/A" dataDxfId="9929" totalsRowDxfId="9928"/>
    <tableColumn id="3" name="Local Agencies" totalsRowFunction="sum" dataDxfId="9927" totalsRowDxfId="9926"/>
    <tableColumn id="4" name="School Districts" totalsRowFunction="sum" dataDxfId="9925" totalsRowDxfId="9924"/>
    <tableColumn id="5" name="Community College Districts" totalsRowFunction="sum" dataDxfId="9923" totalsRowDxfId="9922"/>
    <tableColumn id="6" name="Grand Total" totalsRowFunction="sum" dataDxfId="9921" totalsRowDxfId="99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Summary of State-Mandated Program Cost Report of Audit Findings. For the Period of April 1, 2020, through March 31, 2021."/>
    </ext>
  </extLst>
</table>
</file>

<file path=xl/tables/table50.xml><?xml version="1.0" encoding="utf-8"?>
<table xmlns="http://schemas.openxmlformats.org/spreadsheetml/2006/main" id="50" name="Program021" displayName="Program021" ref="A634:N637" totalsRowCount="1" headerRowDxfId="8460" dataDxfId="8458" totalsRowDxfId="8456" headerRowBorderDxfId="8459" tableBorderDxfId="8457" totalsRowBorderDxfId="8455">
  <autoFilter ref="A634:N636"/>
  <tableColumns count="14">
    <tableColumn id="1" name="(A)_x000a_Program Name" totalsRowLabel="Total Program 21" dataDxfId="8454" totalsRowDxfId="8453"/>
    <tableColumn id="2" name="(B)_x000a_Fiscal _x000a_Year" totalsRowLabel="N/A" dataDxfId="8452" totalsRowDxfId="8451"/>
    <tableColumn id="3" name="(C)_x000a_Program_x000a_Costs" totalsRowFunction="sum" dataDxfId="8450" totalsRowDxfId="8449"/>
    <tableColumn id="4" name="(D)_x000a_Prior Period Adjustments" totalsRowFunction="sum" dataDxfId="8448" totalsRowDxfId="8447"/>
    <tableColumn id="5" name="(E)_x000a_Current Period Desk _x000a_Reviews" totalsRowFunction="sum" dataDxfId="8446" totalsRowDxfId="8445"/>
    <tableColumn id="6" name="(F)_x000a_Current Period _x000a_Final _x000a_Audits" totalsRowFunction="sum" dataDxfId="8444" totalsRowDxfId="8443"/>
    <tableColumn id="7" name="(G)_x000a_Current Period _x000a_Other Adjustments" totalsRowFunction="sum" dataDxfId="8442" totalsRowDxfId="8441"/>
    <tableColumn id="8" name="(H)_x000a_Net Program Costs_x000a_Sum (C through G)" totalsRowFunction="sum" dataDxfId="8440" totalsRowDxfId="8439"/>
    <tableColumn id="9" name="(I)_x000a_Payments_x000a_ and Offsets" totalsRowFunction="sum" dataDxfId="8438" totalsRowDxfId="8437"/>
    <tableColumn id="10" name="(J)_x000a_Accounts Payable Balance_x000a_(H + I)" totalsRowFunction="sum" dataDxfId="8436" totalsRowDxfId="8435"/>
    <tableColumn id="11" name="(K)_x000a_Established _x000a_Accounts Receivable" totalsRowFunction="sum" dataDxfId="8434" totalsRowDxfId="8433"/>
    <tableColumn id="12" name="(L)_x000a_Recovered_x000a_ Accounts Receivable" totalsRowFunction="sum" dataDxfId="8432" totalsRowDxfId="8431"/>
    <tableColumn id="13" name="(M)_x000a_Accounts Receivable Balance_x000a_(K + L)" totalsRowFunction="sum" dataDxfId="8430" totalsRowDxfId="8429"/>
    <tableColumn id="14" name="(N)_x000a_Net Balance_x000a_(J minus M)" totalsRowFunction="sum" dataDxfId="8428" totalsRowDxfId="84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1.xml><?xml version="1.0" encoding="utf-8"?>
<table xmlns="http://schemas.openxmlformats.org/spreadsheetml/2006/main" id="51" name="Program283" displayName="Program283" ref="A639:N649" totalsRowCount="1" headerRowDxfId="8426" dataDxfId="8424" totalsRowDxfId="8422" headerRowBorderDxfId="8425" tableBorderDxfId="8423" totalsRowBorderDxfId="8421">
  <autoFilter ref="A639:N648"/>
  <tableColumns count="14">
    <tableColumn id="1" name="(A)_x000a_Program Name" totalsRowLabel="Total Program 283" dataDxfId="8420" totalsRowDxfId="8419"/>
    <tableColumn id="2" name="(B)_x000a_Fiscal _x000a_Year" totalsRowLabel="N/A" dataDxfId="8418" totalsRowDxfId="8417"/>
    <tableColumn id="3" name="(C)_x000a_Program_x000a_Costs" totalsRowFunction="sum" dataDxfId="8416" totalsRowDxfId="8415"/>
    <tableColumn id="4" name="(D)_x000a_Prior Period Adjustments" totalsRowFunction="sum" dataDxfId="8414" totalsRowDxfId="8413"/>
    <tableColumn id="5" name="(E)_x000a_Current Period Desk _x000a_Reviews" totalsRowFunction="sum" dataDxfId="8412" totalsRowDxfId="8411"/>
    <tableColumn id="6" name="(F)_x000a_Current Period _x000a_Final _x000a_Audits" totalsRowFunction="sum" dataDxfId="8410" totalsRowDxfId="8409"/>
    <tableColumn id="7" name="(G)_x000a_Current Period _x000a_Other Adjustments" totalsRowFunction="sum" dataDxfId="8408" totalsRowDxfId="8407"/>
    <tableColumn id="8" name="(H)_x000a_Net Program Costs_x000a_Sum (C through G)" totalsRowFunction="sum" dataDxfId="8406" totalsRowDxfId="8405"/>
    <tableColumn id="9" name="(I)_x000a_Payments_x000a_ and Offsets" totalsRowFunction="sum" dataDxfId="8404" totalsRowDxfId="8403"/>
    <tableColumn id="10" name="(J)_x000a_Accounts Payable Balance_x000a_(H + I)" totalsRowFunction="sum" dataDxfId="8402" totalsRowDxfId="8401"/>
    <tableColumn id="11" name="(K)_x000a_Established _x000a_Accounts Receivable" totalsRowFunction="sum" dataDxfId="8400" totalsRowDxfId="8399"/>
    <tableColumn id="12" name="(L)_x000a_Recovered_x000a_ Accounts Receivable" totalsRowFunction="sum" dataDxfId="8398" totalsRowDxfId="8397"/>
    <tableColumn id="13" name="(M)_x000a_Accounts Receivable Balance_x000a_(K + L)" totalsRowFunction="sum" dataDxfId="8396" totalsRowDxfId="8395"/>
    <tableColumn id="14" name="(N)_x000a_Net Balance_x000a_(J minus M)" totalsRowFunction="sum" dataDxfId="8394" totalsRowDxfId="83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2.xml><?xml version="1.0" encoding="utf-8"?>
<table xmlns="http://schemas.openxmlformats.org/spreadsheetml/2006/main" id="52" name="Program293" displayName="Program293" ref="A651:N662" totalsRowCount="1" headerRowDxfId="8392" dataDxfId="8390" totalsRowDxfId="8388" headerRowBorderDxfId="8391" tableBorderDxfId="8389" totalsRowBorderDxfId="8387">
  <autoFilter ref="A651:N661"/>
  <tableColumns count="14">
    <tableColumn id="1" name="(A)_x000a_Program Name" totalsRowLabel="Total Program 293" dataDxfId="8386" totalsRowDxfId="8385"/>
    <tableColumn id="2" name="(B)_x000a_Fiscal _x000a_Year" totalsRowLabel="N/A" dataDxfId="8384" totalsRowDxfId="8383"/>
    <tableColumn id="3" name="(C)_x000a_Program_x000a_Costs" totalsRowFunction="sum" dataDxfId="8382" totalsRowDxfId="8381"/>
    <tableColumn id="4" name="(D)_x000a_Prior Period Adjustments" totalsRowFunction="sum" dataDxfId="8380" totalsRowDxfId="8379"/>
    <tableColumn id="5" name="(E)_x000a_Current Period Desk _x000a_Reviews" totalsRowFunction="sum" dataDxfId="8378" totalsRowDxfId="8377"/>
    <tableColumn id="6" name="(F)_x000a_Current Period _x000a_Final _x000a_Audits" totalsRowFunction="sum" dataDxfId="8376" totalsRowDxfId="8375"/>
    <tableColumn id="7" name="(G)_x000a_Current Period _x000a_Other Adjustments" totalsRowFunction="sum" dataDxfId="8374" totalsRowDxfId="8373"/>
    <tableColumn id="8" name="(H)_x000a_Net Program Costs_x000a_Sum (C through G)" totalsRowFunction="sum" dataDxfId="8372" totalsRowDxfId="8371"/>
    <tableColumn id="9" name="(I)_x000a_Payments_x000a_ and Offsets" totalsRowFunction="sum" dataDxfId="8370" totalsRowDxfId="8369"/>
    <tableColumn id="10" name="(J)_x000a_Accounts Payable Balance_x000a_(H + I)" totalsRowFunction="sum" dataDxfId="8368" totalsRowDxfId="8367"/>
    <tableColumn id="11" name="(K)_x000a_Established _x000a_Accounts Receivable" totalsRowFunction="sum" dataDxfId="8366" totalsRowDxfId="8365"/>
    <tableColumn id="12" name="(L)_x000a_Recovered_x000a_ Accounts Receivable" totalsRowFunction="sum" dataDxfId="8364" totalsRowDxfId="8363"/>
    <tableColumn id="13" name="(M)_x000a_Accounts Receivable Balance_x000a_(K + L)" totalsRowFunction="sum" dataDxfId="8362" totalsRowDxfId="8361"/>
    <tableColumn id="14" name="(N)_x000a_Net Balance_x000a_(J minus M)" totalsRowFunction="sum" dataDxfId="8360" totalsRowDxfId="83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3.xml><?xml version="1.0" encoding="utf-8"?>
<table xmlns="http://schemas.openxmlformats.org/spreadsheetml/2006/main" id="53" name="Program023" displayName="Program023" ref="A664:N684" totalsRowCount="1" headerRowDxfId="8358" dataDxfId="8356" totalsRowDxfId="8354" headerRowBorderDxfId="8357" tableBorderDxfId="8355" totalsRowBorderDxfId="8353">
  <autoFilter ref="A664:N683"/>
  <tableColumns count="14">
    <tableColumn id="1" name="(A)_x000a_Program Name" totalsRowLabel="Total Program 23" dataDxfId="8352" totalsRowDxfId="8351"/>
    <tableColumn id="2" name="(B)_x000a_Fiscal _x000a_Year" totalsRowLabel="N/A" dataDxfId="8350" totalsRowDxfId="8349"/>
    <tableColumn id="3" name="(C)_x000a_Program_x000a_Costs" totalsRowFunction="sum" dataDxfId="8348" totalsRowDxfId="8347"/>
    <tableColumn id="4" name="(D)_x000a_Prior Period Adjustments" totalsRowFunction="sum" dataDxfId="8346" totalsRowDxfId="8345"/>
    <tableColumn id="5" name="(E)_x000a_Current Period Desk _x000a_Reviews" totalsRowFunction="sum" dataDxfId="8344" totalsRowDxfId="8343"/>
    <tableColumn id="6" name="(F)_x000a_Current Period _x000a_Final _x000a_Audits" totalsRowFunction="sum" dataDxfId="8342" totalsRowDxfId="8341"/>
    <tableColumn id="7" name="(G)_x000a_Current Period _x000a_Other Adjustments" totalsRowFunction="sum" dataDxfId="8340" totalsRowDxfId="8339"/>
    <tableColumn id="8" name="(H)_x000a_Net Program Costs_x000a_Sum (C through G)" totalsRowFunction="sum" dataDxfId="8338" totalsRowDxfId="8337"/>
    <tableColumn id="9" name="(I)_x000a_Payments_x000a_ and Offsets" totalsRowFunction="sum" dataDxfId="8336" totalsRowDxfId="8335"/>
    <tableColumn id="10" name="(J)_x000a_Accounts Payable Balance_x000a_(H + I)" totalsRowFunction="sum" dataDxfId="8334" totalsRowDxfId="8333"/>
    <tableColumn id="11" name="(K)_x000a_Established _x000a_Accounts Receivable" totalsRowFunction="sum" dataDxfId="8332" totalsRowDxfId="8331"/>
    <tableColumn id="12" name="(L)_x000a_Recovered_x000a_ Accounts Receivable" totalsRowFunction="sum" dataDxfId="8330" totalsRowDxfId="8329"/>
    <tableColumn id="13" name="(M)_x000a_Accounts Receivable Balance_x000a_(K + L)" totalsRowFunction="sum" dataDxfId="8328" totalsRowDxfId="8327"/>
    <tableColumn id="14" name="(N)_x000a_Net Balance_x000a_(J minus M)" totalsRowFunction="sum" dataDxfId="8326" totalsRowDxfId="83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4.xml><?xml version="1.0" encoding="utf-8"?>
<table xmlns="http://schemas.openxmlformats.org/spreadsheetml/2006/main" id="54" name="Program227" displayName="Program227" ref="A686:N695" totalsRowCount="1" headerRowDxfId="8324" dataDxfId="8322" totalsRowDxfId="8320" headerRowBorderDxfId="8323" tableBorderDxfId="8321" totalsRowBorderDxfId="8319">
  <autoFilter ref="A686:N694"/>
  <tableColumns count="14">
    <tableColumn id="1" name="(A)_x000a_Program Name" totalsRowLabel="Total Program 227" dataDxfId="8318" totalsRowDxfId="8317"/>
    <tableColumn id="2" name="(B)_x000a_Fiscal _x000a_Year" totalsRowLabel="N/A" dataDxfId="8316" totalsRowDxfId="8315"/>
    <tableColumn id="3" name="(C)_x000a_Program_x000a_Costs" totalsRowFunction="sum" dataDxfId="8314" totalsRowDxfId="8313"/>
    <tableColumn id="4" name="(D)_x000a_Prior Period Adjustments" totalsRowFunction="sum" dataDxfId="8312" totalsRowDxfId="8311"/>
    <tableColumn id="5" name="(E)_x000a_Current Period Desk _x000a_Reviews" totalsRowFunction="sum" dataDxfId="8310" totalsRowDxfId="8309"/>
    <tableColumn id="6" name="(F)_x000a_Current Period _x000a_Final _x000a_Audits" totalsRowFunction="sum" dataDxfId="8308" totalsRowDxfId="8307"/>
    <tableColumn id="7" name="(G)_x000a_Current Period _x000a_Other Adjustments" totalsRowFunction="sum" dataDxfId="8306" totalsRowDxfId="8305"/>
    <tableColumn id="8" name="(H)_x000a_Net Program Costs_x000a_Sum (C through G)" totalsRowFunction="sum" dataDxfId="8304" totalsRowDxfId="8303"/>
    <tableColumn id="9" name="(I)_x000a_Payments_x000a_ and Offsets" totalsRowFunction="sum" dataDxfId="8302" totalsRowDxfId="8301"/>
    <tableColumn id="10" name="(J)_x000a_Accounts Payable Balance_x000a_(H + I)" totalsRowFunction="sum" dataDxfId="8300" totalsRowDxfId="8299"/>
    <tableColumn id="11" name="(K)_x000a_Established _x000a_Accounts Receivable" totalsRowFunction="sum" dataDxfId="8298" totalsRowDxfId="8297"/>
    <tableColumn id="12" name="(L)_x000a_Recovered_x000a_ Accounts Receivable" totalsRowFunction="sum" dataDxfId="8296" totalsRowDxfId="8295"/>
    <tableColumn id="13" name="(M)_x000a_Accounts Receivable Balance_x000a_(K + L)" totalsRowFunction="sum" dataDxfId="8294" totalsRowDxfId="8293"/>
    <tableColumn id="14" name="(N)_x000a_Net Balance_x000a_(J minus M)" totalsRowFunction="sum" dataDxfId="8292" totalsRowDxfId="82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5.xml><?xml version="1.0" encoding="utf-8"?>
<table xmlns="http://schemas.openxmlformats.org/spreadsheetml/2006/main" id="55" name="Program027" displayName="Program027" ref="A697:N705" totalsRowCount="1" headerRowDxfId="8290" dataDxfId="8288" totalsRowDxfId="8286" headerRowBorderDxfId="8289" tableBorderDxfId="8287" totalsRowBorderDxfId="8285">
  <autoFilter ref="A697:N704"/>
  <tableColumns count="14">
    <tableColumn id="1" name="(A)_x000a_Program Name" totalsRowLabel="Total Program 27" dataDxfId="8284" totalsRowDxfId="8283"/>
    <tableColumn id="2" name="(B)_x000a_Fiscal _x000a_Year" totalsRowLabel="N/A" dataDxfId="8282" totalsRowDxfId="8281"/>
    <tableColumn id="3" name="(C)_x000a_Program_x000a_Costs" totalsRowFunction="sum" dataDxfId="8280" totalsRowDxfId="8279"/>
    <tableColumn id="4" name="(D)_x000a_Prior Period Adjustments" totalsRowFunction="sum" dataDxfId="8278" totalsRowDxfId="8277"/>
    <tableColumn id="5" name="(E)_x000a_Current Period Desk _x000a_Reviews" totalsRowFunction="sum" dataDxfId="8276" totalsRowDxfId="8275"/>
    <tableColumn id="6" name="(F)_x000a_Current Period _x000a_Final _x000a_Audits" totalsRowFunction="sum" dataDxfId="8274" totalsRowDxfId="8273"/>
    <tableColumn id="7" name="(G)_x000a_Current Period _x000a_Other Adjustments" totalsRowFunction="sum" dataDxfId="8272" totalsRowDxfId="8271"/>
    <tableColumn id="8" name="(H)_x000a_Net Program Costs_x000a_Sum (C through G)" totalsRowFunction="sum" dataDxfId="8270" totalsRowDxfId="8269"/>
    <tableColumn id="9" name="(I)_x000a_Payments_x000a_ and Offsets" totalsRowFunction="sum" dataDxfId="8268" totalsRowDxfId="8267"/>
    <tableColumn id="10" name="(J)_x000a_Accounts Payable Balance_x000a_(H + I)" totalsRowFunction="sum" dataDxfId="8266" totalsRowDxfId="8265"/>
    <tableColumn id="11" name="(K)_x000a_Established _x000a_Accounts Receivable" totalsRowFunction="sum" dataDxfId="8264" totalsRowDxfId="8263"/>
    <tableColumn id="12" name="(L)_x000a_Recovered_x000a_ Accounts Receivable" totalsRowFunction="sum" dataDxfId="8262" totalsRowDxfId="8261"/>
    <tableColumn id="13" name="(M)_x000a_Accounts Receivable Balance_x000a_(K + L)" totalsRowFunction="sum" dataDxfId="8260" totalsRowDxfId="8259"/>
    <tableColumn id="14" name="(N)_x000a_Net Balance_x000a_(J minus M)" totalsRowFunction="sum" dataDxfId="8258" totalsRowDxfId="82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6.xml><?xml version="1.0" encoding="utf-8"?>
<table xmlns="http://schemas.openxmlformats.org/spreadsheetml/2006/main" id="56" name="Program111" displayName="Program111" ref="A707:N728" totalsRowCount="1" headerRowDxfId="8256" dataDxfId="8254" totalsRowDxfId="8252" headerRowBorderDxfId="8255" tableBorderDxfId="8253" totalsRowBorderDxfId="8251">
  <autoFilter ref="A707:N727"/>
  <tableColumns count="14">
    <tableColumn id="1" name="(A)_x000a_Program Name" totalsRowLabel="Total Program 111" dataDxfId="8250" totalsRowDxfId="8249"/>
    <tableColumn id="2" name="(B)_x000a_Fiscal _x000a_Year" totalsRowLabel="N/A" dataDxfId="8248" totalsRowDxfId="8247"/>
    <tableColumn id="3" name="(C)_x000a_Program_x000a_Costs" totalsRowFunction="sum" dataDxfId="8246" totalsRowDxfId="8245"/>
    <tableColumn id="4" name="(D)_x000a_Prior Period Adjustments" totalsRowFunction="sum" dataDxfId="8244" totalsRowDxfId="8243"/>
    <tableColumn id="5" name="(E)_x000a_Current Period Desk _x000a_Reviews" totalsRowFunction="sum" dataDxfId="8242" totalsRowDxfId="8241"/>
    <tableColumn id="6" name="(F)_x000a_Current Period _x000a_Final _x000a_Audits" totalsRowFunction="sum" dataDxfId="8240" totalsRowDxfId="8239"/>
    <tableColumn id="7" name="(G)_x000a_Current Period _x000a_Other Adjustments" totalsRowFunction="sum" dataDxfId="8238" totalsRowDxfId="8237"/>
    <tableColumn id="8" name="(H)_x000a_Net Program Costs_x000a_Sum (C through G)" totalsRowFunction="sum" dataDxfId="8236" totalsRowDxfId="8235"/>
    <tableColumn id="9" name="(I)_x000a_Payments_x000a_ and Offsets" totalsRowFunction="sum" dataDxfId="8234" totalsRowDxfId="8233"/>
    <tableColumn id="10" name="(J)_x000a_Accounts Payable Balance_x000a_(H + I)" totalsRowFunction="sum" dataDxfId="8232" totalsRowDxfId="8231"/>
    <tableColumn id="11" name="(K)_x000a_Established _x000a_Accounts Receivable" totalsRowFunction="sum" dataDxfId="8230" totalsRowDxfId="8229"/>
    <tableColumn id="12" name="(L)_x000a_Recovered_x000a_ Accounts Receivable" totalsRowFunction="sum" dataDxfId="8228" totalsRowDxfId="8227"/>
    <tableColumn id="13" name="(M)_x000a_Accounts Receivable Balance_x000a_(K + L)" totalsRowFunction="sum" dataDxfId="8226" totalsRowDxfId="8225"/>
    <tableColumn id="14" name="(N)_x000a_Net Balance_x000a_(J minus M)" totalsRowFunction="sum" dataDxfId="8224" totalsRowDxfId="82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7.xml><?xml version="1.0" encoding="utf-8"?>
<table xmlns="http://schemas.openxmlformats.org/spreadsheetml/2006/main" id="57" name="Program263" displayName="Program263" ref="A730:N736" totalsRowCount="1" headerRowDxfId="8222" dataDxfId="8220" totalsRowDxfId="8218" headerRowBorderDxfId="8221" tableBorderDxfId="8219" totalsRowBorderDxfId="8217">
  <autoFilter ref="A730:N735"/>
  <tableColumns count="14">
    <tableColumn id="1" name="(A)_x000a_Program Name" totalsRowLabel="Total Program 263" dataDxfId="8216" totalsRowDxfId="8215"/>
    <tableColumn id="2" name="(B)_x000a_Fiscal _x000a_Year" totalsRowLabel="N/A" dataDxfId="8214" totalsRowDxfId="8213"/>
    <tableColumn id="3" name="(C)_x000a_Program_x000a_Costs" totalsRowFunction="sum" dataDxfId="8212" totalsRowDxfId="8211"/>
    <tableColumn id="4" name="(D)_x000a_Prior Period Adjustments" totalsRowFunction="sum" dataDxfId="8210" totalsRowDxfId="8209"/>
    <tableColumn id="5" name="(E)_x000a_Current Period Desk _x000a_Reviews" totalsRowFunction="sum" dataDxfId="8208" totalsRowDxfId="8207"/>
    <tableColumn id="6" name="(F)_x000a_Current Period _x000a_Final _x000a_Audits" totalsRowFunction="sum" dataDxfId="8206" totalsRowDxfId="8205"/>
    <tableColumn id="7" name="(G)_x000a_Current Period _x000a_Other Adjustments" totalsRowFunction="sum" dataDxfId="8204" totalsRowDxfId="8203"/>
    <tableColumn id="8" name="(H)_x000a_Net Program Costs_x000a_Sum (C through G)" totalsRowFunction="sum" dataDxfId="8202" totalsRowDxfId="8201"/>
    <tableColumn id="9" name="(I)_x000a_Payments_x000a_ and Offsets" totalsRowFunction="sum" dataDxfId="8200" totalsRowDxfId="8199"/>
    <tableColumn id="10" name="(J)_x000a_Accounts Payable Balance_x000a_(H + I)" totalsRowFunction="sum" dataDxfId="8198" totalsRowDxfId="8197"/>
    <tableColumn id="11" name="(K)_x000a_Established _x000a_Accounts Receivable" totalsRowFunction="sum" dataDxfId="8196" totalsRowDxfId="8195"/>
    <tableColumn id="12" name="(L)_x000a_Recovered_x000a_ Accounts Receivable" totalsRowFunction="sum" dataDxfId="8194" totalsRowDxfId="8193"/>
    <tableColumn id="13" name="(M)_x000a_Accounts Receivable Balance_x000a_(K + L)" totalsRowFunction="sum" dataDxfId="8192" totalsRowDxfId="8191"/>
    <tableColumn id="14" name="(N)_x000a_Net Balance_x000a_(J minus M)" totalsRowFunction="sum" dataDxfId="8190" totalsRowDxfId="81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8.xml><?xml version="1.0" encoding="utf-8"?>
<table xmlns="http://schemas.openxmlformats.org/spreadsheetml/2006/main" id="58" name="Program273" displayName="Program273" ref="A738:N744" totalsRowCount="1" headerRowDxfId="8188" dataDxfId="8186" totalsRowDxfId="8184" headerRowBorderDxfId="8187" tableBorderDxfId="8185" totalsRowBorderDxfId="8183">
  <autoFilter ref="A738:N743"/>
  <tableColumns count="14">
    <tableColumn id="1" name="(A)_x000a_Program Name" totalsRowLabel="Total Program 273" dataDxfId="8182" totalsRowDxfId="8181"/>
    <tableColumn id="2" name="(B)_x000a_Fiscal _x000a_Year" totalsRowLabel="N/A" dataDxfId="8180" totalsRowDxfId="8179"/>
    <tableColumn id="3" name="(C)_x000a_Program_x000a_Costs" totalsRowFunction="sum" dataDxfId="8178" totalsRowDxfId="8177"/>
    <tableColumn id="4" name="(D)_x000a_Prior Period Adjustments" totalsRowFunction="sum" dataDxfId="8176" totalsRowDxfId="8175"/>
    <tableColumn id="5" name="(E)_x000a_Current Period Desk _x000a_Reviews" totalsRowFunction="sum" dataDxfId="8174" totalsRowDxfId="8173"/>
    <tableColumn id="6" name="(F)_x000a_Current Period _x000a_Final _x000a_Audits" totalsRowFunction="sum" dataDxfId="8172" totalsRowDxfId="8171"/>
    <tableColumn id="7" name="(G)_x000a_Current Period _x000a_Other Adjustments" totalsRowFunction="sum" dataDxfId="8170" totalsRowDxfId="8169"/>
    <tableColumn id="8" name="(H)_x000a_Net Program Costs_x000a_Sum (C through G)" totalsRowFunction="sum" dataDxfId="8168" totalsRowDxfId="8167"/>
    <tableColumn id="9" name="(I)_x000a_Payments_x000a_ and Offsets" totalsRowFunction="sum" dataDxfId="8166" totalsRowDxfId="8165"/>
    <tableColumn id="10" name="(J)_x000a_Accounts Payable Balance_x000a_(H + I)" totalsRowFunction="sum" dataDxfId="8164" totalsRowDxfId="8163"/>
    <tableColumn id="11" name="(K)_x000a_Established _x000a_Accounts Receivable" totalsRowFunction="sum" dataDxfId="8162" totalsRowDxfId="8161"/>
    <tableColumn id="12" name="(L)_x000a_Recovered_x000a_ Accounts Receivable" totalsRowFunction="sum" dataDxfId="8160" totalsRowDxfId="8159"/>
    <tableColumn id="13" name="(M)_x000a_Accounts Receivable Balance_x000a_(K + L)" totalsRowFunction="sum" dataDxfId="8158" totalsRowDxfId="8157"/>
    <tableColumn id="14" name="(N)_x000a_Net Balance_x000a_(J minus M)" totalsRowFunction="sum" dataDxfId="8156" totalsRowDxfId="81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59.xml><?xml version="1.0" encoding="utf-8"?>
<table xmlns="http://schemas.openxmlformats.org/spreadsheetml/2006/main" id="59" name="Program197" displayName="Program197" ref="A746:N770" totalsRowCount="1" headerRowDxfId="8154" dataDxfId="8152" totalsRowDxfId="8150" headerRowBorderDxfId="8153" tableBorderDxfId="8151" totalsRowBorderDxfId="8149">
  <autoFilter ref="A746:N769"/>
  <tableColumns count="14">
    <tableColumn id="1" name="(A)_x000a_Program Name" totalsRowLabel="Total Program 197" dataDxfId="8148" totalsRowDxfId="8147"/>
    <tableColumn id="2" name="(B)_x000a_Fiscal _x000a_Year" totalsRowLabel="N/A" dataDxfId="8146" totalsRowDxfId="8145"/>
    <tableColumn id="3" name="(C)_x000a_Program_x000a_Costs" totalsRowFunction="sum" dataDxfId="8144" totalsRowDxfId="8143"/>
    <tableColumn id="4" name="(D)_x000a_Prior Period Adjustments" totalsRowFunction="sum" dataDxfId="8142" totalsRowDxfId="8141"/>
    <tableColumn id="5" name="(E)_x000a_Current Period Desk _x000a_Reviews" totalsRowFunction="sum" dataDxfId="8140" totalsRowDxfId="8139"/>
    <tableColumn id="6" name="(F)_x000a_Current Period _x000a_Final _x000a_Audits" totalsRowFunction="sum" dataDxfId="8138" totalsRowDxfId="8137"/>
    <tableColumn id="7" name="(G)_x000a_Current Period _x000a_Other Adjustments" totalsRowFunction="sum" dataDxfId="8136" totalsRowDxfId="8135"/>
    <tableColumn id="8" name="(H)_x000a_Net Program Costs_x000a_Sum (C through G)" totalsRowFunction="sum" dataDxfId="8134" totalsRowDxfId="8133"/>
    <tableColumn id="9" name="(I)_x000a_Payments_x000a_ and Offsets" totalsRowFunction="sum" dataDxfId="8132" totalsRowDxfId="8131"/>
    <tableColumn id="10" name="(J)_x000a_Accounts Payable Balance_x000a_(H + I)" totalsRowFunction="sum" dataDxfId="8130" totalsRowDxfId="8129"/>
    <tableColumn id="11" name="(K)_x000a_Established _x000a_Accounts Receivable" totalsRowFunction="sum" dataDxfId="8128" totalsRowDxfId="8127"/>
    <tableColumn id="12" name="(L)_x000a_Recovered_x000a_ Accounts Receivable" totalsRowFunction="sum" dataDxfId="8126" totalsRowDxfId="8125"/>
    <tableColumn id="13" name="(M)_x000a_Accounts Receivable Balance_x000a_(K + L)" totalsRowFunction="sum" dataDxfId="8124" totalsRowDxfId="8123"/>
    <tableColumn id="14" name="(N)_x000a_Net Balance_x000a_(J minus M)" totalsRowFunction="sum" dataDxfId="8122" totalsRowDxfId="81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.xml><?xml version="1.0" encoding="utf-8"?>
<table xmlns="http://schemas.openxmlformats.org/spreadsheetml/2006/main" id="6" name="NetBalance" displayName="NetBalance" ref="A28:F31" totalsRowCount="1" headerRowDxfId="9919" dataDxfId="9917" totalsRowDxfId="9915" headerRowBorderDxfId="9918" tableBorderDxfId="9916" totalsRowBorderDxfId="9914">
  <autoFilter ref="A28:F30"/>
  <tableColumns count="6">
    <tableColumn id="1" name="Program Costs, Audit Adjustments and Balances" totalsRowLabel="Net Balance as of 03/31/2021³" totalsRowDxfId="17" dataCellStyle="Hyperlink"/>
    <tableColumn id="2" name="Comments" totalsRowLabel=" Comment: Total Accounts Payable Balance less Total Accounts Receivable Balance equals Net Balance. " dataDxfId="9913" totalsRowDxfId="16"/>
    <tableColumn id="3" name="Local Agencies" totalsRowFunction="sum" dataDxfId="9912" totalsRowDxfId="15"/>
    <tableColumn id="4" name="School Districts" totalsRowFunction="sum" dataDxfId="9911" totalsRowDxfId="14"/>
    <tableColumn id="5" name="Community College Districts" totalsRowFunction="sum" dataDxfId="9910" totalsRowDxfId="13"/>
    <tableColumn id="6" name="Grand Total" totalsRowFunction="sum" dataDxfId="9909" totalsRowDxfId="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Summary of State-Mandated Program Cost Report of Audit Findings. For the Period of April 1, 2020, through March 31, 2021."/>
    </ext>
  </extLst>
</table>
</file>

<file path=xl/tables/table60.xml><?xml version="1.0" encoding="utf-8"?>
<table xmlns="http://schemas.openxmlformats.org/spreadsheetml/2006/main" id="60" name="Program321" displayName="Program321" ref="A772:N784" totalsRowCount="1" headerRowDxfId="8120" dataDxfId="8118" totalsRowDxfId="8116" headerRowBorderDxfId="8119" tableBorderDxfId="8117" totalsRowBorderDxfId="8115">
  <autoFilter ref="A772:N783"/>
  <tableColumns count="14">
    <tableColumn id="1" name="(A)_x000a_Program Name" totalsRowLabel="Total Program 321" dataDxfId="8114" totalsRowDxfId="8113"/>
    <tableColumn id="2" name="(B)_x000a_Fiscal _x000a_Year" totalsRowLabel="N/A" dataDxfId="8112" totalsRowDxfId="8111"/>
    <tableColumn id="3" name="(C)_x000a_Program_x000a_Costs" totalsRowFunction="sum" dataDxfId="8110" totalsRowDxfId="8109"/>
    <tableColumn id="4" name="(D)_x000a_Prior Period Adjustments" totalsRowFunction="sum" dataDxfId="8108" totalsRowDxfId="8107"/>
    <tableColumn id="5" name="(E)_x000a_Current Period Desk _x000a_Reviews" totalsRowFunction="sum" dataDxfId="8106" totalsRowDxfId="8105"/>
    <tableColumn id="6" name="(F)_x000a_Current Period _x000a_Final _x000a_Audits" totalsRowFunction="sum" dataDxfId="8104" totalsRowDxfId="8103"/>
    <tableColumn id="7" name="(G)_x000a_Current Period _x000a_Other Adjustments" totalsRowFunction="sum" dataDxfId="8102" totalsRowDxfId="8101"/>
    <tableColumn id="8" name="(H)_x000a_Net Program Costs_x000a_Sum (C through G)" totalsRowFunction="sum" dataDxfId="8100" totalsRowDxfId="8099"/>
    <tableColumn id="9" name="(I)_x000a_Payments_x000a_ and Offsets" totalsRowFunction="sum" dataDxfId="8098" totalsRowDxfId="8097"/>
    <tableColumn id="10" name="(J)_x000a_Accounts Payable Balance_x000a_(H + I)" totalsRowFunction="sum" dataDxfId="8096" totalsRowDxfId="8095"/>
    <tableColumn id="11" name="(K)_x000a_Established _x000a_Accounts Receivable" totalsRowFunction="sum" dataDxfId="8094" totalsRowDxfId="8093"/>
    <tableColumn id="12" name="(L)_x000a_Recovered_x000a_ Accounts Receivable" totalsRowFunction="sum" dataDxfId="8092" totalsRowDxfId="8091"/>
    <tableColumn id="13" name="(M)_x000a_Accounts Receivable Balance_x000a_(K + L)" totalsRowFunction="sum" dataDxfId="8090" totalsRowDxfId="8089"/>
    <tableColumn id="14" name="(N)_x000a_Net Balance_x000a_(J minus M)" totalsRowFunction="sum" dataDxfId="8088" totalsRowDxfId="80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1.xml><?xml version="1.0" encoding="utf-8"?>
<table xmlns="http://schemas.openxmlformats.org/spreadsheetml/2006/main" id="61" name="Program289" displayName="Program289" ref="A786:N799" totalsRowCount="1" headerRowDxfId="8086" dataDxfId="8084" totalsRowDxfId="8082" headerRowBorderDxfId="8085" tableBorderDxfId="8083" totalsRowBorderDxfId="8081">
  <autoFilter ref="A786:N798"/>
  <tableColumns count="14">
    <tableColumn id="1" name="(A)_x000a_Program Name" totalsRowLabel="Total Program 289" dataDxfId="8080" totalsRowDxfId="8079"/>
    <tableColumn id="2" name="(B)_x000a_Fiscal _x000a_Year" totalsRowLabel="N/A" dataDxfId="8078" totalsRowDxfId="8077"/>
    <tableColumn id="3" name="(C)_x000a_Program_x000a_Costs" totalsRowFunction="sum" dataDxfId="8076" totalsRowDxfId="8075"/>
    <tableColumn id="4" name="(D)_x000a_Prior Period Adjustments" totalsRowFunction="sum" dataDxfId="8074" totalsRowDxfId="8073"/>
    <tableColumn id="5" name="(E)_x000a_Current Period Desk _x000a_Reviews" totalsRowFunction="sum" dataDxfId="8072" totalsRowDxfId="8071"/>
    <tableColumn id="6" name="(F)_x000a_Current Period _x000a_Final _x000a_Audits" totalsRowFunction="sum" dataDxfId="8070" totalsRowDxfId="8069"/>
    <tableColumn id="7" name="(G)_x000a_Current Period _x000a_Other Adjustments" totalsRowFunction="sum" dataDxfId="8068" totalsRowDxfId="8067"/>
    <tableColumn id="8" name="(H)_x000a_Net Program Costs_x000a_Sum (C through G)" totalsRowFunction="sum" dataDxfId="8066" totalsRowDxfId="8065"/>
    <tableColumn id="9" name="(I)_x000a_Payments_x000a_ and Offsets" totalsRowFunction="sum" dataDxfId="8064" totalsRowDxfId="8063"/>
    <tableColumn id="10" name="(J)_x000a_Accounts Payable Balance_x000a_(H + I)" totalsRowFunction="sum" dataDxfId="8062" totalsRowDxfId="8061"/>
    <tableColumn id="11" name="(K)_x000a_Established _x000a_Accounts Receivable" totalsRowFunction="sum" dataDxfId="8060" totalsRowDxfId="8059"/>
    <tableColumn id="12" name="(L)_x000a_Recovered_x000a_ Accounts Receivable" totalsRowFunction="sum" dataDxfId="8058" totalsRowDxfId="8057"/>
    <tableColumn id="13" name="(M)_x000a_Accounts Receivable Balance_x000a_(K + L)" totalsRowFunction="sum" dataDxfId="8056" totalsRowDxfId="8055"/>
    <tableColumn id="14" name="(N)_x000a_Net Balance_x000a_(J minus M)" totalsRowFunction="sum" dataDxfId="8054" totalsRowDxfId="80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2.xml><?xml version="1.0" encoding="utf-8"?>
<table xmlns="http://schemas.openxmlformats.org/spreadsheetml/2006/main" id="62" name="Program126" displayName="Program126" ref="A801:N808" totalsRowCount="1" headerRowDxfId="8052" dataDxfId="8050" totalsRowDxfId="8048" headerRowBorderDxfId="8051" tableBorderDxfId="8049" totalsRowBorderDxfId="8047">
  <autoFilter ref="A801:N807"/>
  <tableColumns count="14">
    <tableColumn id="1" name="(A)_x000a_Program Name" totalsRowLabel="Total Program 126" dataDxfId="8046" totalsRowDxfId="8045"/>
    <tableColumn id="2" name="(B)_x000a_Fiscal _x000a_Year" totalsRowLabel="N/A" dataDxfId="8044" totalsRowDxfId="8043"/>
    <tableColumn id="3" name="(C)_x000a_Program_x000a_Costs" totalsRowFunction="sum" dataDxfId="8042" totalsRowDxfId="8041"/>
    <tableColumn id="4" name="(D)_x000a_Prior Period Adjustments" totalsRowFunction="sum" dataDxfId="8040" totalsRowDxfId="8039"/>
    <tableColumn id="5" name="(E)_x000a_Current Period Desk _x000a_Reviews" totalsRowFunction="sum" dataDxfId="8038" totalsRowDxfId="8037"/>
    <tableColumn id="6" name="(F)_x000a_Current Period _x000a_Final _x000a_Audits" totalsRowFunction="sum" dataDxfId="8036" totalsRowDxfId="8035"/>
    <tableColumn id="7" name="(G)_x000a_Current Period _x000a_Other Adjustments" totalsRowFunction="sum" dataDxfId="8034" totalsRowDxfId="8033"/>
    <tableColumn id="8" name="(H)_x000a_Net Program Costs_x000a_Sum (C through G)" totalsRowFunction="sum" dataDxfId="8032" totalsRowDxfId="8031"/>
    <tableColumn id="9" name="(I)_x000a_Payments_x000a_ and Offsets" totalsRowFunction="sum" dataDxfId="8030" totalsRowDxfId="8029"/>
    <tableColumn id="10" name="(J)_x000a_Accounts Payable Balance_x000a_(H + I)" totalsRowFunction="sum" dataDxfId="8028" totalsRowDxfId="8027"/>
    <tableColumn id="11" name="(K)_x000a_Established _x000a_Accounts Receivable" totalsRowFunction="sum" dataDxfId="8026" totalsRowDxfId="8025"/>
    <tableColumn id="12" name="(L)_x000a_Recovered_x000a_ Accounts Receivable" totalsRowFunction="sum" dataDxfId="8024" totalsRowDxfId="8023"/>
    <tableColumn id="13" name="(M)_x000a_Accounts Receivable Balance_x000a_(K + L)" totalsRowFunction="sum" dataDxfId="8022" totalsRowDxfId="8021"/>
    <tableColumn id="14" name="(N)_x000a_Net Balance_x000a_(J minus M)" totalsRowFunction="sum" dataDxfId="8020" totalsRowDxfId="80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3.xml><?xml version="1.0" encoding="utf-8"?>
<table xmlns="http://schemas.openxmlformats.org/spreadsheetml/2006/main" id="63" name="Program358" displayName="Program358" ref="A810:N827" totalsRowCount="1" headerRowDxfId="8018" dataDxfId="8016" totalsRowDxfId="8014" headerRowBorderDxfId="8017" tableBorderDxfId="8015" totalsRowBorderDxfId="8013">
  <autoFilter ref="A810:N826"/>
  <tableColumns count="14">
    <tableColumn id="1" name="(A)_x000a_Program Name" totalsRowLabel="Total Program 358" dataDxfId="8012" totalsRowDxfId="8011"/>
    <tableColumn id="2" name="(B)_x000a_Fiscal _x000a_Year" totalsRowLabel="N/A" dataDxfId="8010" totalsRowDxfId="8009"/>
    <tableColumn id="3" name="(C)_x000a_Program_x000a_Costs" totalsRowFunction="sum" dataDxfId="8008" totalsRowDxfId="8007"/>
    <tableColumn id="4" name="(D)_x000a_Prior Period Adjustments" totalsRowFunction="sum" dataDxfId="8006" totalsRowDxfId="8005"/>
    <tableColumn id="5" name="(E)_x000a_Current Period Desk _x000a_Reviews" totalsRowFunction="sum" dataDxfId="8004" totalsRowDxfId="8003"/>
    <tableColumn id="6" name="(F)_x000a_Current Period _x000a_Final _x000a_Audits" totalsRowFunction="sum" dataDxfId="8002" totalsRowDxfId="8001"/>
    <tableColumn id="7" name="(G)_x000a_Current Period _x000a_Other Adjustments" totalsRowFunction="sum" dataDxfId="8000" totalsRowDxfId="7999"/>
    <tableColumn id="8" name="(H)_x000a_Net Program Costs_x000a_Sum (C through G)" totalsRowFunction="sum" dataDxfId="7998" totalsRowDxfId="7997"/>
    <tableColumn id="9" name="(I)_x000a_Payments_x000a_ and Offsets" totalsRowFunction="sum" dataDxfId="7996" totalsRowDxfId="7995"/>
    <tableColumn id="10" name="(J)_x000a_Accounts Payable Balance_x000a_(H + I)" totalsRowFunction="sum" dataDxfId="7994" totalsRowDxfId="7993"/>
    <tableColumn id="11" name="(K)_x000a_Established _x000a_Accounts Receivable" totalsRowFunction="sum" dataDxfId="7992" totalsRowDxfId="7991"/>
    <tableColumn id="12" name="(L)_x000a_Recovered_x000a_ Accounts Receivable" totalsRowFunction="sum" dataDxfId="7990" totalsRowDxfId="7989"/>
    <tableColumn id="13" name="(M)_x000a_Accounts Receivable Balance_x000a_(K + L)" totalsRowFunction="sum" dataDxfId="7988" totalsRowDxfId="7987"/>
    <tableColumn id="14" name="(N)_x000a_Net Balance_x000a_(J minus M)" totalsRowFunction="sum" dataDxfId="7986" totalsRowDxfId="79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4.xml><?xml version="1.0" encoding="utf-8"?>
<table xmlns="http://schemas.openxmlformats.org/spreadsheetml/2006/main" id="64" name="Program161" displayName="Program161" ref="A829:N838" totalsRowCount="1" headerRowDxfId="7984" dataDxfId="7982" totalsRowDxfId="7980" headerRowBorderDxfId="7983" tableBorderDxfId="7981" totalsRowBorderDxfId="7979">
  <autoFilter ref="A829:N837"/>
  <tableColumns count="14">
    <tableColumn id="1" name="(A)_x000a_Program Name" totalsRowLabel="Total Program 161" dataDxfId="7978" totalsRowDxfId="7977"/>
    <tableColumn id="2" name="(B)_x000a_Fiscal _x000a_Year" totalsRowLabel="N/A" dataDxfId="7976" totalsRowDxfId="7975"/>
    <tableColumn id="3" name="(C)_x000a_Program_x000a_Costs" totalsRowFunction="sum" dataDxfId="7974" totalsRowDxfId="7973"/>
    <tableColumn id="4" name="(D)_x000a_Prior Period Adjustments" totalsRowFunction="sum" dataDxfId="7972" totalsRowDxfId="7971"/>
    <tableColumn id="5" name="(E)_x000a_Current Period Desk _x000a_Reviews" totalsRowFunction="sum" dataDxfId="7970" totalsRowDxfId="7969"/>
    <tableColumn id="6" name="(F)_x000a_Current Period _x000a_Final _x000a_Audits" totalsRowFunction="sum" dataDxfId="7968" totalsRowDxfId="7967"/>
    <tableColumn id="7" name="(G)_x000a_Current Period _x000a_Other Adjustments" totalsRowFunction="sum" dataDxfId="7966" totalsRowDxfId="7965"/>
    <tableColumn id="8" name="(H)_x000a_Net Program Costs_x000a_Sum (C through G)" totalsRowFunction="sum" dataDxfId="7964" totalsRowDxfId="7963"/>
    <tableColumn id="9" name="(I)_x000a_Payments_x000a_ and Offsets" totalsRowFunction="sum" dataDxfId="7962" totalsRowDxfId="7961"/>
    <tableColumn id="10" name="(J)_x000a_Accounts Payable Balance_x000a_(H + I)" totalsRowFunction="sum" dataDxfId="7960" totalsRowDxfId="7959"/>
    <tableColumn id="11" name="(K)_x000a_Established _x000a_Accounts Receivable" totalsRowFunction="sum" dataDxfId="7958" totalsRowDxfId="7957"/>
    <tableColumn id="12" name="(L)_x000a_Recovered_x000a_ Accounts Receivable" totalsRowFunction="sum" dataDxfId="7956" totalsRowDxfId="7955"/>
    <tableColumn id="13" name="(M)_x000a_Accounts Receivable Balance_x000a_(K + L)" totalsRowFunction="sum" dataDxfId="7954" totalsRowDxfId="7953"/>
    <tableColumn id="14" name="(N)_x000a_Net Balance_x000a_(J minus M)" totalsRowFunction="sum" dataDxfId="7952" totalsRowDxfId="79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5.xml><?xml version="1.0" encoding="utf-8"?>
<table xmlns="http://schemas.openxmlformats.org/spreadsheetml/2006/main" id="65" name="Program132" displayName="Program132" ref="A840:N844" totalsRowCount="1" headerRowDxfId="7950" dataDxfId="7948" totalsRowDxfId="7946" headerRowBorderDxfId="7949" tableBorderDxfId="7947" totalsRowBorderDxfId="7945">
  <autoFilter ref="A840:N843"/>
  <tableColumns count="14">
    <tableColumn id="1" name="(A)_x000a_Program Name" totalsRowLabel="Total Program 132" dataDxfId="7944" totalsRowDxfId="7943"/>
    <tableColumn id="2" name="(B)_x000a_Fiscal _x000a_Year" totalsRowLabel="N/A" dataDxfId="7942" totalsRowDxfId="7941"/>
    <tableColumn id="3" name="(C)_x000a_Program_x000a_Costs" totalsRowFunction="sum" dataDxfId="7940" totalsRowDxfId="7939"/>
    <tableColumn id="4" name="(D)_x000a_Prior Period Adjustments" totalsRowFunction="sum" dataDxfId="7938" totalsRowDxfId="7937"/>
    <tableColumn id="5" name="(E)_x000a_Current Period Desk _x000a_Reviews" totalsRowFunction="sum" dataDxfId="7936" totalsRowDxfId="7935"/>
    <tableColumn id="6" name="(F)_x000a_Current Period _x000a_Final _x000a_Audits" totalsRowFunction="sum" dataDxfId="7934" totalsRowDxfId="7933"/>
    <tableColumn id="7" name="(G)_x000a_Current Period _x000a_Other Adjustments" totalsRowFunction="sum" dataDxfId="7932" totalsRowDxfId="7931"/>
    <tableColumn id="8" name="(H)_x000a_Net Program Costs_x000a_Sum (C through G)" totalsRowFunction="sum" dataDxfId="7930" totalsRowDxfId="7929"/>
    <tableColumn id="9" name="(I)_x000a_Payments_x000a_ and Offsets" totalsRowFunction="sum" dataDxfId="7928" totalsRowDxfId="7927"/>
    <tableColumn id="10" name="(J)_x000a_Accounts Payable Balance_x000a_(H + I)" totalsRowFunction="sum" dataDxfId="7926" totalsRowDxfId="7925"/>
    <tableColumn id="11" name="(K)_x000a_Established _x000a_Accounts Receivable" totalsRowFunction="sum" dataDxfId="7924" totalsRowDxfId="7923"/>
    <tableColumn id="12" name="(L)_x000a_Recovered_x000a_ Accounts Receivable" totalsRowFunction="sum" dataDxfId="7922" totalsRowDxfId="7921"/>
    <tableColumn id="13" name="(M)_x000a_Accounts Receivable Balance_x000a_(K + L)" totalsRowFunction="sum" dataDxfId="7920" totalsRowDxfId="7919"/>
    <tableColumn id="14" name="(N)_x000a_Net Balance_x000a_(J minus M)" totalsRowFunction="sum" dataDxfId="7918" totalsRowDxfId="79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6.xml><?xml version="1.0" encoding="utf-8"?>
<table xmlns="http://schemas.openxmlformats.org/spreadsheetml/2006/main" id="66" name="Program035" displayName="Program035" ref="A846:N865" totalsRowCount="1" headerRowDxfId="7916" dataDxfId="7914" totalsRowDxfId="7912" headerRowBorderDxfId="7915" tableBorderDxfId="7913" totalsRowBorderDxfId="7911">
  <autoFilter ref="A846:N864"/>
  <tableColumns count="14">
    <tableColumn id="1" name="(A)_x000a_Program Name" totalsRowLabel="Total Program 35" dataDxfId="7910" totalsRowDxfId="7909"/>
    <tableColumn id="2" name="(B)_x000a_Fiscal _x000a_Year" totalsRowLabel="N/A" dataDxfId="7908" totalsRowDxfId="7907"/>
    <tableColumn id="3" name="(C)_x000a_Program_x000a_Costs" totalsRowFunction="sum" dataDxfId="7906" totalsRowDxfId="7905"/>
    <tableColumn id="4" name="(D)_x000a_Prior Period Adjustments" totalsRowFunction="sum" dataDxfId="7904" totalsRowDxfId="7903"/>
    <tableColumn id="5" name="(E)_x000a_Current Period Desk _x000a_Reviews" totalsRowFunction="sum" dataDxfId="7902" totalsRowDxfId="7901"/>
    <tableColumn id="6" name="(F)_x000a_Current Period _x000a_Final _x000a_Audits" totalsRowFunction="sum" dataDxfId="7900" totalsRowDxfId="7899"/>
    <tableColumn id="7" name="(G)_x000a_Current Period _x000a_Other Adjustments" totalsRowFunction="sum" dataDxfId="7898" totalsRowDxfId="7897"/>
    <tableColumn id="8" name="(H)_x000a_Net Program Costs_x000a_Sum (C through G)" totalsRowFunction="sum" dataDxfId="7896" totalsRowDxfId="7895"/>
    <tableColumn id="9" name="(I)_x000a_Payments_x000a_ and Offsets" totalsRowFunction="sum" dataDxfId="7894" totalsRowDxfId="7893"/>
    <tableColumn id="10" name="(J)_x000a_Accounts Payable Balance_x000a_(H + I)" totalsRowFunction="sum" dataDxfId="7892" totalsRowDxfId="7891"/>
    <tableColumn id="11" name="(K)_x000a_Established _x000a_Accounts Receivable" totalsRowFunction="sum" dataDxfId="7890" totalsRowDxfId="7889"/>
    <tableColumn id="12" name="(L)_x000a_Recovered_x000a_ Accounts Receivable" totalsRowFunction="sum" dataDxfId="7888" totalsRowDxfId="7887"/>
    <tableColumn id="13" name="(M)_x000a_Accounts Receivable Balance_x000a_(K + L)" totalsRowFunction="sum" dataDxfId="7886" totalsRowDxfId="7885"/>
    <tableColumn id="14" name="(N)_x000a_Net Balance_x000a_(J minus M)" totalsRowFunction="sum" dataDxfId="7884" totalsRowDxfId="78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7.xml><?xml version="1.0" encoding="utf-8"?>
<table xmlns="http://schemas.openxmlformats.org/spreadsheetml/2006/main" id="67" name="Program193" displayName="Program193" ref="A867:N876" totalsRowCount="1" headerRowDxfId="7882" dataDxfId="7880" totalsRowDxfId="7878" headerRowBorderDxfId="7881" tableBorderDxfId="7879" totalsRowBorderDxfId="7877">
  <autoFilter ref="A867:N875"/>
  <tableColumns count="14">
    <tableColumn id="1" name="(A)_x000a_Program Name" totalsRowLabel="Total Program 193" dataDxfId="7876" totalsRowDxfId="7875"/>
    <tableColumn id="2" name="(B)_x000a_Fiscal _x000a_Year" totalsRowLabel="N/A" dataDxfId="7874" totalsRowDxfId="7873"/>
    <tableColumn id="3" name="(C)_x000a_Program_x000a_Costs" totalsRowFunction="sum" dataDxfId="7872" totalsRowDxfId="7871"/>
    <tableColumn id="4" name="(D)_x000a_Prior Period Adjustments" totalsRowFunction="sum" dataDxfId="7870" totalsRowDxfId="7869"/>
    <tableColumn id="5" name="(E)_x000a_Current Period Desk _x000a_Reviews" totalsRowFunction="sum" dataDxfId="7868" totalsRowDxfId="7867"/>
    <tableColumn id="6" name="(F)_x000a_Current Period _x000a_Final _x000a_Audits" totalsRowFunction="sum" dataDxfId="7866" totalsRowDxfId="7865"/>
    <tableColumn id="7" name="(G)_x000a_Current Period _x000a_Other Adjustments" totalsRowFunction="sum" dataDxfId="7864" totalsRowDxfId="7863"/>
    <tableColumn id="8" name="(H)_x000a_Net Program Costs_x000a_Sum (C through G)" totalsRowFunction="sum" dataDxfId="7862" totalsRowDxfId="7861"/>
    <tableColumn id="9" name="(I)_x000a_Payments_x000a_ and Offsets" totalsRowFunction="sum" dataDxfId="7860" totalsRowDxfId="7859"/>
    <tableColumn id="10" name="(J)_x000a_Accounts Payable Balance_x000a_(H + I)" totalsRowFunction="sum" dataDxfId="7858" totalsRowDxfId="7857"/>
    <tableColumn id="11" name="(K)_x000a_Established _x000a_Accounts Receivable" totalsRowFunction="sum" dataDxfId="7856" totalsRowDxfId="7855"/>
    <tableColumn id="12" name="(L)_x000a_Recovered_x000a_ Accounts Receivable" totalsRowFunction="sum" dataDxfId="7854" totalsRowDxfId="7853"/>
    <tableColumn id="13" name="(M)_x000a_Accounts Receivable Balance_x000a_(K + L)" totalsRowFunction="sum" dataDxfId="7852" totalsRowDxfId="7851"/>
    <tableColumn id="14" name="(N)_x000a_Net Balance_x000a_(J minus M)" totalsRowFunction="sum" dataDxfId="7850" totalsRowDxfId="78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8.xml><?xml version="1.0" encoding="utf-8"?>
<table xmlns="http://schemas.openxmlformats.org/spreadsheetml/2006/main" id="68" name="Program371" displayName="Program371" ref="A878:N884" totalsRowCount="1" headerRowDxfId="7848" dataDxfId="7846" totalsRowDxfId="7844" headerRowBorderDxfId="7847" tableBorderDxfId="7845" totalsRowBorderDxfId="7843">
  <autoFilter ref="A878:N883"/>
  <tableColumns count="14">
    <tableColumn id="1" name="(A)_x000a_Program Name" totalsRowLabel="Total Program 371" dataDxfId="7842" totalsRowDxfId="7841"/>
    <tableColumn id="2" name="(B)_x000a_Fiscal _x000a_Year" totalsRowLabel="N/A" dataDxfId="7840" totalsRowDxfId="7839"/>
    <tableColumn id="3" name="(C)_x000a_Program_x000a_Costs" totalsRowFunction="sum" dataDxfId="7838" totalsRowDxfId="7837"/>
    <tableColumn id="4" name="(D)_x000a_Prior Period Adjustments" totalsRowFunction="sum" dataDxfId="7836" totalsRowDxfId="7835"/>
    <tableColumn id="5" name="(E)_x000a_Current Period Desk _x000a_Reviews" totalsRowFunction="sum" dataDxfId="7834" totalsRowDxfId="7833"/>
    <tableColumn id="6" name="(F)_x000a_Current Period _x000a_Final _x000a_Audits" totalsRowFunction="sum" dataDxfId="7832" totalsRowDxfId="7831"/>
    <tableColumn id="7" name="(G)_x000a_Current Period _x000a_Other Adjustments" totalsRowFunction="sum" dataDxfId="7830" totalsRowDxfId="7829"/>
    <tableColumn id="8" name="(H)_x000a_Net Program Costs_x000a_Sum (C through G)" totalsRowFunction="sum" dataDxfId="7828" totalsRowDxfId="7827"/>
    <tableColumn id="9" name="(I)_x000a_Payments_x000a_ and Offsets" totalsRowFunction="sum" dataDxfId="7826" totalsRowDxfId="7825"/>
    <tableColumn id="10" name="(J)_x000a_Accounts Payable Balance_x000a_(H + I)" totalsRowFunction="sum" dataDxfId="7824" totalsRowDxfId="7823"/>
    <tableColumn id="11" name="(K)_x000a_Established _x000a_Accounts Receivable" totalsRowFunction="sum" dataDxfId="7822" totalsRowDxfId="7821"/>
    <tableColumn id="12" name="(L)_x000a_Recovered_x000a_ Accounts Receivable" totalsRowFunction="sum" dataDxfId="7820" totalsRowDxfId="7819"/>
    <tableColumn id="13" name="(M)_x000a_Accounts Receivable Balance_x000a_(K + L)" totalsRowFunction="sum" dataDxfId="7818" totalsRowDxfId="7817"/>
    <tableColumn id="14" name="(N)_x000a_Net Balance_x000a_(J minus M)" totalsRowFunction="sum" dataDxfId="7816" totalsRowDxfId="78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69.xml><?xml version="1.0" encoding="utf-8"?>
<table xmlns="http://schemas.openxmlformats.org/spreadsheetml/2006/main" id="69" name="Program334" displayName="Program334" ref="A886:N898" totalsRowCount="1" headerRowDxfId="7814" dataDxfId="7812" totalsRowDxfId="7810" headerRowBorderDxfId="7813" tableBorderDxfId="7811" totalsRowBorderDxfId="7809">
  <autoFilter ref="A886:N897"/>
  <tableColumns count="14">
    <tableColumn id="1" name="(A)_x000a_Program Name" totalsRowLabel="Total Program 334" dataDxfId="7808" totalsRowDxfId="7807"/>
    <tableColumn id="2" name="(B)_x000a_Fiscal _x000a_Year" totalsRowLabel="N/A" dataDxfId="7806" totalsRowDxfId="7805"/>
    <tableColumn id="3" name="(C)_x000a_Program_x000a_Costs" totalsRowFunction="sum" dataDxfId="7804" totalsRowDxfId="7803"/>
    <tableColumn id="4" name="(D)_x000a_Prior Period Adjustments" totalsRowFunction="sum" dataDxfId="7802" totalsRowDxfId="7801"/>
    <tableColumn id="5" name="(E)_x000a_Current Period Desk _x000a_Reviews" totalsRowFunction="sum" dataDxfId="7800" totalsRowDxfId="7799"/>
    <tableColumn id="6" name="(F)_x000a_Current Period _x000a_Final _x000a_Audits" totalsRowFunction="sum" dataDxfId="7798" totalsRowDxfId="7797"/>
    <tableColumn id="7" name="(G)_x000a_Current Period _x000a_Other Adjustments" totalsRowFunction="sum" dataDxfId="7796" totalsRowDxfId="7795"/>
    <tableColumn id="8" name="(H)_x000a_Net Program Costs_x000a_Sum (C through G)" totalsRowFunction="sum" dataDxfId="7794" totalsRowDxfId="7793"/>
    <tableColumn id="9" name="(I)_x000a_Payments_x000a_ and Offsets" totalsRowFunction="sum" dataDxfId="7792" totalsRowDxfId="7791"/>
    <tableColumn id="10" name="(J)_x000a_Accounts Payable Balance_x000a_(H + I)" totalsRowFunction="sum" dataDxfId="7790" totalsRowDxfId="7789"/>
    <tableColumn id="11" name="(K)_x000a_Established _x000a_Accounts Receivable" totalsRowFunction="sum" dataDxfId="7788" totalsRowDxfId="7787"/>
    <tableColumn id="12" name="(L)_x000a_Recovered_x000a_ Accounts Receivable" totalsRowFunction="sum" dataDxfId="7786" totalsRowDxfId="7785"/>
    <tableColumn id="13" name="(M)_x000a_Accounts Receivable Balance_x000a_(K + L)" totalsRowFunction="sum" dataDxfId="7784" totalsRowDxfId="7783"/>
    <tableColumn id="14" name="(N)_x000a_Net Balance_x000a_(J minus M)" totalsRowFunction="sum" dataDxfId="7782" totalsRowDxfId="77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.xml><?xml version="1.0" encoding="utf-8"?>
<table xmlns="http://schemas.openxmlformats.org/spreadsheetml/2006/main" id="7" name="Program002" displayName="Program002" ref="A2:N26" totalsRowCount="1" headerRowDxfId="9908" dataDxfId="9906" totalsRowDxfId="9904" headerRowBorderDxfId="9907" tableBorderDxfId="9905" totalsRowBorderDxfId="9903">
  <autoFilter ref="A2:N25"/>
  <tableColumns count="14">
    <tableColumn id="1" name="(A)_x000a_Program Name" totalsRowLabel="Total Program 2" dataDxfId="9902" totalsRowDxfId="9901"/>
    <tableColumn id="2" name="(B)_x000a_Fiscal _x000a_Year" totalsRowLabel="N/A" dataDxfId="9900" totalsRowDxfId="9899"/>
    <tableColumn id="3" name="(C)_x000a_Program_x000a_Costs" totalsRowFunction="sum" dataDxfId="9898" totalsRowDxfId="9897"/>
    <tableColumn id="4" name="(D)_x000a_Prior Period Adjustments" totalsRowFunction="sum" dataDxfId="9896" totalsRowDxfId="9895"/>
    <tableColumn id="5" name="(E)_x000a_Current Period Desk _x000a_Reviews" totalsRowFunction="sum" dataDxfId="9894" totalsRowDxfId="9893"/>
    <tableColumn id="6" name="(F)_x000a_Current Period _x000a_Final _x000a_Audits" totalsRowFunction="sum" dataDxfId="9892" totalsRowDxfId="9891"/>
    <tableColumn id="7" name="(G)_x000a_Current Period _x000a_Other Adjustments" totalsRowFunction="sum" dataDxfId="9890" totalsRowDxfId="9889"/>
    <tableColumn id="8" name="(H)_x000a_Net Program Costs_x000a_Sum (C through G)" totalsRowFunction="sum" dataDxfId="9888" totalsRowDxfId="9887"/>
    <tableColumn id="9" name="(I)_x000a_Payments_x000a_ and Offsets" totalsRowFunction="sum" dataDxfId="9886" totalsRowDxfId="9885"/>
    <tableColumn id="10" name="(J)_x000a_Accounts Payable Balance_x000a_(H + I)" totalsRowFunction="sum" dataDxfId="9884" totalsRowDxfId="9883"/>
    <tableColumn id="11" name="(K)_x000a_Established _x000a_Accounts Receivable" totalsRowFunction="sum" dataDxfId="9882" totalsRowDxfId="9881"/>
    <tableColumn id="12" name="(L)_x000a_Recovered_x000a_ Accounts Receivable" totalsRowFunction="sum" dataDxfId="9880" totalsRowDxfId="9879"/>
    <tableColumn id="13" name="(M)_x000a_Accounts Receivable Balance_x000a_(K + L)" totalsRowFunction="sum" dataDxfId="9878" totalsRowDxfId="9877"/>
    <tableColumn id="14" name="(N)_x000a_Net Balance_x000a_(J minus M)" totalsRowFunction="sum" dataDxfId="9876" totalsRowDxfId="98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0.xml><?xml version="1.0" encoding="utf-8"?>
<table xmlns="http://schemas.openxmlformats.org/spreadsheetml/2006/main" id="70" name="Program300" displayName="Program300" ref="A900:N909" totalsRowCount="1" headerRowDxfId="7780" dataDxfId="7778" totalsRowDxfId="7776" headerRowBorderDxfId="7779" tableBorderDxfId="7777" totalsRowBorderDxfId="7775">
  <autoFilter ref="A900:N908"/>
  <tableColumns count="14">
    <tableColumn id="1" name="(A)_x000a_Program Name" totalsRowLabel="Total Program 300" dataDxfId="7774" totalsRowDxfId="7773"/>
    <tableColumn id="2" name="(B)_x000a_Fiscal _x000a_Year" totalsRowLabel="N/A" dataDxfId="7772" totalsRowDxfId="7771"/>
    <tableColumn id="3" name="(C)_x000a_Program_x000a_Costs" totalsRowFunction="sum" dataDxfId="7770" totalsRowDxfId="7769"/>
    <tableColumn id="4" name="(D)_x000a_Prior Period Adjustments" totalsRowFunction="sum" dataDxfId="7768" totalsRowDxfId="7767"/>
    <tableColumn id="5" name="(E)_x000a_Current Period Desk _x000a_Reviews" totalsRowFunction="sum" dataDxfId="7766" totalsRowDxfId="7765"/>
    <tableColumn id="6" name="(F)_x000a_Current Period _x000a_Final _x000a_Audits" totalsRowFunction="sum" dataDxfId="7764" totalsRowDxfId="7763"/>
    <tableColumn id="7" name="(G)_x000a_Current Period _x000a_Other Adjustments" totalsRowFunction="sum" dataDxfId="7762" totalsRowDxfId="7761"/>
    <tableColumn id="8" name="(H)_x000a_Net Program Costs_x000a_Sum (C through G)" totalsRowFunction="sum" dataDxfId="7760" totalsRowDxfId="7759"/>
    <tableColumn id="9" name="(I)_x000a_Payments_x000a_ and Offsets" totalsRowFunction="sum" dataDxfId="7758" totalsRowDxfId="7757"/>
    <tableColumn id="10" name="(J)_x000a_Accounts Payable Balance_x000a_(H + I)" totalsRowFunction="sum" dataDxfId="7756" totalsRowDxfId="7755"/>
    <tableColumn id="11" name="(K)_x000a_Established _x000a_Accounts Receivable" totalsRowFunction="sum" dataDxfId="7754" totalsRowDxfId="7753"/>
    <tableColumn id="12" name="(L)_x000a_Recovered_x000a_ Accounts Receivable" totalsRowFunction="sum" dataDxfId="7752" totalsRowDxfId="7751"/>
    <tableColumn id="13" name="(M)_x000a_Accounts Receivable Balance_x000a_(K + L)" totalsRowFunction="sum" dataDxfId="7750" totalsRowDxfId="7749"/>
    <tableColumn id="14" name="(N)_x000a_Net Balance_x000a_(J minus M)" totalsRowFunction="sum" dataDxfId="7748" totalsRowDxfId="77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1.xml><?xml version="1.0" encoding="utf-8"?>
<table xmlns="http://schemas.openxmlformats.org/spreadsheetml/2006/main" id="71" name="Program037" displayName="Program037" ref="A911:N916" totalsRowCount="1" headerRowDxfId="7746" dataDxfId="7744" totalsRowDxfId="7742" headerRowBorderDxfId="7745" tableBorderDxfId="7743" totalsRowBorderDxfId="7741">
  <autoFilter ref="A911:N915"/>
  <tableColumns count="14">
    <tableColumn id="1" name="(A)_x000a_Program Name" totalsRowLabel="Total Program 37" dataDxfId="7740" totalsRowDxfId="7739"/>
    <tableColumn id="2" name="(B)_x000a_Fiscal _x000a_Year" totalsRowLabel="N/A" dataDxfId="7738" totalsRowDxfId="7737"/>
    <tableColumn id="3" name="(C)_x000a_Program_x000a_Costs" totalsRowFunction="sum" dataDxfId="7736" totalsRowDxfId="7735"/>
    <tableColumn id="4" name="(D)_x000a_Prior Period Adjustments" totalsRowFunction="sum" dataDxfId="7734" totalsRowDxfId="7733"/>
    <tableColumn id="5" name="(E)_x000a_Current Period Desk _x000a_Reviews" totalsRowFunction="sum" dataDxfId="7732" totalsRowDxfId="7731"/>
    <tableColumn id="6" name="(F)_x000a_Current Period _x000a_Final _x000a_Audits" totalsRowFunction="sum" dataDxfId="7730" totalsRowDxfId="7729"/>
    <tableColumn id="7" name="(G)_x000a_Current Period _x000a_Other Adjustments" totalsRowFunction="sum" dataDxfId="7728" totalsRowDxfId="7727"/>
    <tableColumn id="8" name="(H)_x000a_Net Program Costs_x000a_Sum (C through G)" totalsRowFunction="sum" dataDxfId="7726" totalsRowDxfId="7725"/>
    <tableColumn id="9" name="(I)_x000a_Payments_x000a_ and Offsets" totalsRowFunction="sum" dataDxfId="7724" totalsRowDxfId="7723"/>
    <tableColumn id="10" name="(J)_x000a_Accounts Payable Balance_x000a_(H + I)" totalsRowFunction="sum" dataDxfId="7722" totalsRowDxfId="7721"/>
    <tableColumn id="11" name="(K)_x000a_Established _x000a_Accounts Receivable" totalsRowFunction="sum" dataDxfId="7720" totalsRowDxfId="7719"/>
    <tableColumn id="12" name="(L)_x000a_Recovered_x000a_ Accounts Receivable" totalsRowFunction="sum" dataDxfId="7718" totalsRowDxfId="7717"/>
    <tableColumn id="13" name="(M)_x000a_Accounts Receivable Balance_x000a_(K + L)" totalsRowFunction="sum" dataDxfId="7716" totalsRowDxfId="7715"/>
    <tableColumn id="14" name="(N)_x000a_Net Balance_x000a_(J minus M)" totalsRowFunction="sum" dataDxfId="7714" totalsRowDxfId="77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2.xml><?xml version="1.0" encoding="utf-8"?>
<table xmlns="http://schemas.openxmlformats.org/spreadsheetml/2006/main" id="72" name="Program259" displayName="Program259" ref="A918:N922" totalsRowCount="1" headerRowDxfId="7712" dataDxfId="7710" totalsRowDxfId="7708" headerRowBorderDxfId="7711" tableBorderDxfId="7709" totalsRowBorderDxfId="7707">
  <autoFilter ref="A918:N921"/>
  <tableColumns count="14">
    <tableColumn id="1" name="(A)_x000a_Program Name" totalsRowLabel="Total Program 259" dataDxfId="7706" totalsRowDxfId="7705"/>
    <tableColumn id="2" name="(B)_x000a_Fiscal _x000a_Year" totalsRowLabel="N/A" dataDxfId="7704" totalsRowDxfId="7703"/>
    <tableColumn id="3" name="(C)_x000a_Program_x000a_Costs" totalsRowFunction="sum" dataDxfId="7702" totalsRowDxfId="7701"/>
    <tableColumn id="4" name="(D)_x000a_Prior Period Adjustments" totalsRowFunction="sum" dataDxfId="7700" totalsRowDxfId="7699"/>
    <tableColumn id="5" name="(E)_x000a_Current Period Desk _x000a_Reviews" totalsRowFunction="sum" dataDxfId="7698" totalsRowDxfId="7697"/>
    <tableColumn id="6" name="(F)_x000a_Current Period _x000a_Final _x000a_Audits" totalsRowFunction="sum" dataDxfId="7696" totalsRowDxfId="7695"/>
    <tableColumn id="7" name="(G)_x000a_Current Period _x000a_Other Adjustments" totalsRowFunction="sum" dataDxfId="7694" totalsRowDxfId="7693"/>
    <tableColumn id="8" name="(H)_x000a_Net Program Costs_x000a_Sum (C through G)" totalsRowFunction="sum" dataDxfId="7692" totalsRowDxfId="7691"/>
    <tableColumn id="9" name="(I)_x000a_Payments_x000a_ and Offsets" totalsRowFunction="sum" dataDxfId="7690" totalsRowDxfId="7689"/>
    <tableColumn id="10" name="(J)_x000a_Accounts Payable Balance_x000a_(H + I)" totalsRowFunction="sum" dataDxfId="7688" totalsRowDxfId="7687"/>
    <tableColumn id="11" name="(K)_x000a_Established _x000a_Accounts Receivable" totalsRowFunction="sum" dataDxfId="7686" totalsRowDxfId="7685"/>
    <tableColumn id="12" name="(L)_x000a_Recovered_x000a_ Accounts Receivable" totalsRowFunction="sum" dataDxfId="7684" totalsRowDxfId="7683"/>
    <tableColumn id="13" name="(M)_x000a_Accounts Receivable Balance_x000a_(K + L)" totalsRowFunction="sum" dataDxfId="7682" totalsRowDxfId="7681"/>
    <tableColumn id="14" name="(N)_x000a_Net Balance_x000a_(J minus M)" totalsRowFunction="sum" dataDxfId="7680" totalsRowDxfId="76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3.xml><?xml version="1.0" encoding="utf-8"?>
<table xmlns="http://schemas.openxmlformats.org/spreadsheetml/2006/main" id="73" name="Program298" displayName="Program298" ref="A924:N944" totalsRowCount="1" headerRowDxfId="7678" dataDxfId="7676" totalsRowDxfId="7674" headerRowBorderDxfId="7677" tableBorderDxfId="7675" totalsRowBorderDxfId="7673">
  <autoFilter ref="A924:N943"/>
  <tableColumns count="14">
    <tableColumn id="1" name="(A)_x000a_Program Name" totalsRowLabel="Total Program 298" dataDxfId="7672" totalsRowDxfId="7671"/>
    <tableColumn id="2" name="(B)_x000a_Fiscal _x000a_Year" totalsRowLabel="N/A" dataDxfId="7670" totalsRowDxfId="7669"/>
    <tableColumn id="3" name="(C)_x000a_Program_x000a_Costs" totalsRowFunction="sum" dataDxfId="7668" totalsRowDxfId="7667"/>
    <tableColumn id="4" name="(D)_x000a_Prior Period Adjustments" totalsRowFunction="sum" dataDxfId="7666" totalsRowDxfId="7665"/>
    <tableColumn id="5" name="(E)_x000a_Current Period Desk _x000a_Reviews" totalsRowFunction="sum" dataDxfId="7664" totalsRowDxfId="7663"/>
    <tableColumn id="6" name="(F)_x000a_Current Period _x000a_Final _x000a_Audits" totalsRowFunction="sum" dataDxfId="7662" totalsRowDxfId="7661"/>
    <tableColumn id="7" name="(G)_x000a_Current Period _x000a_Other Adjustments" totalsRowFunction="sum" dataDxfId="7660" totalsRowDxfId="7659"/>
    <tableColumn id="8" name="(H)_x000a_Net Program Costs_x000a_Sum (C through G)" totalsRowFunction="sum" dataDxfId="7658" totalsRowDxfId="7657"/>
    <tableColumn id="9" name="(I)_x000a_Payments_x000a_ and Offsets" totalsRowFunction="sum" dataDxfId="7656" totalsRowDxfId="7655"/>
    <tableColumn id="10" name="(J)_x000a_Accounts Payable Balance_x000a_(H + I)" totalsRowFunction="sum" dataDxfId="7654" totalsRowDxfId="7653"/>
    <tableColumn id="11" name="(K)_x000a_Established _x000a_Accounts Receivable" totalsRowFunction="sum" dataDxfId="7652" totalsRowDxfId="7651"/>
    <tableColumn id="12" name="(L)_x000a_Recovered_x000a_ Accounts Receivable" totalsRowFunction="sum" dataDxfId="7650" totalsRowDxfId="7649"/>
    <tableColumn id="13" name="(M)_x000a_Accounts Receivable Balance_x000a_(K + L)" totalsRowFunction="sum" dataDxfId="7648" totalsRowDxfId="7647"/>
    <tableColumn id="14" name="(N)_x000a_Net Balance_x000a_(J minus M)" totalsRowFunction="sum" dataDxfId="7646" totalsRowDxfId="76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4.xml><?xml version="1.0" encoding="utf-8"?>
<table xmlns="http://schemas.openxmlformats.org/spreadsheetml/2006/main" id="74" name="Program285" displayName="Program285" ref="A946:N957" totalsRowCount="1" headerRowDxfId="7644" dataDxfId="7642" totalsRowDxfId="7640" headerRowBorderDxfId="7643" tableBorderDxfId="7641" totalsRowBorderDxfId="7639">
  <autoFilter ref="A946:N956"/>
  <tableColumns count="14">
    <tableColumn id="1" name="(A)_x000a_Program Name" totalsRowLabel="Total Program 285" dataDxfId="7638" totalsRowDxfId="7637"/>
    <tableColumn id="2" name="(B)_x000a_Fiscal _x000a_Year" totalsRowLabel="N/A" dataDxfId="7636" totalsRowDxfId="7635"/>
    <tableColumn id="3" name="(C)_x000a_Program_x000a_Costs" totalsRowFunction="sum" dataDxfId="7634" totalsRowDxfId="7633"/>
    <tableColumn id="4" name="(D)_x000a_Prior Period Adjustments" totalsRowFunction="sum" dataDxfId="7632" totalsRowDxfId="7631"/>
    <tableColumn id="5" name="(E)_x000a_Current Period Desk _x000a_Reviews" totalsRowFunction="sum" dataDxfId="7630" totalsRowDxfId="7629"/>
    <tableColumn id="6" name="(F)_x000a_Current Period _x000a_Final _x000a_Audits" totalsRowFunction="sum" dataDxfId="7628" totalsRowDxfId="7627"/>
    <tableColumn id="7" name="(G)_x000a_Current Period _x000a_Other Adjustments" totalsRowFunction="sum" dataDxfId="7626" totalsRowDxfId="7625"/>
    <tableColumn id="8" name="(H)_x000a_Net Program Costs_x000a_Sum (C through G)" totalsRowFunction="sum" dataDxfId="7624" totalsRowDxfId="7623"/>
    <tableColumn id="9" name="(I)_x000a_Payments_x000a_ and Offsets" totalsRowFunction="sum" dataDxfId="7622" totalsRowDxfId="7621"/>
    <tableColumn id="10" name="(J)_x000a_Accounts Payable Balance_x000a_(H + I)" totalsRowFunction="sum" dataDxfId="7620" totalsRowDxfId="7619"/>
    <tableColumn id="11" name="(K)_x000a_Established _x000a_Accounts Receivable" totalsRowFunction="sum" dataDxfId="7618" totalsRowDxfId="7617"/>
    <tableColumn id="12" name="(L)_x000a_Recovered_x000a_ Accounts Receivable" totalsRowFunction="sum" dataDxfId="7616" totalsRowDxfId="7615"/>
    <tableColumn id="13" name="(M)_x000a_Accounts Receivable Balance_x000a_(K + L)" totalsRowFunction="sum" dataDxfId="7614" totalsRowDxfId="7613"/>
    <tableColumn id="14" name="(N)_x000a_Net Balance_x000a_(J minus M)" totalsRowFunction="sum" dataDxfId="7612" totalsRowDxfId="76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5.xml><?xml version="1.0" encoding="utf-8"?>
<table xmlns="http://schemas.openxmlformats.org/spreadsheetml/2006/main" id="75" name="Program041" displayName="Program041" ref="A959:N979" totalsRowCount="1" headerRowDxfId="7610" dataDxfId="7608" totalsRowDxfId="7606" headerRowBorderDxfId="7609" tableBorderDxfId="7607" totalsRowBorderDxfId="7605">
  <autoFilter ref="A959:N978"/>
  <tableColumns count="14">
    <tableColumn id="1" name="(A)_x000a_Program Name" totalsRowLabel="Total Program 41" dataDxfId="7604" totalsRowDxfId="7603"/>
    <tableColumn id="2" name="(B)_x000a_Fiscal _x000a_Year" totalsRowLabel="N/A" dataDxfId="7602" totalsRowDxfId="7601"/>
    <tableColumn id="3" name="(C)_x000a_Program_x000a_Costs" totalsRowFunction="sum" dataDxfId="7600" totalsRowDxfId="7599"/>
    <tableColumn id="4" name="(D)_x000a_Prior Period Adjustments" totalsRowFunction="sum" dataDxfId="7598" totalsRowDxfId="7597"/>
    <tableColumn id="5" name="(E)_x000a_Current Period Desk _x000a_Reviews" totalsRowFunction="sum" dataDxfId="7596" totalsRowDxfId="7595"/>
    <tableColumn id="6" name="(F)_x000a_Current Period _x000a_Final _x000a_Audits" totalsRowFunction="sum" dataDxfId="7594" totalsRowDxfId="7593"/>
    <tableColumn id="7" name="(G)_x000a_Current Period _x000a_Other Adjustments" totalsRowFunction="sum" dataDxfId="7592" totalsRowDxfId="7591"/>
    <tableColumn id="8" name="(H)_x000a_Net Program Costs_x000a_Sum (C through G)" totalsRowFunction="sum" dataDxfId="7590" totalsRowDxfId="7589"/>
    <tableColumn id="9" name="(I)_x000a_Payments_x000a_ and Offsets" totalsRowFunction="sum" dataDxfId="7588" totalsRowDxfId="7587"/>
    <tableColumn id="10" name="(J)_x000a_Accounts Payable Balance_x000a_(H + I)" totalsRowFunction="sum" dataDxfId="7586" totalsRowDxfId="7585"/>
    <tableColumn id="11" name="(K)_x000a_Established _x000a_Accounts Receivable" totalsRowFunction="sum" dataDxfId="7584" totalsRowDxfId="7583"/>
    <tableColumn id="12" name="(L)_x000a_Recovered_x000a_ Accounts Receivable" totalsRowFunction="sum" dataDxfId="7582" totalsRowDxfId="7581"/>
    <tableColumn id="13" name="(M)_x000a_Accounts Receivable Balance_x000a_(K + L)" totalsRowFunction="sum" dataDxfId="7580" totalsRowDxfId="7579"/>
    <tableColumn id="14" name="(N)_x000a_Net Balance_x000a_(J minus M)" totalsRowFunction="sum" dataDxfId="7578" totalsRowDxfId="75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6.xml><?xml version="1.0" encoding="utf-8"?>
<table xmlns="http://schemas.openxmlformats.org/spreadsheetml/2006/main" id="76" name="Program043" displayName="Program043" ref="A988:N1018" totalsRowCount="1" headerRowDxfId="7576" dataDxfId="7574" totalsRowDxfId="7572" headerRowBorderDxfId="7575" tableBorderDxfId="7573" totalsRowBorderDxfId="7571">
  <autoFilter ref="A988:N1017"/>
  <tableColumns count="14">
    <tableColumn id="1" name="(A)_x000a_Program Name" totalsRowLabel="Total Program 43" dataDxfId="7570" totalsRowDxfId="7569"/>
    <tableColumn id="2" name="(B)_x000a_Fiscal _x000a_Year" totalsRowLabel="N/A" dataDxfId="7568" totalsRowDxfId="7567"/>
    <tableColumn id="3" name="(C)_x000a_Program_x000a_Costs" totalsRowFunction="sum" dataDxfId="7566" totalsRowDxfId="7565"/>
    <tableColumn id="4" name="(D)_x000a_Prior Period Adjustments" totalsRowFunction="sum" dataDxfId="7564" totalsRowDxfId="7563"/>
    <tableColumn id="5" name="(E)_x000a_Current Period Desk _x000a_Reviews" totalsRowFunction="sum" dataDxfId="7562" totalsRowDxfId="7561"/>
    <tableColumn id="6" name="(F)_x000a_Current Period _x000a_Final _x000a_Audits" totalsRowFunction="sum" dataDxfId="7560" totalsRowDxfId="7559"/>
    <tableColumn id="7" name="(G)_x000a_Current Period _x000a_Other Adjustments" totalsRowFunction="sum" dataDxfId="7558" totalsRowDxfId="7557"/>
    <tableColumn id="8" name="(H)_x000a_Net Program Costs_x000a_Sum (C through G)" totalsRowFunction="sum" dataDxfId="7556" totalsRowDxfId="7555"/>
    <tableColumn id="9" name="(I)_x000a_Payments_x000a_ and Offsets" totalsRowFunction="sum" dataDxfId="7554" totalsRowDxfId="7553"/>
    <tableColumn id="10" name="(J)_x000a_Accounts Payable Balance_x000a_(H + I)" totalsRowFunction="sum" dataDxfId="7552" totalsRowDxfId="7551"/>
    <tableColumn id="11" name="(K)_x000a_Established _x000a_Accounts Receivable" totalsRowFunction="sum" dataDxfId="7550" totalsRowDxfId="7549"/>
    <tableColumn id="12" name="(L)_x000a_Recovered_x000a_ Accounts Receivable" totalsRowFunction="sum" dataDxfId="7548" totalsRowDxfId="7547"/>
    <tableColumn id="13" name="(M)_x000a_Accounts Receivable Balance_x000a_(K + L)" totalsRowFunction="sum" dataDxfId="7546" totalsRowDxfId="7545"/>
    <tableColumn id="14" name="(N)_x000a_Net Balance_x000a_(J minus M)" totalsRowFunction="sum" dataDxfId="7544" totalsRowDxfId="75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7.xml><?xml version="1.0" encoding="utf-8"?>
<table xmlns="http://schemas.openxmlformats.org/spreadsheetml/2006/main" id="77" name="Program315" displayName="Program315" ref="A981:N986" totalsRowCount="1" headerRowDxfId="7542" dataDxfId="7540" totalsRowDxfId="7538" headerRowBorderDxfId="7541" tableBorderDxfId="7539" totalsRowBorderDxfId="7537">
  <autoFilter ref="A981:N985"/>
  <tableColumns count="14">
    <tableColumn id="1" name="(A)_x000a_Program Name" totalsRowLabel="Total Program 315" dataDxfId="7536"/>
    <tableColumn id="2" name="(B)_x000a_Fiscal _x000a_Year" totalsRowLabel="N/A" dataDxfId="7535"/>
    <tableColumn id="3" name="(C)_x000a_Program_x000a_Costs" totalsRowFunction="sum" dataDxfId="7534"/>
    <tableColumn id="4" name="(D)_x000a_Prior Period Adjustments" totalsRowFunction="sum" dataDxfId="7533"/>
    <tableColumn id="5" name="(E)_x000a_Current Period Desk _x000a_Reviews" totalsRowFunction="sum" dataDxfId="7532"/>
    <tableColumn id="6" name="(F)_x000a_Current Period _x000a_Final _x000a_Audits" totalsRowFunction="sum" dataDxfId="7531"/>
    <tableColumn id="7" name="(G)_x000a_Current Period _x000a_Other Adjustments" totalsRowFunction="sum" dataDxfId="7530"/>
    <tableColumn id="8" name="(H)_x000a_Net Program Costs_x000a_Sum (C through G)" totalsRowFunction="sum" dataDxfId="7529"/>
    <tableColumn id="9" name="(I)_x000a_Payments_x000a_ and Offsets" totalsRowFunction="sum" dataDxfId="7528"/>
    <tableColumn id="10" name="(J)_x000a_Accounts Payable Balance_x000a_(H + I)" totalsRowFunction="sum" dataDxfId="7527"/>
    <tableColumn id="11" name="(K)_x000a_Established _x000a_Accounts Receivable" totalsRowFunction="sum" dataDxfId="7526"/>
    <tableColumn id="12" name="(L)_x000a_Recovered_x000a_ Accounts Receivable" totalsRowFunction="sum" dataDxfId="7525"/>
    <tableColumn id="13" name="(M)_x000a_Accounts Receivable Balance_x000a_(K + L)" totalsRowFunction="sum" dataDxfId="7524"/>
    <tableColumn id="14" name="(N)_x000a_Net Balance_x000a_(J minus M)" totalsRowFunction="sum" dataDxfId="75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8.xml><?xml version="1.0" encoding="utf-8"?>
<table xmlns="http://schemas.openxmlformats.org/spreadsheetml/2006/main" id="78" name="Program361" displayName="Program361" ref="A1020:N1034" totalsRowCount="1" headerRowDxfId="7522" dataDxfId="7520" totalsRowDxfId="7518" headerRowBorderDxfId="7521" tableBorderDxfId="7519" totalsRowBorderDxfId="7517">
  <autoFilter ref="A1020:N1033"/>
  <tableColumns count="14">
    <tableColumn id="1" name="(A)_x000a_Program Name" totalsRowLabel="Total Program 361" dataDxfId="7516" totalsRowDxfId="7515"/>
    <tableColumn id="2" name="(B)_x000a_Fiscal _x000a_Year" totalsRowLabel="N/A" dataDxfId="7514" totalsRowDxfId="7513"/>
    <tableColumn id="3" name="(C)_x000a_Program_x000a_Costs" totalsRowFunction="sum" dataDxfId="7512" totalsRowDxfId="7511"/>
    <tableColumn id="4" name="(D)_x000a_Prior Period Adjustments" totalsRowFunction="sum" dataDxfId="7510" totalsRowDxfId="7509"/>
    <tableColumn id="5" name="(E)_x000a_Current Period Desk _x000a_Reviews" totalsRowFunction="sum" dataDxfId="7508" totalsRowDxfId="7507"/>
    <tableColumn id="6" name="(F)_x000a_Current Period _x000a_Final _x000a_Audits" totalsRowFunction="sum" dataDxfId="7506" totalsRowDxfId="7505"/>
    <tableColumn id="7" name="(G)_x000a_Current Period _x000a_Other Adjustments" totalsRowFunction="sum" dataDxfId="7504" totalsRowDxfId="7503"/>
    <tableColumn id="8" name="(H)_x000a_Net Program Costs_x000a_Sum (C through G)" totalsRowFunction="sum" dataDxfId="7502" totalsRowDxfId="7501"/>
    <tableColumn id="9" name="(I)_x000a_Payments_x000a_ and Offsets" totalsRowFunction="sum" dataDxfId="7500" totalsRowDxfId="7499"/>
    <tableColumn id="10" name="(J)_x000a_Accounts Payable Balance_x000a_(H + I)" totalsRowFunction="sum" dataDxfId="7498" totalsRowDxfId="7497"/>
    <tableColumn id="11" name="(K)_x000a_Established _x000a_Accounts Receivable" totalsRowFunction="sum" dataDxfId="7496" totalsRowDxfId="7495"/>
    <tableColumn id="12" name="(L)_x000a_Recovered_x000a_ Accounts Receivable" totalsRowFunction="sum" dataDxfId="7494" totalsRowDxfId="7493"/>
    <tableColumn id="13" name="(M)_x000a_Accounts Receivable Balance_x000a_(K + L)" totalsRowFunction="sum" dataDxfId="7492" totalsRowDxfId="7491"/>
    <tableColumn id="14" name="(N)_x000a_Net Balance_x000a_(J minus M)" totalsRowFunction="sum" dataDxfId="7490" totalsRowDxfId="74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79.xml><?xml version="1.0" encoding="utf-8"?>
<table xmlns="http://schemas.openxmlformats.org/spreadsheetml/2006/main" id="79" name="Program203" displayName="Program203" ref="A1036:N1050" totalsRowCount="1" headerRowDxfId="7488" dataDxfId="7486" totalsRowDxfId="7484" headerRowBorderDxfId="7487" tableBorderDxfId="7485" totalsRowBorderDxfId="7483">
  <autoFilter ref="A1036:N1049"/>
  <tableColumns count="14">
    <tableColumn id="1" name="(A)_x000a_Program Name" totalsRowLabel="Total Program 203" dataDxfId="7482" totalsRowDxfId="7481"/>
    <tableColumn id="2" name="(B)_x000a_Fiscal _x000a_Year" totalsRowLabel="N/A" dataDxfId="7480" totalsRowDxfId="7479"/>
    <tableColumn id="3" name="(C)_x000a_Program_x000a_Costs" totalsRowFunction="sum" dataDxfId="7478" totalsRowDxfId="7477"/>
    <tableColumn id="4" name="(D)_x000a_Prior Period Adjustments" totalsRowFunction="sum" dataDxfId="7476" totalsRowDxfId="7475"/>
    <tableColumn id="5" name="(E)_x000a_Current Period Desk _x000a_Reviews" totalsRowFunction="sum" dataDxfId="7474" totalsRowDxfId="7473"/>
    <tableColumn id="6" name="(F)_x000a_Current Period _x000a_Final _x000a_Audits" totalsRowFunction="sum" dataDxfId="7472" totalsRowDxfId="7471"/>
    <tableColumn id="7" name="(G)_x000a_Current Period _x000a_Other Adjustments" totalsRowFunction="sum" dataDxfId="7470" totalsRowDxfId="7469"/>
    <tableColumn id="8" name="(H)_x000a_Net Program Costs_x000a_Sum (C through G)" totalsRowFunction="sum" dataDxfId="7468" totalsRowDxfId="7467"/>
    <tableColumn id="9" name="(I)_x000a_Payments_x000a_ and Offsets" totalsRowFunction="sum" dataDxfId="7466" totalsRowDxfId="7465"/>
    <tableColumn id="10" name="(J)_x000a_Accounts Payable Balance_x000a_(H + I)" totalsRowFunction="sum" dataDxfId="7464" totalsRowDxfId="7463"/>
    <tableColumn id="11" name="(K)_x000a_Established _x000a_Accounts Receivable" totalsRowFunction="sum" dataDxfId="7462" totalsRowDxfId="7461"/>
    <tableColumn id="12" name="(L)_x000a_Recovered_x000a_ Accounts Receivable" totalsRowFunction="sum" dataDxfId="7460" totalsRowDxfId="7459"/>
    <tableColumn id="13" name="(M)_x000a_Accounts Receivable Balance_x000a_(K + L)" totalsRowFunction="sum" dataDxfId="7458" totalsRowDxfId="7457"/>
    <tableColumn id="14" name="(N)_x000a_Net Balance_x000a_(J minus M)" totalsRowFunction="sum" dataDxfId="7456" totalsRowDxfId="74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.xml><?xml version="1.0" encoding="utf-8"?>
<table xmlns="http://schemas.openxmlformats.org/spreadsheetml/2006/main" id="8" name="Program248" displayName="Program248" ref="A28:N41" totalsRowCount="1" headerRowDxfId="9874" dataDxfId="9872" totalsRowDxfId="9870" headerRowBorderDxfId="9873" tableBorderDxfId="9871" totalsRowBorderDxfId="9869">
  <autoFilter ref="A28:N40"/>
  <tableColumns count="14">
    <tableColumn id="1" name="(A)_x000a_Program Name" totalsRowLabel="Total Program 248" dataDxfId="9868" totalsRowDxfId="9867"/>
    <tableColumn id="2" name="(B)_x000a_Fiscal _x000a_Year" totalsRowLabel="N/A" dataDxfId="9866" totalsRowDxfId="9865"/>
    <tableColumn id="3" name="(C)_x000a_Program_x000a_Costs" totalsRowFunction="sum" dataDxfId="9864" totalsRowDxfId="9863"/>
    <tableColumn id="4" name="(D)_x000a_Prior Period Adjustments" totalsRowFunction="sum" dataDxfId="9862" totalsRowDxfId="9861"/>
    <tableColumn id="5" name="(E)_x000a_Current Period Desk _x000a_Reviews" totalsRowFunction="sum" dataDxfId="9860" totalsRowDxfId="9859"/>
    <tableColumn id="6" name="(F)_x000a_Current Period _x000a_Final _x000a_Audits" totalsRowFunction="sum" dataDxfId="9858" totalsRowDxfId="9857"/>
    <tableColumn id="7" name="(G)_x000a_Current Period _x000a_Other Adjustments" totalsRowFunction="sum" dataDxfId="9856" totalsRowDxfId="9855"/>
    <tableColumn id="8" name="(H)_x000a_Net Program Costs_x000a_Sum (C through G)" totalsRowFunction="sum" dataDxfId="9854" totalsRowDxfId="9853"/>
    <tableColumn id="9" name="(I)_x000a_Payments_x000a_ and Offsets" totalsRowFunction="sum" dataDxfId="9852" totalsRowDxfId="9851"/>
    <tableColumn id="10" name="(J)_x000a_Accounts Payable Balance_x000a_(H + I)" totalsRowFunction="sum" dataDxfId="9850" totalsRowDxfId="9849"/>
    <tableColumn id="11" name="(K)_x000a_Established _x000a_Accounts Receivable" totalsRowFunction="sum" dataDxfId="9848" totalsRowDxfId="9847"/>
    <tableColumn id="12" name="(L)_x000a_Recovered_x000a_ Accounts Receivable" totalsRowFunction="sum" dataDxfId="9846" totalsRowDxfId="9845"/>
    <tableColumn id="13" name="(M)_x000a_Accounts Receivable Balance_x000a_(K + L)" totalsRowFunction="sum" dataDxfId="9844" totalsRowDxfId="9843"/>
    <tableColumn id="14" name="(N)_x000a_Net Balance_x000a_(J minus M)" totalsRowFunction="sum" dataDxfId="9842" totalsRowDxfId="98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0.xml><?xml version="1.0" encoding="utf-8"?>
<table xmlns="http://schemas.openxmlformats.org/spreadsheetml/2006/main" id="80" name="Program281" displayName="Program281" ref="A1052:N1063" totalsRowCount="1" headerRowDxfId="7454" dataDxfId="7452" totalsRowDxfId="7450" headerRowBorderDxfId="7453" tableBorderDxfId="7451" totalsRowBorderDxfId="7449">
  <autoFilter ref="A1052:N1062"/>
  <tableColumns count="14">
    <tableColumn id="1" name="(A)_x000a_Program Name" totalsRowLabel="Total Program 281" dataDxfId="7448" totalsRowDxfId="7447"/>
    <tableColumn id="2" name="(B)_x000a_Fiscal _x000a_Year" totalsRowLabel="N/A" dataDxfId="7446" totalsRowDxfId="7445"/>
    <tableColumn id="3" name="(C)_x000a_Program_x000a_Costs" totalsRowFunction="sum" dataDxfId="7444" totalsRowDxfId="7443"/>
    <tableColumn id="4" name="(D)_x000a_Prior Period Adjustments" totalsRowFunction="sum" dataDxfId="7442" totalsRowDxfId="7441"/>
    <tableColumn id="5" name="(E)_x000a_Current Period Desk _x000a_Reviews" totalsRowFunction="sum" dataDxfId="7440" totalsRowDxfId="7439"/>
    <tableColumn id="6" name="(F)_x000a_Current Period _x000a_Final _x000a_Audits" totalsRowFunction="sum" dataDxfId="7438" totalsRowDxfId="7437"/>
    <tableColumn id="7" name="(G)_x000a_Current Period _x000a_Other Adjustments" totalsRowFunction="sum" dataDxfId="7436" totalsRowDxfId="7435"/>
    <tableColumn id="8" name="(H)_x000a_Net Program Costs_x000a_Sum (C through G)" totalsRowFunction="sum" dataDxfId="7434" totalsRowDxfId="7433"/>
    <tableColumn id="9" name="(I)_x000a_Payments_x000a_ and Offsets" totalsRowFunction="sum" dataDxfId="7432" totalsRowDxfId="7431"/>
    <tableColumn id="10" name="(J)_x000a_Accounts Payable Balance_x000a_(H + I)" totalsRowFunction="sum" dataDxfId="7430" totalsRowDxfId="7429"/>
    <tableColumn id="11" name="(K)_x000a_Established _x000a_Accounts Receivable" totalsRowFunction="sum" dataDxfId="7428" totalsRowDxfId="7427"/>
    <tableColumn id="12" name="(L)_x000a_Recovered_x000a_ Accounts Receivable" totalsRowFunction="sum" dataDxfId="7426" totalsRowDxfId="7425"/>
    <tableColumn id="13" name="(M)_x000a_Accounts Receivable Balance_x000a_(K + L)" totalsRowFunction="sum" dataDxfId="7424" totalsRowDxfId="7423"/>
    <tableColumn id="14" name="(N)_x000a_Net Balance_x000a_(J minus M)" totalsRowFunction="sum" dataDxfId="7422" totalsRowDxfId="74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1.xml><?xml version="1.0" encoding="utf-8"?>
<table xmlns="http://schemas.openxmlformats.org/spreadsheetml/2006/main" id="81" name="Program039" displayName="Program039" ref="A1065:N1085" totalsRowCount="1" headerRowDxfId="7420" dataDxfId="7418" totalsRowDxfId="7416" headerRowBorderDxfId="7419" tableBorderDxfId="7417" totalsRowBorderDxfId="7415">
  <autoFilter ref="A1065:N1084"/>
  <tableColumns count="14">
    <tableColumn id="1" name="(A)_x000a_Program Name" totalsRowLabel="Total Program 39" dataDxfId="7414" totalsRowDxfId="7413"/>
    <tableColumn id="2" name="(B)_x000a_Fiscal _x000a_Year" totalsRowLabel="N/A" dataDxfId="7412" totalsRowDxfId="7411"/>
    <tableColumn id="3" name="(C)_x000a_Program_x000a_Costs" totalsRowFunction="sum" dataDxfId="7410" totalsRowDxfId="7409"/>
    <tableColumn id="4" name="(D)_x000a_Prior Period Adjustments" totalsRowFunction="sum" dataDxfId="7408" totalsRowDxfId="7407"/>
    <tableColumn id="5" name="(E)_x000a_Current Period Desk _x000a_Reviews" totalsRowFunction="sum" dataDxfId="7406" totalsRowDxfId="7405"/>
    <tableColumn id="6" name="(F)_x000a_Current Period _x000a_Final _x000a_Audits" totalsRowFunction="sum" dataDxfId="7404" totalsRowDxfId="7403"/>
    <tableColumn id="7" name="(G)_x000a_Current Period _x000a_Other Adjustments" totalsRowFunction="sum" dataDxfId="7402" totalsRowDxfId="7401"/>
    <tableColumn id="8" name="(H)_x000a_Net Program Costs_x000a_Sum (C through G)" totalsRowFunction="sum" dataDxfId="7400" totalsRowDxfId="7399"/>
    <tableColumn id="9" name="(I)_x000a_Payments_x000a_ and Offsets" totalsRowFunction="sum" dataDxfId="7398" totalsRowDxfId="7397"/>
    <tableColumn id="10" name="(J)_x000a_Accounts Payable Balance_x000a_(H + I)" totalsRowFunction="sum" dataDxfId="7396" totalsRowDxfId="7395"/>
    <tableColumn id="11" name="(K)_x000a_Established _x000a_Accounts Receivable" totalsRowFunction="sum" dataDxfId="7394" totalsRowDxfId="7393"/>
    <tableColumn id="12" name="(L)_x000a_Recovered_x000a_ Accounts Receivable" totalsRowFunction="sum" dataDxfId="7392" totalsRowDxfId="7391"/>
    <tableColumn id="13" name="(M)_x000a_Accounts Receivable Balance_x000a_(K + L)" totalsRowFunction="sum" dataDxfId="7390" totalsRowDxfId="7389"/>
    <tableColumn id="14" name="(N)_x000a_Net Balance_x000a_(J minus M)" totalsRowFunction="sum" dataDxfId="7388" totalsRowDxfId="73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2.xml><?xml version="1.0" encoding="utf-8"?>
<table xmlns="http://schemas.openxmlformats.org/spreadsheetml/2006/main" id="82" name="Program066" displayName="Program066" ref="A1087:N1107" totalsRowCount="1" headerRowDxfId="7386" dataDxfId="7384" totalsRowDxfId="7382" headerRowBorderDxfId="7385" tableBorderDxfId="7383" totalsRowBorderDxfId="7381">
  <autoFilter ref="A1087:N1106"/>
  <tableColumns count="14">
    <tableColumn id="1" name="(A)_x000a_Program Name" totalsRowLabel="Total Program 66" dataDxfId="7380" totalsRowDxfId="7379"/>
    <tableColumn id="2" name="(B)_x000a_Fiscal _x000a_Year" totalsRowLabel="N/A" dataDxfId="7378" totalsRowDxfId="7377"/>
    <tableColumn id="3" name="(C)_x000a_Program_x000a_Costs" totalsRowFunction="sum" dataDxfId="7376" totalsRowDxfId="7375"/>
    <tableColumn id="4" name="(D)_x000a_Prior Period Adjustments" totalsRowFunction="sum" dataDxfId="7374" totalsRowDxfId="7373"/>
    <tableColumn id="5" name="(E)_x000a_Current Period Desk _x000a_Reviews" totalsRowFunction="sum" dataDxfId="7372" totalsRowDxfId="7371"/>
    <tableColumn id="6" name="(F)_x000a_Current Period _x000a_Final _x000a_Audits" totalsRowFunction="sum" dataDxfId="7370" totalsRowDxfId="7369"/>
    <tableColumn id="7" name="(G)_x000a_Current Period _x000a_Other Adjustments" totalsRowFunction="sum" dataDxfId="7368" totalsRowDxfId="7367"/>
    <tableColumn id="8" name="(H)_x000a_Net Program Costs_x000a_Sum (C through G)" totalsRowFunction="sum" dataDxfId="7366" totalsRowDxfId="7365"/>
    <tableColumn id="9" name="(I)_x000a_Payments_x000a_ and Offsets" totalsRowFunction="sum" dataDxfId="7364" totalsRowDxfId="7363"/>
    <tableColumn id="10" name="(J)_x000a_Accounts Payable Balance_x000a_(H + I)" totalsRowFunction="sum" dataDxfId="7362" totalsRowDxfId="7361"/>
    <tableColumn id="11" name="(K)_x000a_Established _x000a_Accounts Receivable" totalsRowFunction="sum" dataDxfId="7360" totalsRowDxfId="7359"/>
    <tableColumn id="12" name="(L)_x000a_Recovered_x000a_ Accounts Receivable" totalsRowFunction="sum" dataDxfId="7358" totalsRowDxfId="7357"/>
    <tableColumn id="13" name="(M)_x000a_Accounts Receivable Balance_x000a_(K + L)" totalsRowFunction="sum" dataDxfId="7356" totalsRowDxfId="7355"/>
    <tableColumn id="14" name="(N)_x000a_Net Balance_x000a_(J minus M)" totalsRowFunction="sum" dataDxfId="7354" totalsRowDxfId="73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3.xml><?xml version="1.0" encoding="utf-8"?>
<table xmlns="http://schemas.openxmlformats.org/spreadsheetml/2006/main" id="83" name="Program138" displayName="Program138" ref="A1109:N1121" totalsRowCount="1" headerRowDxfId="7352" dataDxfId="7350" totalsRowDxfId="7348" headerRowBorderDxfId="7351" tableBorderDxfId="7349" totalsRowBorderDxfId="7347">
  <autoFilter ref="A1109:N1120"/>
  <tableColumns count="14">
    <tableColumn id="1" name="(A)_x000a_Program Name" totalsRowLabel="Total Program 138" dataDxfId="7346" totalsRowDxfId="7345"/>
    <tableColumn id="2" name="(B)_x000a_Fiscal _x000a_Year" totalsRowLabel="N/A" dataDxfId="7344" totalsRowDxfId="7343"/>
    <tableColumn id="3" name="(C)_x000a_Program_x000a_Costs" totalsRowFunction="sum" dataDxfId="7342" totalsRowDxfId="7341"/>
    <tableColumn id="4" name="(D)_x000a_Prior Period Adjustments" totalsRowFunction="sum" dataDxfId="7340" totalsRowDxfId="7339"/>
    <tableColumn id="5" name="(E)_x000a_Current Period Desk _x000a_Reviews" totalsRowFunction="sum" dataDxfId="7338" totalsRowDxfId="7337"/>
    <tableColumn id="6" name="(F)_x000a_Current Period _x000a_Final _x000a_Audits" totalsRowFunction="sum" dataDxfId="7336" totalsRowDxfId="7335"/>
    <tableColumn id="7" name="(G)_x000a_Current Period _x000a_Other Adjustments" totalsRowFunction="sum" dataDxfId="7334" totalsRowDxfId="7333"/>
    <tableColumn id="8" name="(H)_x000a_Net Program Costs_x000a_Sum (C through G)" totalsRowFunction="sum" dataDxfId="7332" totalsRowDxfId="7331"/>
    <tableColumn id="9" name="(I)_x000a_Payments_x000a_ and Offsets" totalsRowFunction="sum" dataDxfId="7330" totalsRowDxfId="7329"/>
    <tableColumn id="10" name="(J)_x000a_Accounts Payable Balance_x000a_(H + I)" totalsRowFunction="sum" dataDxfId="7328" totalsRowDxfId="7327"/>
    <tableColumn id="11" name="(K)_x000a_Established _x000a_Accounts Receivable" totalsRowFunction="sum" dataDxfId="7326" totalsRowDxfId="7325"/>
    <tableColumn id="12" name="(L)_x000a_Recovered_x000a_ Accounts Receivable" totalsRowFunction="sum" dataDxfId="7324" totalsRowDxfId="7323"/>
    <tableColumn id="13" name="(M)_x000a_Accounts Receivable Balance_x000a_(K + L)" totalsRowFunction="sum" dataDxfId="7322" totalsRowDxfId="7321"/>
    <tableColumn id="14" name="(N)_x000a_Net Balance_x000a_(J minus M)" totalsRowFunction="sum" dataDxfId="7320" totalsRowDxfId="73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4.xml><?xml version="1.0" encoding="utf-8"?>
<table xmlns="http://schemas.openxmlformats.org/spreadsheetml/2006/main" id="84" name="Program112" displayName="Program112" ref="A1123:N1127" totalsRowCount="1" headerRowDxfId="7318" dataDxfId="7316" totalsRowDxfId="7314" headerRowBorderDxfId="7317" tableBorderDxfId="7315" totalsRowBorderDxfId="7313">
  <autoFilter ref="A1123:N1126"/>
  <tableColumns count="14">
    <tableColumn id="1" name="(A)_x000a_Program Name" totalsRowLabel="Total Program 112" dataDxfId="7312" totalsRowDxfId="7311"/>
    <tableColumn id="2" name="(B)_x000a_Fiscal _x000a_Year" totalsRowLabel="N/A" dataDxfId="7310" totalsRowDxfId="7309"/>
    <tableColumn id="3" name="(C)_x000a_Program_x000a_Costs" totalsRowFunction="sum" dataDxfId="7308" totalsRowDxfId="7307"/>
    <tableColumn id="4" name="(D)_x000a_Prior Period Adjustments" totalsRowFunction="sum" dataDxfId="7306" totalsRowDxfId="7305"/>
    <tableColumn id="5" name="(E)_x000a_Current Period Desk _x000a_Reviews" totalsRowFunction="sum" dataDxfId="7304" totalsRowDxfId="7303"/>
    <tableColumn id="6" name="(F)_x000a_Current Period _x000a_Final _x000a_Audits" totalsRowFunction="sum" dataDxfId="7302" totalsRowDxfId="7301"/>
    <tableColumn id="7" name="(G)_x000a_Current Period _x000a_Other Adjustments" totalsRowFunction="sum" dataDxfId="7300" totalsRowDxfId="7299"/>
    <tableColumn id="8" name="(H)_x000a_Net Program Costs_x000a_Sum (C through G)" totalsRowFunction="sum" dataDxfId="7298" totalsRowDxfId="7297"/>
    <tableColumn id="9" name="(I)_x000a_Payments_x000a_ and Offsets" totalsRowFunction="sum" dataDxfId="7296" totalsRowDxfId="7295"/>
    <tableColumn id="10" name="(J)_x000a_Accounts Payable Balance_x000a_(H + I)" totalsRowFunction="sum" dataDxfId="7294" totalsRowDxfId="7293"/>
    <tableColumn id="11" name="(K)_x000a_Established _x000a_Accounts Receivable" totalsRowFunction="sum" dataDxfId="7292" totalsRowDxfId="7291"/>
    <tableColumn id="12" name="(L)_x000a_Recovered_x000a_ Accounts Receivable" totalsRowFunction="sum" dataDxfId="7290" totalsRowDxfId="7289"/>
    <tableColumn id="13" name="(M)_x000a_Accounts Receivable Balance_x000a_(K + L)" totalsRowFunction="sum" dataDxfId="7288" totalsRowDxfId="7287"/>
    <tableColumn id="14" name="(N)_x000a_Net Balance_x000a_(J minus M)" totalsRowFunction="sum" dataDxfId="7286" totalsRowDxfId="72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5.xml><?xml version="1.0" encoding="utf-8"?>
<table xmlns="http://schemas.openxmlformats.org/spreadsheetml/2006/main" id="85" name="Program323" displayName="Program323" ref="A1129:N1137" totalsRowCount="1" headerRowDxfId="7284" dataDxfId="7282" totalsRowDxfId="7280" headerRowBorderDxfId="7283" tableBorderDxfId="7281" totalsRowBorderDxfId="7279">
  <autoFilter ref="A1129:N1136"/>
  <tableColumns count="14">
    <tableColumn id="1" name="(A)_x000a_Program Name" totalsRowLabel="Total Program 323" dataDxfId="7278" totalsRowDxfId="7277"/>
    <tableColumn id="2" name="(B)_x000a_Fiscal _x000a_Year" totalsRowLabel="N/A" dataDxfId="7276" totalsRowDxfId="7275"/>
    <tableColumn id="3" name="(C)_x000a_Program_x000a_Costs" totalsRowFunction="sum" dataDxfId="7274" totalsRowDxfId="7273"/>
    <tableColumn id="4" name="(D)_x000a_Prior Period Adjustments" totalsRowFunction="sum" dataDxfId="7272" totalsRowDxfId="7271"/>
    <tableColumn id="5" name="(E)_x000a_Current Period Desk _x000a_Reviews" totalsRowFunction="sum" dataDxfId="7270" totalsRowDxfId="7269"/>
    <tableColumn id="6" name="(F)_x000a_Current Period _x000a_Final _x000a_Audits" totalsRowFunction="sum" dataDxfId="7268" totalsRowDxfId="7267"/>
    <tableColumn id="7" name="(G)_x000a_Current Period _x000a_Other Adjustments" totalsRowFunction="sum" dataDxfId="7266" totalsRowDxfId="7265"/>
    <tableColumn id="8" name="(H)_x000a_Net Program Costs_x000a_Sum (C through G)" totalsRowFunction="sum" dataDxfId="7264" totalsRowDxfId="7263"/>
    <tableColumn id="9" name="(I)_x000a_Payments_x000a_ and Offsets" totalsRowFunction="sum" dataDxfId="7262" totalsRowDxfId="7261"/>
    <tableColumn id="10" name="(J)_x000a_Accounts Payable Balance_x000a_(H + I)" totalsRowFunction="sum" dataDxfId="7260" totalsRowDxfId="7259"/>
    <tableColumn id="11" name="(K)_x000a_Established _x000a_Accounts Receivable" totalsRowFunction="sum" dataDxfId="7258" totalsRowDxfId="7257"/>
    <tableColumn id="12" name="(L)_x000a_Recovered_x000a_ Accounts Receivable" totalsRowFunction="sum" dataDxfId="7256" totalsRowDxfId="7255"/>
    <tableColumn id="13" name="(M)_x000a_Accounts Receivable Balance_x000a_(K + L)" totalsRowFunction="sum" dataDxfId="7254" totalsRowDxfId="7253"/>
    <tableColumn id="14" name="(N)_x000a_Net Balance_x000a_(J minus M)" totalsRowFunction="sum" dataDxfId="7252" totalsRowDxfId="72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6.xml><?xml version="1.0" encoding="utf-8"?>
<table xmlns="http://schemas.openxmlformats.org/spreadsheetml/2006/main" id="86" name="Program314" displayName="Program314" ref="A1139:N1152" totalsRowCount="1" headerRowDxfId="7250" dataDxfId="7248" totalsRowDxfId="7246" headerRowBorderDxfId="7249" tableBorderDxfId="7247" totalsRowBorderDxfId="7245">
  <autoFilter ref="A1139:N1151"/>
  <tableColumns count="14">
    <tableColumn id="1" name="(A)_x000a_Program Name" totalsRowLabel="Total Program 314" dataDxfId="7244" totalsRowDxfId="7243"/>
    <tableColumn id="2" name="(B)_x000a_Fiscal _x000a_Year" totalsRowLabel="N/A" dataDxfId="7242" totalsRowDxfId="7241"/>
    <tableColumn id="3" name="(C)_x000a_Program_x000a_Costs" totalsRowFunction="sum" dataDxfId="7240" totalsRowDxfId="7239"/>
    <tableColumn id="4" name="(D)_x000a_Prior Period Adjustments" totalsRowFunction="sum" dataDxfId="7238" totalsRowDxfId="7237"/>
    <tableColumn id="5" name="(E)_x000a_Current Period Desk _x000a_Reviews" totalsRowFunction="sum" dataDxfId="7236" totalsRowDxfId="7235"/>
    <tableColumn id="6" name="(F)_x000a_Current Period _x000a_Final _x000a_Audits" totalsRowFunction="sum" dataDxfId="7234" totalsRowDxfId="7233"/>
    <tableColumn id="7" name="(G)_x000a_Current Period _x000a_Other Adjustments" totalsRowFunction="sum" dataDxfId="7232" totalsRowDxfId="7231"/>
    <tableColumn id="8" name="(H)_x000a_Net Program Costs_x000a_Sum (C through G)" totalsRowFunction="sum" dataDxfId="7230" totalsRowDxfId="7229"/>
    <tableColumn id="9" name="(I)_x000a_Payments_x000a_ and Offsets" totalsRowFunction="sum" dataDxfId="7228" totalsRowDxfId="7227"/>
    <tableColumn id="10" name="(J)_x000a_Accounts Payable Balance_x000a_(H + I)" totalsRowFunction="sum" dataDxfId="7226" totalsRowDxfId="7225"/>
    <tableColumn id="11" name="(K)_x000a_Established _x000a_Accounts Receivable" totalsRowFunction="sum" dataDxfId="7224" totalsRowDxfId="7223"/>
    <tableColumn id="12" name="(L)_x000a_Recovered_x000a_ Accounts Receivable" totalsRowFunction="sum" dataDxfId="7222" totalsRowDxfId="7221"/>
    <tableColumn id="13" name="(M)_x000a_Accounts Receivable Balance_x000a_(K + L)" totalsRowFunction="sum" dataDxfId="7220" totalsRowDxfId="7219"/>
    <tableColumn id="14" name="(N)_x000a_Net Balance_x000a_(J minus M)" totalsRowFunction="sum" dataDxfId="7218" totalsRowDxfId="72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7.xml><?xml version="1.0" encoding="utf-8"?>
<table xmlns="http://schemas.openxmlformats.org/spreadsheetml/2006/main" id="87" name="Program147" displayName="Program147" ref="A1154:N1177" totalsRowCount="1" headerRowDxfId="7216" dataDxfId="7214" totalsRowDxfId="7212" headerRowBorderDxfId="7215" tableBorderDxfId="7213" totalsRowBorderDxfId="7211">
  <autoFilter ref="A1154:N1176"/>
  <tableColumns count="14">
    <tableColumn id="1" name="(A)_x000a_Program Name" totalsRowLabel="Total Program 147" dataDxfId="7210" totalsRowDxfId="7209"/>
    <tableColumn id="2" name="(B)_x000a_Fiscal _x000a_Year" totalsRowLabel="N/A" dataDxfId="7208" totalsRowDxfId="7207"/>
    <tableColumn id="3" name="(C)_x000a_Program_x000a_Costs" totalsRowFunction="sum" dataDxfId="7206" totalsRowDxfId="7205"/>
    <tableColumn id="4" name="(D)_x000a_Prior Period Adjustments" totalsRowFunction="sum" dataDxfId="7204" totalsRowDxfId="7203"/>
    <tableColumn id="5" name="(E)_x000a_Current Period Desk _x000a_Reviews" totalsRowFunction="sum" dataDxfId="7202" totalsRowDxfId="7201"/>
    <tableColumn id="6" name="(F)_x000a_Current Period _x000a_Final _x000a_Audits" totalsRowFunction="sum" dataDxfId="7200" totalsRowDxfId="7199"/>
    <tableColumn id="7" name="(G)_x000a_Current Period _x000a_Other Adjustments" totalsRowFunction="sum" dataDxfId="7198" totalsRowDxfId="7197"/>
    <tableColumn id="8" name="(H)_x000a_Net Program Costs_x000a_Sum (C through G)" totalsRowFunction="sum" dataDxfId="7196" totalsRowDxfId="7195"/>
    <tableColumn id="9" name="(I)_x000a_Payments_x000a_ and Offsets" totalsRowFunction="sum" dataDxfId="7194" totalsRowDxfId="7193"/>
    <tableColumn id="10" name="(J)_x000a_Accounts Payable Balance_x000a_(H + I)" totalsRowFunction="sum" dataDxfId="7192" totalsRowDxfId="7191"/>
    <tableColumn id="11" name="(K)_x000a_Established _x000a_Accounts Receivable" totalsRowFunction="sum" dataDxfId="7190" totalsRowDxfId="7189"/>
    <tableColumn id="12" name="(L)_x000a_Recovered_x000a_ Accounts Receivable" totalsRowFunction="sum" dataDxfId="7188" totalsRowDxfId="7187"/>
    <tableColumn id="13" name="(M)_x000a_Accounts Receivable Balance_x000a_(K + L)" totalsRowFunction="sum" dataDxfId="7186" totalsRowDxfId="7185"/>
    <tableColumn id="14" name="(N)_x000a_Net Balance_x000a_(J minus M)" totalsRowFunction="sum" dataDxfId="7184" totalsRowDxfId="71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8.xml><?xml version="1.0" encoding="utf-8"?>
<table xmlns="http://schemas.openxmlformats.org/spreadsheetml/2006/main" id="88" name="Program200" displayName="Program200" ref="A1179:N1193" totalsRowCount="1" headerRowDxfId="7182" dataDxfId="7180" totalsRowDxfId="7178" headerRowBorderDxfId="7181" tableBorderDxfId="7179" totalsRowBorderDxfId="7177">
  <autoFilter ref="A1179:N1192"/>
  <tableColumns count="14">
    <tableColumn id="1" name="(A)_x000a_Program Name" totalsRowLabel="Total Program 200" dataDxfId="7176" totalsRowDxfId="7175"/>
    <tableColumn id="2" name="(B)_x000a_Fiscal _x000a_Year" totalsRowLabel="N/A" dataDxfId="7174" totalsRowDxfId="7173"/>
    <tableColumn id="3" name="(C)_x000a_Program_x000a_Costs" totalsRowFunction="sum" dataDxfId="7172" totalsRowDxfId="7171"/>
    <tableColumn id="4" name="(D)_x000a_Prior Period Adjustments" totalsRowFunction="sum" dataDxfId="7170" totalsRowDxfId="7169"/>
    <tableColumn id="5" name="(E)_x000a_Current Period Desk _x000a_Reviews" totalsRowFunction="sum" dataDxfId="7168" totalsRowDxfId="7167"/>
    <tableColumn id="6" name="(F)_x000a_Current Period _x000a_Final _x000a_Audits" totalsRowFunction="sum" dataDxfId="7166" totalsRowDxfId="7165"/>
    <tableColumn id="7" name="(G)_x000a_Current Period _x000a_Other Adjustments" totalsRowFunction="sum" dataDxfId="7164" totalsRowDxfId="7163"/>
    <tableColumn id="8" name="(H)_x000a_Net Program Costs_x000a_Sum (C through G)" totalsRowFunction="sum" dataDxfId="7162" totalsRowDxfId="7161"/>
    <tableColumn id="9" name="(I)_x000a_Payments_x000a_ and Offsets" totalsRowFunction="sum" dataDxfId="7160" totalsRowDxfId="7159"/>
    <tableColumn id="10" name="(J)_x000a_Accounts Payable Balance_x000a_(H + I)" totalsRowFunction="sum" dataDxfId="7158" totalsRowDxfId="7157"/>
    <tableColumn id="11" name="(K)_x000a_Established _x000a_Accounts Receivable" totalsRowFunction="sum" dataDxfId="7156" totalsRowDxfId="7155"/>
    <tableColumn id="12" name="(L)_x000a_Recovered_x000a_ Accounts Receivable" totalsRowFunction="sum" dataDxfId="7154" totalsRowDxfId="7153"/>
    <tableColumn id="13" name="(M)_x000a_Accounts Receivable Balance_x000a_(K + L)" totalsRowFunction="sum" dataDxfId="7152" totalsRowDxfId="7151"/>
    <tableColumn id="14" name="(N)_x000a_Net Balance_x000a_(J minus M)" totalsRowFunction="sum" dataDxfId="7150" totalsRowDxfId="71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89.xml><?xml version="1.0" encoding="utf-8"?>
<table xmlns="http://schemas.openxmlformats.org/spreadsheetml/2006/main" id="89" name="Program049" displayName="Program049" ref="A1195:N1211" totalsRowCount="1" headerRowDxfId="7148" dataDxfId="7146" totalsRowDxfId="7144" headerRowBorderDxfId="7147" tableBorderDxfId="7145" totalsRowBorderDxfId="7143">
  <autoFilter ref="A1195:N1210"/>
  <tableColumns count="14">
    <tableColumn id="1" name="(A)_x000a_Program Name" totalsRowLabel="Total Program 49" dataDxfId="7142" totalsRowDxfId="7141"/>
    <tableColumn id="2" name="(B)_x000a_Fiscal _x000a_Year" totalsRowLabel="N/A" dataDxfId="7140" totalsRowDxfId="7139"/>
    <tableColumn id="3" name="(C)_x000a_Program_x000a_Costs" totalsRowFunction="sum" dataDxfId="7138" totalsRowDxfId="7137"/>
    <tableColumn id="4" name="(D)_x000a_Prior Period Adjustments" totalsRowFunction="sum" dataDxfId="7136" totalsRowDxfId="7135"/>
    <tableColumn id="5" name="(E)_x000a_Current Period Desk _x000a_Reviews" totalsRowFunction="sum" dataDxfId="7134" totalsRowDxfId="7133"/>
    <tableColumn id="6" name="(F)_x000a_Current Period _x000a_Final _x000a_Audits" totalsRowFunction="sum" dataDxfId="7132" totalsRowDxfId="7131"/>
    <tableColumn id="7" name="(G)_x000a_Current Period _x000a_Other Adjustments" totalsRowFunction="sum" dataDxfId="7130" totalsRowDxfId="7129"/>
    <tableColumn id="8" name="(H)_x000a_Net Program Costs_x000a_Sum (C through G)" totalsRowFunction="sum" dataDxfId="7128" totalsRowDxfId="7127"/>
    <tableColumn id="9" name="(I)_x000a_Payments_x000a_ and Offsets" totalsRowFunction="sum" dataDxfId="7126" totalsRowDxfId="7125"/>
    <tableColumn id="10" name="(J)_x000a_Accounts Payable Balance_x000a_(H + I)" totalsRowFunction="sum" dataDxfId="7124" totalsRowDxfId="7123"/>
    <tableColumn id="11" name="(K)_x000a_Established _x000a_Accounts Receivable" totalsRowFunction="sum" dataDxfId="7122" totalsRowDxfId="7121"/>
    <tableColumn id="12" name="(L)_x000a_Recovered_x000a_ Accounts Receivable" totalsRowFunction="sum" dataDxfId="7120" totalsRowDxfId="7119"/>
    <tableColumn id="13" name="(M)_x000a_Accounts Receivable Balance_x000a_(K + L)" totalsRowFunction="sum" dataDxfId="7118" totalsRowDxfId="7117"/>
    <tableColumn id="14" name="(N)_x000a_Net Balance_x000a_(J minus M)" totalsRowFunction="sum" dataDxfId="7116" totalsRowDxfId="71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.xml><?xml version="1.0" encoding="utf-8"?>
<table xmlns="http://schemas.openxmlformats.org/spreadsheetml/2006/main" id="9" name="Program359" displayName="Program359" ref="A43:N46" totalsRowCount="1" headerRowDxfId="9840" dataDxfId="9838" totalsRowDxfId="9836" headerRowBorderDxfId="9839" tableBorderDxfId="9837" totalsRowBorderDxfId="9835">
  <autoFilter ref="A43:N45"/>
  <tableColumns count="14">
    <tableColumn id="1" name="(A)_x000a_Program Name" totalsRowLabel="Total Program 359" dataDxfId="9834" totalsRowDxfId="9833"/>
    <tableColumn id="2" name="(B)_x000a_Fiscal _x000a_Year" totalsRowLabel="N/A" dataDxfId="9832" totalsRowDxfId="9831"/>
    <tableColumn id="3" name="(C)_x000a_Program_x000a_Costs" totalsRowFunction="sum" dataDxfId="9830" totalsRowDxfId="9829"/>
    <tableColumn id="4" name="(D)_x000a_Prior Period Adjustments" totalsRowFunction="sum" dataDxfId="9828" totalsRowDxfId="9827"/>
    <tableColumn id="5" name="(E)_x000a_Current Period Desk _x000a_Reviews" totalsRowFunction="sum" dataDxfId="9826" totalsRowDxfId="9825"/>
    <tableColumn id="6" name="(F)_x000a_Current Period _x000a_Final _x000a_Audits" totalsRowFunction="sum" dataDxfId="9824" totalsRowDxfId="9823"/>
    <tableColumn id="7" name="(G)_x000a_Current Period _x000a_Other Adjustments" totalsRowFunction="sum" dataDxfId="9822" totalsRowDxfId="9821"/>
    <tableColumn id="8" name="(H)_x000a_Net Program Costs_x000a_Sum (C through G)" totalsRowFunction="sum" dataDxfId="9820" totalsRowDxfId="9819"/>
    <tableColumn id="9" name="(I)_x000a_Payments_x000a_ and Offsets" totalsRowFunction="sum" dataDxfId="9818" totalsRowDxfId="9817"/>
    <tableColumn id="10" name="(J)_x000a_Accounts Payable Balance_x000a_(H + I)" totalsRowFunction="sum" dataDxfId="9816" totalsRowDxfId="9815"/>
    <tableColumn id="11" name="(K)_x000a_Established _x000a_Accounts Receivable" totalsRowFunction="sum" dataDxfId="9814" totalsRowDxfId="9813"/>
    <tableColumn id="12" name="(L)_x000a_Recovered_x000a_ Accounts Receivable" totalsRowFunction="sum" dataDxfId="9812" totalsRowDxfId="9811"/>
    <tableColumn id="13" name="(M)_x000a_Accounts Receivable Balance_x000a_(K + L)" totalsRowFunction="sum" dataDxfId="9810" totalsRowDxfId="9809"/>
    <tableColumn id="14" name="(N)_x000a_Net Balance_x000a_(J minus M)" totalsRowFunction="sum" dataDxfId="9808" totalsRowDxfId="98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0.xml><?xml version="1.0" encoding="utf-8"?>
<table xmlns="http://schemas.openxmlformats.org/spreadsheetml/2006/main" id="90" name="Program202" displayName="Program202" ref="A1213:N1219" totalsRowCount="1" headerRowDxfId="7114" dataDxfId="7112" totalsRowDxfId="7110" headerRowBorderDxfId="7113" tableBorderDxfId="7111" totalsRowBorderDxfId="7109">
  <autoFilter ref="A1213:N1218"/>
  <tableColumns count="14">
    <tableColumn id="1" name="(A)_x000a_Program Name" totalsRowLabel="Total Program 202" dataDxfId="7108" totalsRowDxfId="7107"/>
    <tableColumn id="2" name="(B)_x000a_Fiscal _x000a_Year" totalsRowLabel="N/A" dataDxfId="7106" totalsRowDxfId="7105"/>
    <tableColumn id="3" name="(C)_x000a_Program_x000a_Costs" totalsRowFunction="sum" dataDxfId="7104" totalsRowDxfId="7103"/>
    <tableColumn id="4" name="(D)_x000a_Prior Period Adjustments" totalsRowFunction="sum" dataDxfId="7102" totalsRowDxfId="7101"/>
    <tableColumn id="5" name="(E)_x000a_Current Period Desk _x000a_Reviews" totalsRowFunction="sum" dataDxfId="7100" totalsRowDxfId="7099"/>
    <tableColumn id="6" name="(F)_x000a_Current Period _x000a_Final _x000a_Audits" totalsRowFunction="sum" dataDxfId="7098" totalsRowDxfId="7097"/>
    <tableColumn id="7" name="(G)_x000a_Current Period _x000a_Other Adjustments" totalsRowFunction="sum" dataDxfId="7096" totalsRowDxfId="7095"/>
    <tableColumn id="8" name="(H)_x000a_Net Program Costs_x000a_Sum (C through G)" totalsRowFunction="sum" dataDxfId="7094" totalsRowDxfId="7093"/>
    <tableColumn id="9" name="(I)_x000a_Payments_x000a_ and Offsets" totalsRowFunction="sum" dataDxfId="7092" totalsRowDxfId="7091"/>
    <tableColumn id="10" name="(J)_x000a_Accounts Payable Balance_x000a_(H + I)" totalsRowFunction="sum" dataDxfId="7090" totalsRowDxfId="7089"/>
    <tableColumn id="11" name="(K)_x000a_Established _x000a_Accounts Receivable" totalsRowFunction="sum" dataDxfId="7088" totalsRowDxfId="7087"/>
    <tableColumn id="12" name="(L)_x000a_Recovered_x000a_ Accounts Receivable" totalsRowFunction="sum" dataDxfId="7086" totalsRowDxfId="7085"/>
    <tableColumn id="13" name="(M)_x000a_Accounts Receivable Balance_x000a_(K + L)" totalsRowFunction="sum" dataDxfId="7084" totalsRowDxfId="7083"/>
    <tableColumn id="14" name="(N)_x000a_Net Balance_x000a_(J minus M)" totalsRowFunction="sum" dataDxfId="7082" totalsRowDxfId="70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1.xml><?xml version="1.0" encoding="utf-8"?>
<table xmlns="http://schemas.openxmlformats.org/spreadsheetml/2006/main" id="91" name="Program219" displayName="Program219" ref="A1221:N1241" totalsRowCount="1" headerRowDxfId="7080" dataDxfId="7078" totalsRowDxfId="7076" headerRowBorderDxfId="7079" tableBorderDxfId="7077" totalsRowBorderDxfId="7075">
  <autoFilter ref="A1221:N1240"/>
  <tableColumns count="14">
    <tableColumn id="1" name="(A)_x000a_Program Name" totalsRowLabel="Total Program 219" dataDxfId="7074" totalsRowDxfId="7073"/>
    <tableColumn id="2" name="(B)_x000a_Fiscal _x000a_Year" totalsRowLabel="N/A" dataDxfId="7072" totalsRowDxfId="7071"/>
    <tableColumn id="3" name="(C)_x000a_Program_x000a_Costs" totalsRowFunction="sum" dataDxfId="7070" totalsRowDxfId="7069"/>
    <tableColumn id="4" name="(D)_x000a_Prior Period Adjustments" totalsRowFunction="sum" dataDxfId="7068" totalsRowDxfId="7067"/>
    <tableColumn id="5" name="(E)_x000a_Current Period Desk _x000a_Reviews" totalsRowFunction="sum" dataDxfId="7066" totalsRowDxfId="7065"/>
    <tableColumn id="6" name="(F)_x000a_Current Period _x000a_Final _x000a_Audits" totalsRowFunction="sum" dataDxfId="7064" totalsRowDxfId="7063"/>
    <tableColumn id="7" name="(G)_x000a_Current Period _x000a_Other Adjustments" totalsRowFunction="sum" dataDxfId="7062" totalsRowDxfId="7061"/>
    <tableColumn id="8" name="(H)_x000a_Net Program Costs_x000a_Sum (C through G)" totalsRowFunction="sum" dataDxfId="7060" totalsRowDxfId="7059"/>
    <tableColumn id="9" name="(I)_x000a_Payments_x000a_ and Offsets" totalsRowFunction="sum" dataDxfId="7058" totalsRowDxfId="7057"/>
    <tableColumn id="10" name="(J)_x000a_Accounts Payable Balance_x000a_(H + I)" totalsRowFunction="sum" dataDxfId="7056" totalsRowDxfId="7055"/>
    <tableColumn id="11" name="(K)_x000a_Established _x000a_Accounts Receivable" totalsRowFunction="sum" dataDxfId="7054" totalsRowDxfId="7053"/>
    <tableColumn id="12" name="(L)_x000a_Recovered_x000a_ Accounts Receivable" totalsRowFunction="sum" dataDxfId="7052" totalsRowDxfId="7051"/>
    <tableColumn id="13" name="(M)_x000a_Accounts Receivable Balance_x000a_(K + L)" totalsRowFunction="sum" dataDxfId="7050" totalsRowDxfId="7049"/>
    <tableColumn id="14" name="(N)_x000a_Net Balance_x000a_(J minus M)" totalsRowFunction="sum" dataDxfId="7048" totalsRowDxfId="70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2.xml><?xml version="1.0" encoding="utf-8"?>
<table xmlns="http://schemas.openxmlformats.org/spreadsheetml/2006/main" id="92" name="Program122" displayName="Program122" ref="A1243:N1262" totalsRowCount="1" headerRowDxfId="7046" dataDxfId="7044" totalsRowDxfId="7042" headerRowBorderDxfId="7045" tableBorderDxfId="7043" totalsRowBorderDxfId="7041">
  <autoFilter ref="A1243:N1261"/>
  <tableColumns count="14">
    <tableColumn id="1" name="(A)_x000a_Program Name" totalsRowLabel="Total Program 122" dataDxfId="7040" totalsRowDxfId="7039"/>
    <tableColumn id="2" name="(B)_x000a_Fiscal _x000a_Year" totalsRowLabel="N/A" dataDxfId="7038" totalsRowDxfId="7037"/>
    <tableColumn id="3" name="(C)_x000a_Program_x000a_Costs" totalsRowFunction="sum" dataDxfId="7036" totalsRowDxfId="7035"/>
    <tableColumn id="4" name="(D)_x000a_Prior Period Adjustments" totalsRowFunction="sum" dataDxfId="7034" totalsRowDxfId="7033"/>
    <tableColumn id="5" name="(E)_x000a_Current Period Desk _x000a_Reviews" totalsRowFunction="sum" dataDxfId="7032" totalsRowDxfId="7031"/>
    <tableColumn id="6" name="(F)_x000a_Current Period _x000a_Final _x000a_Audits" totalsRowFunction="sum" dataDxfId="7030" totalsRowDxfId="7029"/>
    <tableColumn id="7" name="(G)_x000a_Current Period _x000a_Other Adjustments" totalsRowFunction="sum" dataDxfId="7028" totalsRowDxfId="7027"/>
    <tableColumn id="8" name="(H)_x000a_Net Program Costs_x000a_Sum (C through G)" totalsRowFunction="sum" dataDxfId="7026" totalsRowDxfId="7025"/>
    <tableColumn id="9" name="(I)_x000a_Payments_x000a_ and Offsets" totalsRowFunction="sum" dataDxfId="7024" totalsRowDxfId="7023"/>
    <tableColumn id="10" name="(J)_x000a_Accounts Payable Balance_x000a_(H + I)" totalsRowFunction="sum" dataDxfId="7022" totalsRowDxfId="7021"/>
    <tableColumn id="11" name="(K)_x000a_Established _x000a_Accounts Receivable" totalsRowFunction="sum" dataDxfId="7020" totalsRowDxfId="7019"/>
    <tableColumn id="12" name="(L)_x000a_Recovered_x000a_ Accounts Receivable" totalsRowFunction="sum" dataDxfId="7018" totalsRowDxfId="7017"/>
    <tableColumn id="13" name="(M)_x000a_Accounts Receivable Balance_x000a_(K + L)" totalsRowFunction="sum" dataDxfId="7016" totalsRowDxfId="7015"/>
    <tableColumn id="14" name="(N)_x000a_Net Balance_x000a_(J minus M)" totalsRowFunction="sum" dataDxfId="7014" totalsRowDxfId="70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3.xml><?xml version="1.0" encoding="utf-8"?>
<table xmlns="http://schemas.openxmlformats.org/spreadsheetml/2006/main" id="93" name="Program373" displayName="Program373" ref="A1264:N1269" totalsRowCount="1" headerRowDxfId="7012" dataDxfId="7010" totalsRowDxfId="7008" headerRowBorderDxfId="7011" tableBorderDxfId="7009" totalsRowBorderDxfId="7007">
  <autoFilter ref="A1264:N1268"/>
  <tableColumns count="14">
    <tableColumn id="1" name="(A)_x000a_Program Name" totalsRowFunction="custom" dataDxfId="7006" totalsRowDxfId="7005">
      <totalsRowFormula>[1]Locals!$A$1185</totalsRowFormula>
    </tableColumn>
    <tableColumn id="2" name="(B)_x000a_Fiscal _x000a_Year" totalsRowLabel="N/A" dataDxfId="7004" totalsRowDxfId="7003"/>
    <tableColumn id="3" name="(C)_x000a_Program_x000a_Costs" totalsRowFunction="sum" dataDxfId="7002" totalsRowDxfId="7001"/>
    <tableColumn id="4" name="(D)_x000a_Prior Period Adjustments" totalsRowFunction="sum" dataDxfId="7000" totalsRowDxfId="6999"/>
    <tableColumn id="5" name="(E)_x000a_Current Period Desk _x000a_Reviews" totalsRowFunction="sum" dataDxfId="6998" totalsRowDxfId="6997"/>
    <tableColumn id="6" name="(F)_x000a_Current Period _x000a_Final _x000a_Audits" totalsRowFunction="sum" dataDxfId="6996" totalsRowDxfId="6995"/>
    <tableColumn id="7" name="(G)_x000a_Current Period _x000a_Other Adjustments" totalsRowFunction="sum" dataDxfId="6994" totalsRowDxfId="6993"/>
    <tableColumn id="8" name="(H)_x000a_Net Program Costs_x000a_Sum (C through G)" totalsRowFunction="sum" dataDxfId="6992" totalsRowDxfId="6991"/>
    <tableColumn id="9" name="(I)_x000a_Payments_x000a_ and Offsets" totalsRowFunction="sum" dataDxfId="6990" totalsRowDxfId="6989"/>
    <tableColumn id="10" name="(J)_x000a_Accounts Payable Balance_x000a_(H + I)" totalsRowFunction="sum" dataDxfId="6988" totalsRowDxfId="6987"/>
    <tableColumn id="11" name="(K)_x000a_Established _x000a_Accounts Receivable" totalsRowFunction="sum" dataDxfId="6986" totalsRowDxfId="6985"/>
    <tableColumn id="12" name="(L)_x000a_Recovered_x000a_ Accounts Receivable" totalsRowFunction="sum" dataDxfId="6984" totalsRowDxfId="6983"/>
    <tableColumn id="13" name="(M)_x000a_Accounts Receivable Balance_x000a_(K + L)" totalsRowFunction="sum" dataDxfId="6982" totalsRowDxfId="6981"/>
    <tableColumn id="14" name="(N)_x000a_Net Balance_x000a_(J minus M)" totalsRowFunction="sum" dataDxfId="6980" totalsRowDxfId="69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4.xml><?xml version="1.0" encoding="utf-8"?>
<table xmlns="http://schemas.openxmlformats.org/spreadsheetml/2006/main" id="94" name="Program118" displayName="Program118" ref="A1271:N1290" totalsRowCount="1" headerRowDxfId="6978" dataDxfId="6976" totalsRowDxfId="6974" headerRowBorderDxfId="6977" tableBorderDxfId="6975" totalsRowBorderDxfId="6973">
  <autoFilter ref="A1271:N1289"/>
  <tableColumns count="14">
    <tableColumn id="1" name="(A)_x000a_Program Name" totalsRowLabel="Total Program 118" dataDxfId="6972" totalsRowDxfId="6971"/>
    <tableColumn id="2" name="(B)_x000a_Fiscal _x000a_Year" totalsRowLabel="N/A" dataDxfId="6970" totalsRowDxfId="6969"/>
    <tableColumn id="3" name="(C)_x000a_Program_x000a_Costs" totalsRowFunction="sum" dataDxfId="6968" totalsRowDxfId="6967"/>
    <tableColumn id="4" name="(D)_x000a_Prior Period Adjustments" totalsRowFunction="sum" dataDxfId="6966" totalsRowDxfId="6965"/>
    <tableColumn id="5" name="(E)_x000a_Current Period Desk _x000a_Reviews" totalsRowFunction="sum" dataDxfId="6964" totalsRowDxfId="6963"/>
    <tableColumn id="6" name="(F)_x000a_Current Period _x000a_Final _x000a_Audits" totalsRowFunction="sum" dataDxfId="6962" totalsRowDxfId="6961"/>
    <tableColumn id="7" name="(G)_x000a_Current Period _x000a_Other Adjustments" totalsRowFunction="sum" dataDxfId="6960" totalsRowDxfId="6959"/>
    <tableColumn id="8" name="(H)_x000a_Net Program Costs_x000a_Sum (C through G)" totalsRowFunction="sum" dataDxfId="6958" totalsRowDxfId="6957"/>
    <tableColumn id="9" name="(I)_x000a_Payments_x000a_ and Offsets" totalsRowFunction="sum" dataDxfId="6956" totalsRowDxfId="6955"/>
    <tableColumn id="10" name="(J)_x000a_Accounts Payable Balance_x000a_(H + I)" totalsRowFunction="sum" dataDxfId="6954" totalsRowDxfId="6953"/>
    <tableColumn id="11" name="(K)_x000a_Established _x000a_Accounts Receivable" totalsRowFunction="sum" dataDxfId="6952" totalsRowDxfId="6951"/>
    <tableColumn id="12" name="(L)_x000a_Recovered_x000a_ Accounts Receivable" totalsRowFunction="sum" dataDxfId="6950" totalsRowDxfId="6949"/>
    <tableColumn id="13" name="(M)_x000a_Accounts Receivable Balance_x000a_(K + L)" totalsRowFunction="sum" dataDxfId="6948" totalsRowDxfId="6947"/>
    <tableColumn id="14" name="(N)_x000a_Net Balance_x000a_(J minus M)" totalsRowFunction="sum" dataDxfId="6946" totalsRowDxfId="69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5.xml><?xml version="1.0" encoding="utf-8"?>
<table xmlns="http://schemas.openxmlformats.org/spreadsheetml/2006/main" id="95" name="Program264" displayName="Program264" ref="A1292:N1314" totalsRowCount="1" headerRowDxfId="6944" dataDxfId="6942" totalsRowDxfId="6940" headerRowBorderDxfId="6943" tableBorderDxfId="6941" totalsRowBorderDxfId="6939">
  <autoFilter ref="A1292:N1313"/>
  <tableColumns count="14">
    <tableColumn id="1" name="(A)_x000a_Program Name" totalsRowLabel="Total Program 264" dataDxfId="6938" totalsRowDxfId="6937"/>
    <tableColumn id="2" name="(B)_x000a_Fiscal _x000a_Year" totalsRowLabel="N/A" dataDxfId="6936" totalsRowDxfId="6935"/>
    <tableColumn id="3" name="(C)_x000a_Program_x000a_Costs" totalsRowFunction="sum" dataDxfId="6934" totalsRowDxfId="6933"/>
    <tableColumn id="4" name="(D)_x000a_Prior Period Adjustments" totalsRowFunction="sum" dataDxfId="6932" totalsRowDxfId="6931"/>
    <tableColumn id="5" name="(E)_x000a_Current Period Desk _x000a_Reviews" totalsRowFunction="sum" dataDxfId="6930" totalsRowDxfId="6929"/>
    <tableColumn id="6" name="(F)_x000a_Current Period _x000a_Final _x000a_Audits" totalsRowFunction="sum" dataDxfId="6928" totalsRowDxfId="6927"/>
    <tableColumn id="7" name="(G)_x000a_Current Period _x000a_Other Adjustments" totalsRowFunction="sum" dataDxfId="6926" totalsRowDxfId="6925"/>
    <tableColumn id="8" name="(H)_x000a_Net Program Costs_x000a_Sum (C through G)" totalsRowFunction="sum" dataDxfId="6924" totalsRowDxfId="6923"/>
    <tableColumn id="9" name="(I)_x000a_Payments_x000a_ and Offsets" totalsRowFunction="sum" dataDxfId="6922" totalsRowDxfId="6921"/>
    <tableColumn id="10" name="(J)_x000a_Accounts Payable Balance_x000a_(H + I)" totalsRowFunction="sum" dataDxfId="6920" totalsRowDxfId="6919"/>
    <tableColumn id="11" name="(K)_x000a_Established _x000a_Accounts Receivable" totalsRowFunction="sum" dataDxfId="6918" totalsRowDxfId="6917"/>
    <tableColumn id="12" name="(L)_x000a_Recovered_x000a_ Accounts Receivable" totalsRowFunction="sum" dataDxfId="6916" totalsRowDxfId="6915"/>
    <tableColumn id="13" name="(M)_x000a_Accounts Receivable Balance_x000a_(K + L)" totalsRowFunction="sum" dataDxfId="6914" totalsRowDxfId="6913"/>
    <tableColumn id="14" name="(N)_x000a_Net Balance_x000a_(J minus M)" totalsRowFunction="sum" dataDxfId="6912" totalsRowDxfId="69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6.xml><?xml version="1.0" encoding="utf-8"?>
<table xmlns="http://schemas.openxmlformats.org/spreadsheetml/2006/main" id="96" name="Program187" displayName="Program187" ref="A1316:N1343" totalsRowCount="1" headerRowDxfId="6910" dataDxfId="6908" totalsRowDxfId="6906" headerRowBorderDxfId="6909" tableBorderDxfId="6907" totalsRowBorderDxfId="6905">
  <autoFilter ref="A1316:N1342"/>
  <tableColumns count="14">
    <tableColumn id="1" name="(A)_x000a_Program Name" totalsRowLabel="Total Program 187" dataDxfId="6904" totalsRowDxfId="6903"/>
    <tableColumn id="2" name="(B)_x000a_Fiscal _x000a_Year" totalsRowLabel="N/A" dataDxfId="6902" totalsRowDxfId="6901"/>
    <tableColumn id="3" name="(C)_x000a_Program_x000a_Costs" totalsRowFunction="sum" dataDxfId="6900" totalsRowDxfId="6899"/>
    <tableColumn id="4" name="(D)_x000a_Prior Period Adjustments" totalsRowFunction="sum" dataDxfId="6898" totalsRowDxfId="6897"/>
    <tableColumn id="5" name="(E)_x000a_Current Period Desk _x000a_Reviews" totalsRowFunction="sum" dataDxfId="6896" totalsRowDxfId="6895"/>
    <tableColumn id="6" name="(F)_x000a_Current Period _x000a_Final _x000a_Audits" totalsRowFunction="sum" dataDxfId="6894" totalsRowDxfId="6893"/>
    <tableColumn id="7" name="(G)_x000a_Current Period _x000a_Other Adjustments" totalsRowFunction="sum" dataDxfId="6892" totalsRowDxfId="6891"/>
    <tableColumn id="8" name="(H)_x000a_Net Program Costs_x000a_Sum (C through G)" totalsRowFunction="sum" dataDxfId="6890" totalsRowDxfId="6889"/>
    <tableColumn id="9" name="(I)_x000a_Payments_x000a_ and Offsets" totalsRowFunction="sum" dataDxfId="6888" totalsRowDxfId="6887"/>
    <tableColumn id="10" name="(J)_x000a_Accounts Payable Balance_x000a_(H + I)" totalsRowFunction="sum" dataDxfId="6886" totalsRowDxfId="6885"/>
    <tableColumn id="11" name="(K)_x000a_Established _x000a_Accounts Receivable" totalsRowFunction="sum" dataDxfId="6884" totalsRowDxfId="6883"/>
    <tableColumn id="12" name="(L)_x000a_Recovered_x000a_ Accounts Receivable" totalsRowFunction="sum" dataDxfId="6882" totalsRowDxfId="6881"/>
    <tableColumn id="13" name="(M)_x000a_Accounts Receivable Balance_x000a_(K + L)" totalsRowFunction="sum" dataDxfId="6880" totalsRowDxfId="6879"/>
    <tableColumn id="14" name="(N)_x000a_Net Balance_x000a_(J minus M)" totalsRowFunction="sum" dataDxfId="6878" totalsRowDxfId="68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7.xml><?xml version="1.0" encoding="utf-8"?>
<table xmlns="http://schemas.openxmlformats.org/spreadsheetml/2006/main" id="97" name="Program356" displayName="Program356" ref="A1345:N1364" totalsRowCount="1" headerRowDxfId="6876" dataDxfId="6874" totalsRowDxfId="6872" headerRowBorderDxfId="6875" tableBorderDxfId="6873" totalsRowBorderDxfId="6871">
  <autoFilter ref="A1345:N1363"/>
  <tableColumns count="14">
    <tableColumn id="1" name="(A)_x000a_Program Name" totalsRowLabel="Total Program 356" dataDxfId="6870" totalsRowDxfId="6869"/>
    <tableColumn id="2" name="(B)_x000a_Fiscal _x000a_Year" totalsRowLabel="N/A" dataDxfId="6868" totalsRowDxfId="6867"/>
    <tableColumn id="3" name="(C)_x000a_Program_x000a_Costs" totalsRowFunction="sum" dataDxfId="6866" totalsRowDxfId="6865"/>
    <tableColumn id="4" name="(D)_x000a_Prior Period Adjustments" totalsRowFunction="sum" dataDxfId="6864" totalsRowDxfId="6863"/>
    <tableColumn id="5" name="(E)_x000a_Current Period Desk _x000a_Reviews" totalsRowFunction="sum" dataDxfId="6862" totalsRowDxfId="6861"/>
    <tableColumn id="6" name="(F)_x000a_Current Period _x000a_Final _x000a_Audits" totalsRowFunction="sum" dataDxfId="6860" totalsRowDxfId="6859"/>
    <tableColumn id="7" name="(G)_x000a_Current Period _x000a_Other Adjustments" totalsRowFunction="sum" dataDxfId="6858" totalsRowDxfId="6857"/>
    <tableColumn id="8" name="(H)_x000a_Net Program Costs_x000a_Sum (C through G)" totalsRowFunction="sum" dataDxfId="6856" totalsRowDxfId="6855"/>
    <tableColumn id="9" name="(I)_x000a_Payments_x000a_ and Offsets" totalsRowFunction="sum" dataDxfId="6854" totalsRowDxfId="6853"/>
    <tableColumn id="10" name="(J)_x000a_Accounts Payable Balance_x000a_(H + I)" totalsRowFunction="sum" dataDxfId="6852" totalsRowDxfId="6851"/>
    <tableColumn id="11" name="(K)_x000a_Established _x000a_Accounts Receivable" totalsRowFunction="sum" dataDxfId="6850" totalsRowDxfId="6849"/>
    <tableColumn id="12" name="(L)_x000a_Recovered_x000a_ Accounts Receivable" totalsRowFunction="sum" dataDxfId="6848" totalsRowDxfId="6847"/>
    <tableColumn id="13" name="(M)_x000a_Accounts Receivable Balance_x000a_(K + L)" totalsRowFunction="sum" dataDxfId="6846" totalsRowDxfId="6845"/>
    <tableColumn id="14" name="(N)_x000a_Net Balance_x000a_(J minus M)" totalsRowFunction="sum" dataDxfId="6844" totalsRowDxfId="68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8.xml><?xml version="1.0" encoding="utf-8"?>
<table xmlns="http://schemas.openxmlformats.org/spreadsheetml/2006/main" id="98" name="Program124" displayName="Program124" ref="A1366:N1387" totalsRowCount="1" headerRowDxfId="6842" dataDxfId="6840" totalsRowDxfId="6838" headerRowBorderDxfId="6841" tableBorderDxfId="6839" totalsRowBorderDxfId="6837">
  <autoFilter ref="A1366:N1386"/>
  <tableColumns count="14">
    <tableColumn id="1" name="(A)_x000a_Program Name" totalsRowLabel="Total Program 124" dataDxfId="6836" totalsRowDxfId="6835"/>
    <tableColumn id="2" name="(B)_x000a_Fiscal _x000a_Year" totalsRowLabel="N/A" dataDxfId="6834" totalsRowDxfId="6833"/>
    <tableColumn id="3" name="(C)_x000a_Program_x000a_Costs" totalsRowFunction="sum" dataDxfId="6832" totalsRowDxfId="6831"/>
    <tableColumn id="4" name="(D)_x000a_Prior Period Adjustments" totalsRowFunction="sum" dataDxfId="6830" totalsRowDxfId="6829"/>
    <tableColumn id="5" name="(E)_x000a_Current Period Desk _x000a_Reviews" totalsRowFunction="sum" dataDxfId="6828" totalsRowDxfId="6827"/>
    <tableColumn id="6" name="(F)_x000a_Current Period _x000a_Final _x000a_Audits" totalsRowFunction="sum" dataDxfId="6826" totalsRowDxfId="6825"/>
    <tableColumn id="7" name="(G)_x000a_Current Period _x000a_Other Adjustments" totalsRowFunction="sum" dataDxfId="6824" totalsRowDxfId="6823"/>
    <tableColumn id="8" name="(H)_x000a_Net Program Costs_x000a_Sum (C through G)" totalsRowFunction="sum" dataDxfId="6822" totalsRowDxfId="6821"/>
    <tableColumn id="9" name="(I)_x000a_Payments_x000a_ and Offsets" totalsRowFunction="sum" dataDxfId="6820" totalsRowDxfId="6819"/>
    <tableColumn id="10" name="(J)_x000a_Accounts Payable Balance_x000a_(H + I)" totalsRowFunction="sum" dataDxfId="6818" totalsRowDxfId="6817"/>
    <tableColumn id="11" name="(K)_x000a_Established _x000a_Accounts Receivable" totalsRowFunction="sum" dataDxfId="6816" totalsRowDxfId="6815"/>
    <tableColumn id="12" name="(L)_x000a_Recovered_x000a_ Accounts Receivable" totalsRowFunction="sum" dataDxfId="6814" totalsRowDxfId="6813"/>
    <tableColumn id="13" name="(M)_x000a_Accounts Receivable Balance_x000a_(K + L)" totalsRowFunction="sum" dataDxfId="6812" totalsRowDxfId="6811"/>
    <tableColumn id="14" name="(N)_x000a_Net Balance_x000a_(J minus M)" totalsRowFunction="sum" dataDxfId="6810" totalsRowDxfId="68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ables/table99.xml><?xml version="1.0" encoding="utf-8"?>
<table xmlns="http://schemas.openxmlformats.org/spreadsheetml/2006/main" id="99" name="Program083" displayName="Program083" ref="A1389:N1412" totalsRowCount="1" headerRowDxfId="6808" dataDxfId="6806" totalsRowDxfId="6804" headerRowBorderDxfId="6807" tableBorderDxfId="6805" totalsRowBorderDxfId="6803">
  <autoFilter ref="A1389:N1411"/>
  <tableColumns count="14">
    <tableColumn id="1" name="(A)_x000a_Program Name" totalsRowLabel="Total Program 83" dataDxfId="6802" totalsRowDxfId="6801"/>
    <tableColumn id="2" name="(B)_x000a_Fiscal _x000a_Year" totalsRowLabel="N/A" dataDxfId="6800" totalsRowDxfId="6799"/>
    <tableColumn id="3" name="(C)_x000a_Program_x000a_Costs" totalsRowFunction="sum" dataDxfId="6798" totalsRowDxfId="6797"/>
    <tableColumn id="4" name="(D)_x000a_Prior Period Adjustments" totalsRowFunction="sum" dataDxfId="6796" totalsRowDxfId="6795"/>
    <tableColumn id="5" name="(E)_x000a_Current Period Desk _x000a_Reviews" totalsRowFunction="sum" dataDxfId="6794" totalsRowDxfId="6793"/>
    <tableColumn id="6" name="(F)_x000a_Current Period _x000a_Final _x000a_Audits" totalsRowFunction="sum" dataDxfId="6792" totalsRowDxfId="6791"/>
    <tableColumn id="7" name="(G)_x000a_Current Period _x000a_Other Adjustments" totalsRowFunction="sum" dataDxfId="6790" totalsRowDxfId="6789"/>
    <tableColumn id="8" name="(H)_x000a_Net Program Costs_x000a_Sum (C through G)" totalsRowFunction="sum" dataDxfId="6788" totalsRowDxfId="6787"/>
    <tableColumn id="9" name="(I)_x000a_Payments_x000a_ and Offsets" totalsRowFunction="sum" dataDxfId="6786" totalsRowDxfId="6785"/>
    <tableColumn id="10" name="(J)_x000a_Accounts Payable Balance_x000a_(H + I)" totalsRowFunction="sum" dataDxfId="6784" totalsRowDxfId="6783"/>
    <tableColumn id="11" name="(K)_x000a_Established _x000a_Accounts Receivable" totalsRowFunction="sum" dataDxfId="6782" totalsRowDxfId="6781"/>
    <tableColumn id="12" name="(L)_x000a_Recovered_x000a_ Accounts Receivable" totalsRowFunction="sum" dataDxfId="6780" totalsRowDxfId="6779"/>
    <tableColumn id="13" name="(M)_x000a_Accounts Receivable Balance_x000a_(K + L)" totalsRowFunction="sum" dataDxfId="6778" totalsRowDxfId="6777"/>
    <tableColumn id="14" name="(N)_x000a_Net Balance_x000a_(J minus M)" totalsRowFunction="sum" dataDxfId="6776" totalsRowDxfId="67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1 Audit Finding Report" altTextSummary="Detail of State-Mandated Program Cost Report of Audit Findings.  For the Period of April 1, 2020, through March 31, 2021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31.xml"/><Relationship Id="rId117" Type="http://schemas.openxmlformats.org/officeDocument/2006/relationships/table" Target="../tables/table122.xml"/><Relationship Id="rId21" Type="http://schemas.openxmlformats.org/officeDocument/2006/relationships/table" Target="../tables/table26.xml"/><Relationship Id="rId42" Type="http://schemas.openxmlformats.org/officeDocument/2006/relationships/table" Target="../tables/table47.xml"/><Relationship Id="rId47" Type="http://schemas.openxmlformats.org/officeDocument/2006/relationships/table" Target="../tables/table52.xml"/><Relationship Id="rId63" Type="http://schemas.openxmlformats.org/officeDocument/2006/relationships/table" Target="../tables/table68.xml"/><Relationship Id="rId68" Type="http://schemas.openxmlformats.org/officeDocument/2006/relationships/table" Target="../tables/table73.xml"/><Relationship Id="rId84" Type="http://schemas.openxmlformats.org/officeDocument/2006/relationships/table" Target="../tables/table89.xml"/><Relationship Id="rId89" Type="http://schemas.openxmlformats.org/officeDocument/2006/relationships/table" Target="../tables/table94.xml"/><Relationship Id="rId112" Type="http://schemas.openxmlformats.org/officeDocument/2006/relationships/table" Target="../tables/table117.xml"/><Relationship Id="rId133" Type="http://schemas.openxmlformats.org/officeDocument/2006/relationships/table" Target="../tables/table138.xml"/><Relationship Id="rId16" Type="http://schemas.openxmlformats.org/officeDocument/2006/relationships/table" Target="../tables/table21.xml"/><Relationship Id="rId107" Type="http://schemas.openxmlformats.org/officeDocument/2006/relationships/table" Target="../tables/table112.xml"/><Relationship Id="rId11" Type="http://schemas.openxmlformats.org/officeDocument/2006/relationships/table" Target="../tables/table16.xml"/><Relationship Id="rId32" Type="http://schemas.openxmlformats.org/officeDocument/2006/relationships/table" Target="../tables/table37.xml"/><Relationship Id="rId37" Type="http://schemas.openxmlformats.org/officeDocument/2006/relationships/table" Target="../tables/table42.xml"/><Relationship Id="rId53" Type="http://schemas.openxmlformats.org/officeDocument/2006/relationships/table" Target="../tables/table58.xml"/><Relationship Id="rId58" Type="http://schemas.openxmlformats.org/officeDocument/2006/relationships/table" Target="../tables/table63.xml"/><Relationship Id="rId74" Type="http://schemas.openxmlformats.org/officeDocument/2006/relationships/table" Target="../tables/table79.xml"/><Relationship Id="rId79" Type="http://schemas.openxmlformats.org/officeDocument/2006/relationships/table" Target="../tables/table84.xml"/><Relationship Id="rId102" Type="http://schemas.openxmlformats.org/officeDocument/2006/relationships/table" Target="../tables/table107.xml"/><Relationship Id="rId123" Type="http://schemas.openxmlformats.org/officeDocument/2006/relationships/table" Target="../tables/table128.xml"/><Relationship Id="rId128" Type="http://schemas.openxmlformats.org/officeDocument/2006/relationships/table" Target="../tables/table133.xml"/><Relationship Id="rId5" Type="http://schemas.openxmlformats.org/officeDocument/2006/relationships/table" Target="../tables/table10.xml"/><Relationship Id="rId90" Type="http://schemas.openxmlformats.org/officeDocument/2006/relationships/table" Target="../tables/table95.xml"/><Relationship Id="rId95" Type="http://schemas.openxmlformats.org/officeDocument/2006/relationships/table" Target="../tables/table100.xml"/><Relationship Id="rId14" Type="http://schemas.openxmlformats.org/officeDocument/2006/relationships/table" Target="../tables/table19.xml"/><Relationship Id="rId22" Type="http://schemas.openxmlformats.org/officeDocument/2006/relationships/table" Target="../tables/table27.xml"/><Relationship Id="rId27" Type="http://schemas.openxmlformats.org/officeDocument/2006/relationships/table" Target="../tables/table32.xml"/><Relationship Id="rId30" Type="http://schemas.openxmlformats.org/officeDocument/2006/relationships/table" Target="../tables/table35.xml"/><Relationship Id="rId35" Type="http://schemas.openxmlformats.org/officeDocument/2006/relationships/table" Target="../tables/table40.xml"/><Relationship Id="rId43" Type="http://schemas.openxmlformats.org/officeDocument/2006/relationships/table" Target="../tables/table48.xml"/><Relationship Id="rId48" Type="http://schemas.openxmlformats.org/officeDocument/2006/relationships/table" Target="../tables/table53.xml"/><Relationship Id="rId56" Type="http://schemas.openxmlformats.org/officeDocument/2006/relationships/table" Target="../tables/table61.xml"/><Relationship Id="rId64" Type="http://schemas.openxmlformats.org/officeDocument/2006/relationships/table" Target="../tables/table69.xml"/><Relationship Id="rId69" Type="http://schemas.openxmlformats.org/officeDocument/2006/relationships/table" Target="../tables/table74.xml"/><Relationship Id="rId77" Type="http://schemas.openxmlformats.org/officeDocument/2006/relationships/table" Target="../tables/table82.xml"/><Relationship Id="rId100" Type="http://schemas.openxmlformats.org/officeDocument/2006/relationships/table" Target="../tables/table105.xml"/><Relationship Id="rId105" Type="http://schemas.openxmlformats.org/officeDocument/2006/relationships/table" Target="../tables/table110.xml"/><Relationship Id="rId113" Type="http://schemas.openxmlformats.org/officeDocument/2006/relationships/table" Target="../tables/table118.xml"/><Relationship Id="rId118" Type="http://schemas.openxmlformats.org/officeDocument/2006/relationships/table" Target="../tables/table123.xml"/><Relationship Id="rId126" Type="http://schemas.openxmlformats.org/officeDocument/2006/relationships/table" Target="../tables/table131.xml"/><Relationship Id="rId8" Type="http://schemas.openxmlformats.org/officeDocument/2006/relationships/table" Target="../tables/table13.xml"/><Relationship Id="rId51" Type="http://schemas.openxmlformats.org/officeDocument/2006/relationships/table" Target="../tables/table56.xml"/><Relationship Id="rId72" Type="http://schemas.openxmlformats.org/officeDocument/2006/relationships/table" Target="../tables/table77.xml"/><Relationship Id="rId80" Type="http://schemas.openxmlformats.org/officeDocument/2006/relationships/table" Target="../tables/table85.xml"/><Relationship Id="rId85" Type="http://schemas.openxmlformats.org/officeDocument/2006/relationships/table" Target="../tables/table90.xml"/><Relationship Id="rId93" Type="http://schemas.openxmlformats.org/officeDocument/2006/relationships/table" Target="../tables/table98.xml"/><Relationship Id="rId98" Type="http://schemas.openxmlformats.org/officeDocument/2006/relationships/table" Target="../tables/table103.xml"/><Relationship Id="rId121" Type="http://schemas.openxmlformats.org/officeDocument/2006/relationships/table" Target="../tables/table126.xml"/><Relationship Id="rId3" Type="http://schemas.openxmlformats.org/officeDocument/2006/relationships/table" Target="../tables/table8.xml"/><Relationship Id="rId12" Type="http://schemas.openxmlformats.org/officeDocument/2006/relationships/table" Target="../tables/table17.xml"/><Relationship Id="rId17" Type="http://schemas.openxmlformats.org/officeDocument/2006/relationships/table" Target="../tables/table22.xml"/><Relationship Id="rId25" Type="http://schemas.openxmlformats.org/officeDocument/2006/relationships/table" Target="../tables/table30.xml"/><Relationship Id="rId33" Type="http://schemas.openxmlformats.org/officeDocument/2006/relationships/table" Target="../tables/table38.xml"/><Relationship Id="rId38" Type="http://schemas.openxmlformats.org/officeDocument/2006/relationships/table" Target="../tables/table43.xml"/><Relationship Id="rId46" Type="http://schemas.openxmlformats.org/officeDocument/2006/relationships/table" Target="../tables/table51.xml"/><Relationship Id="rId59" Type="http://schemas.openxmlformats.org/officeDocument/2006/relationships/table" Target="../tables/table64.xml"/><Relationship Id="rId67" Type="http://schemas.openxmlformats.org/officeDocument/2006/relationships/table" Target="../tables/table72.xml"/><Relationship Id="rId103" Type="http://schemas.openxmlformats.org/officeDocument/2006/relationships/table" Target="../tables/table108.xml"/><Relationship Id="rId108" Type="http://schemas.openxmlformats.org/officeDocument/2006/relationships/table" Target="../tables/table113.xml"/><Relationship Id="rId116" Type="http://schemas.openxmlformats.org/officeDocument/2006/relationships/table" Target="../tables/table121.xml"/><Relationship Id="rId124" Type="http://schemas.openxmlformats.org/officeDocument/2006/relationships/table" Target="../tables/table129.xml"/><Relationship Id="rId129" Type="http://schemas.openxmlformats.org/officeDocument/2006/relationships/table" Target="../tables/table134.xml"/><Relationship Id="rId20" Type="http://schemas.openxmlformats.org/officeDocument/2006/relationships/table" Target="../tables/table25.xml"/><Relationship Id="rId41" Type="http://schemas.openxmlformats.org/officeDocument/2006/relationships/table" Target="../tables/table46.xml"/><Relationship Id="rId54" Type="http://schemas.openxmlformats.org/officeDocument/2006/relationships/table" Target="../tables/table59.xml"/><Relationship Id="rId62" Type="http://schemas.openxmlformats.org/officeDocument/2006/relationships/table" Target="../tables/table67.xml"/><Relationship Id="rId70" Type="http://schemas.openxmlformats.org/officeDocument/2006/relationships/table" Target="../tables/table75.xml"/><Relationship Id="rId75" Type="http://schemas.openxmlformats.org/officeDocument/2006/relationships/table" Target="../tables/table80.xml"/><Relationship Id="rId83" Type="http://schemas.openxmlformats.org/officeDocument/2006/relationships/table" Target="../tables/table88.xml"/><Relationship Id="rId88" Type="http://schemas.openxmlformats.org/officeDocument/2006/relationships/table" Target="../tables/table93.xml"/><Relationship Id="rId91" Type="http://schemas.openxmlformats.org/officeDocument/2006/relationships/table" Target="../tables/table96.xml"/><Relationship Id="rId96" Type="http://schemas.openxmlformats.org/officeDocument/2006/relationships/table" Target="../tables/table101.xml"/><Relationship Id="rId111" Type="http://schemas.openxmlformats.org/officeDocument/2006/relationships/table" Target="../tables/table116.xml"/><Relationship Id="rId132" Type="http://schemas.openxmlformats.org/officeDocument/2006/relationships/table" Target="../tables/table13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15" Type="http://schemas.openxmlformats.org/officeDocument/2006/relationships/table" Target="../tables/table20.xml"/><Relationship Id="rId23" Type="http://schemas.openxmlformats.org/officeDocument/2006/relationships/table" Target="../tables/table28.xml"/><Relationship Id="rId28" Type="http://schemas.openxmlformats.org/officeDocument/2006/relationships/table" Target="../tables/table33.xml"/><Relationship Id="rId36" Type="http://schemas.openxmlformats.org/officeDocument/2006/relationships/table" Target="../tables/table41.xml"/><Relationship Id="rId49" Type="http://schemas.openxmlformats.org/officeDocument/2006/relationships/table" Target="../tables/table54.xml"/><Relationship Id="rId57" Type="http://schemas.openxmlformats.org/officeDocument/2006/relationships/table" Target="../tables/table62.xml"/><Relationship Id="rId106" Type="http://schemas.openxmlformats.org/officeDocument/2006/relationships/table" Target="../tables/table111.xml"/><Relationship Id="rId114" Type="http://schemas.openxmlformats.org/officeDocument/2006/relationships/table" Target="../tables/table119.xml"/><Relationship Id="rId119" Type="http://schemas.openxmlformats.org/officeDocument/2006/relationships/table" Target="../tables/table124.xml"/><Relationship Id="rId127" Type="http://schemas.openxmlformats.org/officeDocument/2006/relationships/table" Target="../tables/table132.xml"/><Relationship Id="rId10" Type="http://schemas.openxmlformats.org/officeDocument/2006/relationships/table" Target="../tables/table15.xml"/><Relationship Id="rId31" Type="http://schemas.openxmlformats.org/officeDocument/2006/relationships/table" Target="../tables/table36.xml"/><Relationship Id="rId44" Type="http://schemas.openxmlformats.org/officeDocument/2006/relationships/table" Target="../tables/table49.xml"/><Relationship Id="rId52" Type="http://schemas.openxmlformats.org/officeDocument/2006/relationships/table" Target="../tables/table57.xml"/><Relationship Id="rId60" Type="http://schemas.openxmlformats.org/officeDocument/2006/relationships/table" Target="../tables/table65.xml"/><Relationship Id="rId65" Type="http://schemas.openxmlformats.org/officeDocument/2006/relationships/table" Target="../tables/table70.xml"/><Relationship Id="rId73" Type="http://schemas.openxmlformats.org/officeDocument/2006/relationships/table" Target="../tables/table78.xml"/><Relationship Id="rId78" Type="http://schemas.openxmlformats.org/officeDocument/2006/relationships/table" Target="../tables/table83.xml"/><Relationship Id="rId81" Type="http://schemas.openxmlformats.org/officeDocument/2006/relationships/table" Target="../tables/table86.xml"/><Relationship Id="rId86" Type="http://schemas.openxmlformats.org/officeDocument/2006/relationships/table" Target="../tables/table91.xml"/><Relationship Id="rId94" Type="http://schemas.openxmlformats.org/officeDocument/2006/relationships/table" Target="../tables/table99.xml"/><Relationship Id="rId99" Type="http://schemas.openxmlformats.org/officeDocument/2006/relationships/table" Target="../tables/table104.xml"/><Relationship Id="rId101" Type="http://schemas.openxmlformats.org/officeDocument/2006/relationships/table" Target="../tables/table106.xml"/><Relationship Id="rId122" Type="http://schemas.openxmlformats.org/officeDocument/2006/relationships/table" Target="../tables/table127.xml"/><Relationship Id="rId130" Type="http://schemas.openxmlformats.org/officeDocument/2006/relationships/table" Target="../tables/table135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Relationship Id="rId13" Type="http://schemas.openxmlformats.org/officeDocument/2006/relationships/table" Target="../tables/table18.xml"/><Relationship Id="rId18" Type="http://schemas.openxmlformats.org/officeDocument/2006/relationships/table" Target="../tables/table23.xml"/><Relationship Id="rId39" Type="http://schemas.openxmlformats.org/officeDocument/2006/relationships/table" Target="../tables/table44.xml"/><Relationship Id="rId109" Type="http://schemas.openxmlformats.org/officeDocument/2006/relationships/table" Target="../tables/table114.xml"/><Relationship Id="rId34" Type="http://schemas.openxmlformats.org/officeDocument/2006/relationships/table" Target="../tables/table39.xml"/><Relationship Id="rId50" Type="http://schemas.openxmlformats.org/officeDocument/2006/relationships/table" Target="../tables/table55.xml"/><Relationship Id="rId55" Type="http://schemas.openxmlformats.org/officeDocument/2006/relationships/table" Target="../tables/table60.xml"/><Relationship Id="rId76" Type="http://schemas.openxmlformats.org/officeDocument/2006/relationships/table" Target="../tables/table81.xml"/><Relationship Id="rId97" Type="http://schemas.openxmlformats.org/officeDocument/2006/relationships/table" Target="../tables/table102.xml"/><Relationship Id="rId104" Type="http://schemas.openxmlformats.org/officeDocument/2006/relationships/table" Target="../tables/table109.xml"/><Relationship Id="rId120" Type="http://schemas.openxmlformats.org/officeDocument/2006/relationships/table" Target="../tables/table125.xml"/><Relationship Id="rId125" Type="http://schemas.openxmlformats.org/officeDocument/2006/relationships/table" Target="../tables/table130.xml"/><Relationship Id="rId7" Type="http://schemas.openxmlformats.org/officeDocument/2006/relationships/table" Target="../tables/table12.xml"/><Relationship Id="rId71" Type="http://schemas.openxmlformats.org/officeDocument/2006/relationships/table" Target="../tables/table76.xml"/><Relationship Id="rId92" Type="http://schemas.openxmlformats.org/officeDocument/2006/relationships/table" Target="../tables/table97.xml"/><Relationship Id="rId2" Type="http://schemas.openxmlformats.org/officeDocument/2006/relationships/table" Target="../tables/table7.xml"/><Relationship Id="rId29" Type="http://schemas.openxmlformats.org/officeDocument/2006/relationships/table" Target="../tables/table34.xml"/><Relationship Id="rId24" Type="http://schemas.openxmlformats.org/officeDocument/2006/relationships/table" Target="../tables/table29.xml"/><Relationship Id="rId40" Type="http://schemas.openxmlformats.org/officeDocument/2006/relationships/table" Target="../tables/table45.xml"/><Relationship Id="rId45" Type="http://schemas.openxmlformats.org/officeDocument/2006/relationships/table" Target="../tables/table50.xml"/><Relationship Id="rId66" Type="http://schemas.openxmlformats.org/officeDocument/2006/relationships/table" Target="../tables/table71.xml"/><Relationship Id="rId87" Type="http://schemas.openxmlformats.org/officeDocument/2006/relationships/table" Target="../tables/table92.xml"/><Relationship Id="rId110" Type="http://schemas.openxmlformats.org/officeDocument/2006/relationships/table" Target="../tables/table115.xml"/><Relationship Id="rId115" Type="http://schemas.openxmlformats.org/officeDocument/2006/relationships/table" Target="../tables/table120.xml"/><Relationship Id="rId131" Type="http://schemas.openxmlformats.org/officeDocument/2006/relationships/table" Target="../tables/table136.xml"/><Relationship Id="rId61" Type="http://schemas.openxmlformats.org/officeDocument/2006/relationships/table" Target="../tables/table66.xml"/><Relationship Id="rId82" Type="http://schemas.openxmlformats.org/officeDocument/2006/relationships/table" Target="../tables/table87.xml"/><Relationship Id="rId19" Type="http://schemas.openxmlformats.org/officeDocument/2006/relationships/table" Target="../tables/table24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163.xml"/><Relationship Id="rId117" Type="http://schemas.openxmlformats.org/officeDocument/2006/relationships/table" Target="../tables/table254.xml"/><Relationship Id="rId21" Type="http://schemas.openxmlformats.org/officeDocument/2006/relationships/table" Target="../tables/table158.xml"/><Relationship Id="rId42" Type="http://schemas.openxmlformats.org/officeDocument/2006/relationships/table" Target="../tables/table179.xml"/><Relationship Id="rId47" Type="http://schemas.openxmlformats.org/officeDocument/2006/relationships/table" Target="../tables/table184.xml"/><Relationship Id="rId63" Type="http://schemas.openxmlformats.org/officeDocument/2006/relationships/table" Target="../tables/table200.xml"/><Relationship Id="rId68" Type="http://schemas.openxmlformats.org/officeDocument/2006/relationships/table" Target="../tables/table205.xml"/><Relationship Id="rId84" Type="http://schemas.openxmlformats.org/officeDocument/2006/relationships/table" Target="../tables/table221.xml"/><Relationship Id="rId89" Type="http://schemas.openxmlformats.org/officeDocument/2006/relationships/table" Target="../tables/table226.xml"/><Relationship Id="rId112" Type="http://schemas.openxmlformats.org/officeDocument/2006/relationships/table" Target="../tables/table249.xml"/><Relationship Id="rId16" Type="http://schemas.openxmlformats.org/officeDocument/2006/relationships/table" Target="../tables/table153.xml"/><Relationship Id="rId107" Type="http://schemas.openxmlformats.org/officeDocument/2006/relationships/table" Target="../tables/table244.xml"/><Relationship Id="rId11" Type="http://schemas.openxmlformats.org/officeDocument/2006/relationships/table" Target="../tables/table148.xml"/><Relationship Id="rId32" Type="http://schemas.openxmlformats.org/officeDocument/2006/relationships/table" Target="../tables/table169.xml"/><Relationship Id="rId37" Type="http://schemas.openxmlformats.org/officeDocument/2006/relationships/table" Target="../tables/table174.xml"/><Relationship Id="rId53" Type="http://schemas.openxmlformats.org/officeDocument/2006/relationships/table" Target="../tables/table190.xml"/><Relationship Id="rId58" Type="http://schemas.openxmlformats.org/officeDocument/2006/relationships/table" Target="../tables/table195.xml"/><Relationship Id="rId74" Type="http://schemas.openxmlformats.org/officeDocument/2006/relationships/table" Target="../tables/table211.xml"/><Relationship Id="rId79" Type="http://schemas.openxmlformats.org/officeDocument/2006/relationships/table" Target="../tables/table216.xml"/><Relationship Id="rId102" Type="http://schemas.openxmlformats.org/officeDocument/2006/relationships/table" Target="../tables/table239.xml"/><Relationship Id="rId123" Type="http://schemas.openxmlformats.org/officeDocument/2006/relationships/table" Target="../tables/table260.xml"/><Relationship Id="rId5" Type="http://schemas.openxmlformats.org/officeDocument/2006/relationships/table" Target="../tables/table142.xml"/><Relationship Id="rId61" Type="http://schemas.openxmlformats.org/officeDocument/2006/relationships/table" Target="../tables/table198.xml"/><Relationship Id="rId82" Type="http://schemas.openxmlformats.org/officeDocument/2006/relationships/table" Target="../tables/table219.xml"/><Relationship Id="rId90" Type="http://schemas.openxmlformats.org/officeDocument/2006/relationships/table" Target="../tables/table227.xml"/><Relationship Id="rId95" Type="http://schemas.openxmlformats.org/officeDocument/2006/relationships/table" Target="../tables/table232.xml"/><Relationship Id="rId19" Type="http://schemas.openxmlformats.org/officeDocument/2006/relationships/table" Target="../tables/table156.xml"/><Relationship Id="rId14" Type="http://schemas.openxmlformats.org/officeDocument/2006/relationships/table" Target="../tables/table151.xml"/><Relationship Id="rId22" Type="http://schemas.openxmlformats.org/officeDocument/2006/relationships/table" Target="../tables/table159.xml"/><Relationship Id="rId27" Type="http://schemas.openxmlformats.org/officeDocument/2006/relationships/table" Target="../tables/table164.xml"/><Relationship Id="rId30" Type="http://schemas.openxmlformats.org/officeDocument/2006/relationships/table" Target="../tables/table167.xml"/><Relationship Id="rId35" Type="http://schemas.openxmlformats.org/officeDocument/2006/relationships/table" Target="../tables/table172.xml"/><Relationship Id="rId43" Type="http://schemas.openxmlformats.org/officeDocument/2006/relationships/table" Target="../tables/table180.xml"/><Relationship Id="rId48" Type="http://schemas.openxmlformats.org/officeDocument/2006/relationships/table" Target="../tables/table185.xml"/><Relationship Id="rId56" Type="http://schemas.openxmlformats.org/officeDocument/2006/relationships/table" Target="../tables/table193.xml"/><Relationship Id="rId64" Type="http://schemas.openxmlformats.org/officeDocument/2006/relationships/table" Target="../tables/table201.xml"/><Relationship Id="rId69" Type="http://schemas.openxmlformats.org/officeDocument/2006/relationships/table" Target="../tables/table206.xml"/><Relationship Id="rId77" Type="http://schemas.openxmlformats.org/officeDocument/2006/relationships/table" Target="../tables/table214.xml"/><Relationship Id="rId100" Type="http://schemas.openxmlformats.org/officeDocument/2006/relationships/table" Target="../tables/table237.xml"/><Relationship Id="rId105" Type="http://schemas.openxmlformats.org/officeDocument/2006/relationships/table" Target="../tables/table242.xml"/><Relationship Id="rId113" Type="http://schemas.openxmlformats.org/officeDocument/2006/relationships/table" Target="../tables/table250.xml"/><Relationship Id="rId118" Type="http://schemas.openxmlformats.org/officeDocument/2006/relationships/table" Target="../tables/table255.xml"/><Relationship Id="rId8" Type="http://schemas.openxmlformats.org/officeDocument/2006/relationships/table" Target="../tables/table145.xml"/><Relationship Id="rId51" Type="http://schemas.openxmlformats.org/officeDocument/2006/relationships/table" Target="../tables/table188.xml"/><Relationship Id="rId72" Type="http://schemas.openxmlformats.org/officeDocument/2006/relationships/table" Target="../tables/table209.xml"/><Relationship Id="rId80" Type="http://schemas.openxmlformats.org/officeDocument/2006/relationships/table" Target="../tables/table217.xml"/><Relationship Id="rId85" Type="http://schemas.openxmlformats.org/officeDocument/2006/relationships/table" Target="../tables/table222.xml"/><Relationship Id="rId93" Type="http://schemas.openxmlformats.org/officeDocument/2006/relationships/table" Target="../tables/table230.xml"/><Relationship Id="rId98" Type="http://schemas.openxmlformats.org/officeDocument/2006/relationships/table" Target="../tables/table235.xml"/><Relationship Id="rId121" Type="http://schemas.openxmlformats.org/officeDocument/2006/relationships/table" Target="../tables/table258.xml"/><Relationship Id="rId3" Type="http://schemas.openxmlformats.org/officeDocument/2006/relationships/table" Target="../tables/table140.xml"/><Relationship Id="rId12" Type="http://schemas.openxmlformats.org/officeDocument/2006/relationships/table" Target="../tables/table149.xml"/><Relationship Id="rId17" Type="http://schemas.openxmlformats.org/officeDocument/2006/relationships/table" Target="../tables/table154.xml"/><Relationship Id="rId25" Type="http://schemas.openxmlformats.org/officeDocument/2006/relationships/table" Target="../tables/table162.xml"/><Relationship Id="rId33" Type="http://schemas.openxmlformats.org/officeDocument/2006/relationships/table" Target="../tables/table170.xml"/><Relationship Id="rId38" Type="http://schemas.openxmlformats.org/officeDocument/2006/relationships/table" Target="../tables/table175.xml"/><Relationship Id="rId46" Type="http://schemas.openxmlformats.org/officeDocument/2006/relationships/table" Target="../tables/table183.xml"/><Relationship Id="rId59" Type="http://schemas.openxmlformats.org/officeDocument/2006/relationships/table" Target="../tables/table196.xml"/><Relationship Id="rId67" Type="http://schemas.openxmlformats.org/officeDocument/2006/relationships/table" Target="../tables/table204.xml"/><Relationship Id="rId103" Type="http://schemas.openxmlformats.org/officeDocument/2006/relationships/table" Target="../tables/table240.xml"/><Relationship Id="rId108" Type="http://schemas.openxmlformats.org/officeDocument/2006/relationships/table" Target="../tables/table245.xml"/><Relationship Id="rId116" Type="http://schemas.openxmlformats.org/officeDocument/2006/relationships/table" Target="../tables/table253.xml"/><Relationship Id="rId124" Type="http://schemas.openxmlformats.org/officeDocument/2006/relationships/table" Target="../tables/table261.xml"/><Relationship Id="rId20" Type="http://schemas.openxmlformats.org/officeDocument/2006/relationships/table" Target="../tables/table157.xml"/><Relationship Id="rId41" Type="http://schemas.openxmlformats.org/officeDocument/2006/relationships/table" Target="../tables/table178.xml"/><Relationship Id="rId54" Type="http://schemas.openxmlformats.org/officeDocument/2006/relationships/table" Target="../tables/table191.xml"/><Relationship Id="rId62" Type="http://schemas.openxmlformats.org/officeDocument/2006/relationships/table" Target="../tables/table199.xml"/><Relationship Id="rId70" Type="http://schemas.openxmlformats.org/officeDocument/2006/relationships/table" Target="../tables/table207.xml"/><Relationship Id="rId75" Type="http://schemas.openxmlformats.org/officeDocument/2006/relationships/table" Target="../tables/table212.xml"/><Relationship Id="rId83" Type="http://schemas.openxmlformats.org/officeDocument/2006/relationships/table" Target="../tables/table220.xml"/><Relationship Id="rId88" Type="http://schemas.openxmlformats.org/officeDocument/2006/relationships/table" Target="../tables/table225.xml"/><Relationship Id="rId91" Type="http://schemas.openxmlformats.org/officeDocument/2006/relationships/table" Target="../tables/table228.xml"/><Relationship Id="rId96" Type="http://schemas.openxmlformats.org/officeDocument/2006/relationships/table" Target="../tables/table233.xml"/><Relationship Id="rId111" Type="http://schemas.openxmlformats.org/officeDocument/2006/relationships/table" Target="../tables/table24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3.xml"/><Relationship Id="rId15" Type="http://schemas.openxmlformats.org/officeDocument/2006/relationships/table" Target="../tables/table152.xml"/><Relationship Id="rId23" Type="http://schemas.openxmlformats.org/officeDocument/2006/relationships/table" Target="../tables/table160.xml"/><Relationship Id="rId28" Type="http://schemas.openxmlformats.org/officeDocument/2006/relationships/table" Target="../tables/table165.xml"/><Relationship Id="rId36" Type="http://schemas.openxmlformats.org/officeDocument/2006/relationships/table" Target="../tables/table173.xml"/><Relationship Id="rId49" Type="http://schemas.openxmlformats.org/officeDocument/2006/relationships/table" Target="../tables/table186.xml"/><Relationship Id="rId57" Type="http://schemas.openxmlformats.org/officeDocument/2006/relationships/table" Target="../tables/table194.xml"/><Relationship Id="rId106" Type="http://schemas.openxmlformats.org/officeDocument/2006/relationships/table" Target="../tables/table243.xml"/><Relationship Id="rId114" Type="http://schemas.openxmlformats.org/officeDocument/2006/relationships/table" Target="../tables/table251.xml"/><Relationship Id="rId119" Type="http://schemas.openxmlformats.org/officeDocument/2006/relationships/table" Target="../tables/table256.xml"/><Relationship Id="rId10" Type="http://schemas.openxmlformats.org/officeDocument/2006/relationships/table" Target="../tables/table147.xml"/><Relationship Id="rId31" Type="http://schemas.openxmlformats.org/officeDocument/2006/relationships/table" Target="../tables/table168.xml"/><Relationship Id="rId44" Type="http://schemas.openxmlformats.org/officeDocument/2006/relationships/table" Target="../tables/table181.xml"/><Relationship Id="rId52" Type="http://schemas.openxmlformats.org/officeDocument/2006/relationships/table" Target="../tables/table189.xml"/><Relationship Id="rId60" Type="http://schemas.openxmlformats.org/officeDocument/2006/relationships/table" Target="../tables/table197.xml"/><Relationship Id="rId65" Type="http://schemas.openxmlformats.org/officeDocument/2006/relationships/table" Target="../tables/table202.xml"/><Relationship Id="rId73" Type="http://schemas.openxmlformats.org/officeDocument/2006/relationships/table" Target="../tables/table210.xml"/><Relationship Id="rId78" Type="http://schemas.openxmlformats.org/officeDocument/2006/relationships/table" Target="../tables/table215.xml"/><Relationship Id="rId81" Type="http://schemas.openxmlformats.org/officeDocument/2006/relationships/table" Target="../tables/table218.xml"/><Relationship Id="rId86" Type="http://schemas.openxmlformats.org/officeDocument/2006/relationships/table" Target="../tables/table223.xml"/><Relationship Id="rId94" Type="http://schemas.openxmlformats.org/officeDocument/2006/relationships/table" Target="../tables/table231.xml"/><Relationship Id="rId99" Type="http://schemas.openxmlformats.org/officeDocument/2006/relationships/table" Target="../tables/table236.xml"/><Relationship Id="rId101" Type="http://schemas.openxmlformats.org/officeDocument/2006/relationships/table" Target="../tables/table238.xml"/><Relationship Id="rId122" Type="http://schemas.openxmlformats.org/officeDocument/2006/relationships/table" Target="../tables/table259.xml"/><Relationship Id="rId4" Type="http://schemas.openxmlformats.org/officeDocument/2006/relationships/table" Target="../tables/table141.xml"/><Relationship Id="rId9" Type="http://schemas.openxmlformats.org/officeDocument/2006/relationships/table" Target="../tables/table146.xml"/><Relationship Id="rId13" Type="http://schemas.openxmlformats.org/officeDocument/2006/relationships/table" Target="../tables/table150.xml"/><Relationship Id="rId18" Type="http://schemas.openxmlformats.org/officeDocument/2006/relationships/table" Target="../tables/table155.xml"/><Relationship Id="rId39" Type="http://schemas.openxmlformats.org/officeDocument/2006/relationships/table" Target="../tables/table176.xml"/><Relationship Id="rId109" Type="http://schemas.openxmlformats.org/officeDocument/2006/relationships/table" Target="../tables/table246.xml"/><Relationship Id="rId34" Type="http://schemas.openxmlformats.org/officeDocument/2006/relationships/table" Target="../tables/table171.xml"/><Relationship Id="rId50" Type="http://schemas.openxmlformats.org/officeDocument/2006/relationships/table" Target="../tables/table187.xml"/><Relationship Id="rId55" Type="http://schemas.openxmlformats.org/officeDocument/2006/relationships/table" Target="../tables/table192.xml"/><Relationship Id="rId76" Type="http://schemas.openxmlformats.org/officeDocument/2006/relationships/table" Target="../tables/table213.xml"/><Relationship Id="rId97" Type="http://schemas.openxmlformats.org/officeDocument/2006/relationships/table" Target="../tables/table234.xml"/><Relationship Id="rId104" Type="http://schemas.openxmlformats.org/officeDocument/2006/relationships/table" Target="../tables/table241.xml"/><Relationship Id="rId120" Type="http://schemas.openxmlformats.org/officeDocument/2006/relationships/table" Target="../tables/table257.xml"/><Relationship Id="rId125" Type="http://schemas.openxmlformats.org/officeDocument/2006/relationships/table" Target="../tables/table262.xml"/><Relationship Id="rId7" Type="http://schemas.openxmlformats.org/officeDocument/2006/relationships/table" Target="../tables/table144.xml"/><Relationship Id="rId71" Type="http://schemas.openxmlformats.org/officeDocument/2006/relationships/table" Target="../tables/table208.xml"/><Relationship Id="rId92" Type="http://schemas.openxmlformats.org/officeDocument/2006/relationships/table" Target="../tables/table229.xml"/><Relationship Id="rId2" Type="http://schemas.openxmlformats.org/officeDocument/2006/relationships/table" Target="../tables/table139.xml"/><Relationship Id="rId29" Type="http://schemas.openxmlformats.org/officeDocument/2006/relationships/table" Target="../tables/table166.xml"/><Relationship Id="rId24" Type="http://schemas.openxmlformats.org/officeDocument/2006/relationships/table" Target="../tables/table161.xml"/><Relationship Id="rId40" Type="http://schemas.openxmlformats.org/officeDocument/2006/relationships/table" Target="../tables/table177.xml"/><Relationship Id="rId45" Type="http://schemas.openxmlformats.org/officeDocument/2006/relationships/table" Target="../tables/table182.xml"/><Relationship Id="rId66" Type="http://schemas.openxmlformats.org/officeDocument/2006/relationships/table" Target="../tables/table203.xml"/><Relationship Id="rId87" Type="http://schemas.openxmlformats.org/officeDocument/2006/relationships/table" Target="../tables/table224.xml"/><Relationship Id="rId110" Type="http://schemas.openxmlformats.org/officeDocument/2006/relationships/table" Target="../tables/table247.xml"/><Relationship Id="rId115" Type="http://schemas.openxmlformats.org/officeDocument/2006/relationships/table" Target="../tables/table25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69.xml"/><Relationship Id="rId13" Type="http://schemas.openxmlformats.org/officeDocument/2006/relationships/table" Target="../tables/table274.xml"/><Relationship Id="rId18" Type="http://schemas.openxmlformats.org/officeDocument/2006/relationships/table" Target="../tables/table279.xml"/><Relationship Id="rId26" Type="http://schemas.openxmlformats.org/officeDocument/2006/relationships/table" Target="../tables/table287.xml"/><Relationship Id="rId3" Type="http://schemas.openxmlformats.org/officeDocument/2006/relationships/table" Target="../tables/table264.xml"/><Relationship Id="rId21" Type="http://schemas.openxmlformats.org/officeDocument/2006/relationships/table" Target="../tables/table282.xml"/><Relationship Id="rId34" Type="http://schemas.openxmlformats.org/officeDocument/2006/relationships/table" Target="../tables/table295.xml"/><Relationship Id="rId7" Type="http://schemas.openxmlformats.org/officeDocument/2006/relationships/table" Target="../tables/table268.xml"/><Relationship Id="rId12" Type="http://schemas.openxmlformats.org/officeDocument/2006/relationships/table" Target="../tables/table273.xml"/><Relationship Id="rId17" Type="http://schemas.openxmlformats.org/officeDocument/2006/relationships/table" Target="../tables/table278.xml"/><Relationship Id="rId25" Type="http://schemas.openxmlformats.org/officeDocument/2006/relationships/table" Target="../tables/table286.xml"/><Relationship Id="rId33" Type="http://schemas.openxmlformats.org/officeDocument/2006/relationships/table" Target="../tables/table294.xml"/><Relationship Id="rId38" Type="http://schemas.openxmlformats.org/officeDocument/2006/relationships/table" Target="../tables/table299.xml"/><Relationship Id="rId2" Type="http://schemas.openxmlformats.org/officeDocument/2006/relationships/table" Target="../tables/table263.xml"/><Relationship Id="rId16" Type="http://schemas.openxmlformats.org/officeDocument/2006/relationships/table" Target="../tables/table277.xml"/><Relationship Id="rId20" Type="http://schemas.openxmlformats.org/officeDocument/2006/relationships/table" Target="../tables/table281.xml"/><Relationship Id="rId29" Type="http://schemas.openxmlformats.org/officeDocument/2006/relationships/table" Target="../tables/table290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67.xml"/><Relationship Id="rId11" Type="http://schemas.openxmlformats.org/officeDocument/2006/relationships/table" Target="../tables/table272.xml"/><Relationship Id="rId24" Type="http://schemas.openxmlformats.org/officeDocument/2006/relationships/table" Target="../tables/table285.xml"/><Relationship Id="rId32" Type="http://schemas.openxmlformats.org/officeDocument/2006/relationships/table" Target="../tables/table293.xml"/><Relationship Id="rId37" Type="http://schemas.openxmlformats.org/officeDocument/2006/relationships/table" Target="../tables/table298.xml"/><Relationship Id="rId5" Type="http://schemas.openxmlformats.org/officeDocument/2006/relationships/table" Target="../tables/table266.xml"/><Relationship Id="rId15" Type="http://schemas.openxmlformats.org/officeDocument/2006/relationships/table" Target="../tables/table276.xml"/><Relationship Id="rId23" Type="http://schemas.openxmlformats.org/officeDocument/2006/relationships/table" Target="../tables/table284.xml"/><Relationship Id="rId28" Type="http://schemas.openxmlformats.org/officeDocument/2006/relationships/table" Target="../tables/table289.xml"/><Relationship Id="rId36" Type="http://schemas.openxmlformats.org/officeDocument/2006/relationships/table" Target="../tables/table297.xml"/><Relationship Id="rId10" Type="http://schemas.openxmlformats.org/officeDocument/2006/relationships/table" Target="../tables/table271.xml"/><Relationship Id="rId19" Type="http://schemas.openxmlformats.org/officeDocument/2006/relationships/table" Target="../tables/table280.xml"/><Relationship Id="rId31" Type="http://schemas.openxmlformats.org/officeDocument/2006/relationships/table" Target="../tables/table292.xml"/><Relationship Id="rId4" Type="http://schemas.openxmlformats.org/officeDocument/2006/relationships/table" Target="../tables/table265.xml"/><Relationship Id="rId9" Type="http://schemas.openxmlformats.org/officeDocument/2006/relationships/table" Target="../tables/table270.xml"/><Relationship Id="rId14" Type="http://schemas.openxmlformats.org/officeDocument/2006/relationships/table" Target="../tables/table275.xml"/><Relationship Id="rId22" Type="http://schemas.openxmlformats.org/officeDocument/2006/relationships/table" Target="../tables/table283.xml"/><Relationship Id="rId27" Type="http://schemas.openxmlformats.org/officeDocument/2006/relationships/table" Target="../tables/table288.xml"/><Relationship Id="rId30" Type="http://schemas.openxmlformats.org/officeDocument/2006/relationships/table" Target="../tables/table291.xml"/><Relationship Id="rId35" Type="http://schemas.openxmlformats.org/officeDocument/2006/relationships/table" Target="../tables/table2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tabSelected="1" zoomScale="90" zoomScaleNormal="90" workbookViewId="0">
      <selection activeCell="A26" sqref="A26"/>
    </sheetView>
  </sheetViews>
  <sheetFormatPr defaultRowHeight="15" x14ac:dyDescent="0.25"/>
  <cols>
    <col min="1" max="1" width="121.42578125" bestFit="1" customWidth="1"/>
  </cols>
  <sheetData>
    <row r="1" spans="1:12" ht="30" x14ac:dyDescent="0.25">
      <c r="A1" s="78" t="s">
        <v>356</v>
      </c>
    </row>
    <row r="2" spans="1:12" ht="45" x14ac:dyDescent="0.25">
      <c r="A2" s="79" t="s">
        <v>357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</row>
    <row r="3" spans="1:12" ht="48" x14ac:dyDescent="0.25">
      <c r="A3" s="79" t="s">
        <v>358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</row>
    <row r="4" spans="1:12" ht="30" x14ac:dyDescent="0.25">
      <c r="A4" s="82" t="s">
        <v>8</v>
      </c>
    </row>
    <row r="5" spans="1:12" ht="30" x14ac:dyDescent="0.25">
      <c r="A5" s="78" t="s">
        <v>353</v>
      </c>
    </row>
    <row r="6" spans="1:12" ht="30" x14ac:dyDescent="0.25">
      <c r="A6" s="82" t="s">
        <v>8</v>
      </c>
    </row>
    <row r="7" spans="1:12" x14ac:dyDescent="0.25">
      <c r="A7" s="83" t="s">
        <v>8</v>
      </c>
    </row>
    <row r="8" spans="1:12" x14ac:dyDescent="0.25">
      <c r="A8" s="83" t="s">
        <v>8</v>
      </c>
    </row>
    <row r="9" spans="1:12" x14ac:dyDescent="0.25">
      <c r="A9" s="83" t="s">
        <v>8</v>
      </c>
    </row>
    <row r="10" spans="1:12" x14ac:dyDescent="0.25">
      <c r="A10" s="83" t="s">
        <v>8</v>
      </c>
    </row>
    <row r="11" spans="1:12" x14ac:dyDescent="0.25">
      <c r="A11" s="83" t="s">
        <v>8</v>
      </c>
    </row>
    <row r="12" spans="1:12" x14ac:dyDescent="0.25">
      <c r="A12" s="83" t="s">
        <v>8</v>
      </c>
    </row>
    <row r="13" spans="1:12" x14ac:dyDescent="0.25">
      <c r="A13" s="83" t="s">
        <v>8</v>
      </c>
    </row>
    <row r="14" spans="1:12" x14ac:dyDescent="0.25">
      <c r="A14" s="83" t="s">
        <v>8</v>
      </c>
    </row>
    <row r="15" spans="1:12" x14ac:dyDescent="0.25">
      <c r="A15" s="83" t="s">
        <v>8</v>
      </c>
    </row>
    <row r="16" spans="1:12" x14ac:dyDescent="0.25">
      <c r="A16" s="83" t="s">
        <v>8</v>
      </c>
    </row>
    <row r="17" spans="1:10" x14ac:dyDescent="0.25">
      <c r="A17" s="83" t="s">
        <v>8</v>
      </c>
    </row>
    <row r="18" spans="1:10" x14ac:dyDescent="0.25">
      <c r="A18" s="83" t="s">
        <v>8</v>
      </c>
    </row>
    <row r="19" spans="1:10" x14ac:dyDescent="0.25">
      <c r="A19" s="83" t="s">
        <v>8</v>
      </c>
    </row>
    <row r="20" spans="1:10" x14ac:dyDescent="0.25">
      <c r="A20" s="83" t="s">
        <v>8</v>
      </c>
    </row>
    <row r="21" spans="1:10" x14ac:dyDescent="0.25">
      <c r="A21" s="83" t="s">
        <v>8</v>
      </c>
    </row>
    <row r="22" spans="1:10" x14ac:dyDescent="0.25">
      <c r="A22" s="83" t="s">
        <v>8</v>
      </c>
    </row>
    <row r="23" spans="1:10" x14ac:dyDescent="0.25">
      <c r="A23" s="83" t="s">
        <v>8</v>
      </c>
    </row>
    <row r="24" spans="1:10" x14ac:dyDescent="0.25">
      <c r="A24" s="83" t="s">
        <v>8</v>
      </c>
      <c r="F24" s="80"/>
      <c r="G24" s="80"/>
      <c r="H24" s="80"/>
    </row>
    <row r="25" spans="1:10" ht="15.75" x14ac:dyDescent="0.25">
      <c r="A25" s="84" t="s">
        <v>359</v>
      </c>
      <c r="D25" s="80"/>
      <c r="E25" s="80"/>
      <c r="F25" s="80"/>
      <c r="G25" s="80"/>
      <c r="H25" s="80"/>
      <c r="I25" s="80"/>
      <c r="J25" s="80"/>
    </row>
    <row r="26" spans="1:10" ht="41.25" x14ac:dyDescent="0.25">
      <c r="A26" s="85" t="s">
        <v>360</v>
      </c>
    </row>
    <row r="27" spans="1:10" ht="30" x14ac:dyDescent="0.25">
      <c r="A27" s="78" t="s">
        <v>361</v>
      </c>
    </row>
    <row r="28" spans="1:10" x14ac:dyDescent="0.25">
      <c r="A28" s="32" t="s">
        <v>30</v>
      </c>
    </row>
  </sheetData>
  <pageMargins left="0.7" right="0.7" top="0.75" bottom="0.75" header="0.3" footer="0.3"/>
  <pageSetup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zoomScale="90" zoomScaleNormal="90" workbookViewId="0">
      <selection activeCell="B28" sqref="B28"/>
    </sheetView>
  </sheetViews>
  <sheetFormatPr defaultRowHeight="15" x14ac:dyDescent="0.25"/>
  <cols>
    <col min="1" max="1" width="17.42578125" customWidth="1"/>
    <col min="2" max="2" width="130.5703125" customWidth="1"/>
    <col min="3" max="3" width="11.5703125" customWidth="1"/>
  </cols>
  <sheetData>
    <row r="1" spans="1:3" ht="20.25" x14ac:dyDescent="0.25">
      <c r="A1" s="73" t="s">
        <v>350</v>
      </c>
      <c r="B1" s="74"/>
      <c r="C1" s="74"/>
    </row>
    <row r="2" spans="1:3" ht="20.25" x14ac:dyDescent="0.25">
      <c r="A2" s="73" t="s">
        <v>351</v>
      </c>
      <c r="B2" s="74"/>
      <c r="C2" s="74"/>
    </row>
    <row r="3" spans="1:3" ht="20.25" x14ac:dyDescent="0.25">
      <c r="A3" s="73" t="s">
        <v>352</v>
      </c>
      <c r="B3" s="74"/>
      <c r="C3" s="74"/>
    </row>
    <row r="4" spans="1:3" ht="18" x14ac:dyDescent="0.25">
      <c r="A4" s="75" t="s">
        <v>353</v>
      </c>
      <c r="B4" s="74"/>
      <c r="C4" s="74"/>
    </row>
    <row r="5" spans="1:3" ht="18" x14ac:dyDescent="0.25">
      <c r="A5" s="76" t="s">
        <v>354</v>
      </c>
      <c r="B5" s="76"/>
      <c r="C5" s="77"/>
    </row>
    <row r="6" spans="1:3" ht="18" x14ac:dyDescent="0.25">
      <c r="A6" s="76" t="s">
        <v>355</v>
      </c>
      <c r="B6" s="76"/>
      <c r="C6" s="77"/>
    </row>
    <row r="7" spans="1:3" ht="18" x14ac:dyDescent="0.25">
      <c r="A7" s="76" t="s">
        <v>684</v>
      </c>
      <c r="B7" s="76"/>
      <c r="C7" s="77"/>
    </row>
    <row r="8" spans="1:3" ht="18" x14ac:dyDescent="0.25">
      <c r="A8" s="76" t="s">
        <v>685</v>
      </c>
      <c r="B8" s="76"/>
      <c r="C8" s="77"/>
    </row>
    <row r="9" spans="1:3" x14ac:dyDescent="0.25">
      <c r="A9" s="32" t="s">
        <v>30</v>
      </c>
    </row>
  </sheetData>
  <pageMargins left="0.7" right="0.7" top="0.75" bottom="0.75" header="0.3" footer="0.3"/>
  <pageSetup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6"/>
  <sheetViews>
    <sheetView zoomScale="90" zoomScaleNormal="90" zoomScalePageLayoutView="80" workbookViewId="0">
      <selection activeCell="A32" sqref="A32"/>
    </sheetView>
  </sheetViews>
  <sheetFormatPr defaultColWidth="8.7109375" defaultRowHeight="15" x14ac:dyDescent="0.2"/>
  <cols>
    <col min="1" max="1" width="59.7109375" style="4" customWidth="1"/>
    <col min="2" max="2" width="2.85546875" style="4" customWidth="1"/>
    <col min="3" max="6" width="32.7109375" style="29" customWidth="1"/>
    <col min="7" max="16384" width="8.7109375" style="4"/>
  </cols>
  <sheetData>
    <row r="1" spans="1:6" ht="107.1" customHeight="1" x14ac:dyDescent="0.2">
      <c r="A1" s="1" t="s">
        <v>0</v>
      </c>
      <c r="B1" s="2"/>
      <c r="C1" s="3"/>
      <c r="D1" s="3"/>
      <c r="E1" s="3"/>
      <c r="F1" s="3"/>
    </row>
    <row r="2" spans="1:6" ht="37.5" customHeight="1" x14ac:dyDescent="0.2">
      <c r="A2" s="5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</row>
    <row r="3" spans="1:6" ht="17.25" customHeight="1" x14ac:dyDescent="0.2">
      <c r="A3" s="9" t="s">
        <v>7</v>
      </c>
      <c r="B3" s="10" t="s">
        <v>8</v>
      </c>
      <c r="C3" s="11">
        <v>-109946</v>
      </c>
      <c r="D3" s="11">
        <v>-15201</v>
      </c>
      <c r="E3" s="11">
        <v>0</v>
      </c>
      <c r="F3" s="11">
        <v>-125147</v>
      </c>
    </row>
    <row r="4" spans="1:6" ht="17.25" customHeight="1" x14ac:dyDescent="0.2">
      <c r="A4" s="9" t="s">
        <v>9</v>
      </c>
      <c r="B4" s="10" t="s">
        <v>8</v>
      </c>
      <c r="C4" s="11">
        <v>-5521366</v>
      </c>
      <c r="D4" s="11">
        <v>-26423533</v>
      </c>
      <c r="E4" s="11">
        <v>-34386559</v>
      </c>
      <c r="F4" s="11">
        <v>-66331458</v>
      </c>
    </row>
    <row r="5" spans="1:6" ht="17.25" customHeight="1" x14ac:dyDescent="0.2">
      <c r="A5" s="12" t="s">
        <v>10</v>
      </c>
      <c r="B5" s="13" t="s">
        <v>11</v>
      </c>
      <c r="C5" s="11">
        <v>-133318</v>
      </c>
      <c r="D5" s="11">
        <v>-2789</v>
      </c>
      <c r="E5" s="11">
        <v>0</v>
      </c>
      <c r="F5" s="11">
        <v>-136107</v>
      </c>
    </row>
    <row r="6" spans="1:6" ht="17.25" customHeight="1" thickBot="1" x14ac:dyDescent="0.3">
      <c r="A6" s="14" t="s">
        <v>12</v>
      </c>
      <c r="B6" s="15" t="s">
        <v>8</v>
      </c>
      <c r="C6" s="16">
        <f>SUBTOTAL(109,CurrentPeriodAdjustments[Local Agencies])</f>
        <v>-5764630</v>
      </c>
      <c r="D6" s="16">
        <f>SUBTOTAL(109,CurrentPeriodAdjustments[School Districts])</f>
        <v>-26441523</v>
      </c>
      <c r="E6" s="16">
        <f>SUBTOTAL(109,CurrentPeriodAdjustments[Community College Districts])</f>
        <v>-34386559</v>
      </c>
      <c r="F6" s="16">
        <f>SUBTOTAL(109,CurrentPeriodAdjustments[Grand Total])</f>
        <v>-66592712</v>
      </c>
    </row>
    <row r="7" spans="1:6" ht="17.25" customHeight="1" x14ac:dyDescent="0.2">
      <c r="A7" s="17" t="s">
        <v>13</v>
      </c>
      <c r="B7" s="13"/>
      <c r="C7" s="11"/>
      <c r="D7" s="11"/>
      <c r="E7" s="11"/>
      <c r="F7" s="11"/>
    </row>
    <row r="8" spans="1:6" ht="37.5" customHeight="1" x14ac:dyDescent="0.2">
      <c r="A8" s="5" t="s">
        <v>1</v>
      </c>
      <c r="B8" s="6" t="s">
        <v>2</v>
      </c>
      <c r="C8" s="7" t="s">
        <v>3</v>
      </c>
      <c r="D8" s="7" t="s">
        <v>4</v>
      </c>
      <c r="E8" s="7" t="s">
        <v>5</v>
      </c>
      <c r="F8" s="8" t="s">
        <v>6</v>
      </c>
    </row>
    <row r="9" spans="1:6" ht="17.25" customHeight="1" x14ac:dyDescent="0.2">
      <c r="A9" s="9" t="s">
        <v>14</v>
      </c>
      <c r="B9" s="10" t="s">
        <v>8</v>
      </c>
      <c r="C9" s="11">
        <v>-798800718</v>
      </c>
      <c r="D9" s="11">
        <v>-1258731108.6700001</v>
      </c>
      <c r="E9" s="11">
        <v>-557096803</v>
      </c>
      <c r="F9" s="11">
        <v>-2614628629.6700001</v>
      </c>
    </row>
    <row r="10" spans="1:6" ht="17.25" customHeight="1" x14ac:dyDescent="0.2">
      <c r="A10" s="9" t="s">
        <v>12</v>
      </c>
      <c r="B10" s="10" t="s">
        <v>8</v>
      </c>
      <c r="C10" s="11">
        <v>-5764630</v>
      </c>
      <c r="D10" s="11">
        <v>-26441523</v>
      </c>
      <c r="E10" s="11">
        <v>-34386559</v>
      </c>
      <c r="F10" s="11">
        <v>-66592712</v>
      </c>
    </row>
    <row r="11" spans="1:6" ht="17.25" customHeight="1" x14ac:dyDescent="0.25">
      <c r="A11" s="14" t="s">
        <v>15</v>
      </c>
      <c r="B11" s="18" t="s">
        <v>8</v>
      </c>
      <c r="C11" s="19">
        <f>SUBTOTAL(109,CumulativeAdjustments[Local Agencies])</f>
        <v>-804565348</v>
      </c>
      <c r="D11" s="19">
        <f>SUBTOTAL(109,CumulativeAdjustments[School Districts])</f>
        <v>-1285172631.6700001</v>
      </c>
      <c r="E11" s="19">
        <f>SUBTOTAL(109,CumulativeAdjustments[Community College Districts])</f>
        <v>-591483362</v>
      </c>
      <c r="F11" s="19">
        <f>SUBTOTAL(109,CumulativeAdjustments[Grand Total])</f>
        <v>-2681221341.6700001</v>
      </c>
    </row>
    <row r="12" spans="1:6" ht="17.25" customHeight="1" x14ac:dyDescent="0.2">
      <c r="A12" s="17" t="s">
        <v>13</v>
      </c>
      <c r="B12" s="13"/>
      <c r="C12" s="11"/>
      <c r="D12" s="11"/>
      <c r="E12" s="11"/>
      <c r="F12" s="11"/>
    </row>
    <row r="13" spans="1:6" ht="37.5" customHeight="1" x14ac:dyDescent="0.2">
      <c r="A13" s="5" t="s">
        <v>1</v>
      </c>
      <c r="B13" s="6" t="s">
        <v>2</v>
      </c>
      <c r="C13" s="7" t="s">
        <v>3</v>
      </c>
      <c r="D13" s="7" t="s">
        <v>4</v>
      </c>
      <c r="E13" s="7" t="s">
        <v>5</v>
      </c>
      <c r="F13" s="8" t="s">
        <v>6</v>
      </c>
    </row>
    <row r="14" spans="1:6" ht="17.25" customHeight="1" x14ac:dyDescent="0.2">
      <c r="A14" s="9" t="s">
        <v>16</v>
      </c>
      <c r="B14" s="10" t="s">
        <v>8</v>
      </c>
      <c r="C14" s="11">
        <v>4991239900.8800001</v>
      </c>
      <c r="D14" s="11">
        <v>9235610308.5600014</v>
      </c>
      <c r="E14" s="11">
        <v>946412868</v>
      </c>
      <c r="F14" s="11">
        <v>15173263077.440002</v>
      </c>
    </row>
    <row r="15" spans="1:6" ht="17.25" customHeight="1" x14ac:dyDescent="0.2">
      <c r="A15" s="9" t="s">
        <v>15</v>
      </c>
      <c r="B15" s="10" t="s">
        <v>8</v>
      </c>
      <c r="C15" s="11">
        <v>-804565348</v>
      </c>
      <c r="D15" s="11">
        <v>-1285172631.6700001</v>
      </c>
      <c r="E15" s="11">
        <v>-591483362</v>
      </c>
      <c r="F15" s="11">
        <v>-2681221341.6700001</v>
      </c>
    </row>
    <row r="16" spans="1:6" s="22" customFormat="1" ht="17.25" customHeight="1" thickBot="1" x14ac:dyDescent="0.3">
      <c r="A16" s="20" t="s">
        <v>17</v>
      </c>
      <c r="B16" s="21" t="s">
        <v>18</v>
      </c>
      <c r="C16" s="16">
        <f>SUBTOTAL(109,ProgramCosts[Local Agencies])</f>
        <v>4186674552.8800001</v>
      </c>
      <c r="D16" s="16">
        <f>SUBTOTAL(109,ProgramCosts[School Districts])</f>
        <v>7950437676.8900013</v>
      </c>
      <c r="E16" s="16">
        <f>SUBTOTAL(109,ProgramCosts[Community College Districts])</f>
        <v>354929506</v>
      </c>
      <c r="F16" s="16">
        <f>SUBTOTAL(109,ProgramCosts[Grand Total])</f>
        <v>12492041735.770002</v>
      </c>
    </row>
    <row r="17" spans="1:6" ht="17.25" customHeight="1" x14ac:dyDescent="0.2">
      <c r="A17" s="17" t="s">
        <v>13</v>
      </c>
      <c r="B17" s="13"/>
      <c r="C17" s="11"/>
      <c r="D17" s="11"/>
      <c r="E17" s="11"/>
      <c r="F17" s="11"/>
    </row>
    <row r="18" spans="1:6" s="22" customFormat="1" ht="37.5" customHeight="1" x14ac:dyDescent="0.25">
      <c r="A18" s="5" t="s">
        <v>1</v>
      </c>
      <c r="B18" s="6" t="s">
        <v>2</v>
      </c>
      <c r="C18" s="7" t="s">
        <v>3</v>
      </c>
      <c r="D18" s="7" t="s">
        <v>4</v>
      </c>
      <c r="E18" s="7" t="s">
        <v>5</v>
      </c>
      <c r="F18" s="8" t="s">
        <v>6</v>
      </c>
    </row>
    <row r="19" spans="1:6" s="22" customFormat="1" ht="17.25" customHeight="1" x14ac:dyDescent="0.25">
      <c r="A19" s="9" t="s">
        <v>17</v>
      </c>
      <c r="B19" s="10" t="s">
        <v>8</v>
      </c>
      <c r="C19" s="11">
        <v>4186674552.8800001</v>
      </c>
      <c r="D19" s="11">
        <v>7950437676.8900013</v>
      </c>
      <c r="E19" s="11">
        <v>354929506</v>
      </c>
      <c r="F19" s="11">
        <v>12492041735.77</v>
      </c>
    </row>
    <row r="20" spans="1:6" s="22" customFormat="1" ht="17.25" customHeight="1" x14ac:dyDescent="0.25">
      <c r="A20" s="9" t="s">
        <v>19</v>
      </c>
      <c r="B20" s="10" t="s">
        <v>8</v>
      </c>
      <c r="C20" s="11">
        <v>-3417329260.21</v>
      </c>
      <c r="D20" s="11">
        <v>-7023231535.8900003</v>
      </c>
      <c r="E20" s="11">
        <v>-344238444</v>
      </c>
      <c r="F20" s="11">
        <v>-10784799240.1</v>
      </c>
    </row>
    <row r="21" spans="1:6" ht="17.25" customHeight="1" x14ac:dyDescent="0.25">
      <c r="A21" s="23" t="s">
        <v>20</v>
      </c>
      <c r="B21" s="24" t="s">
        <v>8</v>
      </c>
      <c r="C21" s="16">
        <f>SUBTOTAL(109,AccountsPayable[Local Agencies])</f>
        <v>769345292.67000008</v>
      </c>
      <c r="D21" s="16">
        <f>SUBTOTAL(109,AccountsPayable[School Districts])</f>
        <v>927206141.00000095</v>
      </c>
      <c r="E21" s="16">
        <f>SUBTOTAL(109,AccountsPayable[Community College Districts])</f>
        <v>10691062</v>
      </c>
      <c r="F21" s="16">
        <f>SUBTOTAL(109,AccountsPayable[Grand Total])</f>
        <v>1707242495.6700001</v>
      </c>
    </row>
    <row r="22" spans="1:6" ht="17.25" customHeight="1" x14ac:dyDescent="0.2">
      <c r="A22" s="17" t="s">
        <v>13</v>
      </c>
      <c r="B22" s="13"/>
      <c r="C22" s="11"/>
      <c r="D22" s="11"/>
      <c r="E22" s="11"/>
      <c r="F22" s="11"/>
    </row>
    <row r="23" spans="1:6" ht="37.5" customHeight="1" x14ac:dyDescent="0.2">
      <c r="A23" s="5" t="s">
        <v>1</v>
      </c>
      <c r="B23" s="6" t="s">
        <v>2</v>
      </c>
      <c r="C23" s="7" t="s">
        <v>3</v>
      </c>
      <c r="D23" s="7" t="s">
        <v>4</v>
      </c>
      <c r="E23" s="7" t="s">
        <v>5</v>
      </c>
      <c r="F23" s="8" t="s">
        <v>6</v>
      </c>
    </row>
    <row r="24" spans="1:6" ht="17.25" customHeight="1" x14ac:dyDescent="0.2">
      <c r="A24" s="25" t="s">
        <v>21</v>
      </c>
      <c r="B24" s="10" t="s">
        <v>8</v>
      </c>
      <c r="C24" s="11">
        <v>302509990.28000003</v>
      </c>
      <c r="D24" s="11">
        <v>321844305</v>
      </c>
      <c r="E24" s="11">
        <v>50624934</v>
      </c>
      <c r="F24" s="11">
        <v>674979229.27999997</v>
      </c>
    </row>
    <row r="25" spans="1:6" ht="17.25" customHeight="1" x14ac:dyDescent="0.2">
      <c r="A25" s="9" t="s">
        <v>22</v>
      </c>
      <c r="B25" s="10" t="s">
        <v>8</v>
      </c>
      <c r="C25" s="11">
        <v>-300259126.28000003</v>
      </c>
      <c r="D25" s="11">
        <v>-270139105</v>
      </c>
      <c r="E25" s="11">
        <v>-37833516</v>
      </c>
      <c r="F25" s="11">
        <v>-608231747.27999997</v>
      </c>
    </row>
    <row r="26" spans="1:6" ht="15.75" x14ac:dyDescent="0.25">
      <c r="A26" s="23" t="s">
        <v>23</v>
      </c>
      <c r="B26" s="24" t="s">
        <v>8</v>
      </c>
      <c r="C26" s="16">
        <f>SUBTOTAL(109,AccountsReceivable[Local Agencies])</f>
        <v>2250864</v>
      </c>
      <c r="D26" s="16">
        <f>SUBTOTAL(109,AccountsReceivable[School Districts])</f>
        <v>51705200</v>
      </c>
      <c r="E26" s="16">
        <f>SUBTOTAL(109,AccountsReceivable[Community College Districts])</f>
        <v>12791418</v>
      </c>
      <c r="F26" s="16">
        <f>SUBTOTAL(109,AccountsReceivable[Grand Total])</f>
        <v>66747482</v>
      </c>
    </row>
    <row r="27" spans="1:6" ht="17.25" customHeight="1" x14ac:dyDescent="0.2">
      <c r="A27" s="17" t="s">
        <v>13</v>
      </c>
      <c r="B27" s="13"/>
      <c r="C27" s="11"/>
      <c r="D27" s="11"/>
      <c r="E27" s="11"/>
      <c r="F27" s="11"/>
    </row>
    <row r="28" spans="1:6" ht="37.5" customHeight="1" x14ac:dyDescent="0.2">
      <c r="A28" s="5" t="s">
        <v>1</v>
      </c>
      <c r="B28" s="6" t="s">
        <v>2</v>
      </c>
      <c r="C28" s="7" t="s">
        <v>3</v>
      </c>
      <c r="D28" s="7" t="s">
        <v>4</v>
      </c>
      <c r="E28" s="7" t="s">
        <v>5</v>
      </c>
      <c r="F28" s="8" t="s">
        <v>6</v>
      </c>
    </row>
    <row r="29" spans="1:6" ht="17.25" customHeight="1" x14ac:dyDescent="0.2">
      <c r="A29" s="25" t="s">
        <v>20</v>
      </c>
      <c r="B29" s="10" t="s">
        <v>8</v>
      </c>
      <c r="C29" s="11">
        <v>769345292.67000008</v>
      </c>
      <c r="D29" s="11">
        <v>927206141.00000095</v>
      </c>
      <c r="E29" s="11">
        <v>10691062</v>
      </c>
      <c r="F29" s="11">
        <v>1707242495.670001</v>
      </c>
    </row>
    <row r="30" spans="1:6" ht="17.25" customHeight="1" x14ac:dyDescent="0.2">
      <c r="A30" s="25" t="s">
        <v>23</v>
      </c>
      <c r="B30" s="10" t="s">
        <v>8</v>
      </c>
      <c r="C30" s="11">
        <v>-2250864</v>
      </c>
      <c r="D30" s="11">
        <v>-51705200</v>
      </c>
      <c r="E30" s="11">
        <v>-12791418</v>
      </c>
      <c r="F30" s="11">
        <v>-66747482</v>
      </c>
    </row>
    <row r="31" spans="1:6" ht="17.25" customHeight="1" x14ac:dyDescent="0.25">
      <c r="A31" s="26" t="s">
        <v>24</v>
      </c>
      <c r="B31" s="27" t="s">
        <v>25</v>
      </c>
      <c r="C31" s="16">
        <f>SUBTOTAL(109,NetBalance[Local Agencies])</f>
        <v>767094428.67000008</v>
      </c>
      <c r="D31" s="16">
        <f>SUBTOTAL(109,NetBalance[School Districts])</f>
        <v>875500941.00000095</v>
      </c>
      <c r="E31" s="16">
        <f>SUBTOTAL(109,NetBalance[Community College Districts])</f>
        <v>-2100356</v>
      </c>
      <c r="F31" s="16">
        <f>SUBTOTAL(109,NetBalance[Grand Total])</f>
        <v>1640495013.670001</v>
      </c>
    </row>
    <row r="32" spans="1:6" ht="15.75" x14ac:dyDescent="0.25">
      <c r="A32" s="28" t="s">
        <v>26</v>
      </c>
      <c r="B32" s="28"/>
    </row>
    <row r="33" spans="1:6" ht="15.75" x14ac:dyDescent="0.25">
      <c r="A33" s="30" t="s">
        <v>27</v>
      </c>
      <c r="B33" s="30"/>
      <c r="C33" s="31"/>
      <c r="D33" s="31"/>
      <c r="E33" s="31"/>
      <c r="F33" s="31"/>
    </row>
    <row r="34" spans="1:6" ht="15.75" x14ac:dyDescent="0.25">
      <c r="A34" s="30" t="s">
        <v>28</v>
      </c>
      <c r="B34" s="30"/>
      <c r="C34" s="31"/>
      <c r="D34" s="31"/>
      <c r="E34" s="31"/>
      <c r="F34" s="31"/>
    </row>
    <row r="35" spans="1:6" ht="15.75" x14ac:dyDescent="0.25">
      <c r="A35" s="30" t="s">
        <v>29</v>
      </c>
      <c r="B35" s="30"/>
      <c r="C35" s="31"/>
      <c r="D35" s="31"/>
      <c r="E35" s="31"/>
      <c r="F35" s="31"/>
    </row>
    <row r="36" spans="1:6" ht="15.75" x14ac:dyDescent="0.25">
      <c r="A36" s="32" t="s">
        <v>30</v>
      </c>
    </row>
  </sheetData>
  <hyperlinks>
    <hyperlink ref="A31" location="'Summary '!A32" tooltip="This hyperlink will take you to the referenced footnote-footnote 1, 2, and 3" display="Net Balance as of 03/31/2021³"/>
    <hyperlink ref="A16" location="'Summary '!A32" tooltip="This hyperlink will take you to the referenced footnote-footnote 1, 2, and 3" display="Net Program Costs²"/>
    <hyperlink ref="A5" location="'Summary '!A32" tooltip="This hyperlink will take you to the referenced footnote-footnote 1, 2, and 3" display="Other Adjustments¹"/>
  </hyperlinks>
  <printOptions horizontalCentered="1"/>
  <pageMargins left="0.5" right="0.5" top="0.65" bottom="0.75" header="0.4" footer="0.1"/>
  <pageSetup scale="62" fitToHeight="0" orientation="landscape" useFirstPageNumber="1" r:id="rId1"/>
  <headerFooter>
    <oddFooter>&amp;L&amp;"Arial,Regular"&amp;12Summary of Local Agencies, School Districts, and Community College Districts&amp;R&amp;"Arial,Regular"&amp;12Page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5"/>
  <sheetViews>
    <sheetView zoomScale="80" zoomScaleNormal="80" workbookViewId="0">
      <selection activeCell="B51" sqref="B51"/>
    </sheetView>
  </sheetViews>
  <sheetFormatPr defaultRowHeight="15" x14ac:dyDescent="0.25"/>
  <cols>
    <col min="1" max="1" width="62" customWidth="1"/>
    <col min="2" max="2" width="19.28515625" bestFit="1" customWidth="1"/>
    <col min="3" max="3" width="18.140625" customWidth="1"/>
    <col min="4" max="4" width="17.7109375" customWidth="1"/>
    <col min="5" max="5" width="13.5703125" bestFit="1" customWidth="1"/>
    <col min="6" max="6" width="15.42578125" bestFit="1" customWidth="1"/>
    <col min="7" max="7" width="15.5703125" customWidth="1"/>
    <col min="8" max="8" width="20.140625" customWidth="1"/>
    <col min="9" max="9" width="18.85546875" customWidth="1"/>
    <col min="10" max="11" width="18.28515625" bestFit="1" customWidth="1"/>
    <col min="12" max="12" width="16.42578125" customWidth="1"/>
    <col min="13" max="13" width="15.85546875" customWidth="1"/>
    <col min="14" max="14" width="16.5703125" customWidth="1"/>
    <col min="15" max="15" width="7.7109375" customWidth="1"/>
  </cols>
  <sheetData>
    <row r="1" spans="1:14" ht="99.95" customHeight="1" x14ac:dyDescent="0.25">
      <c r="A1" s="33" t="s">
        <v>31</v>
      </c>
      <c r="B1" s="34"/>
      <c r="C1" s="35"/>
      <c r="D1" s="35"/>
      <c r="E1" s="36"/>
      <c r="F1" s="36"/>
      <c r="G1" s="36"/>
      <c r="H1" s="36"/>
      <c r="I1" s="36"/>
      <c r="J1" s="36"/>
      <c r="K1" s="37"/>
      <c r="L1" s="37"/>
      <c r="M1" s="37"/>
      <c r="N1" s="38"/>
    </row>
    <row r="2" spans="1:14" ht="78.75" x14ac:dyDescent="0.25">
      <c r="A2" s="39" t="s">
        <v>32</v>
      </c>
      <c r="B2" s="40" t="s">
        <v>33</v>
      </c>
      <c r="C2" s="41" t="s">
        <v>34</v>
      </c>
      <c r="D2" s="41" t="s">
        <v>35</v>
      </c>
      <c r="E2" s="42" t="s">
        <v>36</v>
      </c>
      <c r="F2" s="42" t="s">
        <v>37</v>
      </c>
      <c r="G2" s="42" t="s">
        <v>38</v>
      </c>
      <c r="H2" s="43" t="s">
        <v>39</v>
      </c>
      <c r="I2" s="44" t="s">
        <v>40</v>
      </c>
      <c r="J2" s="44" t="s">
        <v>41</v>
      </c>
      <c r="K2" s="42" t="s">
        <v>42</v>
      </c>
      <c r="L2" s="44" t="s">
        <v>43</v>
      </c>
      <c r="M2" s="44" t="s">
        <v>44</v>
      </c>
      <c r="N2" s="45" t="s">
        <v>45</v>
      </c>
    </row>
    <row r="3" spans="1:14" ht="15.75" x14ac:dyDescent="0.25">
      <c r="A3" s="46" t="s">
        <v>46</v>
      </c>
      <c r="B3" s="47" t="s">
        <v>47</v>
      </c>
      <c r="C3" s="48">
        <v>720191</v>
      </c>
      <c r="D3" s="48">
        <v>-720191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</row>
    <row r="4" spans="1:14" ht="15.75" x14ac:dyDescent="0.25">
      <c r="A4" s="49" t="s">
        <v>46</v>
      </c>
      <c r="B4" s="50" t="s">
        <v>48</v>
      </c>
      <c r="C4" s="51">
        <v>24852067</v>
      </c>
      <c r="D4" s="51">
        <v>-71276</v>
      </c>
      <c r="E4" s="51">
        <v>0</v>
      </c>
      <c r="F4" s="51">
        <v>0</v>
      </c>
      <c r="G4" s="51">
        <v>0</v>
      </c>
      <c r="H4" s="51">
        <v>24780791</v>
      </c>
      <c r="I4" s="51">
        <v>0</v>
      </c>
      <c r="J4" s="51">
        <v>24780791</v>
      </c>
      <c r="K4" s="51">
        <v>0</v>
      </c>
      <c r="L4" s="51">
        <v>0</v>
      </c>
      <c r="M4" s="51">
        <v>0</v>
      </c>
      <c r="N4" s="51">
        <v>24780791</v>
      </c>
    </row>
    <row r="5" spans="1:14" ht="15.75" x14ac:dyDescent="0.25">
      <c r="A5" s="49" t="s">
        <v>46</v>
      </c>
      <c r="B5" s="50" t="s">
        <v>49</v>
      </c>
      <c r="C5" s="51">
        <v>24745106</v>
      </c>
      <c r="D5" s="51">
        <v>-34283</v>
      </c>
      <c r="E5" s="51">
        <v>0</v>
      </c>
      <c r="F5" s="51">
        <v>0</v>
      </c>
      <c r="G5" s="51">
        <v>0</v>
      </c>
      <c r="H5" s="51">
        <v>24710823</v>
      </c>
      <c r="I5" s="51">
        <v>0</v>
      </c>
      <c r="J5" s="51">
        <v>24710823</v>
      </c>
      <c r="K5" s="51">
        <v>0</v>
      </c>
      <c r="L5" s="51">
        <v>0</v>
      </c>
      <c r="M5" s="51">
        <v>0</v>
      </c>
      <c r="N5" s="51">
        <v>24710823</v>
      </c>
    </row>
    <row r="6" spans="1:14" ht="15.75" x14ac:dyDescent="0.25">
      <c r="A6" s="49" t="s">
        <v>46</v>
      </c>
      <c r="B6" s="50" t="s">
        <v>50</v>
      </c>
      <c r="C6" s="51">
        <v>26550898</v>
      </c>
      <c r="D6" s="51">
        <v>-882862</v>
      </c>
      <c r="E6" s="51">
        <v>0</v>
      </c>
      <c r="F6" s="51">
        <v>0</v>
      </c>
      <c r="G6" s="51">
        <v>0</v>
      </c>
      <c r="H6" s="51">
        <v>25668036</v>
      </c>
      <c r="I6" s="51">
        <v>-25668036</v>
      </c>
      <c r="J6" s="51">
        <v>0</v>
      </c>
      <c r="K6" s="51">
        <v>1012417</v>
      </c>
      <c r="L6" s="51">
        <v>-1012417</v>
      </c>
      <c r="M6" s="51">
        <v>0</v>
      </c>
      <c r="N6" s="51">
        <v>0</v>
      </c>
    </row>
    <row r="7" spans="1:14" ht="15.75" x14ac:dyDescent="0.25">
      <c r="A7" s="49" t="s">
        <v>46</v>
      </c>
      <c r="B7" s="50" t="s">
        <v>51</v>
      </c>
      <c r="C7" s="51">
        <v>23235338</v>
      </c>
      <c r="D7" s="51">
        <v>-677510</v>
      </c>
      <c r="E7" s="51">
        <v>0</v>
      </c>
      <c r="F7" s="51">
        <v>0</v>
      </c>
      <c r="G7" s="51">
        <v>0</v>
      </c>
      <c r="H7" s="51">
        <v>22557828</v>
      </c>
      <c r="I7" s="51">
        <v>-22557828</v>
      </c>
      <c r="J7" s="51">
        <v>0</v>
      </c>
      <c r="K7" s="51">
        <v>103885</v>
      </c>
      <c r="L7" s="51">
        <v>-103885</v>
      </c>
      <c r="M7" s="51">
        <v>0</v>
      </c>
      <c r="N7" s="51">
        <v>0</v>
      </c>
    </row>
    <row r="8" spans="1:14" ht="15.75" x14ac:dyDescent="0.25">
      <c r="A8" s="49" t="s">
        <v>46</v>
      </c>
      <c r="B8" s="50" t="s">
        <v>52</v>
      </c>
      <c r="C8" s="51">
        <v>19463385</v>
      </c>
      <c r="D8" s="51">
        <v>183088</v>
      </c>
      <c r="E8" s="51">
        <v>0</v>
      </c>
      <c r="F8" s="51">
        <v>0</v>
      </c>
      <c r="G8" s="51">
        <v>0</v>
      </c>
      <c r="H8" s="51">
        <v>19646473</v>
      </c>
      <c r="I8" s="51">
        <v>-19646473</v>
      </c>
      <c r="J8" s="51">
        <v>0</v>
      </c>
      <c r="K8" s="51">
        <v>1879295</v>
      </c>
      <c r="L8" s="51">
        <v>-1879295</v>
      </c>
      <c r="M8" s="51">
        <v>0</v>
      </c>
      <c r="N8" s="51">
        <v>0</v>
      </c>
    </row>
    <row r="9" spans="1:14" ht="15.75" x14ac:dyDescent="0.25">
      <c r="A9" s="49" t="s">
        <v>46</v>
      </c>
      <c r="B9" s="50" t="s">
        <v>53</v>
      </c>
      <c r="C9" s="51">
        <v>19196359</v>
      </c>
      <c r="D9" s="51">
        <v>-374473</v>
      </c>
      <c r="E9" s="51">
        <v>0</v>
      </c>
      <c r="F9" s="51">
        <v>0</v>
      </c>
      <c r="G9" s="51">
        <v>0</v>
      </c>
      <c r="H9" s="51">
        <v>18821886</v>
      </c>
      <c r="I9" s="51">
        <v>-18821886</v>
      </c>
      <c r="J9" s="51">
        <v>0</v>
      </c>
      <c r="K9" s="51">
        <v>675827</v>
      </c>
      <c r="L9" s="51">
        <v>-675827</v>
      </c>
      <c r="M9" s="51">
        <v>0</v>
      </c>
      <c r="N9" s="51">
        <v>0</v>
      </c>
    </row>
    <row r="10" spans="1:14" ht="15.75" x14ac:dyDescent="0.25">
      <c r="A10" s="49" t="s">
        <v>46</v>
      </c>
      <c r="B10" s="50" t="s">
        <v>54</v>
      </c>
      <c r="C10" s="51">
        <v>17906299</v>
      </c>
      <c r="D10" s="51">
        <v>-342700</v>
      </c>
      <c r="E10" s="51">
        <v>0</v>
      </c>
      <c r="F10" s="51">
        <v>0</v>
      </c>
      <c r="G10" s="51">
        <v>0</v>
      </c>
      <c r="H10" s="51">
        <v>17563599</v>
      </c>
      <c r="I10" s="51">
        <v>-17516451</v>
      </c>
      <c r="J10" s="51">
        <v>47148</v>
      </c>
      <c r="K10" s="51">
        <v>2316857</v>
      </c>
      <c r="L10" s="51">
        <v>-2316857</v>
      </c>
      <c r="M10" s="51">
        <v>0</v>
      </c>
      <c r="N10" s="51">
        <v>47148</v>
      </c>
    </row>
    <row r="11" spans="1:14" ht="15.75" x14ac:dyDescent="0.25">
      <c r="A11" s="49" t="s">
        <v>46</v>
      </c>
      <c r="B11" s="50" t="s">
        <v>55</v>
      </c>
      <c r="C11" s="51">
        <v>19450870</v>
      </c>
      <c r="D11" s="51">
        <v>-645194</v>
      </c>
      <c r="E11" s="51">
        <v>0</v>
      </c>
      <c r="F11" s="51">
        <v>0</v>
      </c>
      <c r="G11" s="51">
        <v>0</v>
      </c>
      <c r="H11" s="51">
        <v>18805676</v>
      </c>
      <c r="I11" s="51">
        <v>-18805676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</row>
    <row r="12" spans="1:14" ht="15.75" x14ac:dyDescent="0.25">
      <c r="A12" s="49" t="s">
        <v>46</v>
      </c>
      <c r="B12" s="50" t="s">
        <v>56</v>
      </c>
      <c r="C12" s="51">
        <v>12563437</v>
      </c>
      <c r="D12" s="51">
        <v>-589835</v>
      </c>
      <c r="E12" s="51">
        <v>0</v>
      </c>
      <c r="F12" s="51">
        <v>0</v>
      </c>
      <c r="G12" s="51">
        <v>0</v>
      </c>
      <c r="H12" s="51">
        <v>11973602</v>
      </c>
      <c r="I12" s="51">
        <v>-11973602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</row>
    <row r="13" spans="1:14" ht="15.75" x14ac:dyDescent="0.25">
      <c r="A13" s="49" t="s">
        <v>46</v>
      </c>
      <c r="B13" s="50" t="s">
        <v>57</v>
      </c>
      <c r="C13" s="51">
        <v>11981566</v>
      </c>
      <c r="D13" s="51">
        <v>-751917</v>
      </c>
      <c r="E13" s="51">
        <v>0</v>
      </c>
      <c r="F13" s="51">
        <v>0</v>
      </c>
      <c r="G13" s="51">
        <v>0</v>
      </c>
      <c r="H13" s="51">
        <v>11229649</v>
      </c>
      <c r="I13" s="51">
        <v>-11229649</v>
      </c>
      <c r="J13" s="51">
        <v>0</v>
      </c>
      <c r="K13" s="51">
        <v>433509</v>
      </c>
      <c r="L13" s="51">
        <v>-433509</v>
      </c>
      <c r="M13" s="51">
        <v>0</v>
      </c>
      <c r="N13" s="51">
        <v>0</v>
      </c>
    </row>
    <row r="14" spans="1:14" ht="15.75" x14ac:dyDescent="0.25">
      <c r="A14" s="49" t="s">
        <v>46</v>
      </c>
      <c r="B14" s="50" t="s">
        <v>58</v>
      </c>
      <c r="C14" s="51">
        <v>12476501</v>
      </c>
      <c r="D14" s="51">
        <v>-415112</v>
      </c>
      <c r="E14" s="51">
        <v>0</v>
      </c>
      <c r="F14" s="51">
        <v>0</v>
      </c>
      <c r="G14" s="51">
        <v>0</v>
      </c>
      <c r="H14" s="51">
        <v>12061389</v>
      </c>
      <c r="I14" s="51">
        <v>-12061389</v>
      </c>
      <c r="J14" s="51">
        <v>0</v>
      </c>
      <c r="K14" s="51">
        <v>254897</v>
      </c>
      <c r="L14" s="51">
        <v>-254897</v>
      </c>
      <c r="M14" s="51">
        <v>0</v>
      </c>
      <c r="N14" s="51">
        <v>0</v>
      </c>
    </row>
    <row r="15" spans="1:14" ht="15.75" x14ac:dyDescent="0.25">
      <c r="A15" s="49" t="s">
        <v>46</v>
      </c>
      <c r="B15" s="50" t="s">
        <v>59</v>
      </c>
      <c r="C15" s="51">
        <v>8991583</v>
      </c>
      <c r="D15" s="51">
        <v>-115022</v>
      </c>
      <c r="E15" s="51">
        <v>0</v>
      </c>
      <c r="F15" s="51">
        <v>0</v>
      </c>
      <c r="G15" s="51">
        <v>0</v>
      </c>
      <c r="H15" s="51">
        <v>8876561</v>
      </c>
      <c r="I15" s="51">
        <v>-8876561</v>
      </c>
      <c r="J15" s="51">
        <v>0</v>
      </c>
      <c r="K15" s="51">
        <v>1729887</v>
      </c>
      <c r="L15" s="51">
        <v>-1729887</v>
      </c>
      <c r="M15" s="51">
        <v>0</v>
      </c>
      <c r="N15" s="51">
        <v>0</v>
      </c>
    </row>
    <row r="16" spans="1:14" ht="15.75" x14ac:dyDescent="0.25">
      <c r="A16" s="49" t="s">
        <v>46</v>
      </c>
      <c r="B16" s="50" t="s">
        <v>60</v>
      </c>
      <c r="C16" s="51">
        <v>10689446</v>
      </c>
      <c r="D16" s="51">
        <v>-1143634</v>
      </c>
      <c r="E16" s="51">
        <v>0</v>
      </c>
      <c r="F16" s="51">
        <v>0</v>
      </c>
      <c r="G16" s="51">
        <v>0</v>
      </c>
      <c r="H16" s="51">
        <v>9545812</v>
      </c>
      <c r="I16" s="51">
        <v>-9545812</v>
      </c>
      <c r="J16" s="51">
        <v>0</v>
      </c>
      <c r="K16" s="51">
        <v>2091424</v>
      </c>
      <c r="L16" s="51">
        <v>-2091424</v>
      </c>
      <c r="M16" s="51">
        <v>0</v>
      </c>
      <c r="N16" s="51">
        <v>0</v>
      </c>
    </row>
    <row r="17" spans="1:14" ht="15.75" x14ac:dyDescent="0.25">
      <c r="A17" s="49" t="s">
        <v>46</v>
      </c>
      <c r="B17" s="50" t="s">
        <v>61</v>
      </c>
      <c r="C17" s="51">
        <v>9366930</v>
      </c>
      <c r="D17" s="51">
        <v>-1283475</v>
      </c>
      <c r="E17" s="51">
        <v>0</v>
      </c>
      <c r="F17" s="51">
        <v>0</v>
      </c>
      <c r="G17" s="51">
        <v>0</v>
      </c>
      <c r="H17" s="51">
        <v>8083455</v>
      </c>
      <c r="I17" s="51">
        <v>-8083455</v>
      </c>
      <c r="J17" s="51">
        <v>0</v>
      </c>
      <c r="K17" s="51">
        <v>1476537</v>
      </c>
      <c r="L17" s="51">
        <v>-1476537</v>
      </c>
      <c r="M17" s="51">
        <v>0</v>
      </c>
      <c r="N17" s="51">
        <v>0</v>
      </c>
    </row>
    <row r="18" spans="1:14" ht="15.75" x14ac:dyDescent="0.25">
      <c r="A18" s="49" t="s">
        <v>46</v>
      </c>
      <c r="B18" s="50" t="s">
        <v>62</v>
      </c>
      <c r="C18" s="51">
        <v>10705841</v>
      </c>
      <c r="D18" s="51">
        <v>-1340834</v>
      </c>
      <c r="E18" s="51">
        <v>0</v>
      </c>
      <c r="F18" s="51">
        <v>0</v>
      </c>
      <c r="G18" s="51">
        <v>0</v>
      </c>
      <c r="H18" s="51">
        <v>9365007</v>
      </c>
      <c r="I18" s="51">
        <v>-9365007</v>
      </c>
      <c r="J18" s="51">
        <v>0</v>
      </c>
      <c r="K18" s="51">
        <v>1825441</v>
      </c>
      <c r="L18" s="51">
        <v>-1825441</v>
      </c>
      <c r="M18" s="51">
        <v>0</v>
      </c>
      <c r="N18" s="51">
        <v>0</v>
      </c>
    </row>
    <row r="19" spans="1:14" ht="15.75" x14ac:dyDescent="0.25">
      <c r="A19" s="49" t="s">
        <v>46</v>
      </c>
      <c r="B19" s="50" t="s">
        <v>63</v>
      </c>
      <c r="C19" s="51">
        <v>8111801</v>
      </c>
      <c r="D19" s="51">
        <v>-22563</v>
      </c>
      <c r="E19" s="51">
        <v>0</v>
      </c>
      <c r="F19" s="51">
        <v>0</v>
      </c>
      <c r="G19" s="51">
        <v>0</v>
      </c>
      <c r="H19" s="51">
        <v>8089238</v>
      </c>
      <c r="I19" s="51">
        <v>-8089238</v>
      </c>
      <c r="J19" s="51">
        <v>0</v>
      </c>
      <c r="K19" s="51">
        <v>668475</v>
      </c>
      <c r="L19" s="51">
        <v>-668475</v>
      </c>
      <c r="M19" s="51">
        <v>0</v>
      </c>
      <c r="N19" s="51">
        <v>0</v>
      </c>
    </row>
    <row r="20" spans="1:14" ht="15.75" x14ac:dyDescent="0.25">
      <c r="A20" s="49" t="s">
        <v>46</v>
      </c>
      <c r="B20" s="50" t="s">
        <v>64</v>
      </c>
      <c r="C20" s="51">
        <v>8792593</v>
      </c>
      <c r="D20" s="51">
        <v>-59930</v>
      </c>
      <c r="E20" s="51">
        <v>0</v>
      </c>
      <c r="F20" s="51">
        <v>0</v>
      </c>
      <c r="G20" s="51">
        <v>0</v>
      </c>
      <c r="H20" s="51">
        <v>8732663</v>
      </c>
      <c r="I20" s="51">
        <v>-8732663</v>
      </c>
      <c r="J20" s="51">
        <v>0</v>
      </c>
      <c r="K20" s="51">
        <v>54807</v>
      </c>
      <c r="L20" s="51">
        <v>-54807</v>
      </c>
      <c r="M20" s="51">
        <v>0</v>
      </c>
      <c r="N20" s="51">
        <v>0</v>
      </c>
    </row>
    <row r="21" spans="1:14" ht="15.75" x14ac:dyDescent="0.25">
      <c r="A21" s="49" t="s">
        <v>46</v>
      </c>
      <c r="B21" s="50" t="s">
        <v>65</v>
      </c>
      <c r="C21" s="51">
        <v>8999606</v>
      </c>
      <c r="D21" s="51">
        <v>-102000</v>
      </c>
      <c r="E21" s="51">
        <v>0</v>
      </c>
      <c r="F21" s="51">
        <v>0</v>
      </c>
      <c r="G21" s="51">
        <v>0</v>
      </c>
      <c r="H21" s="51">
        <v>8897606</v>
      </c>
      <c r="I21" s="51">
        <v>-8897606</v>
      </c>
      <c r="J21" s="51">
        <v>0</v>
      </c>
      <c r="K21" s="51">
        <v>37195</v>
      </c>
      <c r="L21" s="51">
        <v>-37195</v>
      </c>
      <c r="M21" s="51">
        <v>0</v>
      </c>
      <c r="N21" s="51">
        <v>0</v>
      </c>
    </row>
    <row r="22" spans="1:14" ht="15.75" x14ac:dyDescent="0.25">
      <c r="A22" s="49" t="s">
        <v>46</v>
      </c>
      <c r="B22" s="50" t="s">
        <v>66</v>
      </c>
      <c r="C22" s="51">
        <v>239424</v>
      </c>
      <c r="D22" s="51">
        <v>-77892</v>
      </c>
      <c r="E22" s="51">
        <v>0</v>
      </c>
      <c r="F22" s="51">
        <v>0</v>
      </c>
      <c r="G22" s="51">
        <v>0</v>
      </c>
      <c r="H22" s="51">
        <v>161532</v>
      </c>
      <c r="I22" s="51">
        <v>-161532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</row>
    <row r="23" spans="1:14" ht="15.75" x14ac:dyDescent="0.25">
      <c r="A23" s="49" t="s">
        <v>46</v>
      </c>
      <c r="B23" s="50" t="s">
        <v>67</v>
      </c>
      <c r="C23" s="51">
        <v>6175389</v>
      </c>
      <c r="D23" s="51">
        <v>-645851</v>
      </c>
      <c r="E23" s="51">
        <v>0</v>
      </c>
      <c r="F23" s="51">
        <v>0</v>
      </c>
      <c r="G23" s="51">
        <v>0</v>
      </c>
      <c r="H23" s="51">
        <v>5529538</v>
      </c>
      <c r="I23" s="51">
        <v>-5529538</v>
      </c>
      <c r="J23" s="51">
        <v>0</v>
      </c>
      <c r="K23" s="51">
        <v>353081</v>
      </c>
      <c r="L23" s="51">
        <v>-353081</v>
      </c>
      <c r="M23" s="51">
        <v>0</v>
      </c>
      <c r="N23" s="51">
        <v>0</v>
      </c>
    </row>
    <row r="24" spans="1:14" ht="15.75" x14ac:dyDescent="0.25">
      <c r="A24" s="49" t="s">
        <v>46</v>
      </c>
      <c r="B24" s="50" t="s">
        <v>68</v>
      </c>
      <c r="C24" s="51">
        <v>329694</v>
      </c>
      <c r="D24" s="51">
        <v>0</v>
      </c>
      <c r="E24" s="51">
        <v>0</v>
      </c>
      <c r="F24" s="51">
        <v>0</v>
      </c>
      <c r="G24" s="51">
        <v>0</v>
      </c>
      <c r="H24" s="51">
        <v>329694</v>
      </c>
      <c r="I24" s="51">
        <v>-329694</v>
      </c>
      <c r="J24" s="51">
        <v>0</v>
      </c>
      <c r="K24" s="51">
        <v>187542</v>
      </c>
      <c r="L24" s="51">
        <v>-187542</v>
      </c>
      <c r="M24" s="51">
        <v>0</v>
      </c>
      <c r="N24" s="51">
        <v>0</v>
      </c>
    </row>
    <row r="25" spans="1:14" ht="15.75" x14ac:dyDescent="0.25">
      <c r="A25" s="49" t="s">
        <v>46</v>
      </c>
      <c r="B25" s="50" t="s">
        <v>69</v>
      </c>
      <c r="C25" s="51">
        <v>705397</v>
      </c>
      <c r="D25" s="51">
        <v>0</v>
      </c>
      <c r="E25" s="51">
        <v>0</v>
      </c>
      <c r="F25" s="51">
        <v>0</v>
      </c>
      <c r="G25" s="51">
        <v>0</v>
      </c>
      <c r="H25" s="51">
        <v>705397</v>
      </c>
      <c r="I25" s="51">
        <v>-705397</v>
      </c>
      <c r="J25" s="51">
        <v>0</v>
      </c>
      <c r="K25" s="51">
        <v>120000</v>
      </c>
      <c r="L25" s="51">
        <v>-120000</v>
      </c>
      <c r="M25" s="51">
        <v>0</v>
      </c>
      <c r="N25" s="51">
        <v>0</v>
      </c>
    </row>
    <row r="26" spans="1:14" ht="15.75" x14ac:dyDescent="0.25">
      <c r="A26" s="52" t="s">
        <v>70</v>
      </c>
      <c r="B26" s="53" t="s">
        <v>8</v>
      </c>
      <c r="C26" s="19">
        <f>SUBTOTAL(109,Program002[(C)
Program
Costs])</f>
        <v>286249721</v>
      </c>
      <c r="D26" s="19">
        <f>SUBTOTAL(109,Program002[(D)
Prior Period Adjustments])</f>
        <v>-10113466</v>
      </c>
      <c r="E26" s="19">
        <f>SUBTOTAL(109,Program002[(E)
Current Period Desk 
Reviews])</f>
        <v>0</v>
      </c>
      <c r="F26" s="19">
        <f>SUBTOTAL(109,Program002[(F)
Current Period 
Final 
Audits])</f>
        <v>0</v>
      </c>
      <c r="G26" s="19">
        <f>SUBTOTAL(109,Program002[(G)
Current Period 
Other Adjustments])</f>
        <v>0</v>
      </c>
      <c r="H26" s="19">
        <f>SUBTOTAL(109,Program002[(H)
Net Program Costs
Sum (C through G)])</f>
        <v>276136255</v>
      </c>
      <c r="I26" s="19">
        <f>SUBTOTAL(109,Program002[(I)
Payments
 and Offsets])</f>
        <v>-226597493</v>
      </c>
      <c r="J26" s="19">
        <f>SUBTOTAL(109,Program002[(J)
Accounts Payable Balance
(H + I)])</f>
        <v>49538762</v>
      </c>
      <c r="K26" s="19">
        <f>SUBTOTAL(109,Program002[(K)
Established 
Accounts Receivable])</f>
        <v>15221076</v>
      </c>
      <c r="L26" s="19">
        <f>SUBTOTAL(109,Program002[(L)
Recovered
 Accounts Receivable])</f>
        <v>-15221076</v>
      </c>
      <c r="M26" s="19">
        <f>SUBTOTAL(109,Program002[(M)
Accounts Receivable Balance
(K + L)])</f>
        <v>0</v>
      </c>
      <c r="N26" s="19">
        <f>SUBTOTAL(109,Program002[(N)
Net Balance
(J minus M)])</f>
        <v>49538762</v>
      </c>
    </row>
    <row r="27" spans="1:14" ht="15.75" x14ac:dyDescent="0.25">
      <c r="A27" s="17" t="s">
        <v>13</v>
      </c>
      <c r="B27" s="54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78.75" x14ac:dyDescent="0.25">
      <c r="A28" s="39" t="s">
        <v>32</v>
      </c>
      <c r="B28" s="40" t="s">
        <v>33</v>
      </c>
      <c r="C28" s="41" t="s">
        <v>34</v>
      </c>
      <c r="D28" s="41" t="s">
        <v>35</v>
      </c>
      <c r="E28" s="42" t="s">
        <v>36</v>
      </c>
      <c r="F28" s="42" t="s">
        <v>37</v>
      </c>
      <c r="G28" s="42" t="s">
        <v>38</v>
      </c>
      <c r="H28" s="43" t="s">
        <v>39</v>
      </c>
      <c r="I28" s="44" t="s">
        <v>40</v>
      </c>
      <c r="J28" s="44" t="s">
        <v>41</v>
      </c>
      <c r="K28" s="42" t="s">
        <v>42</v>
      </c>
      <c r="L28" s="44" t="s">
        <v>43</v>
      </c>
      <c r="M28" s="44" t="s">
        <v>44</v>
      </c>
      <c r="N28" s="45" t="s">
        <v>45</v>
      </c>
    </row>
    <row r="29" spans="1:14" ht="15" customHeight="1" x14ac:dyDescent="0.25">
      <c r="A29" s="56" t="s">
        <v>71</v>
      </c>
      <c r="B29" s="57" t="s">
        <v>48</v>
      </c>
      <c r="C29" s="58">
        <v>35138</v>
      </c>
      <c r="D29" s="58">
        <v>0</v>
      </c>
      <c r="E29" s="58">
        <v>0</v>
      </c>
      <c r="F29" s="58">
        <v>0</v>
      </c>
      <c r="G29" s="58">
        <v>0</v>
      </c>
      <c r="H29" s="58">
        <v>35138</v>
      </c>
      <c r="I29" s="58">
        <v>0</v>
      </c>
      <c r="J29" s="58">
        <v>35138</v>
      </c>
      <c r="K29" s="58">
        <v>0</v>
      </c>
      <c r="L29" s="58">
        <v>0</v>
      </c>
      <c r="M29" s="58">
        <v>0</v>
      </c>
      <c r="N29" s="58">
        <v>35138</v>
      </c>
    </row>
    <row r="30" spans="1:14" ht="15" customHeight="1" x14ac:dyDescent="0.25">
      <c r="A30" s="59" t="s">
        <v>71</v>
      </c>
      <c r="B30" s="60" t="s">
        <v>49</v>
      </c>
      <c r="C30" s="61">
        <v>32562</v>
      </c>
      <c r="D30" s="61">
        <v>0</v>
      </c>
      <c r="E30" s="61">
        <v>0</v>
      </c>
      <c r="F30" s="61">
        <v>0</v>
      </c>
      <c r="G30" s="61">
        <v>0</v>
      </c>
      <c r="H30" s="61">
        <v>32562</v>
      </c>
      <c r="I30" s="61">
        <v>0</v>
      </c>
      <c r="J30" s="61">
        <v>32562</v>
      </c>
      <c r="K30" s="61">
        <v>0</v>
      </c>
      <c r="L30" s="61">
        <v>0</v>
      </c>
      <c r="M30" s="61">
        <v>0</v>
      </c>
      <c r="N30" s="61">
        <v>32562</v>
      </c>
    </row>
    <row r="31" spans="1:14" ht="15" customHeight="1" x14ac:dyDescent="0.25">
      <c r="A31" s="59" t="s">
        <v>71</v>
      </c>
      <c r="B31" s="60" t="s">
        <v>50</v>
      </c>
      <c r="C31" s="61">
        <v>44383</v>
      </c>
      <c r="D31" s="61">
        <v>0</v>
      </c>
      <c r="E31" s="61">
        <v>0</v>
      </c>
      <c r="F31" s="61">
        <v>0</v>
      </c>
      <c r="G31" s="61">
        <v>0</v>
      </c>
      <c r="H31" s="61">
        <v>44383</v>
      </c>
      <c r="I31" s="61">
        <v>-44383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</row>
    <row r="32" spans="1:14" ht="15" customHeight="1" x14ac:dyDescent="0.25">
      <c r="A32" s="59" t="s">
        <v>71</v>
      </c>
      <c r="B32" s="60" t="s">
        <v>51</v>
      </c>
      <c r="C32" s="61">
        <v>33426</v>
      </c>
      <c r="D32" s="61">
        <v>0</v>
      </c>
      <c r="E32" s="61">
        <v>0</v>
      </c>
      <c r="F32" s="61">
        <v>0</v>
      </c>
      <c r="G32" s="61">
        <v>0</v>
      </c>
      <c r="H32" s="61">
        <v>33426</v>
      </c>
      <c r="I32" s="61">
        <v>-33426</v>
      </c>
      <c r="J32" s="61">
        <v>0</v>
      </c>
      <c r="K32" s="61">
        <v>0</v>
      </c>
      <c r="L32" s="61">
        <v>0</v>
      </c>
      <c r="M32" s="61">
        <v>0</v>
      </c>
      <c r="N32" s="61">
        <v>0</v>
      </c>
    </row>
    <row r="33" spans="1:14" ht="15" customHeight="1" x14ac:dyDescent="0.25">
      <c r="A33" s="59" t="s">
        <v>71</v>
      </c>
      <c r="B33" s="60" t="s">
        <v>52</v>
      </c>
      <c r="C33" s="61">
        <v>47977</v>
      </c>
      <c r="D33" s="61">
        <v>0</v>
      </c>
      <c r="E33" s="61">
        <v>0</v>
      </c>
      <c r="F33" s="61">
        <v>0</v>
      </c>
      <c r="G33" s="61">
        <v>0</v>
      </c>
      <c r="H33" s="61">
        <v>47977</v>
      </c>
      <c r="I33" s="61">
        <v>-47977</v>
      </c>
      <c r="J33" s="61">
        <v>0</v>
      </c>
      <c r="K33" s="61">
        <v>85711</v>
      </c>
      <c r="L33" s="61">
        <v>-85711</v>
      </c>
      <c r="M33" s="61">
        <v>0</v>
      </c>
      <c r="N33" s="61">
        <v>0</v>
      </c>
    </row>
    <row r="34" spans="1:14" ht="15" customHeight="1" x14ac:dyDescent="0.25">
      <c r="A34" s="59" t="s">
        <v>71</v>
      </c>
      <c r="B34" s="60" t="s">
        <v>53</v>
      </c>
      <c r="C34" s="61">
        <v>41111</v>
      </c>
      <c r="D34" s="61">
        <v>0</v>
      </c>
      <c r="E34" s="61">
        <v>0</v>
      </c>
      <c r="F34" s="61">
        <v>0</v>
      </c>
      <c r="G34" s="61">
        <v>0</v>
      </c>
      <c r="H34" s="61">
        <v>41111</v>
      </c>
      <c r="I34" s="61">
        <v>-41111</v>
      </c>
      <c r="J34" s="61">
        <v>0</v>
      </c>
      <c r="K34" s="61">
        <v>16078</v>
      </c>
      <c r="L34" s="61">
        <v>-16078</v>
      </c>
      <c r="M34" s="61">
        <v>0</v>
      </c>
      <c r="N34" s="61">
        <v>0</v>
      </c>
    </row>
    <row r="35" spans="1:14" ht="15" customHeight="1" x14ac:dyDescent="0.25">
      <c r="A35" s="59" t="s">
        <v>71</v>
      </c>
      <c r="B35" s="60" t="s">
        <v>54</v>
      </c>
      <c r="C35" s="61">
        <v>64019</v>
      </c>
      <c r="D35" s="61">
        <v>0</v>
      </c>
      <c r="E35" s="61">
        <v>0</v>
      </c>
      <c r="F35" s="61">
        <v>0</v>
      </c>
      <c r="G35" s="61">
        <v>0</v>
      </c>
      <c r="H35" s="61">
        <v>64019</v>
      </c>
      <c r="I35" s="61">
        <v>-64019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</row>
    <row r="36" spans="1:14" ht="15" customHeight="1" x14ac:dyDescent="0.25">
      <c r="A36" s="59" t="s">
        <v>71</v>
      </c>
      <c r="B36" s="60" t="s">
        <v>55</v>
      </c>
      <c r="C36" s="61">
        <v>20545</v>
      </c>
      <c r="D36" s="61">
        <v>0</v>
      </c>
      <c r="E36" s="61">
        <v>0</v>
      </c>
      <c r="F36" s="61">
        <v>0</v>
      </c>
      <c r="G36" s="61">
        <v>0</v>
      </c>
      <c r="H36" s="61">
        <v>20545</v>
      </c>
      <c r="I36" s="61">
        <v>-20545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</row>
    <row r="37" spans="1:14" ht="15" customHeight="1" x14ac:dyDescent="0.25">
      <c r="A37" s="59" t="s">
        <v>71</v>
      </c>
      <c r="B37" s="60" t="s">
        <v>56</v>
      </c>
      <c r="C37" s="61">
        <v>7789</v>
      </c>
      <c r="D37" s="61">
        <v>-137</v>
      </c>
      <c r="E37" s="61">
        <v>0</v>
      </c>
      <c r="F37" s="61">
        <v>0</v>
      </c>
      <c r="G37" s="61">
        <v>0</v>
      </c>
      <c r="H37" s="61">
        <v>7652</v>
      </c>
      <c r="I37" s="61">
        <v>-7652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</row>
    <row r="38" spans="1:14" ht="15" customHeight="1" x14ac:dyDescent="0.25">
      <c r="A38" s="59" t="s">
        <v>71</v>
      </c>
      <c r="B38" s="60" t="s">
        <v>57</v>
      </c>
      <c r="C38" s="61">
        <v>8408</v>
      </c>
      <c r="D38" s="61">
        <v>-156</v>
      </c>
      <c r="E38" s="61">
        <v>0</v>
      </c>
      <c r="F38" s="61">
        <v>0</v>
      </c>
      <c r="G38" s="61">
        <v>0</v>
      </c>
      <c r="H38" s="61">
        <v>8252</v>
      </c>
      <c r="I38" s="61">
        <v>-8252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</row>
    <row r="39" spans="1:14" ht="15" customHeight="1" x14ac:dyDescent="0.25">
      <c r="A39" s="59" t="s">
        <v>71</v>
      </c>
      <c r="B39" s="60" t="s">
        <v>58</v>
      </c>
      <c r="C39" s="61">
        <v>176752</v>
      </c>
      <c r="D39" s="61">
        <v>-156</v>
      </c>
      <c r="E39" s="61">
        <v>0</v>
      </c>
      <c r="F39" s="61">
        <v>0</v>
      </c>
      <c r="G39" s="61">
        <v>0</v>
      </c>
      <c r="H39" s="61">
        <v>176596</v>
      </c>
      <c r="I39" s="61">
        <v>-176596</v>
      </c>
      <c r="J39" s="61">
        <v>0</v>
      </c>
      <c r="K39" s="61">
        <v>0</v>
      </c>
      <c r="L39" s="61">
        <v>0</v>
      </c>
      <c r="M39" s="61">
        <v>0</v>
      </c>
      <c r="N39" s="61">
        <v>0</v>
      </c>
    </row>
    <row r="40" spans="1:14" ht="15" customHeight="1" x14ac:dyDescent="0.25">
      <c r="A40" s="59" t="s">
        <v>71</v>
      </c>
      <c r="B40" s="60" t="s">
        <v>59</v>
      </c>
      <c r="C40" s="61">
        <v>29015</v>
      </c>
      <c r="D40" s="61">
        <v>-502</v>
      </c>
      <c r="E40" s="61">
        <v>0</v>
      </c>
      <c r="F40" s="61">
        <v>0</v>
      </c>
      <c r="G40" s="61">
        <v>0</v>
      </c>
      <c r="H40" s="61">
        <v>28513</v>
      </c>
      <c r="I40" s="61">
        <v>-28513</v>
      </c>
      <c r="J40" s="61">
        <v>0</v>
      </c>
      <c r="K40" s="61">
        <v>0</v>
      </c>
      <c r="L40" s="61">
        <v>0</v>
      </c>
      <c r="M40" s="61">
        <v>0</v>
      </c>
      <c r="N40" s="61">
        <v>0</v>
      </c>
    </row>
    <row r="41" spans="1:14" ht="15.75" x14ac:dyDescent="0.25">
      <c r="A41" s="52" t="s">
        <v>72</v>
      </c>
      <c r="B41" s="53" t="s">
        <v>8</v>
      </c>
      <c r="C41" s="19">
        <f>SUBTOTAL(109,Program248[(C)
Program
Costs])</f>
        <v>541125</v>
      </c>
      <c r="D41" s="19">
        <f>SUBTOTAL(109,Program248[(D)
Prior Period Adjustments])</f>
        <v>-951</v>
      </c>
      <c r="E41" s="19">
        <f>SUBTOTAL(109,Program248[(E)
Current Period Desk 
Reviews])</f>
        <v>0</v>
      </c>
      <c r="F41" s="19">
        <f>SUBTOTAL(109,Program248[(F)
Current Period 
Final 
Audits])</f>
        <v>0</v>
      </c>
      <c r="G41" s="19">
        <f>SUBTOTAL(109,Program248[(G)
Current Period 
Other Adjustments])</f>
        <v>0</v>
      </c>
      <c r="H41" s="19">
        <f>SUBTOTAL(109,Program248[(H)
Net Program Costs
Sum (C through G)])</f>
        <v>540174</v>
      </c>
      <c r="I41" s="19">
        <f>SUBTOTAL(109,Program248[(I)
Payments
 and Offsets])</f>
        <v>-472474</v>
      </c>
      <c r="J41" s="19">
        <f>SUBTOTAL(109,Program248[(J)
Accounts Payable Balance
(H + I)])</f>
        <v>67700</v>
      </c>
      <c r="K41" s="19">
        <f>SUBTOTAL(109,Program248[(K)
Established 
Accounts Receivable])</f>
        <v>101789</v>
      </c>
      <c r="L41" s="19">
        <f>SUBTOTAL(109,Program248[(L)
Recovered
 Accounts Receivable])</f>
        <v>-101789</v>
      </c>
      <c r="M41" s="19">
        <f>SUBTOTAL(109,Program248[(M)
Accounts Receivable Balance
(K + L)])</f>
        <v>0</v>
      </c>
      <c r="N41" s="19">
        <f>SUBTOTAL(109,Program248[(N)
Net Balance
(J minus M)])</f>
        <v>67700</v>
      </c>
    </row>
    <row r="42" spans="1:14" ht="15.75" x14ac:dyDescent="0.25">
      <c r="A42" s="17" t="s">
        <v>13</v>
      </c>
      <c r="B42" s="54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 ht="78.75" x14ac:dyDescent="0.25">
      <c r="A43" s="39" t="s">
        <v>32</v>
      </c>
      <c r="B43" s="40" t="s">
        <v>33</v>
      </c>
      <c r="C43" s="41" t="s">
        <v>34</v>
      </c>
      <c r="D43" s="41" t="s">
        <v>35</v>
      </c>
      <c r="E43" s="42" t="s">
        <v>36</v>
      </c>
      <c r="F43" s="42" t="s">
        <v>37</v>
      </c>
      <c r="G43" s="42" t="s">
        <v>38</v>
      </c>
      <c r="H43" s="43" t="s">
        <v>39</v>
      </c>
      <c r="I43" s="44" t="s">
        <v>40</v>
      </c>
      <c r="J43" s="44" t="s">
        <v>41</v>
      </c>
      <c r="K43" s="42" t="s">
        <v>42</v>
      </c>
      <c r="L43" s="44" t="s">
        <v>43</v>
      </c>
      <c r="M43" s="44" t="s">
        <v>44</v>
      </c>
      <c r="N43" s="45" t="s">
        <v>45</v>
      </c>
    </row>
    <row r="44" spans="1:14" s="64" customFormat="1" x14ac:dyDescent="0.25">
      <c r="A44" s="56" t="s">
        <v>73</v>
      </c>
      <c r="B44" s="62" t="s">
        <v>53</v>
      </c>
      <c r="C44" s="63">
        <v>96643</v>
      </c>
      <c r="D44" s="63">
        <v>-2250</v>
      </c>
      <c r="E44" s="63">
        <v>0</v>
      </c>
      <c r="F44" s="63">
        <v>0</v>
      </c>
      <c r="G44" s="63">
        <v>0</v>
      </c>
      <c r="H44" s="63">
        <v>94393</v>
      </c>
      <c r="I44" s="63">
        <v>-94393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</row>
    <row r="45" spans="1:14" s="64" customFormat="1" x14ac:dyDescent="0.25">
      <c r="A45" s="59" t="s">
        <v>73</v>
      </c>
      <c r="B45" s="65" t="s">
        <v>54</v>
      </c>
      <c r="C45" s="66">
        <v>123285</v>
      </c>
      <c r="D45" s="66">
        <v>0</v>
      </c>
      <c r="E45" s="66">
        <v>0</v>
      </c>
      <c r="F45" s="66">
        <v>0</v>
      </c>
      <c r="G45" s="66">
        <v>0</v>
      </c>
      <c r="H45" s="66">
        <v>123285</v>
      </c>
      <c r="I45" s="66">
        <v>-123285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</row>
    <row r="46" spans="1:14" ht="15.75" x14ac:dyDescent="0.25">
      <c r="A46" s="52" t="s">
        <v>74</v>
      </c>
      <c r="B46" s="53" t="s">
        <v>8</v>
      </c>
      <c r="C46" s="19">
        <f>SUBTOTAL(109,Program359[(C)
Program
Costs])</f>
        <v>219928</v>
      </c>
      <c r="D46" s="19">
        <f>SUBTOTAL(109,Program359[(D)
Prior Period Adjustments])</f>
        <v>-2250</v>
      </c>
      <c r="E46" s="19">
        <f>SUBTOTAL(109,Program359[(E)
Current Period Desk 
Reviews])</f>
        <v>0</v>
      </c>
      <c r="F46" s="19">
        <f>SUBTOTAL(109,Program359[(F)
Current Period 
Final 
Audits])</f>
        <v>0</v>
      </c>
      <c r="G46" s="19">
        <f>SUBTOTAL(109,Program359[(G)
Current Period 
Other Adjustments])</f>
        <v>0</v>
      </c>
      <c r="H46" s="19">
        <f>SUBTOTAL(109,Program359[(H)
Net Program Costs
Sum (C through G)])</f>
        <v>217678</v>
      </c>
      <c r="I46" s="19">
        <f>SUBTOTAL(109,Program359[(I)
Payments
 and Offsets])</f>
        <v>-217678</v>
      </c>
      <c r="J46" s="19">
        <f>SUBTOTAL(109,Program359[(J)
Accounts Payable Balance
(H + I)])</f>
        <v>0</v>
      </c>
      <c r="K46" s="19">
        <f>SUBTOTAL(109,Program359[(K)
Established 
Accounts Receivable])</f>
        <v>0</v>
      </c>
      <c r="L46" s="19">
        <f>SUBTOTAL(109,Program359[(L)
Recovered
 Accounts Receivable])</f>
        <v>0</v>
      </c>
      <c r="M46" s="19">
        <f>SUBTOTAL(109,Program359[(M)
Accounts Receivable Balance
(K + L)])</f>
        <v>0</v>
      </c>
      <c r="N46" s="19">
        <f>SUBTOTAL(109,Program359[(N)
Net Balance
(J minus M)])</f>
        <v>0</v>
      </c>
    </row>
    <row r="47" spans="1:14" ht="15.75" x14ac:dyDescent="0.25">
      <c r="A47" s="17" t="s">
        <v>13</v>
      </c>
      <c r="B47" s="54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</row>
    <row r="48" spans="1:14" ht="78.75" x14ac:dyDescent="0.25">
      <c r="A48" s="39" t="s">
        <v>32</v>
      </c>
      <c r="B48" s="40" t="s">
        <v>33</v>
      </c>
      <c r="C48" s="41" t="s">
        <v>34</v>
      </c>
      <c r="D48" s="41" t="s">
        <v>35</v>
      </c>
      <c r="E48" s="42" t="s">
        <v>36</v>
      </c>
      <c r="F48" s="42" t="s">
        <v>37</v>
      </c>
      <c r="G48" s="42" t="s">
        <v>38</v>
      </c>
      <c r="H48" s="43" t="s">
        <v>39</v>
      </c>
      <c r="I48" s="44" t="s">
        <v>40</v>
      </c>
      <c r="J48" s="44" t="s">
        <v>41</v>
      </c>
      <c r="K48" s="42" t="s">
        <v>42</v>
      </c>
      <c r="L48" s="44" t="s">
        <v>43</v>
      </c>
      <c r="M48" s="44" t="s">
        <v>44</v>
      </c>
      <c r="N48" s="45" t="s">
        <v>45</v>
      </c>
    </row>
    <row r="49" spans="1:14" ht="15.75" x14ac:dyDescent="0.25">
      <c r="A49" s="46" t="s">
        <v>75</v>
      </c>
      <c r="B49" s="47" t="s">
        <v>76</v>
      </c>
      <c r="C49" s="48">
        <v>1765525</v>
      </c>
      <c r="D49" s="48">
        <v>0</v>
      </c>
      <c r="E49" s="48">
        <v>0</v>
      </c>
      <c r="F49" s="48">
        <v>0</v>
      </c>
      <c r="G49" s="48">
        <v>0</v>
      </c>
      <c r="H49" s="48">
        <v>1765525</v>
      </c>
      <c r="I49" s="48">
        <v>0</v>
      </c>
      <c r="J49" s="48">
        <v>1765525</v>
      </c>
      <c r="K49" s="48">
        <v>0</v>
      </c>
      <c r="L49" s="48">
        <v>0</v>
      </c>
      <c r="M49" s="48">
        <v>0</v>
      </c>
      <c r="N49" s="48">
        <v>1765525</v>
      </c>
    </row>
    <row r="50" spans="1:14" ht="15.75" x14ac:dyDescent="0.25">
      <c r="A50" s="49" t="s">
        <v>75</v>
      </c>
      <c r="B50" s="50" t="s">
        <v>77</v>
      </c>
      <c r="C50" s="51">
        <v>2000575</v>
      </c>
      <c r="D50" s="51">
        <v>0</v>
      </c>
      <c r="E50" s="51">
        <v>-34335</v>
      </c>
      <c r="F50" s="51">
        <v>0</v>
      </c>
      <c r="G50" s="51">
        <v>-2495</v>
      </c>
      <c r="H50" s="51">
        <v>1963745</v>
      </c>
      <c r="I50" s="51">
        <v>-1942278</v>
      </c>
      <c r="J50" s="51">
        <v>21467</v>
      </c>
      <c r="K50" s="51">
        <v>7614</v>
      </c>
      <c r="L50" s="51">
        <v>0</v>
      </c>
      <c r="M50" s="51">
        <v>7614</v>
      </c>
      <c r="N50" s="51">
        <v>13853</v>
      </c>
    </row>
    <row r="51" spans="1:14" ht="15.75" x14ac:dyDescent="0.25">
      <c r="A51" s="49" t="s">
        <v>75</v>
      </c>
      <c r="B51" s="50" t="s">
        <v>78</v>
      </c>
      <c r="C51" s="51">
        <v>2014985</v>
      </c>
      <c r="D51" s="51">
        <v>-45151</v>
      </c>
      <c r="E51" s="51">
        <v>0</v>
      </c>
      <c r="F51" s="51">
        <v>0</v>
      </c>
      <c r="G51" s="51">
        <v>0</v>
      </c>
      <c r="H51" s="51">
        <v>1969834</v>
      </c>
      <c r="I51" s="51">
        <v>-1969834</v>
      </c>
      <c r="J51" s="51">
        <v>0</v>
      </c>
      <c r="K51" s="51">
        <v>19451</v>
      </c>
      <c r="L51" s="51">
        <v>-19451</v>
      </c>
      <c r="M51" s="51">
        <v>0</v>
      </c>
      <c r="N51" s="51">
        <v>0</v>
      </c>
    </row>
    <row r="52" spans="1:14" ht="15.75" x14ac:dyDescent="0.25">
      <c r="A52" s="49" t="s">
        <v>75</v>
      </c>
      <c r="B52" s="50" t="s">
        <v>47</v>
      </c>
      <c r="C52" s="51">
        <v>2134465</v>
      </c>
      <c r="D52" s="51">
        <v>-223285</v>
      </c>
      <c r="E52" s="51">
        <v>0</v>
      </c>
      <c r="F52" s="51">
        <v>0</v>
      </c>
      <c r="G52" s="51">
        <v>0</v>
      </c>
      <c r="H52" s="51">
        <v>1911180</v>
      </c>
      <c r="I52" s="51">
        <v>-1911180</v>
      </c>
      <c r="J52" s="51">
        <v>0</v>
      </c>
      <c r="K52" s="51">
        <v>217348</v>
      </c>
      <c r="L52" s="51">
        <v>-217348</v>
      </c>
      <c r="M52" s="51">
        <v>0</v>
      </c>
      <c r="N52" s="51">
        <v>0</v>
      </c>
    </row>
    <row r="53" spans="1:14" ht="15.75" x14ac:dyDescent="0.25">
      <c r="A53" s="49" t="s">
        <v>75</v>
      </c>
      <c r="B53" s="50" t="s">
        <v>79</v>
      </c>
      <c r="C53" s="51">
        <v>2190490</v>
      </c>
      <c r="D53" s="51">
        <v>-230137</v>
      </c>
      <c r="E53" s="51">
        <v>0</v>
      </c>
      <c r="F53" s="51">
        <v>0</v>
      </c>
      <c r="G53" s="51">
        <v>0</v>
      </c>
      <c r="H53" s="51">
        <v>1960353</v>
      </c>
      <c r="I53" s="51">
        <v>-1960353</v>
      </c>
      <c r="J53" s="51">
        <v>0</v>
      </c>
      <c r="K53" s="51">
        <v>215502</v>
      </c>
      <c r="L53" s="51">
        <v>-215502</v>
      </c>
      <c r="M53" s="51">
        <v>0</v>
      </c>
      <c r="N53" s="51">
        <v>0</v>
      </c>
    </row>
    <row r="54" spans="1:14" ht="15.75" x14ac:dyDescent="0.25">
      <c r="A54" s="49" t="s">
        <v>75</v>
      </c>
      <c r="B54" s="50" t="s">
        <v>80</v>
      </c>
      <c r="C54" s="51">
        <v>2322353</v>
      </c>
      <c r="D54" s="51">
        <v>-184842</v>
      </c>
      <c r="E54" s="51">
        <v>0</v>
      </c>
      <c r="F54" s="51">
        <v>0</v>
      </c>
      <c r="G54" s="51">
        <v>0</v>
      </c>
      <c r="H54" s="51">
        <v>2137511</v>
      </c>
      <c r="I54" s="51">
        <v>-2137511</v>
      </c>
      <c r="J54" s="51">
        <v>0</v>
      </c>
      <c r="K54" s="51">
        <v>273359</v>
      </c>
      <c r="L54" s="51">
        <v>-273359</v>
      </c>
      <c r="M54" s="51">
        <v>0</v>
      </c>
      <c r="N54" s="51">
        <v>0</v>
      </c>
    </row>
    <row r="55" spans="1:14" ht="15.75" x14ac:dyDescent="0.25">
      <c r="A55" s="49" t="s">
        <v>75</v>
      </c>
      <c r="B55" s="50" t="s">
        <v>81</v>
      </c>
      <c r="C55" s="51">
        <v>2362027</v>
      </c>
      <c r="D55" s="51">
        <v>-312959</v>
      </c>
      <c r="E55" s="51">
        <v>0</v>
      </c>
      <c r="F55" s="51">
        <v>0</v>
      </c>
      <c r="G55" s="51">
        <v>0</v>
      </c>
      <c r="H55" s="51">
        <v>2049068</v>
      </c>
      <c r="I55" s="51">
        <v>-2049068</v>
      </c>
      <c r="J55" s="51">
        <v>0</v>
      </c>
      <c r="K55" s="51">
        <v>306968</v>
      </c>
      <c r="L55" s="51">
        <v>-306968</v>
      </c>
      <c r="M55" s="51">
        <v>0</v>
      </c>
      <c r="N55" s="51">
        <v>0</v>
      </c>
    </row>
    <row r="56" spans="1:14" ht="15.75" x14ac:dyDescent="0.25">
      <c r="A56" s="49" t="s">
        <v>75</v>
      </c>
      <c r="B56" s="50" t="s">
        <v>82</v>
      </c>
      <c r="C56" s="51">
        <v>2342907</v>
      </c>
      <c r="D56" s="51">
        <v>-3541</v>
      </c>
      <c r="E56" s="51">
        <v>0</v>
      </c>
      <c r="F56" s="51">
        <v>0</v>
      </c>
      <c r="G56" s="51">
        <v>0</v>
      </c>
      <c r="H56" s="51">
        <v>2339366</v>
      </c>
      <c r="I56" s="51">
        <v>-2339366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</row>
    <row r="57" spans="1:14" ht="15.75" x14ac:dyDescent="0.25">
      <c r="A57" s="49" t="s">
        <v>75</v>
      </c>
      <c r="B57" s="50" t="s">
        <v>83</v>
      </c>
      <c r="C57" s="51">
        <v>2476771</v>
      </c>
      <c r="D57" s="51">
        <v>-11917</v>
      </c>
      <c r="E57" s="51">
        <v>0</v>
      </c>
      <c r="F57" s="51">
        <v>0</v>
      </c>
      <c r="G57" s="51">
        <v>0</v>
      </c>
      <c r="H57" s="51">
        <v>2464854</v>
      </c>
      <c r="I57" s="51">
        <v>-2464854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</row>
    <row r="58" spans="1:14" ht="15.75" x14ac:dyDescent="0.25">
      <c r="A58" s="49" t="s">
        <v>75</v>
      </c>
      <c r="B58" s="50" t="s">
        <v>48</v>
      </c>
      <c r="C58" s="51">
        <v>2482654</v>
      </c>
      <c r="D58" s="51">
        <v>-8951</v>
      </c>
      <c r="E58" s="51">
        <v>0</v>
      </c>
      <c r="F58" s="51">
        <v>0</v>
      </c>
      <c r="G58" s="51">
        <v>0</v>
      </c>
      <c r="H58" s="51">
        <v>2473703</v>
      </c>
      <c r="I58" s="51">
        <v>-2473703</v>
      </c>
      <c r="J58" s="51">
        <v>0</v>
      </c>
      <c r="K58" s="51">
        <v>2884</v>
      </c>
      <c r="L58" s="51">
        <v>-2884</v>
      </c>
      <c r="M58" s="51">
        <v>0</v>
      </c>
      <c r="N58" s="51">
        <v>0</v>
      </c>
    </row>
    <row r="59" spans="1:14" ht="15.75" x14ac:dyDescent="0.25">
      <c r="A59" s="49" t="s">
        <v>75</v>
      </c>
      <c r="B59" s="50" t="s">
        <v>49</v>
      </c>
      <c r="C59" s="51">
        <v>2464333</v>
      </c>
      <c r="D59" s="51">
        <v>-21480</v>
      </c>
      <c r="E59" s="51">
        <v>0</v>
      </c>
      <c r="F59" s="51">
        <v>0</v>
      </c>
      <c r="G59" s="51">
        <v>0</v>
      </c>
      <c r="H59" s="51">
        <v>2442853</v>
      </c>
      <c r="I59" s="51">
        <v>-2442853</v>
      </c>
      <c r="J59" s="51">
        <v>0</v>
      </c>
      <c r="K59" s="51">
        <v>2933</v>
      </c>
      <c r="L59" s="51">
        <v>-2933</v>
      </c>
      <c r="M59" s="51">
        <v>0</v>
      </c>
      <c r="N59" s="51">
        <v>0</v>
      </c>
    </row>
    <row r="60" spans="1:14" ht="15.75" x14ac:dyDescent="0.25">
      <c r="A60" s="49" t="s">
        <v>75</v>
      </c>
      <c r="B60" s="50" t="s">
        <v>50</v>
      </c>
      <c r="C60" s="51">
        <v>2779649</v>
      </c>
      <c r="D60" s="51">
        <v>-105040</v>
      </c>
      <c r="E60" s="51">
        <v>0</v>
      </c>
      <c r="F60" s="51">
        <v>0</v>
      </c>
      <c r="G60" s="51">
        <v>0</v>
      </c>
      <c r="H60" s="51">
        <v>2674609</v>
      </c>
      <c r="I60" s="51">
        <v>-2674609</v>
      </c>
      <c r="J60" s="51">
        <v>0</v>
      </c>
      <c r="K60" s="51">
        <v>103932</v>
      </c>
      <c r="L60" s="51">
        <v>-103932</v>
      </c>
      <c r="M60" s="51">
        <v>0</v>
      </c>
      <c r="N60" s="51">
        <v>0</v>
      </c>
    </row>
    <row r="61" spans="1:14" ht="15.75" x14ac:dyDescent="0.25">
      <c r="A61" s="49" t="s">
        <v>75</v>
      </c>
      <c r="B61" s="50" t="s">
        <v>51</v>
      </c>
      <c r="C61" s="51">
        <v>2569824</v>
      </c>
      <c r="D61" s="51">
        <v>-32337</v>
      </c>
      <c r="E61" s="51">
        <v>0</v>
      </c>
      <c r="F61" s="51">
        <v>0</v>
      </c>
      <c r="G61" s="51">
        <v>0</v>
      </c>
      <c r="H61" s="51">
        <v>2537487</v>
      </c>
      <c r="I61" s="51">
        <v>-2537487</v>
      </c>
      <c r="J61" s="51">
        <v>0</v>
      </c>
      <c r="K61" s="51">
        <v>15363</v>
      </c>
      <c r="L61" s="51">
        <v>-15363</v>
      </c>
      <c r="M61" s="51">
        <v>0</v>
      </c>
      <c r="N61" s="51">
        <v>0</v>
      </c>
    </row>
    <row r="62" spans="1:14" ht="15.75" x14ac:dyDescent="0.25">
      <c r="A62" s="49" t="s">
        <v>75</v>
      </c>
      <c r="B62" s="50" t="s">
        <v>52</v>
      </c>
      <c r="C62" s="51">
        <v>2268923</v>
      </c>
      <c r="D62" s="51">
        <v>-4147</v>
      </c>
      <c r="E62" s="51">
        <v>0</v>
      </c>
      <c r="F62" s="51">
        <v>0</v>
      </c>
      <c r="G62" s="51">
        <v>0</v>
      </c>
      <c r="H62" s="51">
        <v>2264776</v>
      </c>
      <c r="I62" s="51">
        <v>-2264776</v>
      </c>
      <c r="J62" s="51">
        <v>0</v>
      </c>
      <c r="K62" s="51">
        <v>48676</v>
      </c>
      <c r="L62" s="51">
        <v>-48676</v>
      </c>
      <c r="M62" s="51">
        <v>0</v>
      </c>
      <c r="N62" s="51">
        <v>0</v>
      </c>
    </row>
    <row r="63" spans="1:14" ht="15.75" x14ac:dyDescent="0.25">
      <c r="A63" s="49" t="s">
        <v>75</v>
      </c>
      <c r="B63" s="50" t="s">
        <v>53</v>
      </c>
      <c r="C63" s="51">
        <v>1876712</v>
      </c>
      <c r="D63" s="51">
        <v>-2393</v>
      </c>
      <c r="E63" s="51">
        <v>0</v>
      </c>
      <c r="F63" s="51">
        <v>0</v>
      </c>
      <c r="G63" s="51">
        <v>0</v>
      </c>
      <c r="H63" s="51">
        <v>1874319</v>
      </c>
      <c r="I63" s="51">
        <v>-1874319</v>
      </c>
      <c r="J63" s="51">
        <v>0</v>
      </c>
      <c r="K63" s="51">
        <v>84889</v>
      </c>
      <c r="L63" s="51">
        <v>-84889</v>
      </c>
      <c r="M63" s="51">
        <v>0</v>
      </c>
      <c r="N63" s="51">
        <v>0</v>
      </c>
    </row>
    <row r="64" spans="1:14" ht="15.75" x14ac:dyDescent="0.25">
      <c r="A64" s="49" t="s">
        <v>75</v>
      </c>
      <c r="B64" s="50" t="s">
        <v>54</v>
      </c>
      <c r="C64" s="51">
        <v>1654811</v>
      </c>
      <c r="D64" s="51">
        <v>-7729</v>
      </c>
      <c r="E64" s="51">
        <v>0</v>
      </c>
      <c r="F64" s="51">
        <v>0</v>
      </c>
      <c r="G64" s="51">
        <v>0</v>
      </c>
      <c r="H64" s="51">
        <v>1647082</v>
      </c>
      <c r="I64" s="51">
        <v>-1647082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</row>
    <row r="65" spans="1:14" ht="15.75" x14ac:dyDescent="0.25">
      <c r="A65" s="49" t="s">
        <v>75</v>
      </c>
      <c r="B65" s="50" t="s">
        <v>55</v>
      </c>
      <c r="C65" s="51">
        <v>1633753</v>
      </c>
      <c r="D65" s="51">
        <v>-10146</v>
      </c>
      <c r="E65" s="51">
        <v>0</v>
      </c>
      <c r="F65" s="51">
        <v>0</v>
      </c>
      <c r="G65" s="51">
        <v>0</v>
      </c>
      <c r="H65" s="51">
        <v>1623607</v>
      </c>
      <c r="I65" s="51">
        <v>-1623607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</row>
    <row r="66" spans="1:14" ht="15.75" x14ac:dyDescent="0.25">
      <c r="A66" s="49" t="s">
        <v>75</v>
      </c>
      <c r="B66" s="50" t="s">
        <v>56</v>
      </c>
      <c r="C66" s="51">
        <v>1513644</v>
      </c>
      <c r="D66" s="51">
        <v>-11217</v>
      </c>
      <c r="E66" s="51">
        <v>0</v>
      </c>
      <c r="F66" s="51">
        <v>0</v>
      </c>
      <c r="G66" s="51">
        <v>0</v>
      </c>
      <c r="H66" s="51">
        <v>1502427</v>
      </c>
      <c r="I66" s="51">
        <v>-1502427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</row>
    <row r="67" spans="1:14" ht="15.75" x14ac:dyDescent="0.25">
      <c r="A67" s="49" t="s">
        <v>75</v>
      </c>
      <c r="B67" s="50" t="s">
        <v>57</v>
      </c>
      <c r="C67" s="51">
        <v>1363206</v>
      </c>
      <c r="D67" s="51">
        <v>-8230</v>
      </c>
      <c r="E67" s="51">
        <v>0</v>
      </c>
      <c r="F67" s="51">
        <v>0</v>
      </c>
      <c r="G67" s="51">
        <v>0</v>
      </c>
      <c r="H67" s="51">
        <v>1354976</v>
      </c>
      <c r="I67" s="51">
        <v>-1354976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</row>
    <row r="68" spans="1:14" ht="15.75" x14ac:dyDescent="0.25">
      <c r="A68" s="49" t="s">
        <v>75</v>
      </c>
      <c r="B68" s="50" t="s">
        <v>58</v>
      </c>
      <c r="C68" s="51">
        <v>1323775</v>
      </c>
      <c r="D68" s="51">
        <v>-9549</v>
      </c>
      <c r="E68" s="51">
        <v>0</v>
      </c>
      <c r="F68" s="51">
        <v>0</v>
      </c>
      <c r="G68" s="51">
        <v>0</v>
      </c>
      <c r="H68" s="51">
        <v>1314226</v>
      </c>
      <c r="I68" s="51">
        <v>-1314226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</row>
    <row r="69" spans="1:14" ht="15.75" x14ac:dyDescent="0.25">
      <c r="A69" s="49" t="s">
        <v>75</v>
      </c>
      <c r="B69" s="50" t="s">
        <v>59</v>
      </c>
      <c r="C69" s="51">
        <v>1258007</v>
      </c>
      <c r="D69" s="51">
        <v>-10018</v>
      </c>
      <c r="E69" s="51">
        <v>0</v>
      </c>
      <c r="F69" s="51">
        <v>0</v>
      </c>
      <c r="G69" s="51">
        <v>0</v>
      </c>
      <c r="H69" s="51">
        <v>1247989</v>
      </c>
      <c r="I69" s="51">
        <v>-1247989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</row>
    <row r="70" spans="1:14" ht="15.75" x14ac:dyDescent="0.25">
      <c r="A70" s="49" t="s">
        <v>75</v>
      </c>
      <c r="B70" s="50" t="s">
        <v>60</v>
      </c>
      <c r="C70" s="51">
        <v>1140357</v>
      </c>
      <c r="D70" s="51">
        <v>-10043</v>
      </c>
      <c r="E70" s="51">
        <v>0</v>
      </c>
      <c r="F70" s="51">
        <v>0</v>
      </c>
      <c r="G70" s="51">
        <v>0</v>
      </c>
      <c r="H70" s="51">
        <v>1130314</v>
      </c>
      <c r="I70" s="51">
        <v>-1130314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</row>
    <row r="71" spans="1:14" ht="15.75" x14ac:dyDescent="0.25">
      <c r="A71" s="49" t="s">
        <v>75</v>
      </c>
      <c r="B71" s="50" t="s">
        <v>61</v>
      </c>
      <c r="C71" s="51">
        <v>1066905</v>
      </c>
      <c r="D71" s="51">
        <v>-11091</v>
      </c>
      <c r="E71" s="51">
        <v>0</v>
      </c>
      <c r="F71" s="51">
        <v>0</v>
      </c>
      <c r="G71" s="51">
        <v>0</v>
      </c>
      <c r="H71" s="51">
        <v>1055814</v>
      </c>
      <c r="I71" s="51">
        <v>-1055814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</row>
    <row r="72" spans="1:14" ht="15.75" x14ac:dyDescent="0.25">
      <c r="A72" s="52" t="s">
        <v>84</v>
      </c>
      <c r="B72" s="53" t="s">
        <v>8</v>
      </c>
      <c r="C72" s="19">
        <f>SUBTOTAL(109,Program246[(C)
Program
Costs])</f>
        <v>45006651</v>
      </c>
      <c r="D72" s="19">
        <f>SUBTOTAL(109,Program246[(D)
Prior Period Adjustments])</f>
        <v>-1264203</v>
      </c>
      <c r="E72" s="19">
        <f>SUBTOTAL(109,Program246[(E)
Current Period Desk 
Reviews])</f>
        <v>-34335</v>
      </c>
      <c r="F72" s="19">
        <f>SUBTOTAL(109,Program246[(F)
Current Period 
Final 
Audits])</f>
        <v>0</v>
      </c>
      <c r="G72" s="19">
        <f>SUBTOTAL(109,Program246[(G)
Current Period 
Other Adjustments])</f>
        <v>-2495</v>
      </c>
      <c r="H72" s="19">
        <f>SUBTOTAL(109,Program246[(H)
Net Program Costs
Sum (C through G)])</f>
        <v>43705618</v>
      </c>
      <c r="I72" s="19">
        <f>SUBTOTAL(109,Program246[(I)
Payments
 and Offsets])</f>
        <v>-41918626</v>
      </c>
      <c r="J72" s="19">
        <f>SUBTOTAL(109,Program246[(J)
Accounts Payable Balance
(H + I)])</f>
        <v>1786992</v>
      </c>
      <c r="K72" s="19">
        <f>SUBTOTAL(109,Program246[(K)
Established 
Accounts Receivable])</f>
        <v>1298919</v>
      </c>
      <c r="L72" s="19">
        <f>SUBTOTAL(109,Program246[(L)
Recovered
 Accounts Receivable])</f>
        <v>-1291305</v>
      </c>
      <c r="M72" s="19">
        <f>SUBTOTAL(109,Program246[(M)
Accounts Receivable Balance
(K + L)])</f>
        <v>7614</v>
      </c>
      <c r="N72" s="19">
        <f>SUBTOTAL(109,Program246[(N)
Net Balance
(J minus M)])</f>
        <v>1779378</v>
      </c>
    </row>
    <row r="73" spans="1:14" ht="15.75" x14ac:dyDescent="0.25">
      <c r="A73" s="17" t="s">
        <v>13</v>
      </c>
      <c r="B73" s="54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</row>
    <row r="74" spans="1:14" ht="78.75" x14ac:dyDescent="0.25">
      <c r="A74" s="39" t="s">
        <v>32</v>
      </c>
      <c r="B74" s="40" t="s">
        <v>33</v>
      </c>
      <c r="C74" s="41" t="s">
        <v>34</v>
      </c>
      <c r="D74" s="41" t="s">
        <v>35</v>
      </c>
      <c r="E74" s="42" t="s">
        <v>36</v>
      </c>
      <c r="F74" s="42" t="s">
        <v>37</v>
      </c>
      <c r="G74" s="42" t="s">
        <v>38</v>
      </c>
      <c r="H74" s="43" t="s">
        <v>39</v>
      </c>
      <c r="I74" s="44" t="s">
        <v>40</v>
      </c>
      <c r="J74" s="44" t="s">
        <v>41</v>
      </c>
      <c r="K74" s="42" t="s">
        <v>42</v>
      </c>
      <c r="L74" s="44" t="s">
        <v>43</v>
      </c>
      <c r="M74" s="44" t="s">
        <v>44</v>
      </c>
      <c r="N74" s="45" t="s">
        <v>45</v>
      </c>
    </row>
    <row r="75" spans="1:14" ht="15.75" x14ac:dyDescent="0.25">
      <c r="A75" s="46" t="s">
        <v>85</v>
      </c>
      <c r="B75" s="47" t="s">
        <v>66</v>
      </c>
      <c r="C75" s="48">
        <v>464018</v>
      </c>
      <c r="D75" s="48">
        <v>-18103</v>
      </c>
      <c r="E75" s="48">
        <v>0</v>
      </c>
      <c r="F75" s="48">
        <v>0</v>
      </c>
      <c r="G75" s="48">
        <v>0</v>
      </c>
      <c r="H75" s="48">
        <v>445915</v>
      </c>
      <c r="I75" s="48">
        <v>-445915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</row>
    <row r="76" spans="1:14" ht="15.75" x14ac:dyDescent="0.25">
      <c r="A76" s="49" t="s">
        <v>85</v>
      </c>
      <c r="B76" s="50" t="s">
        <v>67</v>
      </c>
      <c r="C76" s="51">
        <v>2538528</v>
      </c>
      <c r="D76" s="51">
        <v>-138940</v>
      </c>
      <c r="E76" s="51">
        <v>0</v>
      </c>
      <c r="F76" s="51">
        <v>0</v>
      </c>
      <c r="G76" s="51">
        <v>0</v>
      </c>
      <c r="H76" s="51">
        <v>2399588</v>
      </c>
      <c r="I76" s="51">
        <v>-2399588</v>
      </c>
      <c r="J76" s="51">
        <v>0</v>
      </c>
      <c r="K76" s="51">
        <v>75953</v>
      </c>
      <c r="L76" s="51">
        <v>-75953</v>
      </c>
      <c r="M76" s="51">
        <v>0</v>
      </c>
      <c r="N76" s="51">
        <v>0</v>
      </c>
    </row>
    <row r="77" spans="1:14" ht="15.75" x14ac:dyDescent="0.25">
      <c r="A77" s="49" t="s">
        <v>85</v>
      </c>
      <c r="B77" s="50" t="s">
        <v>68</v>
      </c>
      <c r="C77" s="51">
        <v>2379</v>
      </c>
      <c r="D77" s="51">
        <v>0</v>
      </c>
      <c r="E77" s="51">
        <v>0</v>
      </c>
      <c r="F77" s="51">
        <v>0</v>
      </c>
      <c r="G77" s="51">
        <v>0</v>
      </c>
      <c r="H77" s="51">
        <v>2379</v>
      </c>
      <c r="I77" s="51">
        <v>-2379</v>
      </c>
      <c r="J77" s="51">
        <v>0</v>
      </c>
      <c r="K77" s="51">
        <v>413470</v>
      </c>
      <c r="L77" s="51">
        <v>-413470</v>
      </c>
      <c r="M77" s="51">
        <v>0</v>
      </c>
      <c r="N77" s="51">
        <v>0</v>
      </c>
    </row>
    <row r="78" spans="1:14" ht="15.75" x14ac:dyDescent="0.25">
      <c r="A78" s="52" t="s">
        <v>86</v>
      </c>
      <c r="B78" s="53" t="s">
        <v>8</v>
      </c>
      <c r="C78" s="19">
        <f>SUBTOTAL(109,Program003[(C)
Program
Costs])</f>
        <v>3004925</v>
      </c>
      <c r="D78" s="19">
        <f>SUBTOTAL(109,Program003[(D)
Prior Period Adjustments])</f>
        <v>-157043</v>
      </c>
      <c r="E78" s="19">
        <f>SUBTOTAL(109,Program003[(E)
Current Period Desk 
Reviews])</f>
        <v>0</v>
      </c>
      <c r="F78" s="19">
        <f>SUBTOTAL(109,Program003[(F)
Current Period 
Final 
Audits])</f>
        <v>0</v>
      </c>
      <c r="G78" s="19">
        <f>SUBTOTAL(109,Program003[(G)
Current Period 
Other Adjustments])</f>
        <v>0</v>
      </c>
      <c r="H78" s="19">
        <f>SUBTOTAL(109,Program003[(H)
Net Program Costs
Sum (C through G)])</f>
        <v>2847882</v>
      </c>
      <c r="I78" s="19">
        <f>SUBTOTAL(109,Program003[(I)
Payments
 and Offsets])</f>
        <v>-2847882</v>
      </c>
      <c r="J78" s="19">
        <f>SUBTOTAL(109,Program003[(J)
Accounts Payable Balance
(H + I)])</f>
        <v>0</v>
      </c>
      <c r="K78" s="19">
        <f>SUBTOTAL(109,Program003[(K)
Established 
Accounts Receivable])</f>
        <v>489423</v>
      </c>
      <c r="L78" s="19">
        <f>SUBTOTAL(109,Program003[(L)
Recovered
 Accounts Receivable])</f>
        <v>-489423</v>
      </c>
      <c r="M78" s="19">
        <f>SUBTOTAL(109,Program003[(M)
Accounts Receivable Balance
(K + L)])</f>
        <v>0</v>
      </c>
      <c r="N78" s="19">
        <f>SUBTOTAL(109,Program003[(N)
Net Balance
(J minus M)])</f>
        <v>0</v>
      </c>
    </row>
    <row r="79" spans="1:14" ht="15.75" x14ac:dyDescent="0.25">
      <c r="A79" s="17" t="s">
        <v>13</v>
      </c>
      <c r="B79" s="54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</row>
    <row r="80" spans="1:14" ht="78.75" x14ac:dyDescent="0.25">
      <c r="A80" s="39" t="s">
        <v>32</v>
      </c>
      <c r="B80" s="40" t="s">
        <v>33</v>
      </c>
      <c r="C80" s="41" t="s">
        <v>34</v>
      </c>
      <c r="D80" s="41" t="s">
        <v>35</v>
      </c>
      <c r="E80" s="42" t="s">
        <v>36</v>
      </c>
      <c r="F80" s="42" t="s">
        <v>37</v>
      </c>
      <c r="G80" s="42" t="s">
        <v>38</v>
      </c>
      <c r="H80" s="43" t="s">
        <v>39</v>
      </c>
      <c r="I80" s="44" t="s">
        <v>40</v>
      </c>
      <c r="J80" s="44" t="s">
        <v>41</v>
      </c>
      <c r="K80" s="42" t="s">
        <v>42</v>
      </c>
      <c r="L80" s="44" t="s">
        <v>43</v>
      </c>
      <c r="M80" s="44" t="s">
        <v>44</v>
      </c>
      <c r="N80" s="45" t="s">
        <v>45</v>
      </c>
    </row>
    <row r="81" spans="1:14" ht="15.75" x14ac:dyDescent="0.25">
      <c r="A81" s="46" t="s">
        <v>87</v>
      </c>
      <c r="B81" s="47" t="s">
        <v>56</v>
      </c>
      <c r="C81" s="48">
        <v>905125</v>
      </c>
      <c r="D81" s="48">
        <v>-121042</v>
      </c>
      <c r="E81" s="48">
        <v>0</v>
      </c>
      <c r="F81" s="48">
        <v>0</v>
      </c>
      <c r="G81" s="48">
        <v>0</v>
      </c>
      <c r="H81" s="48">
        <v>784083</v>
      </c>
      <c r="I81" s="48">
        <v>-784083</v>
      </c>
      <c r="J81" s="48">
        <v>0</v>
      </c>
      <c r="K81" s="48">
        <v>17</v>
      </c>
      <c r="L81" s="48">
        <v>-17</v>
      </c>
      <c r="M81" s="48">
        <v>0</v>
      </c>
      <c r="N81" s="48">
        <v>0</v>
      </c>
    </row>
    <row r="82" spans="1:14" ht="15.75" x14ac:dyDescent="0.25">
      <c r="A82" s="49" t="s">
        <v>87</v>
      </c>
      <c r="B82" s="50" t="s">
        <v>57</v>
      </c>
      <c r="C82" s="51">
        <v>876259</v>
      </c>
      <c r="D82" s="51">
        <v>-153028</v>
      </c>
      <c r="E82" s="51">
        <v>0</v>
      </c>
      <c r="F82" s="51">
        <v>0</v>
      </c>
      <c r="G82" s="51">
        <v>0</v>
      </c>
      <c r="H82" s="51">
        <v>723231</v>
      </c>
      <c r="I82" s="51">
        <v>-723231</v>
      </c>
      <c r="J82" s="51">
        <v>0</v>
      </c>
      <c r="K82" s="51">
        <v>206680</v>
      </c>
      <c r="L82" s="51">
        <v>-206680</v>
      </c>
      <c r="M82" s="51">
        <v>0</v>
      </c>
      <c r="N82" s="51">
        <v>0</v>
      </c>
    </row>
    <row r="83" spans="1:14" ht="15.75" x14ac:dyDescent="0.25">
      <c r="A83" s="49" t="s">
        <v>87</v>
      </c>
      <c r="B83" s="50" t="s">
        <v>58</v>
      </c>
      <c r="C83" s="51">
        <v>857824</v>
      </c>
      <c r="D83" s="51">
        <v>-78786</v>
      </c>
      <c r="E83" s="51">
        <v>0</v>
      </c>
      <c r="F83" s="51">
        <v>0</v>
      </c>
      <c r="G83" s="51">
        <v>0</v>
      </c>
      <c r="H83" s="51">
        <v>779038</v>
      </c>
      <c r="I83" s="51">
        <v>-779038</v>
      </c>
      <c r="J83" s="51">
        <v>0</v>
      </c>
      <c r="K83" s="51">
        <v>120196</v>
      </c>
      <c r="L83" s="51">
        <v>-120196</v>
      </c>
      <c r="M83" s="51">
        <v>0</v>
      </c>
      <c r="N83" s="51">
        <v>0</v>
      </c>
    </row>
    <row r="84" spans="1:14" ht="15.75" x14ac:dyDescent="0.25">
      <c r="A84" s="49" t="s">
        <v>87</v>
      </c>
      <c r="B84" s="50" t="s">
        <v>59</v>
      </c>
      <c r="C84" s="51">
        <v>775919</v>
      </c>
      <c r="D84" s="51">
        <v>-5577</v>
      </c>
      <c r="E84" s="51">
        <v>0</v>
      </c>
      <c r="F84" s="51">
        <v>0</v>
      </c>
      <c r="G84" s="51">
        <v>0</v>
      </c>
      <c r="H84" s="51">
        <v>770342</v>
      </c>
      <c r="I84" s="51">
        <v>-770342</v>
      </c>
      <c r="J84" s="51">
        <v>0</v>
      </c>
      <c r="K84" s="51">
        <v>162968</v>
      </c>
      <c r="L84" s="51">
        <v>-162968</v>
      </c>
      <c r="M84" s="51">
        <v>0</v>
      </c>
      <c r="N84" s="51">
        <v>0</v>
      </c>
    </row>
    <row r="85" spans="1:14" ht="15.75" x14ac:dyDescent="0.25">
      <c r="A85" s="49" t="s">
        <v>87</v>
      </c>
      <c r="B85" s="50" t="s">
        <v>60</v>
      </c>
      <c r="C85" s="51">
        <v>904225</v>
      </c>
      <c r="D85" s="51">
        <v>-1924</v>
      </c>
      <c r="E85" s="51">
        <v>0</v>
      </c>
      <c r="F85" s="51">
        <v>0</v>
      </c>
      <c r="G85" s="51">
        <v>0</v>
      </c>
      <c r="H85" s="51">
        <v>902301</v>
      </c>
      <c r="I85" s="51">
        <v>-902301</v>
      </c>
      <c r="J85" s="51">
        <v>0</v>
      </c>
      <c r="K85" s="51">
        <v>102602</v>
      </c>
      <c r="L85" s="51">
        <v>-102602</v>
      </c>
      <c r="M85" s="51">
        <v>0</v>
      </c>
      <c r="N85" s="51">
        <v>0</v>
      </c>
    </row>
    <row r="86" spans="1:14" ht="15.75" x14ac:dyDescent="0.25">
      <c r="A86" s="49" t="s">
        <v>87</v>
      </c>
      <c r="B86" s="50" t="s">
        <v>61</v>
      </c>
      <c r="C86" s="51">
        <v>935365</v>
      </c>
      <c r="D86" s="51">
        <v>-6464</v>
      </c>
      <c r="E86" s="51">
        <v>0</v>
      </c>
      <c r="F86" s="51">
        <v>0</v>
      </c>
      <c r="G86" s="51">
        <v>0</v>
      </c>
      <c r="H86" s="51">
        <v>928901</v>
      </c>
      <c r="I86" s="51">
        <v>-928901</v>
      </c>
      <c r="J86" s="51">
        <v>0</v>
      </c>
      <c r="K86" s="51">
        <v>15833</v>
      </c>
      <c r="L86" s="51">
        <v>-15833</v>
      </c>
      <c r="M86" s="51">
        <v>0</v>
      </c>
      <c r="N86" s="51">
        <v>0</v>
      </c>
    </row>
    <row r="87" spans="1:14" ht="15.75" x14ac:dyDescent="0.25">
      <c r="A87" s="49" t="s">
        <v>87</v>
      </c>
      <c r="B87" s="50" t="s">
        <v>62</v>
      </c>
      <c r="C87" s="51">
        <v>670121</v>
      </c>
      <c r="D87" s="51">
        <v>-1480</v>
      </c>
      <c r="E87" s="51">
        <v>0</v>
      </c>
      <c r="F87" s="51">
        <v>0</v>
      </c>
      <c r="G87" s="51">
        <v>0</v>
      </c>
      <c r="H87" s="51">
        <v>668641</v>
      </c>
      <c r="I87" s="51">
        <v>-668641</v>
      </c>
      <c r="J87" s="51">
        <v>0</v>
      </c>
      <c r="K87" s="51">
        <v>238081</v>
      </c>
      <c r="L87" s="51">
        <v>-238081</v>
      </c>
      <c r="M87" s="51">
        <v>0</v>
      </c>
      <c r="N87" s="51">
        <v>0</v>
      </c>
    </row>
    <row r="88" spans="1:14" ht="15.75" x14ac:dyDescent="0.25">
      <c r="A88" s="49" t="s">
        <v>87</v>
      </c>
      <c r="B88" s="50" t="s">
        <v>63</v>
      </c>
      <c r="C88" s="51">
        <v>911973</v>
      </c>
      <c r="D88" s="51">
        <v>-153828</v>
      </c>
      <c r="E88" s="51">
        <v>0</v>
      </c>
      <c r="F88" s="51">
        <v>0</v>
      </c>
      <c r="G88" s="51">
        <v>0</v>
      </c>
      <c r="H88" s="51">
        <v>758145</v>
      </c>
      <c r="I88" s="51">
        <v>-758145</v>
      </c>
      <c r="J88" s="51">
        <v>0</v>
      </c>
      <c r="K88" s="51">
        <v>231816</v>
      </c>
      <c r="L88" s="51">
        <v>-231816</v>
      </c>
      <c r="M88" s="51">
        <v>0</v>
      </c>
      <c r="N88" s="51">
        <v>0</v>
      </c>
    </row>
    <row r="89" spans="1:14" ht="15.75" x14ac:dyDescent="0.25">
      <c r="A89" s="49" t="s">
        <v>87</v>
      </c>
      <c r="B89" s="50" t="s">
        <v>64</v>
      </c>
      <c r="C89" s="51">
        <v>925182</v>
      </c>
      <c r="D89" s="51">
        <v>-60513</v>
      </c>
      <c r="E89" s="51">
        <v>0</v>
      </c>
      <c r="F89" s="51">
        <v>0</v>
      </c>
      <c r="G89" s="51">
        <v>0</v>
      </c>
      <c r="H89" s="51">
        <v>864669</v>
      </c>
      <c r="I89" s="51">
        <v>-864669</v>
      </c>
      <c r="J89" s="51">
        <v>0</v>
      </c>
      <c r="K89" s="51">
        <v>90181</v>
      </c>
      <c r="L89" s="51">
        <v>-90181</v>
      </c>
      <c r="M89" s="51">
        <v>0</v>
      </c>
      <c r="N89" s="51">
        <v>0</v>
      </c>
    </row>
    <row r="90" spans="1:14" ht="15.75" x14ac:dyDescent="0.25">
      <c r="A90" s="49" t="s">
        <v>87</v>
      </c>
      <c r="B90" s="50" t="s">
        <v>65</v>
      </c>
      <c r="C90" s="51">
        <v>814153</v>
      </c>
      <c r="D90" s="51">
        <v>-76465</v>
      </c>
      <c r="E90" s="51">
        <v>0</v>
      </c>
      <c r="F90" s="51">
        <v>0</v>
      </c>
      <c r="G90" s="51">
        <v>0</v>
      </c>
      <c r="H90" s="51">
        <v>737688</v>
      </c>
      <c r="I90" s="51">
        <v>-737688</v>
      </c>
      <c r="J90" s="51">
        <v>0</v>
      </c>
      <c r="K90" s="51">
        <v>129376</v>
      </c>
      <c r="L90" s="51">
        <v>-129376</v>
      </c>
      <c r="M90" s="51">
        <v>0</v>
      </c>
      <c r="N90" s="51">
        <v>0</v>
      </c>
    </row>
    <row r="91" spans="1:14" ht="15.75" x14ac:dyDescent="0.25">
      <c r="A91" s="49" t="s">
        <v>87</v>
      </c>
      <c r="B91" s="50" t="s">
        <v>66</v>
      </c>
      <c r="C91" s="51">
        <v>765531</v>
      </c>
      <c r="D91" s="51">
        <v>-31649</v>
      </c>
      <c r="E91" s="51">
        <v>0</v>
      </c>
      <c r="F91" s="51">
        <v>0</v>
      </c>
      <c r="G91" s="51">
        <v>0</v>
      </c>
      <c r="H91" s="51">
        <v>733882</v>
      </c>
      <c r="I91" s="51">
        <v>-733882</v>
      </c>
      <c r="J91" s="51">
        <v>0</v>
      </c>
      <c r="K91" s="51">
        <v>35882</v>
      </c>
      <c r="L91" s="51">
        <v>-35882</v>
      </c>
      <c r="M91" s="51">
        <v>0</v>
      </c>
      <c r="N91" s="51">
        <v>0</v>
      </c>
    </row>
    <row r="92" spans="1:14" ht="15.75" x14ac:dyDescent="0.25">
      <c r="A92" s="49" t="s">
        <v>87</v>
      </c>
      <c r="B92" s="50" t="s">
        <v>67</v>
      </c>
      <c r="C92" s="51">
        <v>432910</v>
      </c>
      <c r="D92" s="51">
        <v>-9682</v>
      </c>
      <c r="E92" s="51">
        <v>0</v>
      </c>
      <c r="F92" s="51">
        <v>0</v>
      </c>
      <c r="G92" s="51">
        <v>0</v>
      </c>
      <c r="H92" s="51">
        <v>423228</v>
      </c>
      <c r="I92" s="51">
        <v>-423228</v>
      </c>
      <c r="J92" s="51">
        <v>0</v>
      </c>
      <c r="K92" s="51">
        <v>25515</v>
      </c>
      <c r="L92" s="51">
        <v>-25515</v>
      </c>
      <c r="M92" s="51">
        <v>0</v>
      </c>
      <c r="N92" s="51">
        <v>0</v>
      </c>
    </row>
    <row r="93" spans="1:14" ht="15.75" x14ac:dyDescent="0.25">
      <c r="A93" s="49" t="s">
        <v>87</v>
      </c>
      <c r="B93" s="50" t="s">
        <v>68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177723</v>
      </c>
      <c r="L93" s="51">
        <v>-177723</v>
      </c>
      <c r="M93" s="51">
        <v>0</v>
      </c>
      <c r="N93" s="51">
        <v>0</v>
      </c>
    </row>
    <row r="94" spans="1:14" ht="15.75" x14ac:dyDescent="0.25">
      <c r="A94" s="52" t="s">
        <v>88</v>
      </c>
      <c r="B94" s="53" t="s">
        <v>8</v>
      </c>
      <c r="C94" s="19">
        <f>SUBTOTAL(109,Program001[(C)
Program
Costs])</f>
        <v>9774587</v>
      </c>
      <c r="D94" s="19">
        <f>SUBTOTAL(109,Program001[(D)
Prior Period Adjustments])</f>
        <v>-700438</v>
      </c>
      <c r="E94" s="19">
        <f>SUBTOTAL(109,Program001[(E)
Current Period Desk 
Reviews])</f>
        <v>0</v>
      </c>
      <c r="F94" s="19">
        <f>SUBTOTAL(109,Program001[(F)
Current Period 
Final 
Audits])</f>
        <v>0</v>
      </c>
      <c r="G94" s="19">
        <f>SUBTOTAL(109,Program001[(G)
Current Period 
Other Adjustments])</f>
        <v>0</v>
      </c>
      <c r="H94" s="19">
        <f>SUBTOTAL(109,Program001[(H)
Net Program Costs
Sum (C through G)])</f>
        <v>9074149</v>
      </c>
      <c r="I94" s="19">
        <f>SUBTOTAL(109,Program001[(I)
Payments
 and Offsets])</f>
        <v>-9074149</v>
      </c>
      <c r="J94" s="19">
        <f>SUBTOTAL(109,Program001[(J)
Accounts Payable Balance
(H + I)])</f>
        <v>0</v>
      </c>
      <c r="K94" s="19">
        <f>SUBTOTAL(109,Program001[(K)
Established 
Accounts Receivable])</f>
        <v>1536870</v>
      </c>
      <c r="L94" s="19">
        <f>SUBTOTAL(109,Program001[(L)
Recovered
 Accounts Receivable])</f>
        <v>-1536870</v>
      </c>
      <c r="M94" s="19">
        <f>SUBTOTAL(109,Program001[(M)
Accounts Receivable Balance
(K + L)])</f>
        <v>0</v>
      </c>
      <c r="N94" s="19">
        <f>SUBTOTAL(109,Program001[(N)
Net Balance
(J minus M)])</f>
        <v>0</v>
      </c>
    </row>
    <row r="95" spans="1:14" ht="15.75" x14ac:dyDescent="0.25">
      <c r="A95" s="17" t="s">
        <v>13</v>
      </c>
      <c r="B95" s="54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</row>
    <row r="96" spans="1:14" ht="78.75" x14ac:dyDescent="0.25">
      <c r="A96" s="39" t="s">
        <v>32</v>
      </c>
      <c r="B96" s="40" t="s">
        <v>33</v>
      </c>
      <c r="C96" s="41" t="s">
        <v>34</v>
      </c>
      <c r="D96" s="41" t="s">
        <v>35</v>
      </c>
      <c r="E96" s="42" t="s">
        <v>36</v>
      </c>
      <c r="F96" s="42" t="s">
        <v>37</v>
      </c>
      <c r="G96" s="42" t="s">
        <v>38</v>
      </c>
      <c r="H96" s="43" t="s">
        <v>39</v>
      </c>
      <c r="I96" s="44" t="s">
        <v>40</v>
      </c>
      <c r="J96" s="44" t="s">
        <v>41</v>
      </c>
      <c r="K96" s="42" t="s">
        <v>42</v>
      </c>
      <c r="L96" s="44" t="s">
        <v>43</v>
      </c>
      <c r="M96" s="44" t="s">
        <v>44</v>
      </c>
      <c r="N96" s="45" t="s">
        <v>45</v>
      </c>
    </row>
    <row r="97" spans="1:14" ht="15.75" x14ac:dyDescent="0.25">
      <c r="A97" s="46" t="s">
        <v>89</v>
      </c>
      <c r="B97" s="47" t="s">
        <v>49</v>
      </c>
      <c r="C97" s="48">
        <v>1273401</v>
      </c>
      <c r="D97" s="48">
        <v>-1273401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</row>
    <row r="98" spans="1:14" ht="15.75" x14ac:dyDescent="0.25">
      <c r="A98" s="49" t="s">
        <v>89</v>
      </c>
      <c r="B98" s="50" t="s">
        <v>55</v>
      </c>
      <c r="C98" s="51">
        <v>7044</v>
      </c>
      <c r="D98" s="51">
        <v>0</v>
      </c>
      <c r="E98" s="51">
        <v>0</v>
      </c>
      <c r="F98" s="51">
        <v>0</v>
      </c>
      <c r="G98" s="51">
        <v>0</v>
      </c>
      <c r="H98" s="51">
        <v>7044</v>
      </c>
      <c r="I98" s="51">
        <v>-7044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</row>
    <row r="99" spans="1:14" ht="15.75" x14ac:dyDescent="0.25">
      <c r="A99" s="49" t="s">
        <v>89</v>
      </c>
      <c r="B99" s="50" t="s">
        <v>56</v>
      </c>
      <c r="C99" s="51">
        <v>3550</v>
      </c>
      <c r="D99" s="51">
        <v>0</v>
      </c>
      <c r="E99" s="51">
        <v>0</v>
      </c>
      <c r="F99" s="51">
        <v>0</v>
      </c>
      <c r="G99" s="51">
        <v>0</v>
      </c>
      <c r="H99" s="51">
        <v>3550</v>
      </c>
      <c r="I99" s="51">
        <v>-3550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</row>
    <row r="100" spans="1:14" ht="15.75" x14ac:dyDescent="0.25">
      <c r="A100" s="49" t="s">
        <v>89</v>
      </c>
      <c r="B100" s="50" t="s">
        <v>58</v>
      </c>
      <c r="C100" s="51">
        <v>427</v>
      </c>
      <c r="D100" s="51">
        <v>0</v>
      </c>
      <c r="E100" s="51">
        <v>0</v>
      </c>
      <c r="F100" s="51">
        <v>0</v>
      </c>
      <c r="G100" s="51">
        <v>0</v>
      </c>
      <c r="H100" s="51">
        <v>427</v>
      </c>
      <c r="I100" s="51">
        <v>-427</v>
      </c>
      <c r="J100" s="51">
        <v>0</v>
      </c>
      <c r="K100" s="51">
        <v>23</v>
      </c>
      <c r="L100" s="51">
        <v>-23</v>
      </c>
      <c r="M100" s="51">
        <v>0</v>
      </c>
      <c r="N100" s="51">
        <v>0</v>
      </c>
    </row>
    <row r="101" spans="1:14" ht="15.75" x14ac:dyDescent="0.25">
      <c r="A101" s="49" t="s">
        <v>89</v>
      </c>
      <c r="B101" s="50" t="s">
        <v>59</v>
      </c>
      <c r="C101" s="51">
        <v>411</v>
      </c>
      <c r="D101" s="51">
        <v>0</v>
      </c>
      <c r="E101" s="51">
        <v>0</v>
      </c>
      <c r="F101" s="51">
        <v>0</v>
      </c>
      <c r="G101" s="51">
        <v>0</v>
      </c>
      <c r="H101" s="51">
        <v>411</v>
      </c>
      <c r="I101" s="51">
        <v>-411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</row>
    <row r="102" spans="1:14" ht="15.75" x14ac:dyDescent="0.25">
      <c r="A102" s="49" t="s">
        <v>89</v>
      </c>
      <c r="B102" s="50" t="s">
        <v>60</v>
      </c>
      <c r="C102" s="51">
        <v>5266</v>
      </c>
      <c r="D102" s="51">
        <v>0</v>
      </c>
      <c r="E102" s="51">
        <v>0</v>
      </c>
      <c r="F102" s="51">
        <v>0</v>
      </c>
      <c r="G102" s="51">
        <v>0</v>
      </c>
      <c r="H102" s="51">
        <v>5266</v>
      </c>
      <c r="I102" s="51">
        <v>-5266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</row>
    <row r="103" spans="1:14" ht="15.75" x14ac:dyDescent="0.25">
      <c r="A103" s="49" t="s">
        <v>89</v>
      </c>
      <c r="B103" s="50" t="s">
        <v>61</v>
      </c>
      <c r="C103" s="51">
        <v>7095</v>
      </c>
      <c r="D103" s="51">
        <v>0</v>
      </c>
      <c r="E103" s="51">
        <v>0</v>
      </c>
      <c r="F103" s="51">
        <v>0</v>
      </c>
      <c r="G103" s="51">
        <v>0</v>
      </c>
      <c r="H103" s="51">
        <v>7095</v>
      </c>
      <c r="I103" s="51">
        <v>-7095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</row>
    <row r="104" spans="1:14" ht="15.75" x14ac:dyDescent="0.25">
      <c r="A104" s="49" t="s">
        <v>89</v>
      </c>
      <c r="B104" s="50" t="s">
        <v>62</v>
      </c>
      <c r="C104" s="51">
        <v>14189</v>
      </c>
      <c r="D104" s="51">
        <v>0</v>
      </c>
      <c r="E104" s="51">
        <v>0</v>
      </c>
      <c r="F104" s="51">
        <v>0</v>
      </c>
      <c r="G104" s="51">
        <v>0</v>
      </c>
      <c r="H104" s="51">
        <v>14189</v>
      </c>
      <c r="I104" s="51">
        <v>-14189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</row>
    <row r="105" spans="1:14" ht="15.75" x14ac:dyDescent="0.25">
      <c r="A105" s="49" t="s">
        <v>89</v>
      </c>
      <c r="B105" s="50" t="s">
        <v>63</v>
      </c>
      <c r="C105" s="51">
        <v>13501</v>
      </c>
      <c r="D105" s="51">
        <v>0</v>
      </c>
      <c r="E105" s="51">
        <v>0</v>
      </c>
      <c r="F105" s="51">
        <v>0</v>
      </c>
      <c r="G105" s="51">
        <v>0</v>
      </c>
      <c r="H105" s="51">
        <v>13501</v>
      </c>
      <c r="I105" s="51">
        <v>-13501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</row>
    <row r="106" spans="1:14" ht="15.75" x14ac:dyDescent="0.25">
      <c r="A106" s="49" t="s">
        <v>89</v>
      </c>
      <c r="B106" s="50" t="s">
        <v>64</v>
      </c>
      <c r="C106" s="51">
        <v>12177</v>
      </c>
      <c r="D106" s="51">
        <v>0</v>
      </c>
      <c r="E106" s="51">
        <v>0</v>
      </c>
      <c r="F106" s="51">
        <v>0</v>
      </c>
      <c r="G106" s="51">
        <v>0</v>
      </c>
      <c r="H106" s="51">
        <v>12177</v>
      </c>
      <c r="I106" s="51">
        <v>-12177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</row>
    <row r="107" spans="1:14" ht="15.75" x14ac:dyDescent="0.25">
      <c r="A107" s="52" t="s">
        <v>90</v>
      </c>
      <c r="B107" s="53" t="s">
        <v>8</v>
      </c>
      <c r="C107" s="19">
        <f>SUBTOTAL(109,Program178[(C)
Program
Costs])</f>
        <v>1337061</v>
      </c>
      <c r="D107" s="19">
        <f>SUBTOTAL(109,Program178[(D)
Prior Period Adjustments])</f>
        <v>-1273401</v>
      </c>
      <c r="E107" s="19">
        <f>SUBTOTAL(109,Program178[(E)
Current Period Desk 
Reviews])</f>
        <v>0</v>
      </c>
      <c r="F107" s="19">
        <f>SUBTOTAL(109,Program178[(F)
Current Period 
Final 
Audits])</f>
        <v>0</v>
      </c>
      <c r="G107" s="19">
        <f>SUBTOTAL(109,Program178[(G)
Current Period 
Other Adjustments])</f>
        <v>0</v>
      </c>
      <c r="H107" s="19">
        <f>SUBTOTAL(109,Program178[(H)
Net Program Costs
Sum (C through G)])</f>
        <v>63660</v>
      </c>
      <c r="I107" s="19">
        <f>SUBTOTAL(109,Program178[(I)
Payments
 and Offsets])</f>
        <v>-63660</v>
      </c>
      <c r="J107" s="19">
        <f>SUBTOTAL(109,Program178[(J)
Accounts Payable Balance
(H + I)])</f>
        <v>0</v>
      </c>
      <c r="K107" s="19">
        <f>SUBTOTAL(109,Program178[(K)
Established 
Accounts Receivable])</f>
        <v>23</v>
      </c>
      <c r="L107" s="19">
        <f>SUBTOTAL(109,Program178[(L)
Recovered
 Accounts Receivable])</f>
        <v>-23</v>
      </c>
      <c r="M107" s="19">
        <f>SUBTOTAL(109,Program178[(M)
Accounts Receivable Balance
(K + L)])</f>
        <v>0</v>
      </c>
      <c r="N107" s="19">
        <f>SUBTOTAL(109,Program178[(N)
Net Balance
(J minus M)])</f>
        <v>0</v>
      </c>
    </row>
    <row r="108" spans="1:14" ht="15.75" x14ac:dyDescent="0.25">
      <c r="A108" s="17" t="s">
        <v>13</v>
      </c>
      <c r="B108" s="54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78.75" x14ac:dyDescent="0.25">
      <c r="A109" s="39" t="s">
        <v>32</v>
      </c>
      <c r="B109" s="40" t="s">
        <v>33</v>
      </c>
      <c r="C109" s="41" t="s">
        <v>34</v>
      </c>
      <c r="D109" s="41" t="s">
        <v>35</v>
      </c>
      <c r="E109" s="42" t="s">
        <v>36</v>
      </c>
      <c r="F109" s="42" t="s">
        <v>37</v>
      </c>
      <c r="G109" s="42" t="s">
        <v>38</v>
      </c>
      <c r="H109" s="43" t="s">
        <v>39</v>
      </c>
      <c r="I109" s="44" t="s">
        <v>40</v>
      </c>
      <c r="J109" s="44" t="s">
        <v>41</v>
      </c>
      <c r="K109" s="42" t="s">
        <v>42</v>
      </c>
      <c r="L109" s="44" t="s">
        <v>43</v>
      </c>
      <c r="M109" s="44" t="s">
        <v>44</v>
      </c>
      <c r="N109" s="45" t="s">
        <v>45</v>
      </c>
    </row>
    <row r="110" spans="1:14" ht="15.75" x14ac:dyDescent="0.25">
      <c r="A110" s="46" t="s">
        <v>91</v>
      </c>
      <c r="B110" s="47" t="s">
        <v>76</v>
      </c>
      <c r="C110" s="48">
        <v>772325</v>
      </c>
      <c r="D110" s="48">
        <v>0</v>
      </c>
      <c r="E110" s="48">
        <v>0</v>
      </c>
      <c r="F110" s="48">
        <v>0</v>
      </c>
      <c r="G110" s="48">
        <v>0</v>
      </c>
      <c r="H110" s="48">
        <v>772325</v>
      </c>
      <c r="I110" s="48">
        <v>0</v>
      </c>
      <c r="J110" s="48">
        <v>772325</v>
      </c>
      <c r="K110" s="48">
        <v>0</v>
      </c>
      <c r="L110" s="48">
        <v>0</v>
      </c>
      <c r="M110" s="48">
        <v>0</v>
      </c>
      <c r="N110" s="48">
        <v>772325</v>
      </c>
    </row>
    <row r="111" spans="1:14" ht="15.75" x14ac:dyDescent="0.25">
      <c r="A111" s="49" t="s">
        <v>91</v>
      </c>
      <c r="B111" s="50" t="s">
        <v>77</v>
      </c>
      <c r="C111" s="51">
        <v>711991</v>
      </c>
      <c r="D111" s="51">
        <v>0</v>
      </c>
      <c r="E111" s="51">
        <v>0</v>
      </c>
      <c r="F111" s="51">
        <v>0</v>
      </c>
      <c r="G111" s="51">
        <v>-284</v>
      </c>
      <c r="H111" s="51">
        <v>711707</v>
      </c>
      <c r="I111" s="51">
        <v>-584999</v>
      </c>
      <c r="J111" s="51">
        <v>126708</v>
      </c>
      <c r="K111" s="51">
        <v>0</v>
      </c>
      <c r="L111" s="51">
        <v>0</v>
      </c>
      <c r="M111" s="51">
        <v>0</v>
      </c>
      <c r="N111" s="51">
        <v>126708</v>
      </c>
    </row>
    <row r="112" spans="1:14" ht="15.75" x14ac:dyDescent="0.25">
      <c r="A112" s="49" t="s">
        <v>91</v>
      </c>
      <c r="B112" s="50" t="s">
        <v>78</v>
      </c>
      <c r="C112" s="51">
        <v>587824</v>
      </c>
      <c r="D112" s="51">
        <v>-1776</v>
      </c>
      <c r="E112" s="51">
        <v>0</v>
      </c>
      <c r="F112" s="51">
        <v>0</v>
      </c>
      <c r="G112" s="51">
        <v>0</v>
      </c>
      <c r="H112" s="51">
        <v>586048</v>
      </c>
      <c r="I112" s="51">
        <v>-586048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</row>
    <row r="113" spans="1:14" ht="15.75" x14ac:dyDescent="0.25">
      <c r="A113" s="49" t="s">
        <v>91</v>
      </c>
      <c r="B113" s="50" t="s">
        <v>47</v>
      </c>
      <c r="C113" s="51">
        <v>602302</v>
      </c>
      <c r="D113" s="51">
        <v>0</v>
      </c>
      <c r="E113" s="51">
        <v>0</v>
      </c>
      <c r="F113" s="51">
        <v>0</v>
      </c>
      <c r="G113" s="51">
        <v>0</v>
      </c>
      <c r="H113" s="51">
        <v>602302</v>
      </c>
      <c r="I113" s="51">
        <v>-602302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</row>
    <row r="114" spans="1:14" ht="15.75" x14ac:dyDescent="0.25">
      <c r="A114" s="49" t="s">
        <v>91</v>
      </c>
      <c r="B114" s="50" t="s">
        <v>79</v>
      </c>
      <c r="C114" s="51">
        <v>613567</v>
      </c>
      <c r="D114" s="51">
        <v>0</v>
      </c>
      <c r="E114" s="51">
        <v>0</v>
      </c>
      <c r="F114" s="51">
        <v>0</v>
      </c>
      <c r="G114" s="51">
        <v>0</v>
      </c>
      <c r="H114" s="51">
        <v>613567</v>
      </c>
      <c r="I114" s="51">
        <v>-613567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</row>
    <row r="115" spans="1:14" ht="15.75" x14ac:dyDescent="0.25">
      <c r="A115" s="49" t="s">
        <v>91</v>
      </c>
      <c r="B115" s="50" t="s">
        <v>80</v>
      </c>
      <c r="C115" s="51">
        <v>557290</v>
      </c>
      <c r="D115" s="51">
        <v>0</v>
      </c>
      <c r="E115" s="51">
        <v>0</v>
      </c>
      <c r="F115" s="51">
        <v>0</v>
      </c>
      <c r="G115" s="51">
        <v>0</v>
      </c>
      <c r="H115" s="51">
        <v>557290</v>
      </c>
      <c r="I115" s="51">
        <v>-557290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</row>
    <row r="116" spans="1:14" ht="15.75" x14ac:dyDescent="0.25">
      <c r="A116" s="49" t="s">
        <v>91</v>
      </c>
      <c r="B116" s="50" t="s">
        <v>81</v>
      </c>
      <c r="C116" s="51">
        <v>561214</v>
      </c>
      <c r="D116" s="51">
        <v>0</v>
      </c>
      <c r="E116" s="51">
        <v>0</v>
      </c>
      <c r="F116" s="51">
        <v>0</v>
      </c>
      <c r="G116" s="51">
        <v>0</v>
      </c>
      <c r="H116" s="51">
        <v>561214</v>
      </c>
      <c r="I116" s="51">
        <v>-561214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</row>
    <row r="117" spans="1:14" ht="15.75" x14ac:dyDescent="0.25">
      <c r="A117" s="49" t="s">
        <v>91</v>
      </c>
      <c r="B117" s="50" t="s">
        <v>82</v>
      </c>
      <c r="C117" s="51">
        <v>522192</v>
      </c>
      <c r="D117" s="51">
        <v>-509</v>
      </c>
      <c r="E117" s="51">
        <v>0</v>
      </c>
      <c r="F117" s="51">
        <v>0</v>
      </c>
      <c r="G117" s="51">
        <v>0</v>
      </c>
      <c r="H117" s="51">
        <v>521683</v>
      </c>
      <c r="I117" s="51">
        <v>-521683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</row>
    <row r="118" spans="1:14" ht="15.75" x14ac:dyDescent="0.25">
      <c r="A118" s="49" t="s">
        <v>91</v>
      </c>
      <c r="B118" s="50" t="s">
        <v>83</v>
      </c>
      <c r="C118" s="51">
        <v>577185</v>
      </c>
      <c r="D118" s="51">
        <v>-133</v>
      </c>
      <c r="E118" s="51">
        <v>0</v>
      </c>
      <c r="F118" s="51">
        <v>0</v>
      </c>
      <c r="G118" s="51">
        <v>0</v>
      </c>
      <c r="H118" s="51">
        <v>577052</v>
      </c>
      <c r="I118" s="51">
        <v>-577052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</row>
    <row r="119" spans="1:14" ht="15.75" x14ac:dyDescent="0.25">
      <c r="A119" s="49" t="s">
        <v>91</v>
      </c>
      <c r="B119" s="50" t="s">
        <v>48</v>
      </c>
      <c r="C119" s="51">
        <v>451814</v>
      </c>
      <c r="D119" s="51">
        <v>-359</v>
      </c>
      <c r="E119" s="51">
        <v>0</v>
      </c>
      <c r="F119" s="51">
        <v>0</v>
      </c>
      <c r="G119" s="51">
        <v>0</v>
      </c>
      <c r="H119" s="51">
        <v>451455</v>
      </c>
      <c r="I119" s="51">
        <v>-451455</v>
      </c>
      <c r="J119" s="51">
        <v>0</v>
      </c>
      <c r="K119" s="51">
        <v>46822</v>
      </c>
      <c r="L119" s="51">
        <v>-46822</v>
      </c>
      <c r="M119" s="51">
        <v>0</v>
      </c>
      <c r="N119" s="51">
        <v>0</v>
      </c>
    </row>
    <row r="120" spans="1:14" ht="15.75" x14ac:dyDescent="0.25">
      <c r="A120" s="49" t="s">
        <v>91</v>
      </c>
      <c r="B120" s="50" t="s">
        <v>49</v>
      </c>
      <c r="C120" s="51">
        <v>685223</v>
      </c>
      <c r="D120" s="51">
        <v>0</v>
      </c>
      <c r="E120" s="51">
        <v>0</v>
      </c>
      <c r="F120" s="51">
        <v>0</v>
      </c>
      <c r="G120" s="51">
        <v>0</v>
      </c>
      <c r="H120" s="51">
        <v>685223</v>
      </c>
      <c r="I120" s="51">
        <v>-685223</v>
      </c>
      <c r="J120" s="51">
        <v>0</v>
      </c>
      <c r="K120" s="51">
        <v>7027</v>
      </c>
      <c r="L120" s="51">
        <v>-7027</v>
      </c>
      <c r="M120" s="51">
        <v>0</v>
      </c>
      <c r="N120" s="51">
        <v>0</v>
      </c>
    </row>
    <row r="121" spans="1:14" ht="15.75" x14ac:dyDescent="0.25">
      <c r="A121" s="49" t="s">
        <v>91</v>
      </c>
      <c r="B121" s="50" t="s">
        <v>50</v>
      </c>
      <c r="C121" s="51">
        <v>562473</v>
      </c>
      <c r="D121" s="51">
        <v>0</v>
      </c>
      <c r="E121" s="51">
        <v>0</v>
      </c>
      <c r="F121" s="51">
        <v>0</v>
      </c>
      <c r="G121" s="51">
        <v>0</v>
      </c>
      <c r="H121" s="51">
        <v>562473</v>
      </c>
      <c r="I121" s="51">
        <v>-562473</v>
      </c>
      <c r="J121" s="51">
        <v>0</v>
      </c>
      <c r="K121" s="51">
        <v>5271</v>
      </c>
      <c r="L121" s="51">
        <v>-5271</v>
      </c>
      <c r="M121" s="51">
        <v>0</v>
      </c>
      <c r="N121" s="51">
        <v>0</v>
      </c>
    </row>
    <row r="122" spans="1:14" ht="15.75" x14ac:dyDescent="0.25">
      <c r="A122" s="49" t="s">
        <v>91</v>
      </c>
      <c r="B122" s="50" t="s">
        <v>51</v>
      </c>
      <c r="C122" s="51">
        <v>582422</v>
      </c>
      <c r="D122" s="51">
        <v>0</v>
      </c>
      <c r="E122" s="51">
        <v>0</v>
      </c>
      <c r="F122" s="51">
        <v>0</v>
      </c>
      <c r="G122" s="51">
        <v>0</v>
      </c>
      <c r="H122" s="51">
        <v>582422</v>
      </c>
      <c r="I122" s="51">
        <v>-582422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</row>
    <row r="123" spans="1:14" ht="15.75" x14ac:dyDescent="0.25">
      <c r="A123" s="49" t="s">
        <v>91</v>
      </c>
      <c r="B123" s="50" t="s">
        <v>52</v>
      </c>
      <c r="C123" s="51">
        <v>547691</v>
      </c>
      <c r="D123" s="51">
        <v>-25833</v>
      </c>
      <c r="E123" s="51">
        <v>0</v>
      </c>
      <c r="F123" s="51">
        <v>0</v>
      </c>
      <c r="G123" s="51">
        <v>0</v>
      </c>
      <c r="H123" s="51">
        <v>521858</v>
      </c>
      <c r="I123" s="51">
        <v>-521858</v>
      </c>
      <c r="J123" s="51">
        <v>0</v>
      </c>
      <c r="K123" s="51">
        <v>64078</v>
      </c>
      <c r="L123" s="51">
        <v>-64078</v>
      </c>
      <c r="M123" s="51">
        <v>0</v>
      </c>
      <c r="N123" s="51">
        <v>0</v>
      </c>
    </row>
    <row r="124" spans="1:14" ht="15.75" x14ac:dyDescent="0.25">
      <c r="A124" s="49" t="s">
        <v>91</v>
      </c>
      <c r="B124" s="50" t="s">
        <v>53</v>
      </c>
      <c r="C124" s="51">
        <v>528734</v>
      </c>
      <c r="D124" s="51">
        <v>-208</v>
      </c>
      <c r="E124" s="51">
        <v>0</v>
      </c>
      <c r="F124" s="51">
        <v>0</v>
      </c>
      <c r="G124" s="51">
        <v>0</v>
      </c>
      <c r="H124" s="51">
        <v>528526</v>
      </c>
      <c r="I124" s="51">
        <v>-528526</v>
      </c>
      <c r="J124" s="51">
        <v>0</v>
      </c>
      <c r="K124" s="51">
        <v>878</v>
      </c>
      <c r="L124" s="51">
        <v>-878</v>
      </c>
      <c r="M124" s="51">
        <v>0</v>
      </c>
      <c r="N124" s="51">
        <v>0</v>
      </c>
    </row>
    <row r="125" spans="1:14" ht="15.75" x14ac:dyDescent="0.25">
      <c r="A125" s="49" t="s">
        <v>91</v>
      </c>
      <c r="B125" s="50" t="s">
        <v>54</v>
      </c>
      <c r="C125" s="51">
        <v>542294</v>
      </c>
      <c r="D125" s="51">
        <v>-124</v>
      </c>
      <c r="E125" s="51">
        <v>0</v>
      </c>
      <c r="F125" s="51">
        <v>0</v>
      </c>
      <c r="G125" s="51">
        <v>0</v>
      </c>
      <c r="H125" s="51">
        <v>542170</v>
      </c>
      <c r="I125" s="51">
        <v>-542170</v>
      </c>
      <c r="J125" s="51">
        <v>0</v>
      </c>
      <c r="K125" s="51">
        <v>16410</v>
      </c>
      <c r="L125" s="51">
        <v>-16410</v>
      </c>
      <c r="M125" s="51">
        <v>0</v>
      </c>
      <c r="N125" s="51">
        <v>0</v>
      </c>
    </row>
    <row r="126" spans="1:14" ht="15.75" x14ac:dyDescent="0.25">
      <c r="A126" s="49" t="s">
        <v>91</v>
      </c>
      <c r="B126" s="50" t="s">
        <v>55</v>
      </c>
      <c r="C126" s="51">
        <v>363726</v>
      </c>
      <c r="D126" s="51">
        <v>-1561</v>
      </c>
      <c r="E126" s="51">
        <v>0</v>
      </c>
      <c r="F126" s="51">
        <v>0</v>
      </c>
      <c r="G126" s="51">
        <v>0</v>
      </c>
      <c r="H126" s="51">
        <v>362165</v>
      </c>
      <c r="I126" s="51">
        <v>-362165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</row>
    <row r="127" spans="1:14" ht="15.75" x14ac:dyDescent="0.25">
      <c r="A127" s="49" t="s">
        <v>91</v>
      </c>
      <c r="B127" s="50" t="s">
        <v>56</v>
      </c>
      <c r="C127" s="51">
        <v>299049</v>
      </c>
      <c r="D127" s="51">
        <v>-245</v>
      </c>
      <c r="E127" s="51">
        <v>0</v>
      </c>
      <c r="F127" s="51">
        <v>0</v>
      </c>
      <c r="G127" s="51">
        <v>0</v>
      </c>
      <c r="H127" s="51">
        <v>298804</v>
      </c>
      <c r="I127" s="51">
        <v>-298804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</row>
    <row r="128" spans="1:14" ht="15.75" x14ac:dyDescent="0.25">
      <c r="A128" s="49" t="s">
        <v>91</v>
      </c>
      <c r="B128" s="50" t="s">
        <v>57</v>
      </c>
      <c r="C128" s="51">
        <v>271139</v>
      </c>
      <c r="D128" s="51">
        <v>-5532</v>
      </c>
      <c r="E128" s="51">
        <v>0</v>
      </c>
      <c r="F128" s="51">
        <v>0</v>
      </c>
      <c r="G128" s="51">
        <v>0</v>
      </c>
      <c r="H128" s="51">
        <v>265607</v>
      </c>
      <c r="I128" s="51">
        <v>-265607</v>
      </c>
      <c r="J128" s="51">
        <v>0</v>
      </c>
      <c r="K128" s="51">
        <v>87456</v>
      </c>
      <c r="L128" s="51">
        <v>-87456</v>
      </c>
      <c r="M128" s="51">
        <v>0</v>
      </c>
      <c r="N128" s="51">
        <v>0</v>
      </c>
    </row>
    <row r="129" spans="1:14" ht="15.75" x14ac:dyDescent="0.25">
      <c r="A129" s="49" t="s">
        <v>91</v>
      </c>
      <c r="B129" s="50" t="s">
        <v>58</v>
      </c>
      <c r="C129" s="51">
        <v>337428</v>
      </c>
      <c r="D129" s="51">
        <v>0</v>
      </c>
      <c r="E129" s="51">
        <v>0</v>
      </c>
      <c r="F129" s="51">
        <v>0</v>
      </c>
      <c r="G129" s="51">
        <v>0</v>
      </c>
      <c r="H129" s="51">
        <v>337428</v>
      </c>
      <c r="I129" s="51">
        <v>-337428</v>
      </c>
      <c r="J129" s="51">
        <v>0</v>
      </c>
      <c r="K129" s="51">
        <v>26911</v>
      </c>
      <c r="L129" s="51">
        <v>-26911</v>
      </c>
      <c r="M129" s="51">
        <v>0</v>
      </c>
      <c r="N129" s="51">
        <v>0</v>
      </c>
    </row>
    <row r="130" spans="1:14" ht="15.75" x14ac:dyDescent="0.25">
      <c r="A130" s="49" t="s">
        <v>91</v>
      </c>
      <c r="B130" s="50" t="s">
        <v>59</v>
      </c>
      <c r="C130" s="51">
        <v>244590</v>
      </c>
      <c r="D130" s="51">
        <v>-183</v>
      </c>
      <c r="E130" s="51">
        <v>0</v>
      </c>
      <c r="F130" s="51">
        <v>0</v>
      </c>
      <c r="G130" s="51">
        <v>0</v>
      </c>
      <c r="H130" s="51">
        <v>244407</v>
      </c>
      <c r="I130" s="51">
        <v>-244407</v>
      </c>
      <c r="J130" s="51">
        <v>0</v>
      </c>
      <c r="K130" s="51">
        <v>41999</v>
      </c>
      <c r="L130" s="51">
        <v>-41999</v>
      </c>
      <c r="M130" s="51">
        <v>0</v>
      </c>
      <c r="N130" s="51">
        <v>0</v>
      </c>
    </row>
    <row r="131" spans="1:14" ht="15.75" x14ac:dyDescent="0.25">
      <c r="A131" s="49" t="s">
        <v>91</v>
      </c>
      <c r="B131" s="50" t="s">
        <v>60</v>
      </c>
      <c r="C131" s="51">
        <v>501657</v>
      </c>
      <c r="D131" s="51">
        <v>-245678</v>
      </c>
      <c r="E131" s="51">
        <v>0</v>
      </c>
      <c r="F131" s="51">
        <v>0</v>
      </c>
      <c r="G131" s="51">
        <v>0</v>
      </c>
      <c r="H131" s="51">
        <v>255979</v>
      </c>
      <c r="I131" s="51">
        <v>-255979</v>
      </c>
      <c r="J131" s="51">
        <v>0</v>
      </c>
      <c r="K131" s="51">
        <v>41091</v>
      </c>
      <c r="L131" s="51">
        <v>-41091</v>
      </c>
      <c r="M131" s="51">
        <v>0</v>
      </c>
      <c r="N131" s="51">
        <v>0</v>
      </c>
    </row>
    <row r="132" spans="1:14" ht="15.75" x14ac:dyDescent="0.25">
      <c r="A132" s="49" t="s">
        <v>91</v>
      </c>
      <c r="B132" s="50" t="s">
        <v>61</v>
      </c>
      <c r="C132" s="51">
        <v>532796</v>
      </c>
      <c r="D132" s="51">
        <v>-244731</v>
      </c>
      <c r="E132" s="51">
        <v>0</v>
      </c>
      <c r="F132" s="51">
        <v>0</v>
      </c>
      <c r="G132" s="51">
        <v>0</v>
      </c>
      <c r="H132" s="51">
        <v>288065</v>
      </c>
      <c r="I132" s="51">
        <v>-288065</v>
      </c>
      <c r="J132" s="51">
        <v>0</v>
      </c>
      <c r="K132" s="51">
        <v>80182</v>
      </c>
      <c r="L132" s="51">
        <v>-80182</v>
      </c>
      <c r="M132" s="51">
        <v>0</v>
      </c>
      <c r="N132" s="51">
        <v>0</v>
      </c>
    </row>
    <row r="133" spans="1:14" ht="15.75" x14ac:dyDescent="0.25">
      <c r="A133" s="49" t="s">
        <v>91</v>
      </c>
      <c r="B133" s="50" t="s">
        <v>62</v>
      </c>
      <c r="C133" s="51">
        <v>555830</v>
      </c>
      <c r="D133" s="51">
        <v>-236292</v>
      </c>
      <c r="E133" s="51">
        <v>0</v>
      </c>
      <c r="F133" s="51">
        <v>0</v>
      </c>
      <c r="G133" s="51">
        <v>0</v>
      </c>
      <c r="H133" s="51">
        <v>319538</v>
      </c>
      <c r="I133" s="51">
        <v>-319538</v>
      </c>
      <c r="J133" s="51">
        <v>0</v>
      </c>
      <c r="K133" s="51">
        <v>8422</v>
      </c>
      <c r="L133" s="51">
        <v>-8422</v>
      </c>
      <c r="M133" s="51">
        <v>0</v>
      </c>
      <c r="N133" s="51">
        <v>0</v>
      </c>
    </row>
    <row r="134" spans="1:14" ht="15.75" x14ac:dyDescent="0.25">
      <c r="A134" s="49" t="s">
        <v>91</v>
      </c>
      <c r="B134" s="50" t="s">
        <v>63</v>
      </c>
      <c r="C134" s="51">
        <v>566686</v>
      </c>
      <c r="D134" s="51">
        <v>-229967</v>
      </c>
      <c r="E134" s="51">
        <v>0</v>
      </c>
      <c r="F134" s="51">
        <v>0</v>
      </c>
      <c r="G134" s="51">
        <v>0</v>
      </c>
      <c r="H134" s="51">
        <v>336719</v>
      </c>
      <c r="I134" s="51">
        <v>-336719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</row>
    <row r="135" spans="1:14" ht="15.75" x14ac:dyDescent="0.25">
      <c r="A135" s="49" t="s">
        <v>91</v>
      </c>
      <c r="B135" s="50" t="s">
        <v>64</v>
      </c>
      <c r="C135" s="51">
        <v>734231</v>
      </c>
      <c r="D135" s="51">
        <v>-194707</v>
      </c>
      <c r="E135" s="51">
        <v>0</v>
      </c>
      <c r="F135" s="51">
        <v>0</v>
      </c>
      <c r="G135" s="51">
        <v>0</v>
      </c>
      <c r="H135" s="51">
        <v>539524</v>
      </c>
      <c r="I135" s="51">
        <v>-539524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</row>
    <row r="136" spans="1:14" ht="15.75" x14ac:dyDescent="0.25">
      <c r="A136" s="49" t="s">
        <v>91</v>
      </c>
      <c r="B136" s="50" t="s">
        <v>65</v>
      </c>
      <c r="C136" s="51">
        <v>1222943</v>
      </c>
      <c r="D136" s="51">
        <v>-175157</v>
      </c>
      <c r="E136" s="51">
        <v>0</v>
      </c>
      <c r="F136" s="51">
        <v>0</v>
      </c>
      <c r="G136" s="51">
        <v>0</v>
      </c>
      <c r="H136" s="51">
        <v>1047786</v>
      </c>
      <c r="I136" s="51">
        <v>-1047786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</row>
    <row r="137" spans="1:14" ht="15.75" x14ac:dyDescent="0.25">
      <c r="A137" s="49" t="s">
        <v>91</v>
      </c>
      <c r="B137" s="50" t="s">
        <v>66</v>
      </c>
      <c r="C137" s="51">
        <v>1401348</v>
      </c>
      <c r="D137" s="51">
        <v>-207483</v>
      </c>
      <c r="E137" s="51">
        <v>0</v>
      </c>
      <c r="F137" s="51">
        <v>0</v>
      </c>
      <c r="G137" s="51">
        <v>0</v>
      </c>
      <c r="H137" s="51">
        <v>1193865</v>
      </c>
      <c r="I137" s="51">
        <v>-1193865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</row>
    <row r="138" spans="1:14" ht="15.75" x14ac:dyDescent="0.25">
      <c r="A138" s="52" t="s">
        <v>92</v>
      </c>
      <c r="B138" s="53" t="s">
        <v>8</v>
      </c>
      <c r="C138" s="19">
        <f>SUBTOTAL(109,Program152[(C)
Program
Costs])</f>
        <v>16437964</v>
      </c>
      <c r="D138" s="19">
        <f>SUBTOTAL(109,Program152[(D)
Prior Period Adjustments])</f>
        <v>-1570478</v>
      </c>
      <c r="E138" s="19">
        <f>SUBTOTAL(109,Program152[(E)
Current Period Desk 
Reviews])</f>
        <v>0</v>
      </c>
      <c r="F138" s="19">
        <f>SUBTOTAL(109,Program152[(F)
Current Period 
Final 
Audits])</f>
        <v>0</v>
      </c>
      <c r="G138" s="19">
        <f>SUBTOTAL(109,Program152[(G)
Current Period 
Other Adjustments])</f>
        <v>-284</v>
      </c>
      <c r="H138" s="19">
        <f>SUBTOTAL(109,Program152[(H)
Net Program Costs
Sum (C through G)])</f>
        <v>14867202</v>
      </c>
      <c r="I138" s="19">
        <f>SUBTOTAL(109,Program152[(I)
Payments
 and Offsets])</f>
        <v>-13968169</v>
      </c>
      <c r="J138" s="19">
        <f>SUBTOTAL(109,Program152[(J)
Accounts Payable Balance
(H + I)])</f>
        <v>899033</v>
      </c>
      <c r="K138" s="19">
        <f>SUBTOTAL(109,Program152[(K)
Established 
Accounts Receivable])</f>
        <v>426547</v>
      </c>
      <c r="L138" s="19">
        <f>SUBTOTAL(109,Program152[(L)
Recovered
 Accounts Receivable])</f>
        <v>-426547</v>
      </c>
      <c r="M138" s="19">
        <f>SUBTOTAL(109,Program152[(M)
Accounts Receivable Balance
(K + L)])</f>
        <v>0</v>
      </c>
      <c r="N138" s="19">
        <f>SUBTOTAL(109,Program152[(N)
Net Balance
(J minus M)])</f>
        <v>899033</v>
      </c>
    </row>
    <row r="139" spans="1:14" ht="15.75" x14ac:dyDescent="0.25">
      <c r="A139" s="17" t="s">
        <v>13</v>
      </c>
      <c r="B139" s="54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</row>
    <row r="140" spans="1:14" ht="78.75" x14ac:dyDescent="0.25">
      <c r="A140" s="39" t="s">
        <v>32</v>
      </c>
      <c r="B140" s="40" t="s">
        <v>33</v>
      </c>
      <c r="C140" s="41" t="s">
        <v>34</v>
      </c>
      <c r="D140" s="41" t="s">
        <v>35</v>
      </c>
      <c r="E140" s="42" t="s">
        <v>36</v>
      </c>
      <c r="F140" s="42" t="s">
        <v>37</v>
      </c>
      <c r="G140" s="42" t="s">
        <v>38</v>
      </c>
      <c r="H140" s="43" t="s">
        <v>39</v>
      </c>
      <c r="I140" s="44" t="s">
        <v>40</v>
      </c>
      <c r="J140" s="44" t="s">
        <v>41</v>
      </c>
      <c r="K140" s="42" t="s">
        <v>42</v>
      </c>
      <c r="L140" s="44" t="s">
        <v>43</v>
      </c>
      <c r="M140" s="44" t="s">
        <v>44</v>
      </c>
      <c r="N140" s="45" t="s">
        <v>45</v>
      </c>
    </row>
    <row r="141" spans="1:14" ht="15.75" x14ac:dyDescent="0.25">
      <c r="A141" s="46" t="s">
        <v>93</v>
      </c>
      <c r="B141" s="47" t="s">
        <v>49</v>
      </c>
      <c r="C141" s="48">
        <v>1642795</v>
      </c>
      <c r="D141" s="48">
        <v>-100651</v>
      </c>
      <c r="E141" s="48">
        <v>0</v>
      </c>
      <c r="F141" s="48">
        <v>0</v>
      </c>
      <c r="G141" s="48">
        <v>0</v>
      </c>
      <c r="H141" s="48">
        <v>1542144</v>
      </c>
      <c r="I141" s="48">
        <v>0</v>
      </c>
      <c r="J141" s="48">
        <v>1542144</v>
      </c>
      <c r="K141" s="48">
        <v>0</v>
      </c>
      <c r="L141" s="48">
        <v>0</v>
      </c>
      <c r="M141" s="48">
        <v>0</v>
      </c>
      <c r="N141" s="48">
        <v>1542144</v>
      </c>
    </row>
    <row r="142" spans="1:14" ht="15.75" x14ac:dyDescent="0.25">
      <c r="A142" s="49" t="s">
        <v>93</v>
      </c>
      <c r="B142" s="50" t="s">
        <v>50</v>
      </c>
      <c r="C142" s="51">
        <v>23987594</v>
      </c>
      <c r="D142" s="51">
        <v>-4141052</v>
      </c>
      <c r="E142" s="51">
        <v>0</v>
      </c>
      <c r="F142" s="51">
        <v>12568</v>
      </c>
      <c r="G142" s="51">
        <v>0</v>
      </c>
      <c r="H142" s="51">
        <v>19859110</v>
      </c>
      <c r="I142" s="51">
        <v>0</v>
      </c>
      <c r="J142" s="51">
        <v>19859110</v>
      </c>
      <c r="K142" s="51">
        <v>0</v>
      </c>
      <c r="L142" s="51">
        <v>0</v>
      </c>
      <c r="M142" s="51">
        <v>0</v>
      </c>
      <c r="N142" s="51">
        <v>19859110</v>
      </c>
    </row>
    <row r="143" spans="1:14" ht="15.75" x14ac:dyDescent="0.25">
      <c r="A143" s="49" t="s">
        <v>93</v>
      </c>
      <c r="B143" s="50" t="s">
        <v>51</v>
      </c>
      <c r="C143" s="51">
        <v>25571229</v>
      </c>
      <c r="D143" s="51">
        <v>-7366518</v>
      </c>
      <c r="E143" s="51">
        <v>0</v>
      </c>
      <c r="F143" s="51">
        <v>15708</v>
      </c>
      <c r="G143" s="51">
        <v>0</v>
      </c>
      <c r="H143" s="51">
        <v>18220419</v>
      </c>
      <c r="I143" s="51">
        <v>0</v>
      </c>
      <c r="J143" s="51">
        <v>18220419</v>
      </c>
      <c r="K143" s="51">
        <v>0</v>
      </c>
      <c r="L143" s="51">
        <v>0</v>
      </c>
      <c r="M143" s="51">
        <v>0</v>
      </c>
      <c r="N143" s="51">
        <v>18220419</v>
      </c>
    </row>
    <row r="144" spans="1:14" ht="15.75" x14ac:dyDescent="0.25">
      <c r="A144" s="49" t="s">
        <v>93</v>
      </c>
      <c r="B144" s="50" t="s">
        <v>52</v>
      </c>
      <c r="C144" s="51">
        <v>23381540</v>
      </c>
      <c r="D144" s="51">
        <v>-6140176</v>
      </c>
      <c r="E144" s="51">
        <v>0</v>
      </c>
      <c r="F144" s="51">
        <v>0</v>
      </c>
      <c r="G144" s="51">
        <v>0</v>
      </c>
      <c r="H144" s="51">
        <v>17241364</v>
      </c>
      <c r="I144" s="51">
        <v>-17241364</v>
      </c>
      <c r="J144" s="51">
        <v>0</v>
      </c>
      <c r="K144" s="51">
        <v>7522234</v>
      </c>
      <c r="L144" s="51">
        <v>-6773030</v>
      </c>
      <c r="M144" s="51">
        <v>749204</v>
      </c>
      <c r="N144" s="51">
        <v>-749204</v>
      </c>
    </row>
    <row r="145" spans="1:14" ht="15.75" x14ac:dyDescent="0.25">
      <c r="A145" s="49" t="s">
        <v>93</v>
      </c>
      <c r="B145" s="50" t="s">
        <v>53</v>
      </c>
      <c r="C145" s="51">
        <v>21984307</v>
      </c>
      <c r="D145" s="51">
        <v>-4759228</v>
      </c>
      <c r="E145" s="51">
        <v>0</v>
      </c>
      <c r="F145" s="51">
        <v>0</v>
      </c>
      <c r="G145" s="51">
        <v>0</v>
      </c>
      <c r="H145" s="51">
        <v>17225079</v>
      </c>
      <c r="I145" s="51">
        <v>-17202021</v>
      </c>
      <c r="J145" s="51">
        <v>23058</v>
      </c>
      <c r="K145" s="51">
        <v>4824796</v>
      </c>
      <c r="L145" s="51">
        <v>-4136784</v>
      </c>
      <c r="M145" s="51">
        <v>688012</v>
      </c>
      <c r="N145" s="51">
        <v>-664954</v>
      </c>
    </row>
    <row r="146" spans="1:14" ht="15.75" x14ac:dyDescent="0.25">
      <c r="A146" s="49" t="s">
        <v>93</v>
      </c>
      <c r="B146" s="50" t="s">
        <v>54</v>
      </c>
      <c r="C146" s="51">
        <v>22768749</v>
      </c>
      <c r="D146" s="51">
        <v>-2921316</v>
      </c>
      <c r="E146" s="51">
        <v>0</v>
      </c>
      <c r="F146" s="51">
        <v>0</v>
      </c>
      <c r="G146" s="51">
        <v>0</v>
      </c>
      <c r="H146" s="51">
        <v>19847433</v>
      </c>
      <c r="I146" s="51">
        <v>-19847433</v>
      </c>
      <c r="J146" s="51">
        <v>0</v>
      </c>
      <c r="K146" s="51">
        <v>3917590</v>
      </c>
      <c r="L146" s="51">
        <v>-3843233</v>
      </c>
      <c r="M146" s="51">
        <v>74357</v>
      </c>
      <c r="N146" s="51">
        <v>-74357</v>
      </c>
    </row>
    <row r="147" spans="1:14" ht="15.75" x14ac:dyDescent="0.25">
      <c r="A147" s="49" t="s">
        <v>93</v>
      </c>
      <c r="B147" s="50" t="s">
        <v>56</v>
      </c>
      <c r="C147" s="51">
        <v>19616313</v>
      </c>
      <c r="D147" s="51">
        <v>-5684089</v>
      </c>
      <c r="E147" s="51">
        <v>0</v>
      </c>
      <c r="F147" s="51">
        <v>0</v>
      </c>
      <c r="G147" s="51">
        <v>0</v>
      </c>
      <c r="H147" s="51">
        <v>13932224</v>
      </c>
      <c r="I147" s="51">
        <v>-13932224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</row>
    <row r="148" spans="1:14" ht="15.75" x14ac:dyDescent="0.25">
      <c r="A148" s="49" t="s">
        <v>93</v>
      </c>
      <c r="B148" s="50" t="s">
        <v>57</v>
      </c>
      <c r="C148" s="51">
        <v>20771268</v>
      </c>
      <c r="D148" s="51">
        <v>-6193321</v>
      </c>
      <c r="E148" s="51">
        <v>0</v>
      </c>
      <c r="F148" s="51">
        <v>0</v>
      </c>
      <c r="G148" s="51">
        <v>0</v>
      </c>
      <c r="H148" s="51">
        <v>14577947</v>
      </c>
      <c r="I148" s="51">
        <v>-14577947</v>
      </c>
      <c r="J148" s="51">
        <v>0</v>
      </c>
      <c r="K148" s="51">
        <v>25647</v>
      </c>
      <c r="L148" s="51">
        <v>-18475</v>
      </c>
      <c r="M148" s="51">
        <v>7172</v>
      </c>
      <c r="N148" s="51">
        <v>-7172</v>
      </c>
    </row>
    <row r="149" spans="1:14" ht="15.75" x14ac:dyDescent="0.25">
      <c r="A149" s="49" t="s">
        <v>93</v>
      </c>
      <c r="B149" s="50" t="s">
        <v>58</v>
      </c>
      <c r="C149" s="51">
        <v>17906277</v>
      </c>
      <c r="D149" s="51">
        <v>-3530289</v>
      </c>
      <c r="E149" s="51">
        <v>0</v>
      </c>
      <c r="F149" s="51">
        <v>0</v>
      </c>
      <c r="G149" s="51">
        <v>0</v>
      </c>
      <c r="H149" s="51">
        <v>14375988</v>
      </c>
      <c r="I149" s="51">
        <v>-14375988</v>
      </c>
      <c r="J149" s="51">
        <v>0</v>
      </c>
      <c r="K149" s="51">
        <v>3469501</v>
      </c>
      <c r="L149" s="51">
        <v>-3469501</v>
      </c>
      <c r="M149" s="51">
        <v>0</v>
      </c>
      <c r="N149" s="51">
        <v>0</v>
      </c>
    </row>
    <row r="150" spans="1:14" ht="15.75" x14ac:dyDescent="0.25">
      <c r="A150" s="49" t="s">
        <v>93</v>
      </c>
      <c r="B150" s="50" t="s">
        <v>59</v>
      </c>
      <c r="C150" s="51">
        <v>17178502</v>
      </c>
      <c r="D150" s="51">
        <v>-3485671</v>
      </c>
      <c r="E150" s="51">
        <v>0</v>
      </c>
      <c r="F150" s="51">
        <v>0</v>
      </c>
      <c r="G150" s="51">
        <v>0</v>
      </c>
      <c r="H150" s="51">
        <v>13692831</v>
      </c>
      <c r="I150" s="51">
        <v>-13692379</v>
      </c>
      <c r="J150" s="51">
        <v>452</v>
      </c>
      <c r="K150" s="51">
        <v>3459493</v>
      </c>
      <c r="L150" s="51">
        <v>-3459493</v>
      </c>
      <c r="M150" s="51">
        <v>0</v>
      </c>
      <c r="N150" s="51">
        <v>452</v>
      </c>
    </row>
    <row r="151" spans="1:14" ht="15.75" x14ac:dyDescent="0.25">
      <c r="A151" s="49" t="s">
        <v>93</v>
      </c>
      <c r="B151" s="50" t="s">
        <v>60</v>
      </c>
      <c r="C151" s="51">
        <v>3878869</v>
      </c>
      <c r="D151" s="51">
        <v>-1224568</v>
      </c>
      <c r="E151" s="51">
        <v>0</v>
      </c>
      <c r="F151" s="51">
        <v>0</v>
      </c>
      <c r="G151" s="51">
        <v>0</v>
      </c>
      <c r="H151" s="51">
        <v>2654301</v>
      </c>
      <c r="I151" s="51">
        <v>-2613916</v>
      </c>
      <c r="J151" s="51">
        <v>40385</v>
      </c>
      <c r="K151" s="51">
        <v>1280135</v>
      </c>
      <c r="L151" s="51">
        <v>-1280135</v>
      </c>
      <c r="M151" s="51">
        <v>0</v>
      </c>
      <c r="N151" s="51">
        <v>40385</v>
      </c>
    </row>
    <row r="152" spans="1:14" ht="15.75" x14ac:dyDescent="0.25">
      <c r="A152" s="52" t="s">
        <v>94</v>
      </c>
      <c r="B152" s="53" t="s">
        <v>8</v>
      </c>
      <c r="C152" s="19">
        <f>SUBTOTAL(109,Program213[(C)
Program
Costs])</f>
        <v>198687443</v>
      </c>
      <c r="D152" s="19">
        <f>SUBTOTAL(109,Program213[(D)
Prior Period Adjustments])</f>
        <v>-45546879</v>
      </c>
      <c r="E152" s="19">
        <f>SUBTOTAL(109,Program213[(E)
Current Period Desk 
Reviews])</f>
        <v>0</v>
      </c>
      <c r="F152" s="19">
        <f>SUBTOTAL(109,Program213[(F)
Current Period 
Final 
Audits])</f>
        <v>28276</v>
      </c>
      <c r="G152" s="19">
        <f>SUBTOTAL(109,Program213[(G)
Current Period 
Other Adjustments])</f>
        <v>0</v>
      </c>
      <c r="H152" s="19">
        <f>SUBTOTAL(109,Program213[(H)
Net Program Costs
Sum (C through G)])</f>
        <v>153168840</v>
      </c>
      <c r="I152" s="19">
        <f>SUBTOTAL(109,Program213[(I)
Payments
 and Offsets])</f>
        <v>-113483272</v>
      </c>
      <c r="J152" s="19">
        <f>SUBTOTAL(109,Program213[(J)
Accounts Payable Balance
(H + I)])</f>
        <v>39685568</v>
      </c>
      <c r="K152" s="19">
        <f>SUBTOTAL(109,Program213[(K)
Established 
Accounts Receivable])</f>
        <v>24499396</v>
      </c>
      <c r="L152" s="19">
        <f>SUBTOTAL(109,Program213[(L)
Recovered
 Accounts Receivable])</f>
        <v>-22980651</v>
      </c>
      <c r="M152" s="19">
        <f>SUBTOTAL(109,Program213[(M)
Accounts Receivable Balance
(K + L)])</f>
        <v>1518745</v>
      </c>
      <c r="N152" s="19">
        <f>SUBTOTAL(109,Program213[(N)
Net Balance
(J minus M)])</f>
        <v>38166823</v>
      </c>
    </row>
    <row r="153" spans="1:14" ht="15.75" x14ac:dyDescent="0.25">
      <c r="A153" s="17" t="s">
        <v>13</v>
      </c>
      <c r="B153" s="54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</row>
    <row r="154" spans="1:14" ht="78.75" x14ac:dyDescent="0.25">
      <c r="A154" s="39" t="s">
        <v>32</v>
      </c>
      <c r="B154" s="40" t="s">
        <v>33</v>
      </c>
      <c r="C154" s="41" t="s">
        <v>34</v>
      </c>
      <c r="D154" s="41" t="s">
        <v>35</v>
      </c>
      <c r="E154" s="42" t="s">
        <v>36</v>
      </c>
      <c r="F154" s="42" t="s">
        <v>37</v>
      </c>
      <c r="G154" s="42" t="s">
        <v>38</v>
      </c>
      <c r="H154" s="43" t="s">
        <v>39</v>
      </c>
      <c r="I154" s="44" t="s">
        <v>40</v>
      </c>
      <c r="J154" s="44" t="s">
        <v>41</v>
      </c>
      <c r="K154" s="42" t="s">
        <v>42</v>
      </c>
      <c r="L154" s="44" t="s">
        <v>43</v>
      </c>
      <c r="M154" s="44" t="s">
        <v>44</v>
      </c>
      <c r="N154" s="45" t="s">
        <v>45</v>
      </c>
    </row>
    <row r="155" spans="1:14" ht="15.75" x14ac:dyDescent="0.25">
      <c r="A155" s="46" t="s">
        <v>95</v>
      </c>
      <c r="B155" s="47" t="s">
        <v>56</v>
      </c>
      <c r="C155" s="48">
        <v>135852</v>
      </c>
      <c r="D155" s="48">
        <v>-13585</v>
      </c>
      <c r="E155" s="48">
        <v>0</v>
      </c>
      <c r="F155" s="48">
        <v>0</v>
      </c>
      <c r="G155" s="48">
        <v>0</v>
      </c>
      <c r="H155" s="48">
        <v>122267</v>
      </c>
      <c r="I155" s="48">
        <v>-122267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</row>
    <row r="156" spans="1:14" ht="15.75" x14ac:dyDescent="0.25">
      <c r="A156" s="49" t="s">
        <v>95</v>
      </c>
      <c r="B156" s="50" t="s">
        <v>57</v>
      </c>
      <c r="C156" s="51">
        <v>169704</v>
      </c>
      <c r="D156" s="51">
        <v>0</v>
      </c>
      <c r="E156" s="51">
        <v>0</v>
      </c>
      <c r="F156" s="51">
        <v>0</v>
      </c>
      <c r="G156" s="51">
        <v>0</v>
      </c>
      <c r="H156" s="51">
        <v>169704</v>
      </c>
      <c r="I156" s="51">
        <v>-169704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</row>
    <row r="157" spans="1:14" ht="15.75" x14ac:dyDescent="0.25">
      <c r="A157" s="49" t="s">
        <v>95</v>
      </c>
      <c r="B157" s="50" t="s">
        <v>58</v>
      </c>
      <c r="C157" s="51">
        <v>36299</v>
      </c>
      <c r="D157" s="51">
        <v>0</v>
      </c>
      <c r="E157" s="51">
        <v>0</v>
      </c>
      <c r="F157" s="51">
        <v>0</v>
      </c>
      <c r="G157" s="51">
        <v>0</v>
      </c>
      <c r="H157" s="51">
        <v>36299</v>
      </c>
      <c r="I157" s="51">
        <v>-36299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</row>
    <row r="158" spans="1:14" ht="15.75" x14ac:dyDescent="0.25">
      <c r="A158" s="52" t="str">
        <f>[1]Locals!$A$151</f>
        <v>Total Program 284</v>
      </c>
      <c r="B158" s="53" t="s">
        <v>8</v>
      </c>
      <c r="C158" s="19">
        <f>SUBTOTAL(109,Program284[(C)
Program
Costs])</f>
        <v>341855</v>
      </c>
      <c r="D158" s="19">
        <f>SUBTOTAL(109,Program284[(D)
Prior Period Adjustments])</f>
        <v>-13585</v>
      </c>
      <c r="E158" s="19">
        <f>SUBTOTAL(109,Program284[(E)
Current Period Desk 
Reviews])</f>
        <v>0</v>
      </c>
      <c r="F158" s="19">
        <f>SUBTOTAL(109,Program284[(F)
Current Period 
Final 
Audits])</f>
        <v>0</v>
      </c>
      <c r="G158" s="19">
        <f>SUBTOTAL(109,Program284[(G)
Current Period 
Other Adjustments])</f>
        <v>0</v>
      </c>
      <c r="H158" s="19">
        <f>SUBTOTAL(109,Program284[(H)
Net Program Costs
Sum (C through G)])</f>
        <v>328270</v>
      </c>
      <c r="I158" s="19">
        <f>SUBTOTAL(109,Program284[(I)
Payments
 and Offsets])</f>
        <v>-328270</v>
      </c>
      <c r="J158" s="19">
        <f>SUBTOTAL(109,Program284[(J)
Accounts Payable Balance
(H + I)])</f>
        <v>0</v>
      </c>
      <c r="K158" s="19">
        <f>SUBTOTAL(109,Program284[(K)
Established 
Accounts Receivable])</f>
        <v>0</v>
      </c>
      <c r="L158" s="19">
        <f>SUBTOTAL(109,Program284[(L)
Recovered
 Accounts Receivable])</f>
        <v>0</v>
      </c>
      <c r="M158" s="19">
        <f>SUBTOTAL(109,Program284[(M)
Accounts Receivable Balance
(K + L)])</f>
        <v>0</v>
      </c>
      <c r="N158" s="19">
        <f>SUBTOTAL(109,Program284[(N)
Net Balance
(J minus M)])</f>
        <v>0</v>
      </c>
    </row>
    <row r="159" spans="1:14" ht="15.75" x14ac:dyDescent="0.25">
      <c r="A159" s="17" t="s">
        <v>13</v>
      </c>
      <c r="B159" s="54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78.75" x14ac:dyDescent="0.25">
      <c r="A160" s="39" t="s">
        <v>32</v>
      </c>
      <c r="B160" s="40" t="s">
        <v>33</v>
      </c>
      <c r="C160" s="41" t="s">
        <v>34</v>
      </c>
      <c r="D160" s="41" t="s">
        <v>35</v>
      </c>
      <c r="E160" s="42" t="s">
        <v>36</v>
      </c>
      <c r="F160" s="42" t="s">
        <v>37</v>
      </c>
      <c r="G160" s="42" t="s">
        <v>38</v>
      </c>
      <c r="H160" s="43" t="s">
        <v>39</v>
      </c>
      <c r="I160" s="44" t="s">
        <v>40</v>
      </c>
      <c r="J160" s="44" t="s">
        <v>41</v>
      </c>
      <c r="K160" s="42" t="s">
        <v>42</v>
      </c>
      <c r="L160" s="44" t="s">
        <v>43</v>
      </c>
      <c r="M160" s="44" t="s">
        <v>44</v>
      </c>
      <c r="N160" s="45" t="s">
        <v>45</v>
      </c>
    </row>
    <row r="161" spans="1:14" ht="15.75" x14ac:dyDescent="0.25">
      <c r="A161" s="46" t="s">
        <v>96</v>
      </c>
      <c r="B161" s="47" t="s">
        <v>50</v>
      </c>
      <c r="C161" s="48">
        <v>2615</v>
      </c>
      <c r="D161" s="48">
        <v>0</v>
      </c>
      <c r="E161" s="48">
        <v>0</v>
      </c>
      <c r="F161" s="48">
        <v>0</v>
      </c>
      <c r="G161" s="48">
        <v>0</v>
      </c>
      <c r="H161" s="48">
        <v>2615</v>
      </c>
      <c r="I161" s="48">
        <v>-2615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</row>
    <row r="162" spans="1:14" ht="15.75" x14ac:dyDescent="0.25">
      <c r="A162" s="49" t="s">
        <v>96</v>
      </c>
      <c r="B162" s="50" t="s">
        <v>63</v>
      </c>
      <c r="C162" s="51">
        <v>6396</v>
      </c>
      <c r="D162" s="51">
        <v>-6396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</row>
    <row r="163" spans="1:14" ht="15.75" x14ac:dyDescent="0.25">
      <c r="A163" s="49" t="s">
        <v>96</v>
      </c>
      <c r="B163" s="50" t="s">
        <v>64</v>
      </c>
      <c r="C163" s="51">
        <v>6396</v>
      </c>
      <c r="D163" s="51">
        <v>-6396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</row>
    <row r="164" spans="1:14" ht="15.75" x14ac:dyDescent="0.25">
      <c r="A164" s="52" t="s">
        <v>97</v>
      </c>
      <c r="B164" s="53" t="s">
        <v>8</v>
      </c>
      <c r="C164" s="19">
        <f>SUBTOTAL(109,Program006[(C)
Program
Costs])</f>
        <v>15407</v>
      </c>
      <c r="D164" s="19">
        <f>SUBTOTAL(109,Program006[(D)
Prior Period Adjustments])</f>
        <v>-12792</v>
      </c>
      <c r="E164" s="19">
        <f>SUBTOTAL(109,Program006[(E)
Current Period Desk 
Reviews])</f>
        <v>0</v>
      </c>
      <c r="F164" s="19">
        <f>SUBTOTAL(109,Program006[(F)
Current Period 
Final 
Audits])</f>
        <v>0</v>
      </c>
      <c r="G164" s="19">
        <f>SUBTOTAL(109,Program006[(G)
Current Period 
Other Adjustments])</f>
        <v>0</v>
      </c>
      <c r="H164" s="19">
        <f>SUBTOTAL(109,Program006[(H)
Net Program Costs
Sum (C through G)])</f>
        <v>2615</v>
      </c>
      <c r="I164" s="19">
        <f>SUBTOTAL(109,Program006[(I)
Payments
 and Offsets])</f>
        <v>-2615</v>
      </c>
      <c r="J164" s="19">
        <f>SUBTOTAL(109,Program006[(J)
Accounts Payable Balance
(H + I)])</f>
        <v>0</v>
      </c>
      <c r="K164" s="19">
        <f>SUBTOTAL(109,Program006[(K)
Established 
Accounts Receivable])</f>
        <v>0</v>
      </c>
      <c r="L164" s="19">
        <f>SUBTOTAL(109,Program006[(L)
Recovered
 Accounts Receivable])</f>
        <v>0</v>
      </c>
      <c r="M164" s="19">
        <f>SUBTOTAL(109,Program006[(M)
Accounts Receivable Balance
(K + L)])</f>
        <v>0</v>
      </c>
      <c r="N164" s="19">
        <f>SUBTOTAL(109,Program006[(N)
Net Balance
(J minus M)])</f>
        <v>0</v>
      </c>
    </row>
    <row r="165" spans="1:14" ht="15.75" x14ac:dyDescent="0.25">
      <c r="A165" s="17" t="s">
        <v>13</v>
      </c>
      <c r="B165" s="54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</row>
    <row r="166" spans="1:14" ht="78.75" x14ac:dyDescent="0.25">
      <c r="A166" s="39" t="s">
        <v>32</v>
      </c>
      <c r="B166" s="40" t="s">
        <v>33</v>
      </c>
      <c r="C166" s="41" t="s">
        <v>34</v>
      </c>
      <c r="D166" s="41" t="s">
        <v>35</v>
      </c>
      <c r="E166" s="42" t="s">
        <v>36</v>
      </c>
      <c r="F166" s="42" t="s">
        <v>37</v>
      </c>
      <c r="G166" s="42" t="s">
        <v>38</v>
      </c>
      <c r="H166" s="43" t="s">
        <v>39</v>
      </c>
      <c r="I166" s="44" t="s">
        <v>40</v>
      </c>
      <c r="J166" s="44" t="s">
        <v>41</v>
      </c>
      <c r="K166" s="42" t="s">
        <v>42</v>
      </c>
      <c r="L166" s="44" t="s">
        <v>43</v>
      </c>
      <c r="M166" s="44" t="s">
        <v>44</v>
      </c>
      <c r="N166" s="45" t="s">
        <v>45</v>
      </c>
    </row>
    <row r="167" spans="1:14" ht="15.75" x14ac:dyDescent="0.25">
      <c r="A167" s="46" t="s">
        <v>98</v>
      </c>
      <c r="B167" s="47" t="s">
        <v>60</v>
      </c>
      <c r="C167" s="48">
        <v>11988972</v>
      </c>
      <c r="D167" s="48">
        <v>-12444</v>
      </c>
      <c r="E167" s="48">
        <v>0</v>
      </c>
      <c r="F167" s="48">
        <v>0</v>
      </c>
      <c r="G167" s="48">
        <v>0</v>
      </c>
      <c r="H167" s="48">
        <v>11976528</v>
      </c>
      <c r="I167" s="48">
        <v>-11976528</v>
      </c>
      <c r="J167" s="48">
        <v>0</v>
      </c>
      <c r="K167" s="48">
        <v>58260</v>
      </c>
      <c r="L167" s="48">
        <v>-58260</v>
      </c>
      <c r="M167" s="48">
        <v>0</v>
      </c>
      <c r="N167" s="48">
        <v>0</v>
      </c>
    </row>
    <row r="168" spans="1:14" ht="15.75" x14ac:dyDescent="0.25">
      <c r="A168" s="49" t="s">
        <v>98</v>
      </c>
      <c r="B168" s="50" t="s">
        <v>61</v>
      </c>
      <c r="C168" s="51">
        <v>10846878</v>
      </c>
      <c r="D168" s="51">
        <v>-288892</v>
      </c>
      <c r="E168" s="51">
        <v>0</v>
      </c>
      <c r="F168" s="51">
        <v>0</v>
      </c>
      <c r="G168" s="51">
        <v>0</v>
      </c>
      <c r="H168" s="51">
        <v>10557986</v>
      </c>
      <c r="I168" s="51">
        <v>-10557986</v>
      </c>
      <c r="J168" s="51">
        <v>0</v>
      </c>
      <c r="K168" s="51">
        <v>140748</v>
      </c>
      <c r="L168" s="51">
        <v>-140748</v>
      </c>
      <c r="M168" s="51">
        <v>0</v>
      </c>
      <c r="N168" s="51">
        <v>0</v>
      </c>
    </row>
    <row r="169" spans="1:14" ht="15.75" x14ac:dyDescent="0.25">
      <c r="A169" s="49" t="s">
        <v>98</v>
      </c>
      <c r="B169" s="50" t="s">
        <v>62</v>
      </c>
      <c r="C169" s="51">
        <v>9719514</v>
      </c>
      <c r="D169" s="51">
        <v>-48418</v>
      </c>
      <c r="E169" s="51">
        <v>0</v>
      </c>
      <c r="F169" s="51">
        <v>0</v>
      </c>
      <c r="G169" s="51">
        <v>0</v>
      </c>
      <c r="H169" s="51">
        <v>9671096</v>
      </c>
      <c r="I169" s="51">
        <v>-9671096</v>
      </c>
      <c r="J169" s="51">
        <v>0</v>
      </c>
      <c r="K169" s="51">
        <v>230963</v>
      </c>
      <c r="L169" s="51">
        <v>-230963</v>
      </c>
      <c r="M169" s="51">
        <v>0</v>
      </c>
      <c r="N169" s="51">
        <v>0</v>
      </c>
    </row>
    <row r="170" spans="1:14" ht="15.75" x14ac:dyDescent="0.25">
      <c r="A170" s="49" t="s">
        <v>98</v>
      </c>
      <c r="B170" s="50" t="s">
        <v>63</v>
      </c>
      <c r="C170" s="51">
        <v>9359691</v>
      </c>
      <c r="D170" s="51">
        <v>-403236</v>
      </c>
      <c r="E170" s="51">
        <v>0</v>
      </c>
      <c r="F170" s="51">
        <v>0</v>
      </c>
      <c r="G170" s="51">
        <v>0</v>
      </c>
      <c r="H170" s="51">
        <v>8956455</v>
      </c>
      <c r="I170" s="51">
        <v>-8956455</v>
      </c>
      <c r="J170" s="51">
        <v>0</v>
      </c>
      <c r="K170" s="51">
        <v>207024</v>
      </c>
      <c r="L170" s="51">
        <v>-207024</v>
      </c>
      <c r="M170" s="51">
        <v>0</v>
      </c>
      <c r="N170" s="51">
        <v>0</v>
      </c>
    </row>
    <row r="171" spans="1:14" ht="15.75" x14ac:dyDescent="0.25">
      <c r="A171" s="49" t="s">
        <v>98</v>
      </c>
      <c r="B171" s="50" t="s">
        <v>64</v>
      </c>
      <c r="C171" s="51">
        <v>4828502</v>
      </c>
      <c r="D171" s="51">
        <v>-108567</v>
      </c>
      <c r="E171" s="51">
        <v>0</v>
      </c>
      <c r="F171" s="51">
        <v>0</v>
      </c>
      <c r="G171" s="51">
        <v>0</v>
      </c>
      <c r="H171" s="51">
        <v>4719935</v>
      </c>
      <c r="I171" s="51">
        <v>-4719935</v>
      </c>
      <c r="J171" s="51">
        <v>0</v>
      </c>
      <c r="K171" s="51">
        <v>130777</v>
      </c>
      <c r="L171" s="51">
        <v>-130777</v>
      </c>
      <c r="M171" s="51">
        <v>0</v>
      </c>
      <c r="N171" s="51">
        <v>0</v>
      </c>
    </row>
    <row r="172" spans="1:14" ht="15.75" x14ac:dyDescent="0.25">
      <c r="A172" s="49" t="s">
        <v>98</v>
      </c>
      <c r="B172" s="50" t="s">
        <v>65</v>
      </c>
      <c r="C172" s="51">
        <v>4367725</v>
      </c>
      <c r="D172" s="51">
        <v>-98873</v>
      </c>
      <c r="E172" s="51">
        <v>0</v>
      </c>
      <c r="F172" s="51">
        <v>0</v>
      </c>
      <c r="G172" s="51">
        <v>0</v>
      </c>
      <c r="H172" s="51">
        <v>4268852</v>
      </c>
      <c r="I172" s="51">
        <v>-4268852</v>
      </c>
      <c r="J172" s="51">
        <v>0</v>
      </c>
      <c r="K172" s="51">
        <v>47421</v>
      </c>
      <c r="L172" s="51">
        <v>-47421</v>
      </c>
      <c r="M172" s="51">
        <v>0</v>
      </c>
      <c r="N172" s="51">
        <v>0</v>
      </c>
    </row>
    <row r="173" spans="1:14" ht="15.75" x14ac:dyDescent="0.25">
      <c r="A173" s="49" t="s">
        <v>98</v>
      </c>
      <c r="B173" s="50" t="s">
        <v>66</v>
      </c>
      <c r="C173" s="51">
        <v>3698691</v>
      </c>
      <c r="D173" s="51">
        <v>-81088</v>
      </c>
      <c r="E173" s="51">
        <v>0</v>
      </c>
      <c r="F173" s="51">
        <v>0</v>
      </c>
      <c r="G173" s="51">
        <v>0</v>
      </c>
      <c r="H173" s="51">
        <v>3617603</v>
      </c>
      <c r="I173" s="51">
        <v>-3617603</v>
      </c>
      <c r="J173" s="51">
        <v>0</v>
      </c>
      <c r="K173" s="51">
        <v>56283</v>
      </c>
      <c r="L173" s="51">
        <v>-56283</v>
      </c>
      <c r="M173" s="51">
        <v>0</v>
      </c>
      <c r="N173" s="51">
        <v>0</v>
      </c>
    </row>
    <row r="174" spans="1:14" ht="15.75" x14ac:dyDescent="0.25">
      <c r="A174" s="49" t="s">
        <v>98</v>
      </c>
      <c r="B174" s="50" t="s">
        <v>67</v>
      </c>
      <c r="C174" s="51">
        <v>3231112</v>
      </c>
      <c r="D174" s="51">
        <v>-101336</v>
      </c>
      <c r="E174" s="51">
        <v>0</v>
      </c>
      <c r="F174" s="51">
        <v>0</v>
      </c>
      <c r="G174" s="51">
        <v>0</v>
      </c>
      <c r="H174" s="51">
        <v>3129776</v>
      </c>
      <c r="I174" s="51">
        <v>-3129776</v>
      </c>
      <c r="J174" s="51">
        <v>0</v>
      </c>
      <c r="K174" s="51">
        <v>104250</v>
      </c>
      <c r="L174" s="51">
        <v>-104250</v>
      </c>
      <c r="M174" s="51">
        <v>0</v>
      </c>
      <c r="N174" s="51">
        <v>0</v>
      </c>
    </row>
    <row r="175" spans="1:14" ht="15.75" x14ac:dyDescent="0.25">
      <c r="A175" s="49" t="s">
        <v>98</v>
      </c>
      <c r="B175" s="50" t="s">
        <v>68</v>
      </c>
      <c r="C175" s="51">
        <v>474759</v>
      </c>
      <c r="D175" s="51">
        <v>0</v>
      </c>
      <c r="E175" s="51">
        <v>0</v>
      </c>
      <c r="F175" s="51">
        <v>0</v>
      </c>
      <c r="G175" s="51">
        <v>0</v>
      </c>
      <c r="H175" s="51">
        <v>474759</v>
      </c>
      <c r="I175" s="51">
        <v>-474759</v>
      </c>
      <c r="J175" s="51">
        <v>0</v>
      </c>
      <c r="K175" s="51">
        <v>21917</v>
      </c>
      <c r="L175" s="51">
        <v>-21917</v>
      </c>
      <c r="M175" s="51">
        <v>0</v>
      </c>
      <c r="N175" s="51">
        <v>0</v>
      </c>
    </row>
    <row r="176" spans="1:14" ht="15.75" x14ac:dyDescent="0.25">
      <c r="A176" s="49" t="s">
        <v>98</v>
      </c>
      <c r="B176" s="50" t="s">
        <v>69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110977</v>
      </c>
      <c r="L176" s="51">
        <v>-110977</v>
      </c>
      <c r="M176" s="51">
        <v>0</v>
      </c>
      <c r="N176" s="51">
        <v>0</v>
      </c>
    </row>
    <row r="177" spans="1:14" ht="15.75" x14ac:dyDescent="0.25">
      <c r="A177" s="49" t="s">
        <v>98</v>
      </c>
      <c r="B177" s="50" t="s">
        <v>99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272</v>
      </c>
      <c r="L177" s="51">
        <v>-272</v>
      </c>
      <c r="M177" s="51">
        <v>0</v>
      </c>
      <c r="N177" s="51">
        <v>0</v>
      </c>
    </row>
    <row r="178" spans="1:14" ht="15.75" x14ac:dyDescent="0.25">
      <c r="A178" s="49" t="s">
        <v>98</v>
      </c>
      <c r="B178" s="50" t="s">
        <v>100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405</v>
      </c>
      <c r="L178" s="51">
        <v>-405</v>
      </c>
      <c r="M178" s="51">
        <v>0</v>
      </c>
      <c r="N178" s="51">
        <v>0</v>
      </c>
    </row>
    <row r="179" spans="1:14" ht="15.75" x14ac:dyDescent="0.25">
      <c r="A179" s="52" t="s">
        <v>101</v>
      </c>
      <c r="B179" s="53" t="s">
        <v>8</v>
      </c>
      <c r="C179" s="19">
        <f>SUBTOTAL(109,Program007[(C)
Program
Costs])</f>
        <v>58515844</v>
      </c>
      <c r="D179" s="19">
        <f>SUBTOTAL(109,Program007[(D)
Prior Period Adjustments])</f>
        <v>-1142854</v>
      </c>
      <c r="E179" s="19">
        <f>SUBTOTAL(109,Program007[(E)
Current Period Desk 
Reviews])</f>
        <v>0</v>
      </c>
      <c r="F179" s="19">
        <f>SUBTOTAL(109,Program007[(F)
Current Period 
Final 
Audits])</f>
        <v>0</v>
      </c>
      <c r="G179" s="19">
        <f>SUBTOTAL(109,Program007[(G)
Current Period 
Other Adjustments])</f>
        <v>0</v>
      </c>
      <c r="H179" s="19">
        <f>SUBTOTAL(109,Program007[(H)
Net Program Costs
Sum (C through G)])</f>
        <v>57372990</v>
      </c>
      <c r="I179" s="19">
        <f>SUBTOTAL(109,Program007[(I)
Payments
 and Offsets])</f>
        <v>-57372990</v>
      </c>
      <c r="J179" s="19">
        <f>SUBTOTAL(109,Program007[(J)
Accounts Payable Balance
(H + I)])</f>
        <v>0</v>
      </c>
      <c r="K179" s="19">
        <f>SUBTOTAL(109,Program007[(K)
Established 
Accounts Receivable])</f>
        <v>1109297</v>
      </c>
      <c r="L179" s="19">
        <f>SUBTOTAL(109,Program007[(L)
Recovered
 Accounts Receivable])</f>
        <v>-1109297</v>
      </c>
      <c r="M179" s="19">
        <f>SUBTOTAL(109,Program007[(M)
Accounts Receivable Balance
(K + L)])</f>
        <v>0</v>
      </c>
      <c r="N179" s="19">
        <f>SUBTOTAL(109,Program007[(N)
Net Balance
(J minus M)])</f>
        <v>0</v>
      </c>
    </row>
    <row r="180" spans="1:14" ht="15.75" x14ac:dyDescent="0.25">
      <c r="A180" s="17" t="s">
        <v>13</v>
      </c>
      <c r="B180" s="54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</row>
    <row r="181" spans="1:14" ht="78.75" x14ac:dyDescent="0.25">
      <c r="A181" s="39" t="s">
        <v>32</v>
      </c>
      <c r="B181" s="40" t="s">
        <v>33</v>
      </c>
      <c r="C181" s="41" t="s">
        <v>34</v>
      </c>
      <c r="D181" s="41" t="s">
        <v>35</v>
      </c>
      <c r="E181" s="42" t="s">
        <v>36</v>
      </c>
      <c r="F181" s="42" t="s">
        <v>37</v>
      </c>
      <c r="G181" s="42" t="s">
        <v>38</v>
      </c>
      <c r="H181" s="43" t="s">
        <v>39</v>
      </c>
      <c r="I181" s="44" t="s">
        <v>40</v>
      </c>
      <c r="J181" s="44" t="s">
        <v>41</v>
      </c>
      <c r="K181" s="42" t="s">
        <v>42</v>
      </c>
      <c r="L181" s="44" t="s">
        <v>43</v>
      </c>
      <c r="M181" s="44" t="s">
        <v>44</v>
      </c>
      <c r="N181" s="45" t="s">
        <v>45</v>
      </c>
    </row>
    <row r="182" spans="1:14" ht="30" x14ac:dyDescent="0.25">
      <c r="A182" s="67" t="s">
        <v>102</v>
      </c>
      <c r="B182" s="57" t="s">
        <v>67</v>
      </c>
      <c r="C182" s="58">
        <v>133740</v>
      </c>
      <c r="D182" s="58">
        <v>-3452</v>
      </c>
      <c r="E182" s="58">
        <v>0</v>
      </c>
      <c r="F182" s="58">
        <v>0</v>
      </c>
      <c r="G182" s="58">
        <v>0</v>
      </c>
      <c r="H182" s="58">
        <v>130288</v>
      </c>
      <c r="I182" s="58">
        <v>0</v>
      </c>
      <c r="J182" s="58">
        <v>130288</v>
      </c>
      <c r="K182" s="58">
        <v>0</v>
      </c>
      <c r="L182" s="58">
        <v>0</v>
      </c>
      <c r="M182" s="58">
        <v>0</v>
      </c>
      <c r="N182" s="58">
        <v>130288</v>
      </c>
    </row>
    <row r="183" spans="1:14" ht="30" x14ac:dyDescent="0.25">
      <c r="A183" s="68" t="s">
        <v>102</v>
      </c>
      <c r="B183" s="60" t="s">
        <v>68</v>
      </c>
      <c r="C183" s="61">
        <v>85888</v>
      </c>
      <c r="D183" s="61">
        <v>0</v>
      </c>
      <c r="E183" s="61">
        <v>0</v>
      </c>
      <c r="F183" s="61">
        <v>0</v>
      </c>
      <c r="G183" s="61">
        <v>0</v>
      </c>
      <c r="H183" s="61">
        <v>85888</v>
      </c>
      <c r="I183" s="61">
        <v>0</v>
      </c>
      <c r="J183" s="61">
        <v>85888</v>
      </c>
      <c r="K183" s="61">
        <v>0</v>
      </c>
      <c r="L183" s="61">
        <v>0</v>
      </c>
      <c r="M183" s="61">
        <v>0</v>
      </c>
      <c r="N183" s="61">
        <v>85888</v>
      </c>
    </row>
    <row r="184" spans="1:14" ht="15.75" x14ac:dyDescent="0.25">
      <c r="A184" s="52" t="s">
        <v>103</v>
      </c>
      <c r="B184" s="53" t="s">
        <v>8</v>
      </c>
      <c r="C184" s="19">
        <f>SUBTOTAL(109,Program288[(C)
Program
Costs])</f>
        <v>219628</v>
      </c>
      <c r="D184" s="19">
        <f>SUBTOTAL(109,Program288[(D)
Prior Period Adjustments])</f>
        <v>-3452</v>
      </c>
      <c r="E184" s="19">
        <f>SUBTOTAL(109,Program288[(E)
Current Period Desk 
Reviews])</f>
        <v>0</v>
      </c>
      <c r="F184" s="19">
        <f>SUBTOTAL(109,Program288[(F)
Current Period 
Final 
Audits])</f>
        <v>0</v>
      </c>
      <c r="G184" s="19">
        <f>SUBTOTAL(109,Program288[(G)
Current Period 
Other Adjustments])</f>
        <v>0</v>
      </c>
      <c r="H184" s="19">
        <f>SUBTOTAL(109,Program288[(H)
Net Program Costs
Sum (C through G)])</f>
        <v>216176</v>
      </c>
      <c r="I184" s="19">
        <f>SUBTOTAL(109,Program288[(I)
Payments
 and Offsets])</f>
        <v>0</v>
      </c>
      <c r="J184" s="19">
        <f>SUBTOTAL(109,Program288[(J)
Accounts Payable Balance
(H + I)])</f>
        <v>216176</v>
      </c>
      <c r="K184" s="19">
        <f>SUBTOTAL(109,Program288[(K)
Established 
Accounts Receivable])</f>
        <v>0</v>
      </c>
      <c r="L184" s="19">
        <f>SUBTOTAL(109,Program288[(L)
Recovered
 Accounts Receivable])</f>
        <v>0</v>
      </c>
      <c r="M184" s="19">
        <f>SUBTOTAL(109,Program288[(M)
Accounts Receivable Balance
(K + L)])</f>
        <v>0</v>
      </c>
      <c r="N184" s="19">
        <f>SUBTOTAL(109,Program288[(N)
Net Balance
(J minus M)])</f>
        <v>216176</v>
      </c>
    </row>
    <row r="185" spans="1:14" ht="15.75" x14ac:dyDescent="0.25">
      <c r="A185" s="17" t="s">
        <v>13</v>
      </c>
      <c r="B185" s="54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ht="78.75" x14ac:dyDescent="0.25">
      <c r="A186" s="39" t="s">
        <v>32</v>
      </c>
      <c r="B186" s="40" t="s">
        <v>33</v>
      </c>
      <c r="C186" s="41" t="s">
        <v>34</v>
      </c>
      <c r="D186" s="41" t="s">
        <v>35</v>
      </c>
      <c r="E186" s="42" t="s">
        <v>36</v>
      </c>
      <c r="F186" s="42" t="s">
        <v>37</v>
      </c>
      <c r="G186" s="42" t="s">
        <v>38</v>
      </c>
      <c r="H186" s="43" t="s">
        <v>39</v>
      </c>
      <c r="I186" s="44" t="s">
        <v>40</v>
      </c>
      <c r="J186" s="44" t="s">
        <v>41</v>
      </c>
      <c r="K186" s="42" t="s">
        <v>42</v>
      </c>
      <c r="L186" s="44" t="s">
        <v>43</v>
      </c>
      <c r="M186" s="44" t="s">
        <v>44</v>
      </c>
      <c r="N186" s="45" t="s">
        <v>45</v>
      </c>
    </row>
    <row r="187" spans="1:14" ht="15.75" x14ac:dyDescent="0.25">
      <c r="A187" s="46" t="s">
        <v>104</v>
      </c>
      <c r="B187" s="47" t="s">
        <v>81</v>
      </c>
      <c r="C187" s="48">
        <v>2725288</v>
      </c>
      <c r="D187" s="48">
        <v>-41112</v>
      </c>
      <c r="E187" s="48">
        <v>0</v>
      </c>
      <c r="F187" s="48">
        <v>0</v>
      </c>
      <c r="G187" s="48">
        <v>0</v>
      </c>
      <c r="H187" s="48">
        <v>2684176</v>
      </c>
      <c r="I187" s="48">
        <v>-2684176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</row>
    <row r="188" spans="1:14" ht="15.75" x14ac:dyDescent="0.25">
      <c r="A188" s="49" t="s">
        <v>104</v>
      </c>
      <c r="B188" s="50" t="s">
        <v>82</v>
      </c>
      <c r="C188" s="51">
        <v>3063584</v>
      </c>
      <c r="D188" s="51">
        <v>-117178</v>
      </c>
      <c r="E188" s="51">
        <v>0</v>
      </c>
      <c r="F188" s="51">
        <v>0</v>
      </c>
      <c r="G188" s="51">
        <v>0</v>
      </c>
      <c r="H188" s="51">
        <v>2946406</v>
      </c>
      <c r="I188" s="51">
        <v>-2946406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</row>
    <row r="189" spans="1:14" ht="15.75" x14ac:dyDescent="0.25">
      <c r="A189" s="49" t="s">
        <v>104</v>
      </c>
      <c r="B189" s="50" t="s">
        <v>83</v>
      </c>
      <c r="C189" s="51">
        <v>2463813</v>
      </c>
      <c r="D189" s="51">
        <v>-108567</v>
      </c>
      <c r="E189" s="51">
        <v>0</v>
      </c>
      <c r="F189" s="51">
        <v>0</v>
      </c>
      <c r="G189" s="51">
        <v>0</v>
      </c>
      <c r="H189" s="51">
        <v>2355246</v>
      </c>
      <c r="I189" s="51">
        <v>-2355246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</row>
    <row r="190" spans="1:14" ht="15.75" x14ac:dyDescent="0.25">
      <c r="A190" s="49" t="s">
        <v>104</v>
      </c>
      <c r="B190" s="50" t="s">
        <v>48</v>
      </c>
      <c r="C190" s="51">
        <v>2170881</v>
      </c>
      <c r="D190" s="51">
        <v>-110069</v>
      </c>
      <c r="E190" s="51">
        <v>0</v>
      </c>
      <c r="F190" s="51">
        <v>0</v>
      </c>
      <c r="G190" s="51">
        <v>0</v>
      </c>
      <c r="H190" s="51">
        <v>2060812</v>
      </c>
      <c r="I190" s="51">
        <v>-2060812</v>
      </c>
      <c r="J190" s="51">
        <v>0</v>
      </c>
      <c r="K190" s="51">
        <v>11046</v>
      </c>
      <c r="L190" s="51">
        <v>0</v>
      </c>
      <c r="M190" s="51">
        <v>11046</v>
      </c>
      <c r="N190" s="51">
        <v>-11046</v>
      </c>
    </row>
    <row r="191" spans="1:14" ht="15.75" x14ac:dyDescent="0.25">
      <c r="A191" s="49" t="s">
        <v>104</v>
      </c>
      <c r="B191" s="50" t="s">
        <v>49</v>
      </c>
      <c r="C191" s="51">
        <v>1732214</v>
      </c>
      <c r="D191" s="51">
        <v>-92020</v>
      </c>
      <c r="E191" s="51">
        <v>0</v>
      </c>
      <c r="F191" s="51">
        <v>0</v>
      </c>
      <c r="G191" s="51">
        <v>0</v>
      </c>
      <c r="H191" s="51">
        <v>1640194</v>
      </c>
      <c r="I191" s="51">
        <v>-1640194</v>
      </c>
      <c r="J191" s="51">
        <v>0</v>
      </c>
      <c r="K191" s="51">
        <v>9444</v>
      </c>
      <c r="L191" s="51">
        <v>0</v>
      </c>
      <c r="M191" s="51">
        <v>9444</v>
      </c>
      <c r="N191" s="51">
        <v>-9444</v>
      </c>
    </row>
    <row r="192" spans="1:14" ht="15.75" x14ac:dyDescent="0.25">
      <c r="A192" s="49" t="s">
        <v>104</v>
      </c>
      <c r="B192" s="50" t="s">
        <v>50</v>
      </c>
      <c r="C192" s="51">
        <v>1650201</v>
      </c>
      <c r="D192" s="51">
        <v>-91470</v>
      </c>
      <c r="E192" s="51">
        <v>0</v>
      </c>
      <c r="F192" s="51">
        <v>0</v>
      </c>
      <c r="G192" s="51">
        <v>0</v>
      </c>
      <c r="H192" s="51">
        <v>1558731</v>
      </c>
      <c r="I192" s="51">
        <v>-1558731</v>
      </c>
      <c r="J192" s="51">
        <v>0</v>
      </c>
      <c r="K192" s="51">
        <v>7837</v>
      </c>
      <c r="L192" s="51">
        <v>0</v>
      </c>
      <c r="M192" s="51">
        <v>7837</v>
      </c>
      <c r="N192" s="51">
        <v>-7837</v>
      </c>
    </row>
    <row r="193" spans="1:14" ht="15.75" x14ac:dyDescent="0.25">
      <c r="A193" s="49" t="s">
        <v>104</v>
      </c>
      <c r="B193" s="50" t="s">
        <v>51</v>
      </c>
      <c r="C193" s="51">
        <v>1311290</v>
      </c>
      <c r="D193" s="51">
        <v>-82329</v>
      </c>
      <c r="E193" s="51">
        <v>0</v>
      </c>
      <c r="F193" s="51">
        <v>0</v>
      </c>
      <c r="G193" s="51">
        <v>0</v>
      </c>
      <c r="H193" s="51">
        <v>1228961</v>
      </c>
      <c r="I193" s="51">
        <v>-1228961</v>
      </c>
      <c r="J193" s="51">
        <v>0</v>
      </c>
      <c r="K193" s="51">
        <v>6821</v>
      </c>
      <c r="L193" s="51">
        <v>0</v>
      </c>
      <c r="M193" s="51">
        <v>6821</v>
      </c>
      <c r="N193" s="51">
        <v>-6821</v>
      </c>
    </row>
    <row r="194" spans="1:14" ht="15.75" x14ac:dyDescent="0.25">
      <c r="A194" s="49" t="s">
        <v>104</v>
      </c>
      <c r="B194" s="50" t="s">
        <v>52</v>
      </c>
      <c r="C194" s="51">
        <v>918202</v>
      </c>
      <c r="D194" s="51">
        <v>-51473</v>
      </c>
      <c r="E194" s="51">
        <v>0</v>
      </c>
      <c r="F194" s="51">
        <v>0</v>
      </c>
      <c r="G194" s="51">
        <v>0</v>
      </c>
      <c r="H194" s="51">
        <v>866729</v>
      </c>
      <c r="I194" s="51">
        <v>-866729</v>
      </c>
      <c r="J194" s="51">
        <v>0</v>
      </c>
      <c r="K194" s="51">
        <v>6573</v>
      </c>
      <c r="L194" s="51">
        <v>0</v>
      </c>
      <c r="M194" s="51">
        <v>6573</v>
      </c>
      <c r="N194" s="51">
        <v>-6573</v>
      </c>
    </row>
    <row r="195" spans="1:14" ht="15.75" x14ac:dyDescent="0.25">
      <c r="A195" s="49" t="s">
        <v>104</v>
      </c>
      <c r="B195" s="50" t="s">
        <v>53</v>
      </c>
      <c r="C195" s="51">
        <v>701260</v>
      </c>
      <c r="D195" s="51">
        <v>-40312</v>
      </c>
      <c r="E195" s="51">
        <v>0</v>
      </c>
      <c r="F195" s="51">
        <v>0</v>
      </c>
      <c r="G195" s="51">
        <v>0</v>
      </c>
      <c r="H195" s="51">
        <v>660948</v>
      </c>
      <c r="I195" s="51">
        <v>-660948</v>
      </c>
      <c r="J195" s="51">
        <v>0</v>
      </c>
      <c r="K195" s="51">
        <v>6766</v>
      </c>
      <c r="L195" s="51">
        <v>0</v>
      </c>
      <c r="M195" s="51">
        <v>6766</v>
      </c>
      <c r="N195" s="51">
        <v>-6766</v>
      </c>
    </row>
    <row r="196" spans="1:14" ht="15.75" x14ac:dyDescent="0.25">
      <c r="A196" s="49" t="s">
        <v>104</v>
      </c>
      <c r="B196" s="50" t="s">
        <v>54</v>
      </c>
      <c r="C196" s="51">
        <v>543212</v>
      </c>
      <c r="D196" s="51">
        <v>-28027</v>
      </c>
      <c r="E196" s="51">
        <v>0</v>
      </c>
      <c r="F196" s="51">
        <v>0</v>
      </c>
      <c r="G196" s="51">
        <v>0</v>
      </c>
      <c r="H196" s="51">
        <v>515185</v>
      </c>
      <c r="I196" s="51">
        <v>-515185</v>
      </c>
      <c r="J196" s="51">
        <v>0</v>
      </c>
      <c r="K196" s="51">
        <v>5351</v>
      </c>
      <c r="L196" s="51">
        <v>0</v>
      </c>
      <c r="M196" s="51">
        <v>5351</v>
      </c>
      <c r="N196" s="51">
        <v>-5351</v>
      </c>
    </row>
    <row r="197" spans="1:14" ht="15.75" x14ac:dyDescent="0.25">
      <c r="A197" s="49" t="s">
        <v>104</v>
      </c>
      <c r="B197" s="50" t="s">
        <v>55</v>
      </c>
      <c r="C197" s="51">
        <v>439142</v>
      </c>
      <c r="D197" s="51">
        <v>-20692</v>
      </c>
      <c r="E197" s="51">
        <v>0</v>
      </c>
      <c r="F197" s="51">
        <v>0</v>
      </c>
      <c r="G197" s="51">
        <v>0</v>
      </c>
      <c r="H197" s="51">
        <v>418450</v>
      </c>
      <c r="I197" s="51">
        <v>-418450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</row>
    <row r="198" spans="1:14" ht="15.75" x14ac:dyDescent="0.25">
      <c r="A198" s="49" t="s">
        <v>104</v>
      </c>
      <c r="B198" s="50" t="s">
        <v>56</v>
      </c>
      <c r="C198" s="51">
        <v>351927</v>
      </c>
      <c r="D198" s="51">
        <v>-15184</v>
      </c>
      <c r="E198" s="51">
        <v>0</v>
      </c>
      <c r="F198" s="51">
        <v>0</v>
      </c>
      <c r="G198" s="51">
        <v>0</v>
      </c>
      <c r="H198" s="51">
        <v>336743</v>
      </c>
      <c r="I198" s="51">
        <v>-336743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</row>
    <row r="199" spans="1:14" ht="15.75" x14ac:dyDescent="0.25">
      <c r="A199" s="49" t="s">
        <v>104</v>
      </c>
      <c r="B199" s="50" t="s">
        <v>57</v>
      </c>
      <c r="C199" s="51">
        <v>308454</v>
      </c>
      <c r="D199" s="51">
        <v>-14737</v>
      </c>
      <c r="E199" s="51">
        <v>0</v>
      </c>
      <c r="F199" s="51">
        <v>0</v>
      </c>
      <c r="G199" s="51">
        <v>0</v>
      </c>
      <c r="H199" s="51">
        <v>293717</v>
      </c>
      <c r="I199" s="51">
        <v>-293717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</row>
    <row r="200" spans="1:14" ht="15.75" x14ac:dyDescent="0.25">
      <c r="A200" s="52" t="s">
        <v>105</v>
      </c>
      <c r="B200" s="53" t="s">
        <v>8</v>
      </c>
      <c r="C200" s="19">
        <f>SUBTOTAL(109,Program353[(C)
Program
Costs])</f>
        <v>18379468</v>
      </c>
      <c r="D200" s="19">
        <f>SUBTOTAL(109,Program353[(D)
Prior Period Adjustments])</f>
        <v>-813170</v>
      </c>
      <c r="E200" s="19">
        <f>SUBTOTAL(109,Program353[(E)
Current Period Desk 
Reviews])</f>
        <v>0</v>
      </c>
      <c r="F200" s="19">
        <f>SUBTOTAL(109,Program353[(F)
Current Period 
Final 
Audits])</f>
        <v>0</v>
      </c>
      <c r="G200" s="19">
        <f>SUBTOTAL(109,Program353[(G)
Current Period 
Other Adjustments])</f>
        <v>0</v>
      </c>
      <c r="H200" s="19">
        <f>SUBTOTAL(109,Program353[(H)
Net Program Costs
Sum (C through G)])</f>
        <v>17566298</v>
      </c>
      <c r="I200" s="19">
        <f>SUBTOTAL(109,Program353[(I)
Payments
 and Offsets])</f>
        <v>-17566298</v>
      </c>
      <c r="J200" s="19">
        <f>SUBTOTAL(109,Program353[(J)
Accounts Payable Balance
(H + I)])</f>
        <v>0</v>
      </c>
      <c r="K200" s="19">
        <f>SUBTOTAL(109,Program353[(K)
Established 
Accounts Receivable])</f>
        <v>53838</v>
      </c>
      <c r="L200" s="19">
        <f>SUBTOTAL(109,Program353[(L)
Recovered
 Accounts Receivable])</f>
        <v>0</v>
      </c>
      <c r="M200" s="19">
        <f>SUBTOTAL(109,Program353[(M)
Accounts Receivable Balance
(K + L)])</f>
        <v>53838</v>
      </c>
      <c r="N200" s="19">
        <f>SUBTOTAL(109,Program353[(N)
Net Balance
(J minus M)])</f>
        <v>-53838</v>
      </c>
    </row>
    <row r="201" spans="1:14" ht="15.75" x14ac:dyDescent="0.25">
      <c r="A201" s="17" t="s">
        <v>13</v>
      </c>
      <c r="B201" s="54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14" ht="78.75" x14ac:dyDescent="0.25">
      <c r="A202" s="39" t="s">
        <v>32</v>
      </c>
      <c r="B202" s="40" t="s">
        <v>33</v>
      </c>
      <c r="C202" s="41" t="s">
        <v>34</v>
      </c>
      <c r="D202" s="41" t="s">
        <v>35</v>
      </c>
      <c r="E202" s="42" t="s">
        <v>36</v>
      </c>
      <c r="F202" s="42" t="s">
        <v>37</v>
      </c>
      <c r="G202" s="42" t="s">
        <v>38</v>
      </c>
      <c r="H202" s="43" t="s">
        <v>39</v>
      </c>
      <c r="I202" s="44" t="s">
        <v>40</v>
      </c>
      <c r="J202" s="44" t="s">
        <v>41</v>
      </c>
      <c r="K202" s="42" t="s">
        <v>42</v>
      </c>
      <c r="L202" s="44" t="s">
        <v>43</v>
      </c>
      <c r="M202" s="44" t="s">
        <v>44</v>
      </c>
      <c r="N202" s="45" t="s">
        <v>45</v>
      </c>
    </row>
    <row r="203" spans="1:14" ht="30" x14ac:dyDescent="0.25">
      <c r="A203" s="67" t="s">
        <v>106</v>
      </c>
      <c r="B203" s="57" t="s">
        <v>56</v>
      </c>
      <c r="C203" s="58">
        <v>254775</v>
      </c>
      <c r="D203" s="58">
        <v>0</v>
      </c>
      <c r="E203" s="58">
        <v>0</v>
      </c>
      <c r="F203" s="58">
        <v>0</v>
      </c>
      <c r="G203" s="58">
        <v>0</v>
      </c>
      <c r="H203" s="58">
        <v>254775</v>
      </c>
      <c r="I203" s="58">
        <v>-254775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</row>
    <row r="204" spans="1:14" ht="30" x14ac:dyDescent="0.25">
      <c r="A204" s="68" t="s">
        <v>106</v>
      </c>
      <c r="B204" s="60" t="s">
        <v>57</v>
      </c>
      <c r="C204" s="61">
        <v>224806</v>
      </c>
      <c r="D204" s="61">
        <v>-1539</v>
      </c>
      <c r="E204" s="61">
        <v>0</v>
      </c>
      <c r="F204" s="61">
        <v>0</v>
      </c>
      <c r="G204" s="61">
        <v>0</v>
      </c>
      <c r="H204" s="61">
        <v>223267</v>
      </c>
      <c r="I204" s="61">
        <v>-223267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</row>
    <row r="205" spans="1:14" ht="30" x14ac:dyDescent="0.25">
      <c r="A205" s="68" t="s">
        <v>106</v>
      </c>
      <c r="B205" s="60" t="s">
        <v>58</v>
      </c>
      <c r="C205" s="61">
        <v>137993</v>
      </c>
      <c r="D205" s="61">
        <v>-1000</v>
      </c>
      <c r="E205" s="61">
        <v>0</v>
      </c>
      <c r="F205" s="61">
        <v>0</v>
      </c>
      <c r="G205" s="61">
        <v>0</v>
      </c>
      <c r="H205" s="61">
        <v>136993</v>
      </c>
      <c r="I205" s="61">
        <v>-136993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</row>
    <row r="206" spans="1:14" ht="30" x14ac:dyDescent="0.25">
      <c r="A206" s="68" t="s">
        <v>106</v>
      </c>
      <c r="B206" s="60" t="s">
        <v>59</v>
      </c>
      <c r="C206" s="61">
        <v>80336</v>
      </c>
      <c r="D206" s="61">
        <v>-37</v>
      </c>
      <c r="E206" s="61">
        <v>0</v>
      </c>
      <c r="F206" s="61">
        <v>0</v>
      </c>
      <c r="G206" s="61">
        <v>0</v>
      </c>
      <c r="H206" s="61">
        <v>80299</v>
      </c>
      <c r="I206" s="61">
        <v>-80299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</row>
    <row r="207" spans="1:14" ht="30" x14ac:dyDescent="0.25">
      <c r="A207" s="68" t="s">
        <v>106</v>
      </c>
      <c r="B207" s="60" t="s">
        <v>60</v>
      </c>
      <c r="C207" s="61">
        <v>74364</v>
      </c>
      <c r="D207" s="61">
        <v>0</v>
      </c>
      <c r="E207" s="61">
        <v>0</v>
      </c>
      <c r="F207" s="61">
        <v>0</v>
      </c>
      <c r="G207" s="61">
        <v>0</v>
      </c>
      <c r="H207" s="61">
        <v>74364</v>
      </c>
      <c r="I207" s="61">
        <v>-74364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</row>
    <row r="208" spans="1:14" ht="30" x14ac:dyDescent="0.25">
      <c r="A208" s="68" t="s">
        <v>106</v>
      </c>
      <c r="B208" s="60" t="s">
        <v>61</v>
      </c>
      <c r="C208" s="61">
        <v>95074</v>
      </c>
      <c r="D208" s="61">
        <v>0</v>
      </c>
      <c r="E208" s="61">
        <v>0</v>
      </c>
      <c r="F208" s="61">
        <v>0</v>
      </c>
      <c r="G208" s="61">
        <v>0</v>
      </c>
      <c r="H208" s="61">
        <v>95074</v>
      </c>
      <c r="I208" s="61">
        <v>-95074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</row>
    <row r="209" spans="1:14" ht="15.75" x14ac:dyDescent="0.25">
      <c r="A209" s="52" t="s">
        <v>107</v>
      </c>
      <c r="B209" s="53" t="s">
        <v>8</v>
      </c>
      <c r="C209" s="19">
        <f>SUBTOTAL(109,Program196[(C)
Program
Costs])</f>
        <v>867348</v>
      </c>
      <c r="D209" s="19">
        <f>SUBTOTAL(109,Program196[(D)
Prior Period Adjustments])</f>
        <v>-2576</v>
      </c>
      <c r="E209" s="19">
        <f>SUBTOTAL(109,Program196[(E)
Current Period Desk 
Reviews])</f>
        <v>0</v>
      </c>
      <c r="F209" s="19">
        <f>SUBTOTAL(109,Program196[(F)
Current Period 
Final 
Audits])</f>
        <v>0</v>
      </c>
      <c r="G209" s="19">
        <f>SUBTOTAL(109,Program196[(G)
Current Period 
Other Adjustments])</f>
        <v>0</v>
      </c>
      <c r="H209" s="19">
        <f>SUBTOTAL(109,Program196[(H)
Net Program Costs
Sum (C through G)])</f>
        <v>864772</v>
      </c>
      <c r="I209" s="19">
        <f>SUBTOTAL(109,Program196[(I)
Payments
 and Offsets])</f>
        <v>-864772</v>
      </c>
      <c r="J209" s="19">
        <f>SUBTOTAL(109,Program196[(J)
Accounts Payable Balance
(H + I)])</f>
        <v>0</v>
      </c>
      <c r="K209" s="19">
        <f>SUBTOTAL(109,Program196[(K)
Established 
Accounts Receivable])</f>
        <v>0</v>
      </c>
      <c r="L209" s="19">
        <f>SUBTOTAL(109,Program196[(L)
Recovered
 Accounts Receivable])</f>
        <v>0</v>
      </c>
      <c r="M209" s="19">
        <f>SUBTOTAL(109,Program196[(M)
Accounts Receivable Balance
(K + L)])</f>
        <v>0</v>
      </c>
      <c r="N209" s="19">
        <f>SUBTOTAL(109,Program196[(N)
Net Balance
(J minus M)])</f>
        <v>0</v>
      </c>
    </row>
    <row r="210" spans="1:14" ht="15.75" x14ac:dyDescent="0.25">
      <c r="A210" s="17" t="s">
        <v>13</v>
      </c>
      <c r="B210" s="54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78.75" x14ac:dyDescent="0.25">
      <c r="A211" s="39" t="s">
        <v>32</v>
      </c>
      <c r="B211" s="40" t="s">
        <v>33</v>
      </c>
      <c r="C211" s="41" t="s">
        <v>34</v>
      </c>
      <c r="D211" s="41" t="s">
        <v>35</v>
      </c>
      <c r="E211" s="42" t="s">
        <v>36</v>
      </c>
      <c r="F211" s="42" t="s">
        <v>37</v>
      </c>
      <c r="G211" s="42" t="s">
        <v>38</v>
      </c>
      <c r="H211" s="43" t="s">
        <v>39</v>
      </c>
      <c r="I211" s="44" t="s">
        <v>40</v>
      </c>
      <c r="J211" s="44" t="s">
        <v>41</v>
      </c>
      <c r="K211" s="42" t="s">
        <v>42</v>
      </c>
      <c r="L211" s="44" t="s">
        <v>43</v>
      </c>
      <c r="M211" s="44" t="s">
        <v>44</v>
      </c>
      <c r="N211" s="45" t="s">
        <v>45</v>
      </c>
    </row>
    <row r="212" spans="1:14" ht="30" x14ac:dyDescent="0.25">
      <c r="A212" s="67" t="s">
        <v>108</v>
      </c>
      <c r="B212" s="57" t="s">
        <v>49</v>
      </c>
      <c r="C212" s="58">
        <v>12793</v>
      </c>
      <c r="D212" s="58">
        <v>134</v>
      </c>
      <c r="E212" s="58">
        <v>0</v>
      </c>
      <c r="F212" s="58">
        <v>0</v>
      </c>
      <c r="G212" s="58">
        <v>0</v>
      </c>
      <c r="H212" s="58">
        <v>12927</v>
      </c>
      <c r="I212" s="58">
        <v>0</v>
      </c>
      <c r="J212" s="58">
        <v>12927</v>
      </c>
      <c r="K212" s="58">
        <v>0</v>
      </c>
      <c r="L212" s="58">
        <v>0</v>
      </c>
      <c r="M212" s="58">
        <v>0</v>
      </c>
      <c r="N212" s="58">
        <v>12927</v>
      </c>
    </row>
    <row r="213" spans="1:14" ht="30" x14ac:dyDescent="0.25">
      <c r="A213" s="68" t="s">
        <v>108</v>
      </c>
      <c r="B213" s="60" t="s">
        <v>50</v>
      </c>
      <c r="C213" s="61">
        <v>168779</v>
      </c>
      <c r="D213" s="61">
        <v>2923</v>
      </c>
      <c r="E213" s="61">
        <v>0</v>
      </c>
      <c r="F213" s="61">
        <v>0</v>
      </c>
      <c r="G213" s="61">
        <v>0</v>
      </c>
      <c r="H213" s="61">
        <v>171702</v>
      </c>
      <c r="I213" s="61">
        <v>0</v>
      </c>
      <c r="J213" s="61">
        <v>171702</v>
      </c>
      <c r="K213" s="61">
        <v>0</v>
      </c>
      <c r="L213" s="61">
        <v>0</v>
      </c>
      <c r="M213" s="61">
        <v>0</v>
      </c>
      <c r="N213" s="61">
        <v>171702</v>
      </c>
    </row>
    <row r="214" spans="1:14" ht="30" x14ac:dyDescent="0.25">
      <c r="A214" s="68" t="s">
        <v>108</v>
      </c>
      <c r="B214" s="60" t="s">
        <v>51</v>
      </c>
      <c r="C214" s="61">
        <v>162460</v>
      </c>
      <c r="D214" s="61">
        <v>1758</v>
      </c>
      <c r="E214" s="61">
        <v>0</v>
      </c>
      <c r="F214" s="61">
        <v>0</v>
      </c>
      <c r="G214" s="61">
        <v>0</v>
      </c>
      <c r="H214" s="61">
        <v>164218</v>
      </c>
      <c r="I214" s="61">
        <v>0</v>
      </c>
      <c r="J214" s="61">
        <v>164218</v>
      </c>
      <c r="K214" s="61">
        <v>0</v>
      </c>
      <c r="L214" s="61">
        <v>0</v>
      </c>
      <c r="M214" s="61">
        <v>0</v>
      </c>
      <c r="N214" s="61">
        <v>164218</v>
      </c>
    </row>
    <row r="215" spans="1:14" ht="30" x14ac:dyDescent="0.25">
      <c r="A215" s="68" t="s">
        <v>108</v>
      </c>
      <c r="B215" s="60" t="s">
        <v>52</v>
      </c>
      <c r="C215" s="61">
        <v>156213</v>
      </c>
      <c r="D215" s="61">
        <v>1935</v>
      </c>
      <c r="E215" s="61">
        <v>0</v>
      </c>
      <c r="F215" s="61">
        <v>0</v>
      </c>
      <c r="G215" s="61">
        <v>0</v>
      </c>
      <c r="H215" s="61">
        <v>158148</v>
      </c>
      <c r="I215" s="61">
        <v>-158148</v>
      </c>
      <c r="J215" s="61">
        <v>0</v>
      </c>
      <c r="K215" s="61">
        <v>2515</v>
      </c>
      <c r="L215" s="61">
        <v>-2515</v>
      </c>
      <c r="M215" s="61">
        <v>0</v>
      </c>
      <c r="N215" s="61">
        <v>0</v>
      </c>
    </row>
    <row r="216" spans="1:14" ht="30" x14ac:dyDescent="0.25">
      <c r="A216" s="68" t="s">
        <v>108</v>
      </c>
      <c r="B216" s="60" t="s">
        <v>53</v>
      </c>
      <c r="C216" s="61">
        <v>154576</v>
      </c>
      <c r="D216" s="61">
        <v>-726</v>
      </c>
      <c r="E216" s="61">
        <v>0</v>
      </c>
      <c r="F216" s="61">
        <v>0</v>
      </c>
      <c r="G216" s="61">
        <v>0</v>
      </c>
      <c r="H216" s="61">
        <v>153850</v>
      </c>
      <c r="I216" s="61">
        <v>-153850</v>
      </c>
      <c r="J216" s="61">
        <v>0</v>
      </c>
      <c r="K216" s="61">
        <v>228</v>
      </c>
      <c r="L216" s="61">
        <v>-228</v>
      </c>
      <c r="M216" s="61">
        <v>0</v>
      </c>
      <c r="N216" s="61">
        <v>0</v>
      </c>
    </row>
    <row r="217" spans="1:14" ht="30" x14ac:dyDescent="0.25">
      <c r="A217" s="68" t="s">
        <v>108</v>
      </c>
      <c r="B217" s="60" t="s">
        <v>54</v>
      </c>
      <c r="C217" s="61">
        <v>138833</v>
      </c>
      <c r="D217" s="61">
        <v>-523</v>
      </c>
      <c r="E217" s="61">
        <v>0</v>
      </c>
      <c r="F217" s="61">
        <v>0</v>
      </c>
      <c r="G217" s="61">
        <v>0</v>
      </c>
      <c r="H217" s="61">
        <v>138310</v>
      </c>
      <c r="I217" s="61">
        <v>-138310</v>
      </c>
      <c r="J217" s="61">
        <v>0</v>
      </c>
      <c r="K217" s="61">
        <v>1768</v>
      </c>
      <c r="L217" s="61">
        <v>-1768</v>
      </c>
      <c r="M217" s="61">
        <v>0</v>
      </c>
      <c r="N217" s="61">
        <v>0</v>
      </c>
    </row>
    <row r="218" spans="1:14" ht="30" x14ac:dyDescent="0.25">
      <c r="A218" s="68" t="s">
        <v>108</v>
      </c>
      <c r="B218" s="60" t="s">
        <v>55</v>
      </c>
      <c r="C218" s="61">
        <v>136078</v>
      </c>
      <c r="D218" s="61">
        <v>384</v>
      </c>
      <c r="E218" s="61">
        <v>0</v>
      </c>
      <c r="F218" s="61">
        <v>0</v>
      </c>
      <c r="G218" s="61">
        <v>0</v>
      </c>
      <c r="H218" s="61">
        <v>136462</v>
      </c>
      <c r="I218" s="61">
        <v>-136462</v>
      </c>
      <c r="J218" s="61">
        <v>0</v>
      </c>
      <c r="K218" s="61">
        <v>0</v>
      </c>
      <c r="L218" s="61">
        <v>0</v>
      </c>
      <c r="M218" s="61">
        <v>0</v>
      </c>
      <c r="N218" s="61">
        <v>0</v>
      </c>
    </row>
    <row r="219" spans="1:14" ht="30" x14ac:dyDescent="0.25">
      <c r="A219" s="68" t="s">
        <v>108</v>
      </c>
      <c r="B219" s="60" t="s">
        <v>56</v>
      </c>
      <c r="C219" s="61">
        <v>130526</v>
      </c>
      <c r="D219" s="61">
        <v>-2209</v>
      </c>
      <c r="E219" s="61">
        <v>0</v>
      </c>
      <c r="F219" s="61">
        <v>0</v>
      </c>
      <c r="G219" s="61">
        <v>0</v>
      </c>
      <c r="H219" s="61">
        <v>128317</v>
      </c>
      <c r="I219" s="61">
        <v>-128317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30" x14ac:dyDescent="0.25">
      <c r="A220" s="68" t="s">
        <v>108</v>
      </c>
      <c r="B220" s="60" t="s">
        <v>57</v>
      </c>
      <c r="C220" s="61">
        <v>129990</v>
      </c>
      <c r="D220" s="61">
        <v>1934</v>
      </c>
      <c r="E220" s="61">
        <v>0</v>
      </c>
      <c r="F220" s="61">
        <v>0</v>
      </c>
      <c r="G220" s="61">
        <v>0</v>
      </c>
      <c r="H220" s="61">
        <v>131924</v>
      </c>
      <c r="I220" s="61">
        <v>-131924</v>
      </c>
      <c r="J220" s="61">
        <v>0</v>
      </c>
      <c r="K220" s="61">
        <v>20511</v>
      </c>
      <c r="L220" s="61">
        <v>-20511</v>
      </c>
      <c r="M220" s="61">
        <v>0</v>
      </c>
      <c r="N220" s="61">
        <v>0</v>
      </c>
    </row>
    <row r="221" spans="1:14" ht="30" x14ac:dyDescent="0.25">
      <c r="A221" s="68" t="s">
        <v>108</v>
      </c>
      <c r="B221" s="60" t="s">
        <v>58</v>
      </c>
      <c r="C221" s="61">
        <v>124392</v>
      </c>
      <c r="D221" s="61">
        <v>938</v>
      </c>
      <c r="E221" s="61">
        <v>0</v>
      </c>
      <c r="F221" s="61">
        <v>0</v>
      </c>
      <c r="G221" s="61">
        <v>0</v>
      </c>
      <c r="H221" s="61">
        <v>125330</v>
      </c>
      <c r="I221" s="61">
        <v>-125330</v>
      </c>
      <c r="J221" s="61">
        <v>0</v>
      </c>
      <c r="K221" s="61">
        <v>20578</v>
      </c>
      <c r="L221" s="61">
        <v>-20578</v>
      </c>
      <c r="M221" s="61">
        <v>0</v>
      </c>
      <c r="N221" s="61">
        <v>0</v>
      </c>
    </row>
    <row r="222" spans="1:14" ht="30" x14ac:dyDescent="0.25">
      <c r="A222" s="68" t="s">
        <v>108</v>
      </c>
      <c r="B222" s="60" t="s">
        <v>59</v>
      </c>
      <c r="C222" s="61">
        <v>119727</v>
      </c>
      <c r="D222" s="61">
        <v>-354</v>
      </c>
      <c r="E222" s="61">
        <v>0</v>
      </c>
      <c r="F222" s="61">
        <v>0</v>
      </c>
      <c r="G222" s="61">
        <v>0</v>
      </c>
      <c r="H222" s="61">
        <v>119373</v>
      </c>
      <c r="I222" s="61">
        <v>-119373</v>
      </c>
      <c r="J222" s="61">
        <v>0</v>
      </c>
      <c r="K222" s="61">
        <v>66576</v>
      </c>
      <c r="L222" s="61">
        <v>-66576</v>
      </c>
      <c r="M222" s="61">
        <v>0</v>
      </c>
      <c r="N222" s="61">
        <v>0</v>
      </c>
    </row>
    <row r="223" spans="1:14" ht="30" x14ac:dyDescent="0.25">
      <c r="A223" s="68" t="s">
        <v>108</v>
      </c>
      <c r="B223" s="60" t="s">
        <v>60</v>
      </c>
      <c r="C223" s="61">
        <v>119531</v>
      </c>
      <c r="D223" s="61">
        <v>-1646</v>
      </c>
      <c r="E223" s="61">
        <v>0</v>
      </c>
      <c r="F223" s="61">
        <v>0</v>
      </c>
      <c r="G223" s="61">
        <v>0</v>
      </c>
      <c r="H223" s="61">
        <v>117885</v>
      </c>
      <c r="I223" s="61">
        <v>-117885</v>
      </c>
      <c r="J223" s="61">
        <v>0</v>
      </c>
      <c r="K223" s="61">
        <v>1180</v>
      </c>
      <c r="L223" s="61">
        <v>-1180</v>
      </c>
      <c r="M223" s="61">
        <v>0</v>
      </c>
      <c r="N223" s="61">
        <v>0</v>
      </c>
    </row>
    <row r="224" spans="1:14" ht="30" x14ac:dyDescent="0.25">
      <c r="A224" s="68" t="s">
        <v>108</v>
      </c>
      <c r="B224" s="60" t="s">
        <v>61</v>
      </c>
      <c r="C224" s="61">
        <v>114599</v>
      </c>
      <c r="D224" s="61">
        <v>0</v>
      </c>
      <c r="E224" s="61">
        <v>0</v>
      </c>
      <c r="F224" s="61">
        <v>0</v>
      </c>
      <c r="G224" s="61">
        <v>0</v>
      </c>
      <c r="H224" s="61">
        <v>114599</v>
      </c>
      <c r="I224" s="61">
        <v>-114599</v>
      </c>
      <c r="J224" s="61">
        <v>0</v>
      </c>
      <c r="K224" s="61">
        <v>0</v>
      </c>
      <c r="L224" s="61">
        <v>0</v>
      </c>
      <c r="M224" s="61">
        <v>0</v>
      </c>
      <c r="N224" s="61">
        <v>0</v>
      </c>
    </row>
    <row r="225" spans="1:14" ht="30" x14ac:dyDescent="0.25">
      <c r="A225" s="68" t="s">
        <v>108</v>
      </c>
      <c r="B225" s="60" t="s">
        <v>62</v>
      </c>
      <c r="C225" s="61">
        <v>116242</v>
      </c>
      <c r="D225" s="61">
        <v>0</v>
      </c>
      <c r="E225" s="61">
        <v>0</v>
      </c>
      <c r="F225" s="61">
        <v>0</v>
      </c>
      <c r="G225" s="61">
        <v>0</v>
      </c>
      <c r="H225" s="61">
        <v>116242</v>
      </c>
      <c r="I225" s="61">
        <v>-116242</v>
      </c>
      <c r="J225" s="61">
        <v>0</v>
      </c>
      <c r="K225" s="61">
        <v>270</v>
      </c>
      <c r="L225" s="61">
        <v>-270</v>
      </c>
      <c r="M225" s="61">
        <v>0</v>
      </c>
      <c r="N225" s="61">
        <v>0</v>
      </c>
    </row>
    <row r="226" spans="1:14" ht="30" x14ac:dyDescent="0.25">
      <c r="A226" s="68" t="s">
        <v>108</v>
      </c>
      <c r="B226" s="60" t="s">
        <v>63</v>
      </c>
      <c r="C226" s="61">
        <v>104426</v>
      </c>
      <c r="D226" s="61">
        <v>0</v>
      </c>
      <c r="E226" s="61">
        <v>0</v>
      </c>
      <c r="F226" s="61">
        <v>0</v>
      </c>
      <c r="G226" s="61">
        <v>0</v>
      </c>
      <c r="H226" s="61">
        <v>104426</v>
      </c>
      <c r="I226" s="61">
        <v>-104426</v>
      </c>
      <c r="J226" s="61">
        <v>0</v>
      </c>
      <c r="K226" s="61">
        <v>0</v>
      </c>
      <c r="L226" s="61">
        <v>0</v>
      </c>
      <c r="M226" s="61">
        <v>0</v>
      </c>
      <c r="N226" s="61">
        <v>0</v>
      </c>
    </row>
    <row r="227" spans="1:14" ht="30" x14ac:dyDescent="0.25">
      <c r="A227" s="68" t="s">
        <v>108</v>
      </c>
      <c r="B227" s="60" t="s">
        <v>64</v>
      </c>
      <c r="C227" s="61">
        <v>101219</v>
      </c>
      <c r="D227" s="61">
        <v>0</v>
      </c>
      <c r="E227" s="61">
        <v>0</v>
      </c>
      <c r="F227" s="61">
        <v>0</v>
      </c>
      <c r="G227" s="61">
        <v>0</v>
      </c>
      <c r="H227" s="61">
        <v>101219</v>
      </c>
      <c r="I227" s="61">
        <v>-101219</v>
      </c>
      <c r="J227" s="61">
        <v>0</v>
      </c>
      <c r="K227" s="61">
        <v>0</v>
      </c>
      <c r="L227" s="61">
        <v>0</v>
      </c>
      <c r="M227" s="61">
        <v>0</v>
      </c>
      <c r="N227" s="61">
        <v>0</v>
      </c>
    </row>
    <row r="228" spans="1:14" ht="30" x14ac:dyDescent="0.25">
      <c r="A228" s="68" t="s">
        <v>108</v>
      </c>
      <c r="B228" s="60" t="s">
        <v>65</v>
      </c>
      <c r="C228" s="61">
        <v>23791</v>
      </c>
      <c r="D228" s="61">
        <v>0</v>
      </c>
      <c r="E228" s="61">
        <v>0</v>
      </c>
      <c r="F228" s="61">
        <v>0</v>
      </c>
      <c r="G228" s="61">
        <v>0</v>
      </c>
      <c r="H228" s="61">
        <v>23791</v>
      </c>
      <c r="I228" s="61">
        <v>-23791</v>
      </c>
      <c r="J228" s="61">
        <v>0</v>
      </c>
      <c r="K228" s="61">
        <v>0</v>
      </c>
      <c r="L228" s="61">
        <v>0</v>
      </c>
      <c r="M228" s="61">
        <v>0</v>
      </c>
      <c r="N228" s="61">
        <v>0</v>
      </c>
    </row>
    <row r="229" spans="1:14" ht="30" x14ac:dyDescent="0.25">
      <c r="A229" s="68" t="s">
        <v>108</v>
      </c>
      <c r="B229" s="60" t="s">
        <v>66</v>
      </c>
      <c r="C229" s="61">
        <v>28582</v>
      </c>
      <c r="D229" s="61">
        <v>0</v>
      </c>
      <c r="E229" s="61">
        <v>0</v>
      </c>
      <c r="F229" s="61">
        <v>0</v>
      </c>
      <c r="G229" s="61">
        <v>0</v>
      </c>
      <c r="H229" s="61">
        <v>28582</v>
      </c>
      <c r="I229" s="61">
        <v>-28582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</row>
    <row r="230" spans="1:14" ht="30" x14ac:dyDescent="0.25">
      <c r="A230" s="68" t="s">
        <v>108</v>
      </c>
      <c r="B230" s="60" t="s">
        <v>67</v>
      </c>
      <c r="C230" s="61">
        <v>4423</v>
      </c>
      <c r="D230" s="61">
        <v>0</v>
      </c>
      <c r="E230" s="61">
        <v>0</v>
      </c>
      <c r="F230" s="61">
        <v>0</v>
      </c>
      <c r="G230" s="61">
        <v>0</v>
      </c>
      <c r="H230" s="61">
        <v>4423</v>
      </c>
      <c r="I230" s="61">
        <v>-4423</v>
      </c>
      <c r="J230" s="61">
        <v>0</v>
      </c>
      <c r="K230" s="61">
        <v>7633</v>
      </c>
      <c r="L230" s="61">
        <v>-7633</v>
      </c>
      <c r="M230" s="61">
        <v>0</v>
      </c>
      <c r="N230" s="61">
        <v>0</v>
      </c>
    </row>
    <row r="231" spans="1:14" ht="30" x14ac:dyDescent="0.25">
      <c r="A231" s="68" t="s">
        <v>108</v>
      </c>
      <c r="B231" s="60" t="s">
        <v>68</v>
      </c>
      <c r="C231" s="61">
        <v>0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2.7</v>
      </c>
      <c r="L231" s="61">
        <v>-2.7</v>
      </c>
      <c r="M231" s="61">
        <v>0</v>
      </c>
      <c r="N231" s="61">
        <v>0</v>
      </c>
    </row>
    <row r="232" spans="1:14" ht="15.75" x14ac:dyDescent="0.25">
      <c r="A232" s="52" t="s">
        <v>109</v>
      </c>
      <c r="B232" s="53" t="s">
        <v>8</v>
      </c>
      <c r="C232" s="19">
        <f>SUBTOTAL(109,Program067[(C)
Program
Costs])</f>
        <v>2047180</v>
      </c>
      <c r="D232" s="19">
        <f>SUBTOTAL(109,Program067[(D)
Prior Period Adjustments])</f>
        <v>4548</v>
      </c>
      <c r="E232" s="19">
        <f>SUBTOTAL(109,Program067[(E)
Current Period Desk 
Reviews])</f>
        <v>0</v>
      </c>
      <c r="F232" s="19">
        <f>SUBTOTAL(109,Program067[(F)
Current Period 
Final 
Audits])</f>
        <v>0</v>
      </c>
      <c r="G232" s="19">
        <f>SUBTOTAL(109,Program067[(G)
Current Period 
Other Adjustments])</f>
        <v>0</v>
      </c>
      <c r="H232" s="19">
        <f>SUBTOTAL(109,Program067[(H)
Net Program Costs
Sum (C through G)])</f>
        <v>2051728</v>
      </c>
      <c r="I232" s="19">
        <f>SUBTOTAL(109,Program067[(I)
Payments
 and Offsets])</f>
        <v>-1702881</v>
      </c>
      <c r="J232" s="19">
        <f>SUBTOTAL(109,Program067[(J)
Accounts Payable Balance
(H + I)])</f>
        <v>348847</v>
      </c>
      <c r="K232" s="19">
        <f>SUBTOTAL(109,Program067[(K)
Established 
Accounts Receivable])</f>
        <v>121261.7</v>
      </c>
      <c r="L232" s="19">
        <f>SUBTOTAL(109,Program067[(L)
Recovered
 Accounts Receivable])</f>
        <v>-121261.7</v>
      </c>
      <c r="M232" s="19">
        <f>SUBTOTAL(109,Program067[(M)
Accounts Receivable Balance
(K + L)])</f>
        <v>0</v>
      </c>
      <c r="N232" s="19">
        <f>SUBTOTAL(109,Program067[(N)
Net Balance
(J minus M)])</f>
        <v>348847</v>
      </c>
    </row>
    <row r="233" spans="1:14" ht="15.75" x14ac:dyDescent="0.25">
      <c r="A233" s="17" t="s">
        <v>13</v>
      </c>
      <c r="B233" s="54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</row>
    <row r="234" spans="1:14" ht="78.75" x14ac:dyDescent="0.25">
      <c r="A234" s="39" t="s">
        <v>32</v>
      </c>
      <c r="B234" s="40" t="s">
        <v>33</v>
      </c>
      <c r="C234" s="41" t="s">
        <v>34</v>
      </c>
      <c r="D234" s="41" t="s">
        <v>35</v>
      </c>
      <c r="E234" s="42" t="s">
        <v>36</v>
      </c>
      <c r="F234" s="42" t="s">
        <v>37</v>
      </c>
      <c r="G234" s="42" t="s">
        <v>38</v>
      </c>
      <c r="H234" s="43" t="s">
        <v>39</v>
      </c>
      <c r="I234" s="44" t="s">
        <v>40</v>
      </c>
      <c r="J234" s="44" t="s">
        <v>41</v>
      </c>
      <c r="K234" s="42" t="s">
        <v>42</v>
      </c>
      <c r="L234" s="44" t="s">
        <v>43</v>
      </c>
      <c r="M234" s="44" t="s">
        <v>44</v>
      </c>
      <c r="N234" s="45" t="s">
        <v>45</v>
      </c>
    </row>
    <row r="235" spans="1:14" ht="15.75" x14ac:dyDescent="0.25">
      <c r="A235" s="46" t="s">
        <v>110</v>
      </c>
      <c r="B235" s="47" t="s">
        <v>49</v>
      </c>
      <c r="C235" s="48">
        <v>8550</v>
      </c>
      <c r="D235" s="48">
        <v>446</v>
      </c>
      <c r="E235" s="48">
        <v>0</v>
      </c>
      <c r="F235" s="48">
        <v>0</v>
      </c>
      <c r="G235" s="48">
        <v>0</v>
      </c>
      <c r="H235" s="48">
        <v>8996</v>
      </c>
      <c r="I235" s="48">
        <v>0</v>
      </c>
      <c r="J235" s="48">
        <v>8996</v>
      </c>
      <c r="K235" s="48">
        <v>0</v>
      </c>
      <c r="L235" s="48">
        <v>0</v>
      </c>
      <c r="M235" s="48">
        <v>0</v>
      </c>
      <c r="N235" s="48">
        <v>8996</v>
      </c>
    </row>
    <row r="236" spans="1:14" ht="15.75" x14ac:dyDescent="0.25">
      <c r="A236" s="49" t="s">
        <v>110</v>
      </c>
      <c r="B236" s="50" t="s">
        <v>50</v>
      </c>
      <c r="C236" s="51">
        <v>108066</v>
      </c>
      <c r="D236" s="51">
        <v>5023</v>
      </c>
      <c r="E236" s="51">
        <v>0</v>
      </c>
      <c r="F236" s="51">
        <v>0</v>
      </c>
      <c r="G236" s="51">
        <v>0</v>
      </c>
      <c r="H236" s="51">
        <v>113089</v>
      </c>
      <c r="I236" s="51">
        <v>0</v>
      </c>
      <c r="J236" s="51">
        <v>113089</v>
      </c>
      <c r="K236" s="51">
        <v>0</v>
      </c>
      <c r="L236" s="51">
        <v>0</v>
      </c>
      <c r="M236" s="51">
        <v>0</v>
      </c>
      <c r="N236" s="51">
        <v>113089</v>
      </c>
    </row>
    <row r="237" spans="1:14" ht="15.75" x14ac:dyDescent="0.25">
      <c r="A237" s="49" t="s">
        <v>110</v>
      </c>
      <c r="B237" s="50" t="s">
        <v>51</v>
      </c>
      <c r="C237" s="51">
        <v>98487</v>
      </c>
      <c r="D237" s="51">
        <v>1095</v>
      </c>
      <c r="E237" s="51">
        <v>0</v>
      </c>
      <c r="F237" s="51">
        <v>0</v>
      </c>
      <c r="G237" s="51">
        <v>0</v>
      </c>
      <c r="H237" s="51">
        <v>99582</v>
      </c>
      <c r="I237" s="51">
        <v>0</v>
      </c>
      <c r="J237" s="51">
        <v>99582</v>
      </c>
      <c r="K237" s="51">
        <v>0</v>
      </c>
      <c r="L237" s="51">
        <v>0</v>
      </c>
      <c r="M237" s="51">
        <v>0</v>
      </c>
      <c r="N237" s="51">
        <v>99582</v>
      </c>
    </row>
    <row r="238" spans="1:14" ht="15.75" x14ac:dyDescent="0.25">
      <c r="A238" s="49" t="s">
        <v>110</v>
      </c>
      <c r="B238" s="50" t="s">
        <v>52</v>
      </c>
      <c r="C238" s="51">
        <v>94344</v>
      </c>
      <c r="D238" s="51">
        <v>1200</v>
      </c>
      <c r="E238" s="51">
        <v>0</v>
      </c>
      <c r="F238" s="51">
        <v>0</v>
      </c>
      <c r="G238" s="51">
        <v>0</v>
      </c>
      <c r="H238" s="51">
        <v>95544</v>
      </c>
      <c r="I238" s="51">
        <v>-95544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</row>
    <row r="239" spans="1:14" ht="15.75" x14ac:dyDescent="0.25">
      <c r="A239" s="49" t="s">
        <v>110</v>
      </c>
      <c r="B239" s="50" t="s">
        <v>53</v>
      </c>
      <c r="C239" s="51">
        <v>89776</v>
      </c>
      <c r="D239" s="51">
        <v>414</v>
      </c>
      <c r="E239" s="51">
        <v>0</v>
      </c>
      <c r="F239" s="51">
        <v>0</v>
      </c>
      <c r="G239" s="51">
        <v>0</v>
      </c>
      <c r="H239" s="51">
        <v>90190</v>
      </c>
      <c r="I239" s="51">
        <v>-90190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</row>
    <row r="240" spans="1:14" ht="15.75" x14ac:dyDescent="0.25">
      <c r="A240" s="49" t="s">
        <v>110</v>
      </c>
      <c r="B240" s="50" t="s">
        <v>54</v>
      </c>
      <c r="C240" s="51">
        <v>85411</v>
      </c>
      <c r="D240" s="51">
        <v>-323</v>
      </c>
      <c r="E240" s="51">
        <v>0</v>
      </c>
      <c r="F240" s="51">
        <v>0</v>
      </c>
      <c r="G240" s="51">
        <v>0</v>
      </c>
      <c r="H240" s="51">
        <v>85088</v>
      </c>
      <c r="I240" s="51">
        <v>-85088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</row>
    <row r="241" spans="1:14" ht="15.75" x14ac:dyDescent="0.25">
      <c r="A241" s="49" t="s">
        <v>110</v>
      </c>
      <c r="B241" s="50" t="s">
        <v>55</v>
      </c>
      <c r="C241" s="51">
        <v>83328</v>
      </c>
      <c r="D241" s="51">
        <v>238</v>
      </c>
      <c r="E241" s="51">
        <v>0</v>
      </c>
      <c r="F241" s="51">
        <v>0</v>
      </c>
      <c r="G241" s="51">
        <v>0</v>
      </c>
      <c r="H241" s="51">
        <v>83566</v>
      </c>
      <c r="I241" s="51">
        <v>-83566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</row>
    <row r="242" spans="1:14" ht="15.75" x14ac:dyDescent="0.25">
      <c r="A242" s="49" t="s">
        <v>110</v>
      </c>
      <c r="B242" s="50" t="s">
        <v>56</v>
      </c>
      <c r="C242" s="51">
        <v>80980</v>
      </c>
      <c r="D242" s="51">
        <v>-1410</v>
      </c>
      <c r="E242" s="51">
        <v>0</v>
      </c>
      <c r="F242" s="51">
        <v>0</v>
      </c>
      <c r="G242" s="51">
        <v>0</v>
      </c>
      <c r="H242" s="51">
        <v>79570</v>
      </c>
      <c r="I242" s="51">
        <v>-79570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</row>
    <row r="243" spans="1:14" ht="15.75" x14ac:dyDescent="0.25">
      <c r="A243" s="49" t="s">
        <v>110</v>
      </c>
      <c r="B243" s="50" t="s">
        <v>57</v>
      </c>
      <c r="C243" s="51">
        <v>80644</v>
      </c>
      <c r="D243" s="51">
        <v>1202</v>
      </c>
      <c r="E243" s="51">
        <v>0</v>
      </c>
      <c r="F243" s="51">
        <v>0</v>
      </c>
      <c r="G243" s="51">
        <v>0</v>
      </c>
      <c r="H243" s="51">
        <v>81846</v>
      </c>
      <c r="I243" s="51">
        <v>-81846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</row>
    <row r="244" spans="1:14" ht="15.75" x14ac:dyDescent="0.25">
      <c r="A244" s="49" t="s">
        <v>110</v>
      </c>
      <c r="B244" s="50" t="s">
        <v>58</v>
      </c>
      <c r="C244" s="51">
        <v>77094</v>
      </c>
      <c r="D244" s="51">
        <v>724</v>
      </c>
      <c r="E244" s="51">
        <v>0</v>
      </c>
      <c r="F244" s="51">
        <v>0</v>
      </c>
      <c r="G244" s="51">
        <v>0</v>
      </c>
      <c r="H244" s="51">
        <v>77818</v>
      </c>
      <c r="I244" s="51">
        <v>-77818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</row>
    <row r="245" spans="1:14" ht="15.75" x14ac:dyDescent="0.25">
      <c r="A245" s="49" t="s">
        <v>110</v>
      </c>
      <c r="B245" s="50" t="s">
        <v>59</v>
      </c>
      <c r="C245" s="51">
        <v>74271</v>
      </c>
      <c r="D245" s="51">
        <v>-499</v>
      </c>
      <c r="E245" s="51">
        <v>0</v>
      </c>
      <c r="F245" s="51">
        <v>0</v>
      </c>
      <c r="G245" s="51">
        <v>0</v>
      </c>
      <c r="H245" s="51">
        <v>73772</v>
      </c>
      <c r="I245" s="51">
        <v>-73772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</row>
    <row r="246" spans="1:14" ht="15.75" x14ac:dyDescent="0.25">
      <c r="A246" s="49" t="s">
        <v>110</v>
      </c>
      <c r="B246" s="50" t="s">
        <v>60</v>
      </c>
      <c r="C246" s="51">
        <v>72816</v>
      </c>
      <c r="D246" s="51">
        <v>-493</v>
      </c>
      <c r="E246" s="51">
        <v>0</v>
      </c>
      <c r="F246" s="51">
        <v>0</v>
      </c>
      <c r="G246" s="51">
        <v>0</v>
      </c>
      <c r="H246" s="51">
        <v>72323</v>
      </c>
      <c r="I246" s="51">
        <v>-72323</v>
      </c>
      <c r="J246" s="51">
        <v>0</v>
      </c>
      <c r="K246" s="51">
        <v>1273</v>
      </c>
      <c r="L246" s="51">
        <v>-1273</v>
      </c>
      <c r="M246" s="51">
        <v>0</v>
      </c>
      <c r="N246" s="51">
        <v>0</v>
      </c>
    </row>
    <row r="247" spans="1:14" ht="15.75" x14ac:dyDescent="0.25">
      <c r="A247" s="49" t="s">
        <v>110</v>
      </c>
      <c r="B247" s="50" t="s">
        <v>61</v>
      </c>
      <c r="C247" s="51">
        <v>73086</v>
      </c>
      <c r="D247" s="51">
        <v>0</v>
      </c>
      <c r="E247" s="51">
        <v>0</v>
      </c>
      <c r="F247" s="51">
        <v>0</v>
      </c>
      <c r="G247" s="51">
        <v>0</v>
      </c>
      <c r="H247" s="51">
        <v>73086</v>
      </c>
      <c r="I247" s="51">
        <v>-73086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</row>
    <row r="248" spans="1:14" ht="15.75" x14ac:dyDescent="0.25">
      <c r="A248" s="49" t="s">
        <v>110</v>
      </c>
      <c r="B248" s="50" t="s">
        <v>62</v>
      </c>
      <c r="C248" s="51">
        <v>70196</v>
      </c>
      <c r="D248" s="51">
        <v>0</v>
      </c>
      <c r="E248" s="51">
        <v>0</v>
      </c>
      <c r="F248" s="51">
        <v>0</v>
      </c>
      <c r="G248" s="51">
        <v>0</v>
      </c>
      <c r="H248" s="51">
        <v>70196</v>
      </c>
      <c r="I248" s="51">
        <v>-70196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</row>
    <row r="249" spans="1:14" ht="15.75" x14ac:dyDescent="0.25">
      <c r="A249" s="49" t="s">
        <v>110</v>
      </c>
      <c r="B249" s="50" t="s">
        <v>63</v>
      </c>
      <c r="C249" s="51">
        <v>68419</v>
      </c>
      <c r="D249" s="51">
        <v>0</v>
      </c>
      <c r="E249" s="51">
        <v>0</v>
      </c>
      <c r="F249" s="51">
        <v>0</v>
      </c>
      <c r="G249" s="51">
        <v>0</v>
      </c>
      <c r="H249" s="51">
        <v>68419</v>
      </c>
      <c r="I249" s="51">
        <v>-68419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</row>
    <row r="250" spans="1:14" ht="15.75" x14ac:dyDescent="0.25">
      <c r="A250" s="49" t="s">
        <v>110</v>
      </c>
      <c r="B250" s="50" t="s">
        <v>64</v>
      </c>
      <c r="C250" s="51">
        <v>66426</v>
      </c>
      <c r="D250" s="51">
        <v>0</v>
      </c>
      <c r="E250" s="51">
        <v>0</v>
      </c>
      <c r="F250" s="51">
        <v>0</v>
      </c>
      <c r="G250" s="51">
        <v>0</v>
      </c>
      <c r="H250" s="51">
        <v>66426</v>
      </c>
      <c r="I250" s="51">
        <v>-66426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</row>
    <row r="251" spans="1:14" ht="15.75" x14ac:dyDescent="0.25">
      <c r="A251" s="52" t="s">
        <v>111</v>
      </c>
      <c r="B251" s="53" t="s">
        <v>8</v>
      </c>
      <c r="C251" s="19">
        <f>SUBTOTAL(109,Program088[(C)
Program
Costs])</f>
        <v>1231894</v>
      </c>
      <c r="D251" s="19">
        <f>SUBTOTAL(109,Program088[(D)
Prior Period Adjustments])</f>
        <v>7617</v>
      </c>
      <c r="E251" s="19">
        <f>SUBTOTAL(109,Program088[(E)
Current Period Desk 
Reviews])</f>
        <v>0</v>
      </c>
      <c r="F251" s="19">
        <f>SUBTOTAL(109,Program088[(F)
Current Period 
Final 
Audits])</f>
        <v>0</v>
      </c>
      <c r="G251" s="19">
        <f>SUBTOTAL(109,Program088[(G)
Current Period 
Other Adjustments])</f>
        <v>0</v>
      </c>
      <c r="H251" s="19">
        <f>SUBTOTAL(109,Program088[(H)
Net Program Costs
Sum (C through G)])</f>
        <v>1239511</v>
      </c>
      <c r="I251" s="19">
        <f>SUBTOTAL(109,Program088[(I)
Payments
 and Offsets])</f>
        <v>-1017844</v>
      </c>
      <c r="J251" s="19">
        <f>SUBTOTAL(109,Program088[(J)
Accounts Payable Balance
(H + I)])</f>
        <v>221667</v>
      </c>
      <c r="K251" s="19">
        <f>SUBTOTAL(109,Program088[(K)
Established 
Accounts Receivable])</f>
        <v>1273</v>
      </c>
      <c r="L251" s="19">
        <f>SUBTOTAL(109,Program088[(L)
Recovered
 Accounts Receivable])</f>
        <v>-1273</v>
      </c>
      <c r="M251" s="19">
        <f>SUBTOTAL(109,Program088[(M)
Accounts Receivable Balance
(K + L)])</f>
        <v>0</v>
      </c>
      <c r="N251" s="19">
        <f>SUBTOTAL(109,Program088[(N)
Net Balance
(J minus M)])</f>
        <v>221667</v>
      </c>
    </row>
    <row r="252" spans="1:14" ht="15.75" x14ac:dyDescent="0.25">
      <c r="A252" s="17" t="s">
        <v>13</v>
      </c>
      <c r="B252" s="54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78.75" x14ac:dyDescent="0.25">
      <c r="A253" s="39" t="s">
        <v>32</v>
      </c>
      <c r="B253" s="40" t="s">
        <v>33</v>
      </c>
      <c r="C253" s="41" t="s">
        <v>34</v>
      </c>
      <c r="D253" s="41" t="s">
        <v>35</v>
      </c>
      <c r="E253" s="42" t="s">
        <v>36</v>
      </c>
      <c r="F253" s="42" t="s">
        <v>37</v>
      </c>
      <c r="G253" s="42" t="s">
        <v>38</v>
      </c>
      <c r="H253" s="43" t="s">
        <v>39</v>
      </c>
      <c r="I253" s="44" t="s">
        <v>40</v>
      </c>
      <c r="J253" s="44" t="s">
        <v>41</v>
      </c>
      <c r="K253" s="42" t="s">
        <v>42</v>
      </c>
      <c r="L253" s="44" t="s">
        <v>43</v>
      </c>
      <c r="M253" s="44" t="s">
        <v>44</v>
      </c>
      <c r="N253" s="45" t="s">
        <v>45</v>
      </c>
    </row>
    <row r="254" spans="1:14" ht="15.75" x14ac:dyDescent="0.25">
      <c r="A254" s="46" t="s">
        <v>112</v>
      </c>
      <c r="B254" s="47" t="s">
        <v>56</v>
      </c>
      <c r="C254" s="48">
        <v>427179</v>
      </c>
      <c r="D254" s="48">
        <v>0</v>
      </c>
      <c r="E254" s="48">
        <v>0</v>
      </c>
      <c r="F254" s="48">
        <v>0</v>
      </c>
      <c r="G254" s="48">
        <v>0</v>
      </c>
      <c r="H254" s="48">
        <v>427179</v>
      </c>
      <c r="I254" s="48">
        <v>-427179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</row>
    <row r="255" spans="1:14" ht="15.75" x14ac:dyDescent="0.25">
      <c r="A255" s="49" t="s">
        <v>112</v>
      </c>
      <c r="B255" s="50" t="s">
        <v>57</v>
      </c>
      <c r="C255" s="51">
        <v>401905</v>
      </c>
      <c r="D255" s="51">
        <v>-2845</v>
      </c>
      <c r="E255" s="51">
        <v>0</v>
      </c>
      <c r="F255" s="51">
        <v>0</v>
      </c>
      <c r="G255" s="51">
        <v>0</v>
      </c>
      <c r="H255" s="51">
        <v>399060</v>
      </c>
      <c r="I255" s="51">
        <v>-399060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</row>
    <row r="256" spans="1:14" ht="15.75" x14ac:dyDescent="0.25">
      <c r="A256" s="49" t="s">
        <v>112</v>
      </c>
      <c r="B256" s="50" t="s">
        <v>58</v>
      </c>
      <c r="C256" s="51">
        <v>299506</v>
      </c>
      <c r="D256" s="51">
        <v>-2073</v>
      </c>
      <c r="E256" s="51">
        <v>0</v>
      </c>
      <c r="F256" s="51">
        <v>0</v>
      </c>
      <c r="G256" s="51">
        <v>0</v>
      </c>
      <c r="H256" s="51">
        <v>297433</v>
      </c>
      <c r="I256" s="51">
        <v>-297433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</row>
    <row r="257" spans="1:14" ht="15.75" x14ac:dyDescent="0.25">
      <c r="A257" s="49" t="s">
        <v>112</v>
      </c>
      <c r="B257" s="50" t="s">
        <v>59</v>
      </c>
      <c r="C257" s="51">
        <v>186238</v>
      </c>
      <c r="D257" s="51">
        <v>-315</v>
      </c>
      <c r="E257" s="51">
        <v>0</v>
      </c>
      <c r="F257" s="51">
        <v>0</v>
      </c>
      <c r="G257" s="51">
        <v>0</v>
      </c>
      <c r="H257" s="51">
        <v>185923</v>
      </c>
      <c r="I257" s="51">
        <v>-185923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</row>
    <row r="258" spans="1:14" ht="15.75" x14ac:dyDescent="0.25">
      <c r="A258" s="49" t="s">
        <v>112</v>
      </c>
      <c r="B258" s="50" t="s">
        <v>60</v>
      </c>
      <c r="C258" s="51">
        <v>181846</v>
      </c>
      <c r="D258" s="51">
        <v>-1000</v>
      </c>
      <c r="E258" s="51">
        <v>0</v>
      </c>
      <c r="F258" s="51">
        <v>0</v>
      </c>
      <c r="G258" s="51">
        <v>0</v>
      </c>
      <c r="H258" s="51">
        <v>180846</v>
      </c>
      <c r="I258" s="51">
        <v>-180846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</row>
    <row r="259" spans="1:14" ht="15.75" x14ac:dyDescent="0.25">
      <c r="A259" s="49" t="s">
        <v>112</v>
      </c>
      <c r="B259" s="50" t="s">
        <v>61</v>
      </c>
      <c r="C259" s="51">
        <v>167730</v>
      </c>
      <c r="D259" s="51">
        <v>0</v>
      </c>
      <c r="E259" s="51">
        <v>0</v>
      </c>
      <c r="F259" s="51">
        <v>0</v>
      </c>
      <c r="G259" s="51">
        <v>0</v>
      </c>
      <c r="H259" s="51">
        <v>167730</v>
      </c>
      <c r="I259" s="51">
        <v>-167730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</row>
    <row r="260" spans="1:14" ht="15.75" x14ac:dyDescent="0.25">
      <c r="A260" s="49" t="s">
        <v>112</v>
      </c>
      <c r="B260" s="50" t="s">
        <v>62</v>
      </c>
      <c r="C260" s="51">
        <v>133239</v>
      </c>
      <c r="D260" s="51">
        <v>0</v>
      </c>
      <c r="E260" s="51">
        <v>0</v>
      </c>
      <c r="F260" s="51">
        <v>0</v>
      </c>
      <c r="G260" s="51">
        <v>0</v>
      </c>
      <c r="H260" s="51">
        <v>133239</v>
      </c>
      <c r="I260" s="51">
        <v>-133239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</row>
    <row r="261" spans="1:14" ht="15.75" x14ac:dyDescent="0.25">
      <c r="A261" s="49" t="s">
        <v>112</v>
      </c>
      <c r="B261" s="50" t="s">
        <v>63</v>
      </c>
      <c r="C261" s="51">
        <v>58887</v>
      </c>
      <c r="D261" s="51">
        <v>0</v>
      </c>
      <c r="E261" s="51">
        <v>0</v>
      </c>
      <c r="F261" s="51">
        <v>0</v>
      </c>
      <c r="G261" s="51">
        <v>0</v>
      </c>
      <c r="H261" s="51">
        <v>58887</v>
      </c>
      <c r="I261" s="51">
        <v>-58887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</row>
    <row r="262" spans="1:14" ht="15.75" x14ac:dyDescent="0.25">
      <c r="A262" s="52" t="s">
        <v>113</v>
      </c>
      <c r="B262" s="53" t="s">
        <v>8</v>
      </c>
      <c r="C262" s="19">
        <f>SUBTOTAL(109,Program207[(C)
Program
Costs])</f>
        <v>1856530</v>
      </c>
      <c r="D262" s="19">
        <f>SUBTOTAL(109,Program207[(D)
Prior Period Adjustments])</f>
        <v>-6233</v>
      </c>
      <c r="E262" s="19">
        <f>SUBTOTAL(109,Program207[(E)
Current Period Desk 
Reviews])</f>
        <v>0</v>
      </c>
      <c r="F262" s="19">
        <f>SUBTOTAL(109,Program207[(F)
Current Period 
Final 
Audits])</f>
        <v>0</v>
      </c>
      <c r="G262" s="19">
        <f>SUBTOTAL(109,Program207[(G)
Current Period 
Other Adjustments])</f>
        <v>0</v>
      </c>
      <c r="H262" s="19">
        <f>SUBTOTAL(109,Program207[(H)
Net Program Costs
Sum (C through G)])</f>
        <v>1850297</v>
      </c>
      <c r="I262" s="19">
        <f>SUBTOTAL(109,Program207[(I)
Payments
 and Offsets])</f>
        <v>-1850297</v>
      </c>
      <c r="J262" s="19">
        <f>SUBTOTAL(109,Program207[(J)
Accounts Payable Balance
(H + I)])</f>
        <v>0</v>
      </c>
      <c r="K262" s="19">
        <f>SUBTOTAL(109,Program207[(K)
Established 
Accounts Receivable])</f>
        <v>0</v>
      </c>
      <c r="L262" s="19">
        <f>SUBTOTAL(109,Program207[(L)
Recovered
 Accounts Receivable])</f>
        <v>0</v>
      </c>
      <c r="M262" s="19">
        <f>SUBTOTAL(109,Program207[(M)
Accounts Receivable Balance
(K + L)])</f>
        <v>0</v>
      </c>
      <c r="N262" s="19">
        <f>SUBTOTAL(109,Program207[(N)
Net Balance
(J minus M)])</f>
        <v>0</v>
      </c>
    </row>
    <row r="263" spans="1:14" ht="15.75" x14ac:dyDescent="0.25">
      <c r="A263" s="17" t="s">
        <v>13</v>
      </c>
      <c r="B263" s="54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ht="78.75" x14ac:dyDescent="0.25">
      <c r="A264" s="39" t="s">
        <v>32</v>
      </c>
      <c r="B264" s="40" t="s">
        <v>33</v>
      </c>
      <c r="C264" s="41" t="s">
        <v>34</v>
      </c>
      <c r="D264" s="41" t="s">
        <v>35</v>
      </c>
      <c r="E264" s="42" t="s">
        <v>36</v>
      </c>
      <c r="F264" s="42" t="s">
        <v>37</v>
      </c>
      <c r="G264" s="42" t="s">
        <v>38</v>
      </c>
      <c r="H264" s="43" t="s">
        <v>39</v>
      </c>
      <c r="I264" s="44" t="s">
        <v>40</v>
      </c>
      <c r="J264" s="44" t="s">
        <v>41</v>
      </c>
      <c r="K264" s="42" t="s">
        <v>42</v>
      </c>
      <c r="L264" s="44" t="s">
        <v>43</v>
      </c>
      <c r="M264" s="44" t="s">
        <v>44</v>
      </c>
      <c r="N264" s="45" t="s">
        <v>45</v>
      </c>
    </row>
    <row r="265" spans="1:14" ht="15.75" x14ac:dyDescent="0.25">
      <c r="A265" s="46" t="s">
        <v>114</v>
      </c>
      <c r="B265" s="47" t="s">
        <v>76</v>
      </c>
      <c r="C265" s="48">
        <v>372572</v>
      </c>
      <c r="D265" s="48">
        <v>0</v>
      </c>
      <c r="E265" s="48">
        <v>0</v>
      </c>
      <c r="F265" s="48">
        <v>0</v>
      </c>
      <c r="G265" s="48">
        <v>0</v>
      </c>
      <c r="H265" s="48">
        <v>372572</v>
      </c>
      <c r="I265" s="48">
        <v>0</v>
      </c>
      <c r="J265" s="48">
        <v>372572</v>
      </c>
      <c r="K265" s="48">
        <v>0</v>
      </c>
      <c r="L265" s="48">
        <v>0</v>
      </c>
      <c r="M265" s="48">
        <v>0</v>
      </c>
      <c r="N265" s="48">
        <v>372572</v>
      </c>
    </row>
    <row r="266" spans="1:14" ht="15.75" x14ac:dyDescent="0.25">
      <c r="A266" s="49" t="s">
        <v>114</v>
      </c>
      <c r="B266" s="50" t="s">
        <v>77</v>
      </c>
      <c r="C266" s="51">
        <v>388169</v>
      </c>
      <c r="D266" s="51">
        <v>0</v>
      </c>
      <c r="E266" s="51">
        <v>0</v>
      </c>
      <c r="F266" s="51">
        <v>0</v>
      </c>
      <c r="G266" s="51">
        <v>0</v>
      </c>
      <c r="H266" s="51">
        <v>388169</v>
      </c>
      <c r="I266" s="51">
        <v>-388169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</row>
    <row r="267" spans="1:14" ht="15.75" x14ac:dyDescent="0.25">
      <c r="A267" s="49" t="s">
        <v>114</v>
      </c>
      <c r="B267" s="50" t="s">
        <v>78</v>
      </c>
      <c r="C267" s="51">
        <v>402111</v>
      </c>
      <c r="D267" s="51">
        <v>0</v>
      </c>
      <c r="E267" s="51">
        <v>0</v>
      </c>
      <c r="F267" s="51">
        <v>0</v>
      </c>
      <c r="G267" s="51">
        <v>0</v>
      </c>
      <c r="H267" s="51">
        <v>402111</v>
      </c>
      <c r="I267" s="51">
        <v>-402111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</row>
    <row r="268" spans="1:14" ht="15.75" x14ac:dyDescent="0.25">
      <c r="A268" s="49" t="s">
        <v>114</v>
      </c>
      <c r="B268" s="50" t="s">
        <v>47</v>
      </c>
      <c r="C268" s="51">
        <v>340063</v>
      </c>
      <c r="D268" s="51">
        <v>-8468</v>
      </c>
      <c r="E268" s="51">
        <v>0</v>
      </c>
      <c r="F268" s="51">
        <v>0</v>
      </c>
      <c r="G268" s="51">
        <v>0</v>
      </c>
      <c r="H268" s="51">
        <v>331595</v>
      </c>
      <c r="I268" s="51">
        <v>-331595</v>
      </c>
      <c r="J268" s="51">
        <v>0</v>
      </c>
      <c r="K268" s="51">
        <v>8468</v>
      </c>
      <c r="L268" s="51">
        <v>-8468</v>
      </c>
      <c r="M268" s="51">
        <v>0</v>
      </c>
      <c r="N268" s="51">
        <v>0</v>
      </c>
    </row>
    <row r="269" spans="1:14" ht="15.75" x14ac:dyDescent="0.25">
      <c r="A269" s="49" t="s">
        <v>114</v>
      </c>
      <c r="B269" s="50" t="s">
        <v>79</v>
      </c>
      <c r="C269" s="51">
        <v>338662</v>
      </c>
      <c r="D269" s="51">
        <v>0</v>
      </c>
      <c r="E269" s="51">
        <v>0</v>
      </c>
      <c r="F269" s="51">
        <v>0</v>
      </c>
      <c r="G269" s="51">
        <v>0</v>
      </c>
      <c r="H269" s="51">
        <v>338662</v>
      </c>
      <c r="I269" s="51">
        <v>-338662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</row>
    <row r="270" spans="1:14" ht="15.75" x14ac:dyDescent="0.25">
      <c r="A270" s="49" t="s">
        <v>114</v>
      </c>
      <c r="B270" s="50" t="s">
        <v>80</v>
      </c>
      <c r="C270" s="51">
        <v>306273</v>
      </c>
      <c r="D270" s="51">
        <v>0</v>
      </c>
      <c r="E270" s="51">
        <v>0</v>
      </c>
      <c r="F270" s="51">
        <v>0</v>
      </c>
      <c r="G270" s="51">
        <v>0</v>
      </c>
      <c r="H270" s="51">
        <v>306273</v>
      </c>
      <c r="I270" s="51">
        <v>-306273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</row>
    <row r="271" spans="1:14" ht="15.75" x14ac:dyDescent="0.25">
      <c r="A271" s="49" t="s">
        <v>114</v>
      </c>
      <c r="B271" s="50" t="s">
        <v>81</v>
      </c>
      <c r="C271" s="51">
        <v>308135</v>
      </c>
      <c r="D271" s="51">
        <v>0</v>
      </c>
      <c r="E271" s="51">
        <v>0</v>
      </c>
      <c r="F271" s="51">
        <v>0</v>
      </c>
      <c r="G271" s="51">
        <v>0</v>
      </c>
      <c r="H271" s="51">
        <v>308135</v>
      </c>
      <c r="I271" s="51">
        <v>-308135</v>
      </c>
      <c r="J271" s="51">
        <v>0</v>
      </c>
      <c r="K271" s="51">
        <v>42735</v>
      </c>
      <c r="L271" s="51">
        <v>-42735</v>
      </c>
      <c r="M271" s="51">
        <v>0</v>
      </c>
      <c r="N271" s="51">
        <v>0</v>
      </c>
    </row>
    <row r="272" spans="1:14" ht="15.75" x14ac:dyDescent="0.25">
      <c r="A272" s="49" t="s">
        <v>114</v>
      </c>
      <c r="B272" s="50" t="s">
        <v>82</v>
      </c>
      <c r="C272" s="51">
        <v>191875</v>
      </c>
      <c r="D272" s="51">
        <v>-527</v>
      </c>
      <c r="E272" s="51">
        <v>0</v>
      </c>
      <c r="F272" s="51">
        <v>0</v>
      </c>
      <c r="G272" s="51">
        <v>0</v>
      </c>
      <c r="H272" s="51">
        <v>191348</v>
      </c>
      <c r="I272" s="51">
        <v>-191348</v>
      </c>
      <c r="J272" s="51">
        <v>0</v>
      </c>
      <c r="K272" s="51">
        <v>39794</v>
      </c>
      <c r="L272" s="51">
        <v>-39794</v>
      </c>
      <c r="M272" s="51">
        <v>0</v>
      </c>
      <c r="N272" s="51">
        <v>0</v>
      </c>
    </row>
    <row r="273" spans="1:14" ht="15.75" x14ac:dyDescent="0.25">
      <c r="A273" s="49" t="s">
        <v>114</v>
      </c>
      <c r="B273" s="50" t="s">
        <v>83</v>
      </c>
      <c r="C273" s="51">
        <v>212006</v>
      </c>
      <c r="D273" s="51">
        <v>0</v>
      </c>
      <c r="E273" s="51">
        <v>0</v>
      </c>
      <c r="F273" s="51">
        <v>0</v>
      </c>
      <c r="G273" s="51">
        <v>0</v>
      </c>
      <c r="H273" s="51">
        <v>212006</v>
      </c>
      <c r="I273" s="51">
        <v>-212006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</row>
    <row r="274" spans="1:14" ht="15.75" x14ac:dyDescent="0.25">
      <c r="A274" s="49" t="s">
        <v>114</v>
      </c>
      <c r="B274" s="50" t="s">
        <v>48</v>
      </c>
      <c r="C274" s="51">
        <v>244659</v>
      </c>
      <c r="D274" s="51">
        <v>-191</v>
      </c>
      <c r="E274" s="51">
        <v>0</v>
      </c>
      <c r="F274" s="51">
        <v>0</v>
      </c>
      <c r="G274" s="51">
        <v>0</v>
      </c>
      <c r="H274" s="51">
        <v>244468</v>
      </c>
      <c r="I274" s="51">
        <v>-244468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</row>
    <row r="275" spans="1:14" ht="15.75" x14ac:dyDescent="0.25">
      <c r="A275" s="49" t="s">
        <v>114</v>
      </c>
      <c r="B275" s="50" t="s">
        <v>49</v>
      </c>
      <c r="C275" s="51">
        <v>253317</v>
      </c>
      <c r="D275" s="51">
        <v>-636</v>
      </c>
      <c r="E275" s="51">
        <v>0</v>
      </c>
      <c r="F275" s="51">
        <v>0</v>
      </c>
      <c r="G275" s="51">
        <v>0</v>
      </c>
      <c r="H275" s="51">
        <v>252681</v>
      </c>
      <c r="I275" s="51">
        <v>-252681</v>
      </c>
      <c r="J275" s="51">
        <v>0</v>
      </c>
      <c r="K275" s="51">
        <v>1238</v>
      </c>
      <c r="L275" s="51">
        <v>-1238</v>
      </c>
      <c r="M275" s="51">
        <v>0</v>
      </c>
      <c r="N275" s="51">
        <v>0</v>
      </c>
    </row>
    <row r="276" spans="1:14" ht="15.75" x14ac:dyDescent="0.25">
      <c r="A276" s="49" t="s">
        <v>114</v>
      </c>
      <c r="B276" s="50" t="s">
        <v>50</v>
      </c>
      <c r="C276" s="51">
        <v>245288</v>
      </c>
      <c r="D276" s="51">
        <v>-1393</v>
      </c>
      <c r="E276" s="51">
        <v>0</v>
      </c>
      <c r="F276" s="51">
        <v>0</v>
      </c>
      <c r="G276" s="51">
        <v>0</v>
      </c>
      <c r="H276" s="51">
        <v>243895</v>
      </c>
      <c r="I276" s="51">
        <v>-243895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</row>
    <row r="277" spans="1:14" ht="15.75" x14ac:dyDescent="0.25">
      <c r="A277" s="49" t="s">
        <v>114</v>
      </c>
      <c r="B277" s="50" t="s">
        <v>51</v>
      </c>
      <c r="C277" s="51">
        <v>259535</v>
      </c>
      <c r="D277" s="51">
        <v>-373</v>
      </c>
      <c r="E277" s="51">
        <v>0</v>
      </c>
      <c r="F277" s="51">
        <v>0</v>
      </c>
      <c r="G277" s="51">
        <v>0</v>
      </c>
      <c r="H277" s="51">
        <v>259162</v>
      </c>
      <c r="I277" s="51">
        <v>-259162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</row>
    <row r="278" spans="1:14" ht="15.75" x14ac:dyDescent="0.25">
      <c r="A278" s="49" t="s">
        <v>114</v>
      </c>
      <c r="B278" s="50" t="s">
        <v>52</v>
      </c>
      <c r="C278" s="51">
        <v>215056</v>
      </c>
      <c r="D278" s="51">
        <v>0</v>
      </c>
      <c r="E278" s="51">
        <v>0</v>
      </c>
      <c r="F278" s="51">
        <v>0</v>
      </c>
      <c r="G278" s="51">
        <v>0</v>
      </c>
      <c r="H278" s="51">
        <v>215056</v>
      </c>
      <c r="I278" s="51">
        <v>-215056</v>
      </c>
      <c r="J278" s="51">
        <v>0</v>
      </c>
      <c r="K278" s="51">
        <v>87109</v>
      </c>
      <c r="L278" s="51">
        <v>-87109</v>
      </c>
      <c r="M278" s="51">
        <v>0</v>
      </c>
      <c r="N278" s="51">
        <v>0</v>
      </c>
    </row>
    <row r="279" spans="1:14" ht="15.75" x14ac:dyDescent="0.25">
      <c r="A279" s="49" t="s">
        <v>114</v>
      </c>
      <c r="B279" s="50" t="s">
        <v>53</v>
      </c>
      <c r="C279" s="51">
        <v>264814</v>
      </c>
      <c r="D279" s="51">
        <v>-227</v>
      </c>
      <c r="E279" s="51">
        <v>0</v>
      </c>
      <c r="F279" s="51">
        <v>0</v>
      </c>
      <c r="G279" s="51">
        <v>0</v>
      </c>
      <c r="H279" s="51">
        <v>264587</v>
      </c>
      <c r="I279" s="51">
        <v>-264587</v>
      </c>
      <c r="J279" s="51">
        <v>0</v>
      </c>
      <c r="K279" s="51">
        <v>774</v>
      </c>
      <c r="L279" s="51">
        <v>-774</v>
      </c>
      <c r="M279" s="51">
        <v>0</v>
      </c>
      <c r="N279" s="51">
        <v>0</v>
      </c>
    </row>
    <row r="280" spans="1:14" ht="15.75" x14ac:dyDescent="0.25">
      <c r="A280" s="49" t="s">
        <v>114</v>
      </c>
      <c r="B280" s="50" t="s">
        <v>54</v>
      </c>
      <c r="C280" s="51">
        <v>171076</v>
      </c>
      <c r="D280" s="51">
        <v>-193</v>
      </c>
      <c r="E280" s="51">
        <v>0</v>
      </c>
      <c r="F280" s="51">
        <v>0</v>
      </c>
      <c r="G280" s="51">
        <v>0</v>
      </c>
      <c r="H280" s="51">
        <v>170883</v>
      </c>
      <c r="I280" s="51">
        <v>-170883</v>
      </c>
      <c r="J280" s="51">
        <v>0</v>
      </c>
      <c r="K280" s="51">
        <v>2120</v>
      </c>
      <c r="L280" s="51">
        <v>-2120</v>
      </c>
      <c r="M280" s="51">
        <v>0</v>
      </c>
      <c r="N280" s="51">
        <v>0</v>
      </c>
    </row>
    <row r="281" spans="1:14" ht="15.75" x14ac:dyDescent="0.25">
      <c r="A281" s="49" t="s">
        <v>114</v>
      </c>
      <c r="B281" s="50" t="s">
        <v>55</v>
      </c>
      <c r="C281" s="51">
        <v>151357</v>
      </c>
      <c r="D281" s="51">
        <v>-283</v>
      </c>
      <c r="E281" s="51">
        <v>0</v>
      </c>
      <c r="F281" s="51">
        <v>0</v>
      </c>
      <c r="G281" s="51">
        <v>0</v>
      </c>
      <c r="H281" s="51">
        <v>151074</v>
      </c>
      <c r="I281" s="51">
        <v>-151074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</row>
    <row r="282" spans="1:14" ht="15.75" x14ac:dyDescent="0.25">
      <c r="A282" s="49" t="s">
        <v>114</v>
      </c>
      <c r="B282" s="50" t="s">
        <v>56</v>
      </c>
      <c r="C282" s="51">
        <v>180292</v>
      </c>
      <c r="D282" s="51">
        <v>-219</v>
      </c>
      <c r="E282" s="51">
        <v>0</v>
      </c>
      <c r="F282" s="51">
        <v>0</v>
      </c>
      <c r="G282" s="51">
        <v>0</v>
      </c>
      <c r="H282" s="51">
        <v>180073</v>
      </c>
      <c r="I282" s="51">
        <v>-180073</v>
      </c>
      <c r="J282" s="51">
        <v>0</v>
      </c>
      <c r="K282" s="51">
        <v>129</v>
      </c>
      <c r="L282" s="51">
        <v>-129</v>
      </c>
      <c r="M282" s="51">
        <v>0</v>
      </c>
      <c r="N282" s="51">
        <v>0</v>
      </c>
    </row>
    <row r="283" spans="1:14" ht="15.75" x14ac:dyDescent="0.25">
      <c r="A283" s="49" t="s">
        <v>114</v>
      </c>
      <c r="B283" s="50" t="s">
        <v>57</v>
      </c>
      <c r="C283" s="51">
        <v>112617</v>
      </c>
      <c r="D283" s="51">
        <v>-6952</v>
      </c>
      <c r="E283" s="51">
        <v>0</v>
      </c>
      <c r="F283" s="51">
        <v>0</v>
      </c>
      <c r="G283" s="51">
        <v>0</v>
      </c>
      <c r="H283" s="51">
        <v>105665</v>
      </c>
      <c r="I283" s="51">
        <v>-105665</v>
      </c>
      <c r="J283" s="51">
        <v>0</v>
      </c>
      <c r="K283" s="51">
        <v>5710</v>
      </c>
      <c r="L283" s="51">
        <v>-5710</v>
      </c>
      <c r="M283" s="51">
        <v>0</v>
      </c>
      <c r="N283" s="51">
        <v>0</v>
      </c>
    </row>
    <row r="284" spans="1:14" ht="15.75" x14ac:dyDescent="0.25">
      <c r="A284" s="49" t="s">
        <v>114</v>
      </c>
      <c r="B284" s="50" t="s">
        <v>58</v>
      </c>
      <c r="C284" s="51">
        <v>105712</v>
      </c>
      <c r="D284" s="51">
        <v>0</v>
      </c>
      <c r="E284" s="51">
        <v>0</v>
      </c>
      <c r="F284" s="51">
        <v>0</v>
      </c>
      <c r="G284" s="51">
        <v>0</v>
      </c>
      <c r="H284" s="51">
        <v>105712</v>
      </c>
      <c r="I284" s="51">
        <v>-105712</v>
      </c>
      <c r="J284" s="51">
        <v>0</v>
      </c>
      <c r="K284" s="51">
        <v>10464</v>
      </c>
      <c r="L284" s="51">
        <v>-10464</v>
      </c>
      <c r="M284" s="51">
        <v>0</v>
      </c>
      <c r="N284" s="51">
        <v>0</v>
      </c>
    </row>
    <row r="285" spans="1:14" ht="15.75" x14ac:dyDescent="0.25">
      <c r="A285" s="49" t="s">
        <v>114</v>
      </c>
      <c r="B285" s="50" t="s">
        <v>59</v>
      </c>
      <c r="C285" s="51">
        <v>102740</v>
      </c>
      <c r="D285" s="51">
        <v>-674</v>
      </c>
      <c r="E285" s="51">
        <v>0</v>
      </c>
      <c r="F285" s="51">
        <v>0</v>
      </c>
      <c r="G285" s="51">
        <v>0</v>
      </c>
      <c r="H285" s="51">
        <v>102066</v>
      </c>
      <c r="I285" s="51">
        <v>-102066</v>
      </c>
      <c r="J285" s="51">
        <v>0</v>
      </c>
      <c r="K285" s="51">
        <v>18891</v>
      </c>
      <c r="L285" s="51">
        <v>-18891</v>
      </c>
      <c r="M285" s="51">
        <v>0</v>
      </c>
      <c r="N285" s="51">
        <v>0</v>
      </c>
    </row>
    <row r="286" spans="1:14" ht="15.75" x14ac:dyDescent="0.25">
      <c r="A286" s="49" t="s">
        <v>114</v>
      </c>
      <c r="B286" s="50" t="s">
        <v>60</v>
      </c>
      <c r="C286" s="51">
        <v>82800</v>
      </c>
      <c r="D286" s="51">
        <v>-42</v>
      </c>
      <c r="E286" s="51">
        <v>0</v>
      </c>
      <c r="F286" s="51">
        <v>0</v>
      </c>
      <c r="G286" s="51">
        <v>0</v>
      </c>
      <c r="H286" s="51">
        <v>82758</v>
      </c>
      <c r="I286" s="51">
        <v>-82758</v>
      </c>
      <c r="J286" s="51">
        <v>0</v>
      </c>
      <c r="K286" s="51">
        <v>10457</v>
      </c>
      <c r="L286" s="51">
        <v>-10457</v>
      </c>
      <c r="M286" s="51">
        <v>0</v>
      </c>
      <c r="N286" s="51">
        <v>0</v>
      </c>
    </row>
    <row r="287" spans="1:14" ht="15.75" x14ac:dyDescent="0.25">
      <c r="A287" s="49" t="s">
        <v>114</v>
      </c>
      <c r="B287" s="50" t="s">
        <v>61</v>
      </c>
      <c r="C287" s="51">
        <v>81936</v>
      </c>
      <c r="D287" s="51">
        <v>-2141</v>
      </c>
      <c r="E287" s="51">
        <v>0</v>
      </c>
      <c r="F287" s="51">
        <v>0</v>
      </c>
      <c r="G287" s="51">
        <v>0</v>
      </c>
      <c r="H287" s="51">
        <v>79795</v>
      </c>
      <c r="I287" s="51">
        <v>-79795</v>
      </c>
      <c r="J287" s="51">
        <v>0</v>
      </c>
      <c r="K287" s="51">
        <v>72542</v>
      </c>
      <c r="L287" s="51">
        <v>-72542</v>
      </c>
      <c r="M287" s="51">
        <v>0</v>
      </c>
      <c r="N287" s="51">
        <v>0</v>
      </c>
    </row>
    <row r="288" spans="1:14" ht="15.75" x14ac:dyDescent="0.25">
      <c r="A288" s="49" t="s">
        <v>114</v>
      </c>
      <c r="B288" s="50" t="s">
        <v>62</v>
      </c>
      <c r="C288" s="51">
        <v>170797</v>
      </c>
      <c r="D288" s="51">
        <v>-17225</v>
      </c>
      <c r="E288" s="51">
        <v>0</v>
      </c>
      <c r="F288" s="51">
        <v>0</v>
      </c>
      <c r="G288" s="51">
        <v>0</v>
      </c>
      <c r="H288" s="51">
        <v>153572</v>
      </c>
      <c r="I288" s="51">
        <v>-153572</v>
      </c>
      <c r="J288" s="51">
        <v>0</v>
      </c>
      <c r="K288" s="51">
        <v>11155</v>
      </c>
      <c r="L288" s="51">
        <v>-11155</v>
      </c>
      <c r="M288" s="51">
        <v>0</v>
      </c>
      <c r="N288" s="51">
        <v>0</v>
      </c>
    </row>
    <row r="289" spans="1:14" ht="15.75" x14ac:dyDescent="0.25">
      <c r="A289" s="49" t="s">
        <v>114</v>
      </c>
      <c r="B289" s="50" t="s">
        <v>63</v>
      </c>
      <c r="C289" s="51">
        <v>183239</v>
      </c>
      <c r="D289" s="51">
        <v>-37632</v>
      </c>
      <c r="E289" s="51">
        <v>0</v>
      </c>
      <c r="F289" s="51">
        <v>0</v>
      </c>
      <c r="G289" s="51">
        <v>0</v>
      </c>
      <c r="H289" s="51">
        <v>145607</v>
      </c>
      <c r="I289" s="51">
        <v>-145607</v>
      </c>
      <c r="J289" s="51">
        <v>0</v>
      </c>
      <c r="K289" s="51">
        <v>27343</v>
      </c>
      <c r="L289" s="51">
        <v>-27343</v>
      </c>
      <c r="M289" s="51">
        <v>0</v>
      </c>
      <c r="N289" s="51">
        <v>0</v>
      </c>
    </row>
    <row r="290" spans="1:14" ht="15.75" x14ac:dyDescent="0.25">
      <c r="A290" s="49" t="s">
        <v>114</v>
      </c>
      <c r="B290" s="50" t="s">
        <v>64</v>
      </c>
      <c r="C290" s="51">
        <v>140556</v>
      </c>
      <c r="D290" s="51">
        <v>-7703</v>
      </c>
      <c r="E290" s="51">
        <v>0</v>
      </c>
      <c r="F290" s="51">
        <v>0</v>
      </c>
      <c r="G290" s="51">
        <v>0</v>
      </c>
      <c r="H290" s="51">
        <v>132853</v>
      </c>
      <c r="I290" s="51">
        <v>-132853</v>
      </c>
      <c r="J290" s="51">
        <v>0</v>
      </c>
      <c r="K290" s="51">
        <v>17428</v>
      </c>
      <c r="L290" s="51">
        <v>-17428</v>
      </c>
      <c r="M290" s="51">
        <v>0</v>
      </c>
      <c r="N290" s="51">
        <v>0</v>
      </c>
    </row>
    <row r="291" spans="1:14" ht="15.75" x14ac:dyDescent="0.25">
      <c r="A291" s="49" t="s">
        <v>114</v>
      </c>
      <c r="B291" s="50" t="s">
        <v>65</v>
      </c>
      <c r="C291" s="51">
        <v>163548</v>
      </c>
      <c r="D291" s="51">
        <v>-9651</v>
      </c>
      <c r="E291" s="51">
        <v>0</v>
      </c>
      <c r="F291" s="51">
        <v>0</v>
      </c>
      <c r="G291" s="51">
        <v>0</v>
      </c>
      <c r="H291" s="51">
        <v>153897</v>
      </c>
      <c r="I291" s="51">
        <v>-153897</v>
      </c>
      <c r="J291" s="51">
        <v>0</v>
      </c>
      <c r="K291" s="51">
        <v>14037</v>
      </c>
      <c r="L291" s="51">
        <v>-14037</v>
      </c>
      <c r="M291" s="51">
        <v>0</v>
      </c>
      <c r="N291" s="51">
        <v>0</v>
      </c>
    </row>
    <row r="292" spans="1:14" ht="15.75" x14ac:dyDescent="0.25">
      <c r="A292" s="49" t="s">
        <v>114</v>
      </c>
      <c r="B292" s="50" t="s">
        <v>66</v>
      </c>
      <c r="C292" s="51">
        <v>75272</v>
      </c>
      <c r="D292" s="51">
        <v>-26746</v>
      </c>
      <c r="E292" s="51">
        <v>0</v>
      </c>
      <c r="F292" s="51">
        <v>0</v>
      </c>
      <c r="G292" s="51">
        <v>0</v>
      </c>
      <c r="H292" s="51">
        <v>48526</v>
      </c>
      <c r="I292" s="51">
        <v>-48526</v>
      </c>
      <c r="J292" s="51">
        <v>0</v>
      </c>
      <c r="K292" s="51">
        <v>26665</v>
      </c>
      <c r="L292" s="51">
        <v>-26665</v>
      </c>
      <c r="M292" s="51">
        <v>0</v>
      </c>
      <c r="N292" s="51">
        <v>0</v>
      </c>
    </row>
    <row r="293" spans="1:14" ht="15.75" x14ac:dyDescent="0.25">
      <c r="A293" s="49" t="s">
        <v>114</v>
      </c>
      <c r="B293" s="50" t="s">
        <v>67</v>
      </c>
      <c r="C293" s="51">
        <v>73519</v>
      </c>
      <c r="D293" s="51">
        <v>-31037</v>
      </c>
      <c r="E293" s="51">
        <v>0</v>
      </c>
      <c r="F293" s="51">
        <v>0</v>
      </c>
      <c r="G293" s="51">
        <v>0</v>
      </c>
      <c r="H293" s="51">
        <v>42482</v>
      </c>
      <c r="I293" s="51">
        <v>-42482</v>
      </c>
      <c r="J293" s="51">
        <v>0</v>
      </c>
      <c r="K293" s="51">
        <v>30888</v>
      </c>
      <c r="L293" s="51">
        <v>-30888</v>
      </c>
      <c r="M293" s="51">
        <v>0</v>
      </c>
      <c r="N293" s="51">
        <v>0</v>
      </c>
    </row>
    <row r="294" spans="1:14" ht="15.75" x14ac:dyDescent="0.25">
      <c r="A294" s="49" t="s">
        <v>114</v>
      </c>
      <c r="B294" s="50" t="s">
        <v>68</v>
      </c>
      <c r="C294" s="51">
        <v>100996</v>
      </c>
      <c r="D294" s="51">
        <v>-63248</v>
      </c>
      <c r="E294" s="51">
        <v>0</v>
      </c>
      <c r="F294" s="51">
        <v>0</v>
      </c>
      <c r="G294" s="51">
        <v>0</v>
      </c>
      <c r="H294" s="51">
        <v>37748</v>
      </c>
      <c r="I294" s="51">
        <v>-37748</v>
      </c>
      <c r="J294" s="51">
        <v>0</v>
      </c>
      <c r="K294" s="51">
        <v>63177</v>
      </c>
      <c r="L294" s="51">
        <v>-63177</v>
      </c>
      <c r="M294" s="51">
        <v>0</v>
      </c>
      <c r="N294" s="51">
        <v>0</v>
      </c>
    </row>
    <row r="295" spans="1:14" ht="15.75" x14ac:dyDescent="0.25">
      <c r="A295" s="49" t="s">
        <v>114</v>
      </c>
      <c r="B295" s="50" t="s">
        <v>69</v>
      </c>
      <c r="C295" s="51">
        <v>88820</v>
      </c>
      <c r="D295" s="51">
        <v>-34312</v>
      </c>
      <c r="E295" s="51">
        <v>0</v>
      </c>
      <c r="F295" s="51">
        <v>0</v>
      </c>
      <c r="G295" s="51">
        <v>0</v>
      </c>
      <c r="H295" s="51">
        <v>54508</v>
      </c>
      <c r="I295" s="51">
        <v>-54508</v>
      </c>
      <c r="J295" s="51">
        <v>0</v>
      </c>
      <c r="K295" s="51">
        <v>34150</v>
      </c>
      <c r="L295" s="51">
        <v>-34150</v>
      </c>
      <c r="M295" s="51">
        <v>0</v>
      </c>
      <c r="N295" s="51">
        <v>0</v>
      </c>
    </row>
    <row r="296" spans="1:14" ht="15.75" x14ac:dyDescent="0.25">
      <c r="A296" s="49" t="s">
        <v>114</v>
      </c>
      <c r="B296" s="50" t="s">
        <v>115</v>
      </c>
      <c r="C296" s="51">
        <v>327532</v>
      </c>
      <c r="D296" s="51">
        <v>-74948</v>
      </c>
      <c r="E296" s="51">
        <v>0</v>
      </c>
      <c r="F296" s="51">
        <v>0</v>
      </c>
      <c r="G296" s="51">
        <v>0</v>
      </c>
      <c r="H296" s="51">
        <v>252584</v>
      </c>
      <c r="I296" s="51">
        <v>-252584</v>
      </c>
      <c r="J296" s="51">
        <v>0</v>
      </c>
      <c r="K296" s="51">
        <v>74948</v>
      </c>
      <c r="L296" s="51">
        <v>-74948</v>
      </c>
      <c r="M296" s="51">
        <v>0</v>
      </c>
      <c r="N296" s="51">
        <v>0</v>
      </c>
    </row>
    <row r="297" spans="1:14" ht="15.75" x14ac:dyDescent="0.25">
      <c r="A297" s="49" t="s">
        <v>114</v>
      </c>
      <c r="B297" s="50" t="s">
        <v>99</v>
      </c>
      <c r="C297" s="51">
        <v>350241</v>
      </c>
      <c r="D297" s="51">
        <v>-111117</v>
      </c>
      <c r="E297" s="51">
        <v>0</v>
      </c>
      <c r="F297" s="51">
        <v>0</v>
      </c>
      <c r="G297" s="51">
        <v>0</v>
      </c>
      <c r="H297" s="51">
        <v>239124</v>
      </c>
      <c r="I297" s="51">
        <v>-239124</v>
      </c>
      <c r="J297" s="51">
        <v>0</v>
      </c>
      <c r="K297" s="51">
        <v>91531</v>
      </c>
      <c r="L297" s="51">
        <v>-91531</v>
      </c>
      <c r="M297" s="51">
        <v>0</v>
      </c>
      <c r="N297" s="51">
        <v>0</v>
      </c>
    </row>
    <row r="298" spans="1:14" ht="15.75" x14ac:dyDescent="0.25">
      <c r="A298" s="52" t="s">
        <v>116</v>
      </c>
      <c r="B298" s="53" t="s">
        <v>8</v>
      </c>
      <c r="C298" s="19">
        <f>SUBTOTAL(109,Program090[(C)
Program
Costs])</f>
        <v>7005585</v>
      </c>
      <c r="D298" s="19">
        <f>SUBTOTAL(109,Program090[(D)
Prior Period Adjustments])</f>
        <v>-435938</v>
      </c>
      <c r="E298" s="19">
        <f>SUBTOTAL(109,Program090[(E)
Current Period Desk 
Reviews])</f>
        <v>0</v>
      </c>
      <c r="F298" s="19">
        <f>SUBTOTAL(109,Program090[(F)
Current Period 
Final 
Audits])</f>
        <v>0</v>
      </c>
      <c r="G298" s="19">
        <f>SUBTOTAL(109,Program090[(G)
Current Period 
Other Adjustments])</f>
        <v>0</v>
      </c>
      <c r="H298" s="19">
        <f>SUBTOTAL(109,Program090[(H)
Net Program Costs
Sum (C through G)])</f>
        <v>6569647</v>
      </c>
      <c r="I298" s="19">
        <f>SUBTOTAL(109,Program090[(I)
Payments
 and Offsets])</f>
        <v>-6197075</v>
      </c>
      <c r="J298" s="19">
        <f>SUBTOTAL(109,Program090[(J)
Accounts Payable Balance
(H + I)])</f>
        <v>372572</v>
      </c>
      <c r="K298" s="19">
        <f>SUBTOTAL(109,Program090[(K)
Established 
Accounts Receivable])</f>
        <v>691753</v>
      </c>
      <c r="L298" s="19">
        <f>SUBTOTAL(109,Program090[(L)
Recovered
 Accounts Receivable])</f>
        <v>-691753</v>
      </c>
      <c r="M298" s="19">
        <f>SUBTOTAL(109,Program090[(M)
Accounts Receivable Balance
(K + L)])</f>
        <v>0</v>
      </c>
      <c r="N298" s="19">
        <f>SUBTOTAL(109,Program090[(N)
Net Balance
(J minus M)])</f>
        <v>372572</v>
      </c>
    </row>
    <row r="299" spans="1:14" ht="15.75" x14ac:dyDescent="0.25">
      <c r="A299" s="17" t="s">
        <v>13</v>
      </c>
      <c r="B299" s="54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</row>
    <row r="300" spans="1:14" ht="78.75" x14ac:dyDescent="0.25">
      <c r="A300" s="39" t="s">
        <v>32</v>
      </c>
      <c r="B300" s="40" t="s">
        <v>33</v>
      </c>
      <c r="C300" s="41" t="s">
        <v>34</v>
      </c>
      <c r="D300" s="41" t="s">
        <v>35</v>
      </c>
      <c r="E300" s="42" t="s">
        <v>36</v>
      </c>
      <c r="F300" s="42" t="s">
        <v>37</v>
      </c>
      <c r="G300" s="42" t="s">
        <v>38</v>
      </c>
      <c r="H300" s="43" t="s">
        <v>39</v>
      </c>
      <c r="I300" s="44" t="s">
        <v>40</v>
      </c>
      <c r="J300" s="44" t="s">
        <v>41</v>
      </c>
      <c r="K300" s="42" t="s">
        <v>42</v>
      </c>
      <c r="L300" s="44" t="s">
        <v>43</v>
      </c>
      <c r="M300" s="44" t="s">
        <v>44</v>
      </c>
      <c r="N300" s="45" t="s">
        <v>45</v>
      </c>
    </row>
    <row r="301" spans="1:14" ht="15.75" x14ac:dyDescent="0.25">
      <c r="A301" s="46" t="s">
        <v>117</v>
      </c>
      <c r="B301" s="47" t="s">
        <v>60</v>
      </c>
      <c r="C301" s="48">
        <v>68394</v>
      </c>
      <c r="D301" s="48">
        <v>-191</v>
      </c>
      <c r="E301" s="48">
        <v>0</v>
      </c>
      <c r="F301" s="48">
        <v>0</v>
      </c>
      <c r="G301" s="48">
        <v>0</v>
      </c>
      <c r="H301" s="48">
        <v>68203</v>
      </c>
      <c r="I301" s="48">
        <v>-68203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</row>
    <row r="302" spans="1:14" ht="15.75" x14ac:dyDescent="0.25">
      <c r="A302" s="49" t="s">
        <v>117</v>
      </c>
      <c r="B302" s="50" t="s">
        <v>61</v>
      </c>
      <c r="C302" s="51">
        <v>228633</v>
      </c>
      <c r="D302" s="51">
        <v>-18277</v>
      </c>
      <c r="E302" s="51">
        <v>0</v>
      </c>
      <c r="F302" s="51">
        <v>0</v>
      </c>
      <c r="G302" s="51">
        <v>0</v>
      </c>
      <c r="H302" s="51">
        <v>210356</v>
      </c>
      <c r="I302" s="51">
        <v>-210356</v>
      </c>
      <c r="J302" s="51">
        <v>0</v>
      </c>
      <c r="K302" s="51">
        <v>982</v>
      </c>
      <c r="L302" s="51">
        <v>-982</v>
      </c>
      <c r="M302" s="51">
        <v>0</v>
      </c>
      <c r="N302" s="51">
        <v>0</v>
      </c>
    </row>
    <row r="303" spans="1:14" ht="15.75" x14ac:dyDescent="0.25">
      <c r="A303" s="49" t="s">
        <v>117</v>
      </c>
      <c r="B303" s="50" t="s">
        <v>66</v>
      </c>
      <c r="C303" s="51">
        <v>203643</v>
      </c>
      <c r="D303" s="51">
        <v>0</v>
      </c>
      <c r="E303" s="51">
        <v>0</v>
      </c>
      <c r="F303" s="51">
        <v>0</v>
      </c>
      <c r="G303" s="51">
        <v>0</v>
      </c>
      <c r="H303" s="51">
        <v>203643</v>
      </c>
      <c r="I303" s="51">
        <v>-203643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</row>
    <row r="304" spans="1:14" ht="15.75" x14ac:dyDescent="0.25">
      <c r="A304" s="49" t="s">
        <v>117</v>
      </c>
      <c r="B304" s="50" t="s">
        <v>67</v>
      </c>
      <c r="C304" s="51">
        <v>2493878</v>
      </c>
      <c r="D304" s="51">
        <v>-121327</v>
      </c>
      <c r="E304" s="51">
        <v>0</v>
      </c>
      <c r="F304" s="51">
        <v>0</v>
      </c>
      <c r="G304" s="51">
        <v>0</v>
      </c>
      <c r="H304" s="51">
        <v>2372551</v>
      </c>
      <c r="I304" s="51">
        <v>-2372551</v>
      </c>
      <c r="J304" s="51">
        <v>0</v>
      </c>
      <c r="K304" s="51">
        <v>597584</v>
      </c>
      <c r="L304" s="51">
        <v>-597584</v>
      </c>
      <c r="M304" s="51">
        <v>0</v>
      </c>
      <c r="N304" s="51">
        <v>0</v>
      </c>
    </row>
    <row r="305" spans="1:14" ht="15.75" x14ac:dyDescent="0.25">
      <c r="A305" s="49" t="s">
        <v>117</v>
      </c>
      <c r="B305" s="50" t="s">
        <v>68</v>
      </c>
      <c r="C305" s="51">
        <v>2188633</v>
      </c>
      <c r="D305" s="51">
        <v>-208140</v>
      </c>
      <c r="E305" s="51">
        <v>0</v>
      </c>
      <c r="F305" s="51">
        <v>0</v>
      </c>
      <c r="G305" s="51">
        <v>0</v>
      </c>
      <c r="H305" s="51">
        <v>1980493</v>
      </c>
      <c r="I305" s="51">
        <v>-1980493</v>
      </c>
      <c r="J305" s="51">
        <v>0</v>
      </c>
      <c r="K305" s="51">
        <v>338820</v>
      </c>
      <c r="L305" s="51">
        <v>-338820</v>
      </c>
      <c r="M305" s="51">
        <v>0</v>
      </c>
      <c r="N305" s="51">
        <v>0</v>
      </c>
    </row>
    <row r="306" spans="1:14" ht="15.75" x14ac:dyDescent="0.25">
      <c r="A306" s="49" t="s">
        <v>117</v>
      </c>
      <c r="B306" s="50" t="s">
        <v>69</v>
      </c>
      <c r="C306" s="51">
        <v>1722626</v>
      </c>
      <c r="D306" s="51">
        <v>-274988</v>
      </c>
      <c r="E306" s="51">
        <v>0</v>
      </c>
      <c r="F306" s="51">
        <v>0</v>
      </c>
      <c r="G306" s="51">
        <v>0</v>
      </c>
      <c r="H306" s="51">
        <v>1447638</v>
      </c>
      <c r="I306" s="51">
        <v>-1447638</v>
      </c>
      <c r="J306" s="51">
        <v>0</v>
      </c>
      <c r="K306" s="51">
        <v>233736</v>
      </c>
      <c r="L306" s="51">
        <v>-233736</v>
      </c>
      <c r="M306" s="51">
        <v>0</v>
      </c>
      <c r="N306" s="51">
        <v>0</v>
      </c>
    </row>
    <row r="307" spans="1:14" ht="15.75" x14ac:dyDescent="0.25">
      <c r="A307" s="49" t="s">
        <v>117</v>
      </c>
      <c r="B307" s="50" t="s">
        <v>115</v>
      </c>
      <c r="C307" s="51">
        <v>1716772</v>
      </c>
      <c r="D307" s="51">
        <v>-305348</v>
      </c>
      <c r="E307" s="51">
        <v>0</v>
      </c>
      <c r="F307" s="51">
        <v>0</v>
      </c>
      <c r="G307" s="51">
        <v>0</v>
      </c>
      <c r="H307" s="51">
        <v>1411424</v>
      </c>
      <c r="I307" s="51">
        <v>-1411424</v>
      </c>
      <c r="J307" s="51">
        <v>0</v>
      </c>
      <c r="K307" s="51">
        <v>296906</v>
      </c>
      <c r="L307" s="51">
        <v>-296906</v>
      </c>
      <c r="M307" s="51">
        <v>0</v>
      </c>
      <c r="N307" s="51">
        <v>0</v>
      </c>
    </row>
    <row r="308" spans="1:14" ht="15.75" x14ac:dyDescent="0.25">
      <c r="A308" s="49" t="s">
        <v>117</v>
      </c>
      <c r="B308" s="50" t="s">
        <v>99</v>
      </c>
      <c r="C308" s="51">
        <v>1654661</v>
      </c>
      <c r="D308" s="51">
        <v>-286908</v>
      </c>
      <c r="E308" s="51">
        <v>0</v>
      </c>
      <c r="F308" s="51">
        <v>0</v>
      </c>
      <c r="G308" s="51">
        <v>0</v>
      </c>
      <c r="H308" s="51">
        <v>1367753</v>
      </c>
      <c r="I308" s="51">
        <v>-1367753</v>
      </c>
      <c r="J308" s="51">
        <v>0</v>
      </c>
      <c r="K308" s="51">
        <v>278788</v>
      </c>
      <c r="L308" s="51">
        <v>-278788</v>
      </c>
      <c r="M308" s="51">
        <v>0</v>
      </c>
      <c r="N308" s="51">
        <v>0</v>
      </c>
    </row>
    <row r="309" spans="1:14" ht="15.75" x14ac:dyDescent="0.25">
      <c r="A309" s="52" t="s">
        <v>118</v>
      </c>
      <c r="B309" s="53" t="s">
        <v>8</v>
      </c>
      <c r="C309" s="19">
        <f>SUBTOTAL(109,Program085[(C)
Program
Costs])</f>
        <v>10277240</v>
      </c>
      <c r="D309" s="19">
        <f>SUBTOTAL(109,Program085[(D)
Prior Period Adjustments])</f>
        <v>-1215179</v>
      </c>
      <c r="E309" s="19">
        <f>SUBTOTAL(109,Program085[(E)
Current Period Desk 
Reviews])</f>
        <v>0</v>
      </c>
      <c r="F309" s="19">
        <f>SUBTOTAL(109,Program085[(F)
Current Period 
Final 
Audits])</f>
        <v>0</v>
      </c>
      <c r="G309" s="19">
        <f>SUBTOTAL(109,Program085[(G)
Current Period 
Other Adjustments])</f>
        <v>0</v>
      </c>
      <c r="H309" s="19">
        <f>SUBTOTAL(109,Program085[(H)
Net Program Costs
Sum (C through G)])</f>
        <v>9062061</v>
      </c>
      <c r="I309" s="19">
        <f>SUBTOTAL(109,Program085[(I)
Payments
 and Offsets])</f>
        <v>-9062061</v>
      </c>
      <c r="J309" s="19">
        <f>SUBTOTAL(109,Program085[(J)
Accounts Payable Balance
(H + I)])</f>
        <v>0</v>
      </c>
      <c r="K309" s="19">
        <f>SUBTOTAL(109,Program085[(K)
Established 
Accounts Receivable])</f>
        <v>1746816</v>
      </c>
      <c r="L309" s="19">
        <f>SUBTOTAL(109,Program085[(L)
Recovered
 Accounts Receivable])</f>
        <v>-1746816</v>
      </c>
      <c r="M309" s="19">
        <f>SUBTOTAL(109,Program085[(M)
Accounts Receivable Balance
(K + L)])</f>
        <v>0</v>
      </c>
      <c r="N309" s="19">
        <f>SUBTOTAL(109,Program085[(N)
Net Balance
(J minus M)])</f>
        <v>0</v>
      </c>
    </row>
    <row r="310" spans="1:14" ht="15.75" x14ac:dyDescent="0.25">
      <c r="A310" s="17" t="s">
        <v>13</v>
      </c>
      <c r="B310" s="54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</row>
    <row r="311" spans="1:14" ht="78.75" x14ac:dyDescent="0.25">
      <c r="A311" s="39" t="s">
        <v>32</v>
      </c>
      <c r="B311" s="40" t="s">
        <v>33</v>
      </c>
      <c r="C311" s="41" t="s">
        <v>34</v>
      </c>
      <c r="D311" s="41" t="s">
        <v>35</v>
      </c>
      <c r="E311" s="42" t="s">
        <v>36</v>
      </c>
      <c r="F311" s="42" t="s">
        <v>37</v>
      </c>
      <c r="G311" s="42" t="s">
        <v>38</v>
      </c>
      <c r="H311" s="43" t="s">
        <v>39</v>
      </c>
      <c r="I311" s="44" t="s">
        <v>40</v>
      </c>
      <c r="J311" s="44" t="s">
        <v>41</v>
      </c>
      <c r="K311" s="42" t="s">
        <v>42</v>
      </c>
      <c r="L311" s="44" t="s">
        <v>43</v>
      </c>
      <c r="M311" s="44" t="s">
        <v>44</v>
      </c>
      <c r="N311" s="45" t="s">
        <v>45</v>
      </c>
    </row>
    <row r="312" spans="1:14" ht="15.75" x14ac:dyDescent="0.25">
      <c r="A312" s="46" t="s">
        <v>119</v>
      </c>
      <c r="B312" s="47" t="s">
        <v>60</v>
      </c>
      <c r="C312" s="48">
        <v>6218</v>
      </c>
      <c r="D312" s="48">
        <v>0</v>
      </c>
      <c r="E312" s="48">
        <v>0</v>
      </c>
      <c r="F312" s="48">
        <v>0</v>
      </c>
      <c r="G312" s="48">
        <v>0</v>
      </c>
      <c r="H312" s="48">
        <v>6218</v>
      </c>
      <c r="I312" s="48">
        <v>-6218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</row>
    <row r="313" spans="1:14" ht="15.75" x14ac:dyDescent="0.25">
      <c r="A313" s="49" t="s">
        <v>119</v>
      </c>
      <c r="B313" s="50" t="s">
        <v>61</v>
      </c>
      <c r="C313" s="51">
        <v>5561</v>
      </c>
      <c r="D313" s="51">
        <v>0</v>
      </c>
      <c r="E313" s="51">
        <v>0</v>
      </c>
      <c r="F313" s="51">
        <v>0</v>
      </c>
      <c r="G313" s="51">
        <v>0</v>
      </c>
      <c r="H313" s="51">
        <v>5561</v>
      </c>
      <c r="I313" s="51">
        <v>-5561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</row>
    <row r="314" spans="1:14" ht="15.75" x14ac:dyDescent="0.25">
      <c r="A314" s="49" t="s">
        <v>119</v>
      </c>
      <c r="B314" s="50" t="s">
        <v>66</v>
      </c>
      <c r="C314" s="51">
        <v>14523</v>
      </c>
      <c r="D314" s="51">
        <v>-324</v>
      </c>
      <c r="E314" s="51">
        <v>0</v>
      </c>
      <c r="F314" s="51">
        <v>0</v>
      </c>
      <c r="G314" s="51">
        <v>0</v>
      </c>
      <c r="H314" s="51">
        <v>14199</v>
      </c>
      <c r="I314" s="51">
        <v>-14199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</row>
    <row r="315" spans="1:14" ht="15.75" x14ac:dyDescent="0.25">
      <c r="A315" s="49" t="s">
        <v>119</v>
      </c>
      <c r="B315" s="50" t="s">
        <v>67</v>
      </c>
      <c r="C315" s="51">
        <v>30882</v>
      </c>
      <c r="D315" s="51">
        <v>-3905</v>
      </c>
      <c r="E315" s="51">
        <v>0</v>
      </c>
      <c r="F315" s="51">
        <v>0</v>
      </c>
      <c r="G315" s="51">
        <v>0</v>
      </c>
      <c r="H315" s="51">
        <v>26977</v>
      </c>
      <c r="I315" s="51">
        <v>-26977</v>
      </c>
      <c r="J315" s="51">
        <v>0</v>
      </c>
      <c r="K315" s="51">
        <v>3329</v>
      </c>
      <c r="L315" s="51">
        <v>-3329</v>
      </c>
      <c r="M315" s="51">
        <v>0</v>
      </c>
      <c r="N315" s="51">
        <v>0</v>
      </c>
    </row>
    <row r="316" spans="1:14" ht="15.75" x14ac:dyDescent="0.25">
      <c r="A316" s="49" t="s">
        <v>119</v>
      </c>
      <c r="B316" s="50" t="s">
        <v>68</v>
      </c>
      <c r="C316" s="51">
        <v>0</v>
      </c>
      <c r="D316" s="51">
        <v>0</v>
      </c>
      <c r="E316" s="51">
        <v>0</v>
      </c>
      <c r="F316" s="51">
        <v>0</v>
      </c>
      <c r="G316" s="51">
        <v>0</v>
      </c>
      <c r="H316" s="51">
        <v>0</v>
      </c>
      <c r="I316" s="51">
        <v>0</v>
      </c>
      <c r="J316" s="51">
        <v>0</v>
      </c>
      <c r="K316" s="51">
        <v>1827</v>
      </c>
      <c r="L316" s="51">
        <v>-1827</v>
      </c>
      <c r="M316" s="51">
        <v>0</v>
      </c>
      <c r="N316" s="51">
        <v>0</v>
      </c>
    </row>
    <row r="317" spans="1:14" ht="15.75" x14ac:dyDescent="0.25">
      <c r="A317" s="52" t="s">
        <v>120</v>
      </c>
      <c r="B317" s="53" t="s">
        <v>8</v>
      </c>
      <c r="C317" s="19">
        <f>SUBTOTAL(109,Program008[(C)
Program
Costs])</f>
        <v>57184</v>
      </c>
      <c r="D317" s="19">
        <f>SUBTOTAL(109,Program008[(D)
Prior Period Adjustments])</f>
        <v>-4229</v>
      </c>
      <c r="E317" s="19">
        <f>SUBTOTAL(109,Program008[(E)
Current Period Desk 
Reviews])</f>
        <v>0</v>
      </c>
      <c r="F317" s="19">
        <f>SUBTOTAL(109,Program008[(F)
Current Period 
Final 
Audits])</f>
        <v>0</v>
      </c>
      <c r="G317" s="19">
        <f>SUBTOTAL(109,Program008[(G)
Current Period 
Other Adjustments])</f>
        <v>0</v>
      </c>
      <c r="H317" s="19">
        <f>SUBTOTAL(109,Program008[(H)
Net Program Costs
Sum (C through G)])</f>
        <v>52955</v>
      </c>
      <c r="I317" s="19">
        <f>SUBTOTAL(109,Program008[(I)
Payments
 and Offsets])</f>
        <v>-52955</v>
      </c>
      <c r="J317" s="19">
        <f>SUBTOTAL(109,Program008[(J)
Accounts Payable Balance
(H + I)])</f>
        <v>0</v>
      </c>
      <c r="K317" s="19">
        <f>SUBTOTAL(109,Program008[(K)
Established 
Accounts Receivable])</f>
        <v>5156</v>
      </c>
      <c r="L317" s="19">
        <f>SUBTOTAL(109,Program008[(L)
Recovered
 Accounts Receivable])</f>
        <v>-5156</v>
      </c>
      <c r="M317" s="19">
        <f>SUBTOTAL(109,Program008[(M)
Accounts Receivable Balance
(K + L)])</f>
        <v>0</v>
      </c>
      <c r="N317" s="19">
        <f>SUBTOTAL(109,Program008[(N)
Net Balance
(J minus M)])</f>
        <v>0</v>
      </c>
    </row>
    <row r="318" spans="1:14" ht="15.75" x14ac:dyDescent="0.25">
      <c r="A318" s="17" t="s">
        <v>13</v>
      </c>
      <c r="B318" s="54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</row>
    <row r="319" spans="1:14" ht="78.75" x14ac:dyDescent="0.25">
      <c r="A319" s="39" t="s">
        <v>32</v>
      </c>
      <c r="B319" s="40" t="s">
        <v>33</v>
      </c>
      <c r="C319" s="41" t="s">
        <v>34</v>
      </c>
      <c r="D319" s="41" t="s">
        <v>35</v>
      </c>
      <c r="E319" s="42" t="s">
        <v>36</v>
      </c>
      <c r="F319" s="42" t="s">
        <v>37</v>
      </c>
      <c r="G319" s="42" t="s">
        <v>38</v>
      </c>
      <c r="H319" s="43" t="s">
        <v>39</v>
      </c>
      <c r="I319" s="44" t="s">
        <v>40</v>
      </c>
      <c r="J319" s="44" t="s">
        <v>41</v>
      </c>
      <c r="K319" s="42" t="s">
        <v>42</v>
      </c>
      <c r="L319" s="44" t="s">
        <v>43</v>
      </c>
      <c r="M319" s="44" t="s">
        <v>44</v>
      </c>
      <c r="N319" s="45" t="s">
        <v>45</v>
      </c>
    </row>
    <row r="320" spans="1:14" ht="30" x14ac:dyDescent="0.25">
      <c r="A320" s="67" t="s">
        <v>121</v>
      </c>
      <c r="B320" s="57" t="s">
        <v>83</v>
      </c>
      <c r="C320" s="58">
        <v>14628552</v>
      </c>
      <c r="D320" s="58">
        <v>-1753741</v>
      </c>
      <c r="E320" s="58">
        <v>0</v>
      </c>
      <c r="F320" s="58">
        <v>-221025</v>
      </c>
      <c r="G320" s="58">
        <v>0</v>
      </c>
      <c r="H320" s="58">
        <v>12653786</v>
      </c>
      <c r="I320" s="58">
        <v>0</v>
      </c>
      <c r="J320" s="58">
        <v>12653786</v>
      </c>
      <c r="K320" s="58">
        <v>0</v>
      </c>
      <c r="L320" s="58">
        <v>0</v>
      </c>
      <c r="M320" s="58">
        <v>0</v>
      </c>
      <c r="N320" s="58">
        <v>12653786</v>
      </c>
    </row>
    <row r="321" spans="1:14" ht="30" x14ac:dyDescent="0.25">
      <c r="A321" s="68" t="s">
        <v>121</v>
      </c>
      <c r="B321" s="60" t="s">
        <v>48</v>
      </c>
      <c r="C321" s="61">
        <v>16747535</v>
      </c>
      <c r="D321" s="61">
        <v>-2015913</v>
      </c>
      <c r="E321" s="61">
        <v>0</v>
      </c>
      <c r="F321" s="61">
        <v>-389163</v>
      </c>
      <c r="G321" s="61">
        <v>0</v>
      </c>
      <c r="H321" s="61">
        <v>14342459</v>
      </c>
      <c r="I321" s="61">
        <v>0</v>
      </c>
      <c r="J321" s="61">
        <v>14342459</v>
      </c>
      <c r="K321" s="61">
        <v>0</v>
      </c>
      <c r="L321" s="61">
        <v>0</v>
      </c>
      <c r="M321" s="61">
        <v>0</v>
      </c>
      <c r="N321" s="61">
        <v>14342459</v>
      </c>
    </row>
    <row r="322" spans="1:14" ht="30" x14ac:dyDescent="0.25">
      <c r="A322" s="68" t="s">
        <v>121</v>
      </c>
      <c r="B322" s="60" t="s">
        <v>49</v>
      </c>
      <c r="C322" s="61">
        <v>16738344</v>
      </c>
      <c r="D322" s="61">
        <v>-2948518</v>
      </c>
      <c r="E322" s="61">
        <v>0</v>
      </c>
      <c r="F322" s="61">
        <v>-373629</v>
      </c>
      <c r="G322" s="61">
        <v>0</v>
      </c>
      <c r="H322" s="61">
        <v>13416197</v>
      </c>
      <c r="I322" s="61">
        <v>0</v>
      </c>
      <c r="J322" s="61">
        <v>13416197</v>
      </c>
      <c r="K322" s="61">
        <v>0</v>
      </c>
      <c r="L322" s="61">
        <v>0</v>
      </c>
      <c r="M322" s="61">
        <v>0</v>
      </c>
      <c r="N322" s="61">
        <v>13416197</v>
      </c>
    </row>
    <row r="323" spans="1:14" ht="30" x14ac:dyDescent="0.25">
      <c r="A323" s="68" t="s">
        <v>121</v>
      </c>
      <c r="B323" s="60" t="s">
        <v>50</v>
      </c>
      <c r="C323" s="61">
        <v>16260598</v>
      </c>
      <c r="D323" s="61">
        <v>-3188624</v>
      </c>
      <c r="E323" s="61">
        <v>0</v>
      </c>
      <c r="F323" s="61">
        <v>-192622</v>
      </c>
      <c r="G323" s="61">
        <v>0</v>
      </c>
      <c r="H323" s="61">
        <v>12879352</v>
      </c>
      <c r="I323" s="61">
        <v>0</v>
      </c>
      <c r="J323" s="61">
        <v>12879352</v>
      </c>
      <c r="K323" s="61">
        <v>0</v>
      </c>
      <c r="L323" s="61">
        <v>0</v>
      </c>
      <c r="M323" s="61">
        <v>0</v>
      </c>
      <c r="N323" s="61">
        <v>12879352</v>
      </c>
    </row>
    <row r="324" spans="1:14" ht="30" x14ac:dyDescent="0.25">
      <c r="A324" s="68" t="s">
        <v>121</v>
      </c>
      <c r="B324" s="60" t="s">
        <v>51</v>
      </c>
      <c r="C324" s="61">
        <v>15831455</v>
      </c>
      <c r="D324" s="61">
        <v>-3422213</v>
      </c>
      <c r="E324" s="61">
        <v>0</v>
      </c>
      <c r="F324" s="61">
        <v>-269861</v>
      </c>
      <c r="G324" s="61">
        <v>0</v>
      </c>
      <c r="H324" s="61">
        <v>12139381</v>
      </c>
      <c r="I324" s="61">
        <v>0</v>
      </c>
      <c r="J324" s="61">
        <v>12139381</v>
      </c>
      <c r="K324" s="61">
        <v>0</v>
      </c>
      <c r="L324" s="61">
        <v>0</v>
      </c>
      <c r="M324" s="61">
        <v>0</v>
      </c>
      <c r="N324" s="61">
        <v>12139381</v>
      </c>
    </row>
    <row r="325" spans="1:14" ht="30" x14ac:dyDescent="0.25">
      <c r="A325" s="68" t="s">
        <v>121</v>
      </c>
      <c r="B325" s="60" t="s">
        <v>52</v>
      </c>
      <c r="C325" s="61">
        <v>14868208</v>
      </c>
      <c r="D325" s="61">
        <v>-2233579</v>
      </c>
      <c r="E325" s="61">
        <v>0</v>
      </c>
      <c r="F325" s="61">
        <v>-238051</v>
      </c>
      <c r="G325" s="61">
        <v>0</v>
      </c>
      <c r="H325" s="61">
        <v>12396578</v>
      </c>
      <c r="I325" s="61">
        <v>0</v>
      </c>
      <c r="J325" s="61">
        <v>12396578</v>
      </c>
      <c r="K325" s="61">
        <v>0</v>
      </c>
      <c r="L325" s="61">
        <v>0</v>
      </c>
      <c r="M325" s="61">
        <v>0</v>
      </c>
      <c r="N325" s="61">
        <v>12396578</v>
      </c>
    </row>
    <row r="326" spans="1:14" ht="30" x14ac:dyDescent="0.25">
      <c r="A326" s="68" t="s">
        <v>121</v>
      </c>
      <c r="B326" s="60" t="s">
        <v>53</v>
      </c>
      <c r="C326" s="61">
        <v>14352884</v>
      </c>
      <c r="D326" s="61">
        <v>-2543663</v>
      </c>
      <c r="E326" s="61">
        <v>0</v>
      </c>
      <c r="F326" s="61">
        <v>-225467</v>
      </c>
      <c r="G326" s="61">
        <v>0</v>
      </c>
      <c r="H326" s="61">
        <v>11583754</v>
      </c>
      <c r="I326" s="61">
        <v>0</v>
      </c>
      <c r="J326" s="61">
        <v>11583754</v>
      </c>
      <c r="K326" s="61">
        <v>0</v>
      </c>
      <c r="L326" s="61">
        <v>0</v>
      </c>
      <c r="M326" s="61">
        <v>0</v>
      </c>
      <c r="N326" s="61">
        <v>11583754</v>
      </c>
    </row>
    <row r="327" spans="1:14" ht="30" x14ac:dyDescent="0.25">
      <c r="A327" s="68" t="s">
        <v>121</v>
      </c>
      <c r="B327" s="60" t="s">
        <v>54</v>
      </c>
      <c r="C327" s="61">
        <v>14040566</v>
      </c>
      <c r="D327" s="61">
        <v>-2348974</v>
      </c>
      <c r="E327" s="61">
        <v>0</v>
      </c>
      <c r="F327" s="61">
        <v>-290086</v>
      </c>
      <c r="G327" s="61">
        <v>0</v>
      </c>
      <c r="H327" s="61">
        <v>11401506</v>
      </c>
      <c r="I327" s="61">
        <v>0</v>
      </c>
      <c r="J327" s="61">
        <v>11401506</v>
      </c>
      <c r="K327" s="61">
        <v>0</v>
      </c>
      <c r="L327" s="61">
        <v>0</v>
      </c>
      <c r="M327" s="61">
        <v>0</v>
      </c>
      <c r="N327" s="61">
        <v>11401506</v>
      </c>
    </row>
    <row r="328" spans="1:14" ht="30" x14ac:dyDescent="0.25">
      <c r="A328" s="68" t="s">
        <v>121</v>
      </c>
      <c r="B328" s="60" t="s">
        <v>55</v>
      </c>
      <c r="C328" s="61">
        <v>13088411</v>
      </c>
      <c r="D328" s="61">
        <v>-2261236</v>
      </c>
      <c r="E328" s="61">
        <v>0</v>
      </c>
      <c r="F328" s="61">
        <v>-158476</v>
      </c>
      <c r="G328" s="61">
        <v>0</v>
      </c>
      <c r="H328" s="61">
        <v>10668699</v>
      </c>
      <c r="I328" s="61">
        <v>0</v>
      </c>
      <c r="J328" s="61">
        <v>10668699</v>
      </c>
      <c r="K328" s="61">
        <v>0</v>
      </c>
      <c r="L328" s="61">
        <v>0</v>
      </c>
      <c r="M328" s="61">
        <v>0</v>
      </c>
      <c r="N328" s="61">
        <v>10668699</v>
      </c>
    </row>
    <row r="329" spans="1:14" ht="30" x14ac:dyDescent="0.25">
      <c r="A329" s="68" t="s">
        <v>121</v>
      </c>
      <c r="B329" s="60" t="s">
        <v>56</v>
      </c>
      <c r="C329" s="61">
        <v>12231105</v>
      </c>
      <c r="D329" s="61">
        <v>-2329713</v>
      </c>
      <c r="E329" s="61">
        <v>0</v>
      </c>
      <c r="F329" s="61">
        <v>-152693</v>
      </c>
      <c r="G329" s="61">
        <v>0</v>
      </c>
      <c r="H329" s="61">
        <v>9748699</v>
      </c>
      <c r="I329" s="61">
        <v>0</v>
      </c>
      <c r="J329" s="61">
        <v>9748699</v>
      </c>
      <c r="K329" s="61">
        <v>0</v>
      </c>
      <c r="L329" s="61">
        <v>0</v>
      </c>
      <c r="M329" s="61">
        <v>0</v>
      </c>
      <c r="N329" s="61">
        <v>9748699</v>
      </c>
    </row>
    <row r="330" spans="1:14" ht="30" x14ac:dyDescent="0.25">
      <c r="A330" s="68" t="s">
        <v>121</v>
      </c>
      <c r="B330" s="60" t="s">
        <v>57</v>
      </c>
      <c r="C330" s="61">
        <v>11447700</v>
      </c>
      <c r="D330" s="61">
        <v>-1995583</v>
      </c>
      <c r="E330" s="61">
        <v>0</v>
      </c>
      <c r="F330" s="61">
        <v>-146764</v>
      </c>
      <c r="G330" s="61">
        <v>0</v>
      </c>
      <c r="H330" s="61">
        <v>9305353</v>
      </c>
      <c r="I330" s="61">
        <v>0</v>
      </c>
      <c r="J330" s="61">
        <v>9305353</v>
      </c>
      <c r="K330" s="61">
        <v>0</v>
      </c>
      <c r="L330" s="61">
        <v>0</v>
      </c>
      <c r="M330" s="61">
        <v>0</v>
      </c>
      <c r="N330" s="61">
        <v>9305353</v>
      </c>
    </row>
    <row r="331" spans="1:14" ht="15.75" x14ac:dyDescent="0.25">
      <c r="A331" s="52" t="s">
        <v>122</v>
      </c>
      <c r="B331" s="53" t="s">
        <v>8</v>
      </c>
      <c r="C331" s="19">
        <f>SUBTOTAL(109,Program310[(C)
Program
Costs])</f>
        <v>160235358</v>
      </c>
      <c r="D331" s="19">
        <f>SUBTOTAL(109,Program310[(D)
Prior Period Adjustments])</f>
        <v>-27041757</v>
      </c>
      <c r="E331" s="19">
        <f>SUBTOTAL(109,Program310[(E)
Current Period Desk 
Reviews])</f>
        <v>0</v>
      </c>
      <c r="F331" s="19">
        <f>SUBTOTAL(109,Program310[(F)
Current Period 
Final 
Audits])</f>
        <v>-2657837</v>
      </c>
      <c r="G331" s="19">
        <f>SUBTOTAL(109,Program310[(G)
Current Period 
Other Adjustments])</f>
        <v>0</v>
      </c>
      <c r="H331" s="19">
        <f>SUBTOTAL(109,Program310[(H)
Net Program Costs
Sum (C through G)])</f>
        <v>130535764</v>
      </c>
      <c r="I331" s="19">
        <f>SUBTOTAL(109,Program310[(I)
Payments
 and Offsets])</f>
        <v>0</v>
      </c>
      <c r="J331" s="19">
        <f>SUBTOTAL(109,Program310[(J)
Accounts Payable Balance
(H + I)])</f>
        <v>130535764</v>
      </c>
      <c r="K331" s="19">
        <f>SUBTOTAL(109,Program310[(K)
Established 
Accounts Receivable])</f>
        <v>0</v>
      </c>
      <c r="L331" s="19">
        <f>SUBTOTAL(109,Program310[(L)
Recovered
 Accounts Receivable])</f>
        <v>0</v>
      </c>
      <c r="M331" s="19">
        <f>SUBTOTAL(109,Program310[(M)
Accounts Receivable Balance
(K + L)])</f>
        <v>0</v>
      </c>
      <c r="N331" s="19">
        <f>SUBTOTAL(109,Program310[(N)
Net Balance
(J minus M)])</f>
        <v>130535764</v>
      </c>
    </row>
    <row r="332" spans="1:14" ht="15.75" x14ac:dyDescent="0.25">
      <c r="A332" s="17" t="s">
        <v>13</v>
      </c>
      <c r="B332" s="54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</row>
    <row r="333" spans="1:14" ht="78.75" x14ac:dyDescent="0.25">
      <c r="A333" s="39" t="s">
        <v>32</v>
      </c>
      <c r="B333" s="40" t="s">
        <v>33</v>
      </c>
      <c r="C333" s="41" t="s">
        <v>34</v>
      </c>
      <c r="D333" s="41" t="s">
        <v>35</v>
      </c>
      <c r="E333" s="42" t="s">
        <v>36</v>
      </c>
      <c r="F333" s="42" t="s">
        <v>37</v>
      </c>
      <c r="G333" s="42" t="s">
        <v>38</v>
      </c>
      <c r="H333" s="43" t="s">
        <v>39</v>
      </c>
      <c r="I333" s="44" t="s">
        <v>40</v>
      </c>
      <c r="J333" s="44" t="s">
        <v>41</v>
      </c>
      <c r="K333" s="42" t="s">
        <v>42</v>
      </c>
      <c r="L333" s="44" t="s">
        <v>43</v>
      </c>
      <c r="M333" s="44" t="s">
        <v>44</v>
      </c>
      <c r="N333" s="45" t="s">
        <v>45</v>
      </c>
    </row>
    <row r="334" spans="1:14" ht="30" x14ac:dyDescent="0.25">
      <c r="A334" s="67" t="s">
        <v>123</v>
      </c>
      <c r="B334" s="57" t="s">
        <v>76</v>
      </c>
      <c r="C334" s="58">
        <v>179639</v>
      </c>
      <c r="D334" s="58">
        <v>0</v>
      </c>
      <c r="E334" s="58">
        <v>0</v>
      </c>
      <c r="F334" s="58">
        <v>0</v>
      </c>
      <c r="G334" s="58">
        <v>0</v>
      </c>
      <c r="H334" s="58">
        <v>179639</v>
      </c>
      <c r="I334" s="58">
        <v>0</v>
      </c>
      <c r="J334" s="58">
        <v>179639</v>
      </c>
      <c r="K334" s="58">
        <v>0</v>
      </c>
      <c r="L334" s="58">
        <v>0</v>
      </c>
      <c r="M334" s="58">
        <v>0</v>
      </c>
      <c r="N334" s="58">
        <v>179639</v>
      </c>
    </row>
    <row r="335" spans="1:14" ht="30" x14ac:dyDescent="0.25">
      <c r="A335" s="68" t="s">
        <v>123</v>
      </c>
      <c r="B335" s="60" t="s">
        <v>77</v>
      </c>
      <c r="C335" s="61">
        <v>174537</v>
      </c>
      <c r="D335" s="61">
        <v>-922</v>
      </c>
      <c r="E335" s="61">
        <v>0</v>
      </c>
      <c r="F335" s="61">
        <v>0</v>
      </c>
      <c r="G335" s="61">
        <v>-116</v>
      </c>
      <c r="H335" s="61">
        <v>173499</v>
      </c>
      <c r="I335" s="61">
        <v>-172453</v>
      </c>
      <c r="J335" s="61">
        <v>1046</v>
      </c>
      <c r="K335" s="61">
        <v>0</v>
      </c>
      <c r="L335" s="61">
        <v>0</v>
      </c>
      <c r="M335" s="61">
        <v>0</v>
      </c>
      <c r="N335" s="61">
        <v>1046</v>
      </c>
    </row>
    <row r="336" spans="1:14" ht="30" x14ac:dyDescent="0.25">
      <c r="A336" s="68" t="s">
        <v>123</v>
      </c>
      <c r="B336" s="60" t="s">
        <v>78</v>
      </c>
      <c r="C336" s="61">
        <v>163807</v>
      </c>
      <c r="D336" s="61">
        <v>-276</v>
      </c>
      <c r="E336" s="61">
        <v>0</v>
      </c>
      <c r="F336" s="61">
        <v>0</v>
      </c>
      <c r="G336" s="61">
        <v>0</v>
      </c>
      <c r="H336" s="61">
        <v>163531</v>
      </c>
      <c r="I336" s="61">
        <v>-163531</v>
      </c>
      <c r="J336" s="61">
        <v>0</v>
      </c>
      <c r="K336" s="61">
        <v>71</v>
      </c>
      <c r="L336" s="61">
        <v>-71</v>
      </c>
      <c r="M336" s="61">
        <v>0</v>
      </c>
      <c r="N336" s="61">
        <v>0</v>
      </c>
    </row>
    <row r="337" spans="1:14" ht="30" x14ac:dyDescent="0.25">
      <c r="A337" s="68" t="s">
        <v>123</v>
      </c>
      <c r="B337" s="60" t="s">
        <v>47</v>
      </c>
      <c r="C337" s="61">
        <v>165120</v>
      </c>
      <c r="D337" s="61">
        <v>-219</v>
      </c>
      <c r="E337" s="61">
        <v>0</v>
      </c>
      <c r="F337" s="61">
        <v>0</v>
      </c>
      <c r="G337" s="61">
        <v>0</v>
      </c>
      <c r="H337" s="61">
        <v>164901</v>
      </c>
      <c r="I337" s="61">
        <v>-164901</v>
      </c>
      <c r="J337" s="61">
        <v>0</v>
      </c>
      <c r="K337" s="61">
        <v>0</v>
      </c>
      <c r="L337" s="61">
        <v>0</v>
      </c>
      <c r="M337" s="61">
        <v>0</v>
      </c>
      <c r="N337" s="61">
        <v>0</v>
      </c>
    </row>
    <row r="338" spans="1:14" ht="30" x14ac:dyDescent="0.25">
      <c r="A338" s="68" t="s">
        <v>123</v>
      </c>
      <c r="B338" s="60" t="s">
        <v>79</v>
      </c>
      <c r="C338" s="61">
        <v>159672</v>
      </c>
      <c r="D338" s="61">
        <v>0</v>
      </c>
      <c r="E338" s="61">
        <v>0</v>
      </c>
      <c r="F338" s="61">
        <v>0</v>
      </c>
      <c r="G338" s="61">
        <v>0</v>
      </c>
      <c r="H338" s="61">
        <v>159672</v>
      </c>
      <c r="I338" s="61">
        <v>-159672</v>
      </c>
      <c r="J338" s="61">
        <v>0</v>
      </c>
      <c r="K338" s="61">
        <v>0</v>
      </c>
      <c r="L338" s="61">
        <v>0</v>
      </c>
      <c r="M338" s="61">
        <v>0</v>
      </c>
      <c r="N338" s="61">
        <v>0</v>
      </c>
    </row>
    <row r="339" spans="1:14" ht="30" x14ac:dyDescent="0.25">
      <c r="A339" s="68" t="s">
        <v>123</v>
      </c>
      <c r="B339" s="60" t="s">
        <v>80</v>
      </c>
      <c r="C339" s="61">
        <v>161751</v>
      </c>
      <c r="D339" s="61">
        <v>-144</v>
      </c>
      <c r="E339" s="61">
        <v>0</v>
      </c>
      <c r="F339" s="61">
        <v>0</v>
      </c>
      <c r="G339" s="61">
        <v>0</v>
      </c>
      <c r="H339" s="61">
        <v>161607</v>
      </c>
      <c r="I339" s="61">
        <v>-161607</v>
      </c>
      <c r="J339" s="61">
        <v>0</v>
      </c>
      <c r="K339" s="61">
        <v>0</v>
      </c>
      <c r="L339" s="61">
        <v>0</v>
      </c>
      <c r="M339" s="61">
        <v>0</v>
      </c>
      <c r="N339" s="61">
        <v>0</v>
      </c>
    </row>
    <row r="340" spans="1:14" ht="30" x14ac:dyDescent="0.25">
      <c r="A340" s="68" t="s">
        <v>123</v>
      </c>
      <c r="B340" s="60" t="s">
        <v>81</v>
      </c>
      <c r="C340" s="61">
        <v>164081</v>
      </c>
      <c r="D340" s="61">
        <v>-363</v>
      </c>
      <c r="E340" s="61">
        <v>0</v>
      </c>
      <c r="F340" s="61">
        <v>0</v>
      </c>
      <c r="G340" s="61">
        <v>0</v>
      </c>
      <c r="H340" s="61">
        <v>163718</v>
      </c>
      <c r="I340" s="61">
        <v>-163718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ht="30" x14ac:dyDescent="0.25">
      <c r="A341" s="68" t="s">
        <v>123</v>
      </c>
      <c r="B341" s="60" t="s">
        <v>82</v>
      </c>
      <c r="C341" s="61">
        <v>176134</v>
      </c>
      <c r="D341" s="61">
        <v>-9</v>
      </c>
      <c r="E341" s="61">
        <v>0</v>
      </c>
      <c r="F341" s="61">
        <v>0</v>
      </c>
      <c r="G341" s="61">
        <v>0</v>
      </c>
      <c r="H341" s="61">
        <v>176125</v>
      </c>
      <c r="I341" s="61">
        <v>-176125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30" x14ac:dyDescent="0.25">
      <c r="A342" s="68" t="s">
        <v>123</v>
      </c>
      <c r="B342" s="60" t="s">
        <v>83</v>
      </c>
      <c r="C342" s="61">
        <v>174998</v>
      </c>
      <c r="D342" s="61">
        <v>0</v>
      </c>
      <c r="E342" s="61">
        <v>0</v>
      </c>
      <c r="F342" s="61">
        <v>0</v>
      </c>
      <c r="G342" s="61">
        <v>0</v>
      </c>
      <c r="H342" s="61">
        <v>174998</v>
      </c>
      <c r="I342" s="61">
        <v>-174998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</row>
    <row r="343" spans="1:14" ht="30" x14ac:dyDescent="0.25">
      <c r="A343" s="68" t="s">
        <v>123</v>
      </c>
      <c r="B343" s="60" t="s">
        <v>48</v>
      </c>
      <c r="C343" s="61">
        <v>167693</v>
      </c>
      <c r="D343" s="61">
        <v>0</v>
      </c>
      <c r="E343" s="61">
        <v>0</v>
      </c>
      <c r="F343" s="61">
        <v>0</v>
      </c>
      <c r="G343" s="61">
        <v>0</v>
      </c>
      <c r="H343" s="61">
        <v>167693</v>
      </c>
      <c r="I343" s="61">
        <v>-167693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</row>
    <row r="344" spans="1:14" ht="30" x14ac:dyDescent="0.25">
      <c r="A344" s="68" t="s">
        <v>123</v>
      </c>
      <c r="B344" s="60" t="s">
        <v>49</v>
      </c>
      <c r="C344" s="61">
        <v>160129</v>
      </c>
      <c r="D344" s="61">
        <v>-142</v>
      </c>
      <c r="E344" s="61">
        <v>0</v>
      </c>
      <c r="F344" s="61">
        <v>0</v>
      </c>
      <c r="G344" s="61">
        <v>0</v>
      </c>
      <c r="H344" s="61">
        <v>159987</v>
      </c>
      <c r="I344" s="61">
        <v>-159987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</row>
    <row r="345" spans="1:14" ht="30" x14ac:dyDescent="0.25">
      <c r="A345" s="68" t="s">
        <v>123</v>
      </c>
      <c r="B345" s="60" t="s">
        <v>50</v>
      </c>
      <c r="C345" s="61">
        <v>175045</v>
      </c>
      <c r="D345" s="61">
        <v>-2257</v>
      </c>
      <c r="E345" s="61">
        <v>0</v>
      </c>
      <c r="F345" s="61">
        <v>0</v>
      </c>
      <c r="G345" s="61">
        <v>0</v>
      </c>
      <c r="H345" s="61">
        <v>172788</v>
      </c>
      <c r="I345" s="61">
        <v>-172788</v>
      </c>
      <c r="J345" s="61">
        <v>0</v>
      </c>
      <c r="K345" s="61">
        <v>2257</v>
      </c>
      <c r="L345" s="61">
        <v>-2257</v>
      </c>
      <c r="M345" s="61">
        <v>0</v>
      </c>
      <c r="N345" s="61">
        <v>0</v>
      </c>
    </row>
    <row r="346" spans="1:14" ht="30" x14ac:dyDescent="0.25">
      <c r="A346" s="68" t="s">
        <v>123</v>
      </c>
      <c r="B346" s="60" t="s">
        <v>51</v>
      </c>
      <c r="C346" s="61">
        <v>167554</v>
      </c>
      <c r="D346" s="61">
        <v>-473</v>
      </c>
      <c r="E346" s="61">
        <v>0</v>
      </c>
      <c r="F346" s="61">
        <v>0</v>
      </c>
      <c r="G346" s="61">
        <v>0</v>
      </c>
      <c r="H346" s="61">
        <v>167081</v>
      </c>
      <c r="I346" s="61">
        <v>-167081</v>
      </c>
      <c r="J346" s="61">
        <v>0</v>
      </c>
      <c r="K346" s="61">
        <v>0</v>
      </c>
      <c r="L346" s="61">
        <v>0</v>
      </c>
      <c r="M346" s="61">
        <v>0</v>
      </c>
      <c r="N346" s="61">
        <v>0</v>
      </c>
    </row>
    <row r="347" spans="1:14" ht="30" x14ac:dyDescent="0.25">
      <c r="A347" s="68" t="s">
        <v>123</v>
      </c>
      <c r="B347" s="60" t="s">
        <v>52</v>
      </c>
      <c r="C347" s="61">
        <v>160744</v>
      </c>
      <c r="D347" s="61">
        <v>5356</v>
      </c>
      <c r="E347" s="61">
        <v>0</v>
      </c>
      <c r="F347" s="61">
        <v>0</v>
      </c>
      <c r="G347" s="61">
        <v>0</v>
      </c>
      <c r="H347" s="61">
        <v>166100</v>
      </c>
      <c r="I347" s="61">
        <v>-166100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</row>
    <row r="348" spans="1:14" ht="30" x14ac:dyDescent="0.25">
      <c r="A348" s="68" t="s">
        <v>123</v>
      </c>
      <c r="B348" s="60" t="s">
        <v>53</v>
      </c>
      <c r="C348" s="61">
        <v>131634</v>
      </c>
      <c r="D348" s="61">
        <v>6716</v>
      </c>
      <c r="E348" s="61">
        <v>0</v>
      </c>
      <c r="F348" s="61">
        <v>0</v>
      </c>
      <c r="G348" s="61">
        <v>0</v>
      </c>
      <c r="H348" s="61">
        <v>138350</v>
      </c>
      <c r="I348" s="61">
        <v>-138350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</row>
    <row r="349" spans="1:14" ht="30" x14ac:dyDescent="0.25">
      <c r="A349" s="68" t="s">
        <v>123</v>
      </c>
      <c r="B349" s="60" t="s">
        <v>54</v>
      </c>
      <c r="C349" s="61">
        <v>126648</v>
      </c>
      <c r="D349" s="61">
        <v>8029</v>
      </c>
      <c r="E349" s="61">
        <v>0</v>
      </c>
      <c r="F349" s="61">
        <v>0</v>
      </c>
      <c r="G349" s="61">
        <v>0</v>
      </c>
      <c r="H349" s="61">
        <v>134677</v>
      </c>
      <c r="I349" s="61">
        <v>-134677</v>
      </c>
      <c r="J349" s="61">
        <v>0</v>
      </c>
      <c r="K349" s="61">
        <v>0</v>
      </c>
      <c r="L349" s="61">
        <v>0</v>
      </c>
      <c r="M349" s="61">
        <v>0</v>
      </c>
      <c r="N349" s="61">
        <v>0</v>
      </c>
    </row>
    <row r="350" spans="1:14" ht="30" x14ac:dyDescent="0.25">
      <c r="A350" s="68" t="s">
        <v>123</v>
      </c>
      <c r="B350" s="60" t="s">
        <v>55</v>
      </c>
      <c r="C350" s="61">
        <v>113581</v>
      </c>
      <c r="D350" s="61">
        <v>8621</v>
      </c>
      <c r="E350" s="61">
        <v>0</v>
      </c>
      <c r="F350" s="61">
        <v>0</v>
      </c>
      <c r="G350" s="61">
        <v>0</v>
      </c>
      <c r="H350" s="61">
        <v>122202</v>
      </c>
      <c r="I350" s="61">
        <v>-122202</v>
      </c>
      <c r="J350" s="61">
        <v>0</v>
      </c>
      <c r="K350" s="61">
        <v>0</v>
      </c>
      <c r="L350" s="61">
        <v>0</v>
      </c>
      <c r="M350" s="61">
        <v>0</v>
      </c>
      <c r="N350" s="61">
        <v>0</v>
      </c>
    </row>
    <row r="351" spans="1:14" ht="30" x14ac:dyDescent="0.25">
      <c r="A351" s="68" t="s">
        <v>123</v>
      </c>
      <c r="B351" s="60" t="s">
        <v>56</v>
      </c>
      <c r="C351" s="61">
        <v>112187</v>
      </c>
      <c r="D351" s="61">
        <v>8591</v>
      </c>
      <c r="E351" s="61">
        <v>0</v>
      </c>
      <c r="F351" s="61">
        <v>0</v>
      </c>
      <c r="G351" s="61">
        <v>0</v>
      </c>
      <c r="H351" s="61">
        <v>120778</v>
      </c>
      <c r="I351" s="61">
        <v>-120778</v>
      </c>
      <c r="J351" s="61">
        <v>0</v>
      </c>
      <c r="K351" s="61">
        <v>0</v>
      </c>
      <c r="L351" s="61">
        <v>0</v>
      </c>
      <c r="M351" s="61">
        <v>0</v>
      </c>
      <c r="N351" s="61">
        <v>0</v>
      </c>
    </row>
    <row r="352" spans="1:14" ht="30" x14ac:dyDescent="0.25">
      <c r="A352" s="68" t="s">
        <v>123</v>
      </c>
      <c r="B352" s="60" t="s">
        <v>57</v>
      </c>
      <c r="C352" s="61">
        <v>95302</v>
      </c>
      <c r="D352" s="61">
        <v>8342</v>
      </c>
      <c r="E352" s="61">
        <v>0</v>
      </c>
      <c r="F352" s="61">
        <v>0</v>
      </c>
      <c r="G352" s="61">
        <v>0</v>
      </c>
      <c r="H352" s="61">
        <v>103644</v>
      </c>
      <c r="I352" s="61">
        <v>-103644</v>
      </c>
      <c r="J352" s="61">
        <v>0</v>
      </c>
      <c r="K352" s="61">
        <v>0</v>
      </c>
      <c r="L352" s="61">
        <v>0</v>
      </c>
      <c r="M352" s="61">
        <v>0</v>
      </c>
      <c r="N352" s="61">
        <v>0</v>
      </c>
    </row>
    <row r="353" spans="1:14" ht="30" x14ac:dyDescent="0.25">
      <c r="A353" s="68" t="s">
        <v>123</v>
      </c>
      <c r="B353" s="60" t="s">
        <v>58</v>
      </c>
      <c r="C353" s="61">
        <v>61043</v>
      </c>
      <c r="D353" s="61">
        <v>5722</v>
      </c>
      <c r="E353" s="61">
        <v>0</v>
      </c>
      <c r="F353" s="61">
        <v>0</v>
      </c>
      <c r="G353" s="61">
        <v>0</v>
      </c>
      <c r="H353" s="61">
        <v>66765</v>
      </c>
      <c r="I353" s="61">
        <v>-66765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</row>
    <row r="354" spans="1:14" ht="30" x14ac:dyDescent="0.25">
      <c r="A354" s="68" t="s">
        <v>123</v>
      </c>
      <c r="B354" s="60" t="s">
        <v>59</v>
      </c>
      <c r="C354" s="61">
        <v>17154</v>
      </c>
      <c r="D354" s="61">
        <v>2809</v>
      </c>
      <c r="E354" s="61">
        <v>0</v>
      </c>
      <c r="F354" s="61">
        <v>0</v>
      </c>
      <c r="G354" s="61">
        <v>0</v>
      </c>
      <c r="H354" s="61">
        <v>19963</v>
      </c>
      <c r="I354" s="61">
        <v>-19963</v>
      </c>
      <c r="J354" s="61">
        <v>0</v>
      </c>
      <c r="K354" s="61">
        <v>0</v>
      </c>
      <c r="L354" s="61">
        <v>0</v>
      </c>
      <c r="M354" s="61">
        <v>0</v>
      </c>
      <c r="N354" s="61">
        <v>0</v>
      </c>
    </row>
    <row r="355" spans="1:14" ht="15.75" x14ac:dyDescent="0.25">
      <c r="A355" s="52" t="s">
        <v>124</v>
      </c>
      <c r="B355" s="53" t="s">
        <v>8</v>
      </c>
      <c r="C355" s="19">
        <f>SUBTOTAL(109,Program262[(C)
Program
Costs])</f>
        <v>3008453</v>
      </c>
      <c r="D355" s="19">
        <f>SUBTOTAL(109,Program262[(D)
Prior Period Adjustments])</f>
        <v>49381</v>
      </c>
      <c r="E355" s="19">
        <f>SUBTOTAL(109,Program262[(E)
Current Period Desk 
Reviews])</f>
        <v>0</v>
      </c>
      <c r="F355" s="19">
        <f>SUBTOTAL(109,Program262[(F)
Current Period 
Final 
Audits])</f>
        <v>0</v>
      </c>
      <c r="G355" s="19">
        <f>SUBTOTAL(109,Program262[(G)
Current Period 
Other Adjustments])</f>
        <v>-116</v>
      </c>
      <c r="H355" s="19">
        <f>SUBTOTAL(109,Program262[(H)
Net Program Costs
Sum (C through G)])</f>
        <v>3057718</v>
      </c>
      <c r="I355" s="19">
        <f>SUBTOTAL(109,Program262[(I)
Payments
 and Offsets])</f>
        <v>-2877033</v>
      </c>
      <c r="J355" s="19">
        <f>SUBTOTAL(109,Program262[(J)
Accounts Payable Balance
(H + I)])</f>
        <v>180685</v>
      </c>
      <c r="K355" s="19">
        <f>SUBTOTAL(109,Program262[(K)
Established 
Accounts Receivable])</f>
        <v>2328</v>
      </c>
      <c r="L355" s="19">
        <f>SUBTOTAL(109,Program262[(L)
Recovered
 Accounts Receivable])</f>
        <v>-2328</v>
      </c>
      <c r="M355" s="19">
        <f>SUBTOTAL(109,Program262[(M)
Accounts Receivable Balance
(K + L)])</f>
        <v>0</v>
      </c>
      <c r="N355" s="19">
        <f>SUBTOTAL(109,Program262[(N)
Net Balance
(J minus M)])</f>
        <v>180685</v>
      </c>
    </row>
    <row r="356" spans="1:14" ht="15.75" x14ac:dyDescent="0.25">
      <c r="A356" s="17" t="s">
        <v>13</v>
      </c>
      <c r="B356" s="54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</row>
    <row r="357" spans="1:14" ht="78.75" x14ac:dyDescent="0.25">
      <c r="A357" s="39" t="s">
        <v>32</v>
      </c>
      <c r="B357" s="40" t="s">
        <v>33</v>
      </c>
      <c r="C357" s="41" t="s">
        <v>34</v>
      </c>
      <c r="D357" s="41" t="s">
        <v>35</v>
      </c>
      <c r="E357" s="42" t="s">
        <v>36</v>
      </c>
      <c r="F357" s="42" t="s">
        <v>37</v>
      </c>
      <c r="G357" s="42" t="s">
        <v>38</v>
      </c>
      <c r="H357" s="43" t="s">
        <v>39</v>
      </c>
      <c r="I357" s="44" t="s">
        <v>40</v>
      </c>
      <c r="J357" s="44" t="s">
        <v>41</v>
      </c>
      <c r="K357" s="42" t="s">
        <v>42</v>
      </c>
      <c r="L357" s="44" t="s">
        <v>43</v>
      </c>
      <c r="M357" s="44" t="s">
        <v>44</v>
      </c>
      <c r="N357" s="45" t="s">
        <v>45</v>
      </c>
    </row>
    <row r="358" spans="1:14" ht="30" x14ac:dyDescent="0.25">
      <c r="A358" s="67" t="s">
        <v>125</v>
      </c>
      <c r="B358" s="57" t="s">
        <v>48</v>
      </c>
      <c r="C358" s="58">
        <v>57816</v>
      </c>
      <c r="D358" s="58">
        <v>0</v>
      </c>
      <c r="E358" s="58">
        <v>0</v>
      </c>
      <c r="F358" s="58">
        <v>0</v>
      </c>
      <c r="G358" s="58">
        <v>0</v>
      </c>
      <c r="H358" s="58">
        <v>57816</v>
      </c>
      <c r="I358" s="58">
        <v>0</v>
      </c>
      <c r="J358" s="58">
        <v>57816</v>
      </c>
      <c r="K358" s="58">
        <v>0</v>
      </c>
      <c r="L358" s="58">
        <v>0</v>
      </c>
      <c r="M358" s="58">
        <v>0</v>
      </c>
      <c r="N358" s="58">
        <v>57816</v>
      </c>
    </row>
    <row r="359" spans="1:14" ht="30" x14ac:dyDescent="0.25">
      <c r="A359" s="68" t="s">
        <v>125</v>
      </c>
      <c r="B359" s="60" t="s">
        <v>49</v>
      </c>
      <c r="C359" s="61">
        <v>300554</v>
      </c>
      <c r="D359" s="61">
        <v>-2762</v>
      </c>
      <c r="E359" s="61">
        <v>0</v>
      </c>
      <c r="F359" s="61">
        <v>0</v>
      </c>
      <c r="G359" s="61">
        <v>0</v>
      </c>
      <c r="H359" s="61">
        <v>297792</v>
      </c>
      <c r="I359" s="61">
        <v>0</v>
      </c>
      <c r="J359" s="61">
        <v>297792</v>
      </c>
      <c r="K359" s="61">
        <v>0</v>
      </c>
      <c r="L359" s="61">
        <v>0</v>
      </c>
      <c r="M359" s="61">
        <v>0</v>
      </c>
      <c r="N359" s="61">
        <v>297792</v>
      </c>
    </row>
    <row r="360" spans="1:14" ht="30" x14ac:dyDescent="0.25">
      <c r="A360" s="68" t="s">
        <v>125</v>
      </c>
      <c r="B360" s="60" t="s">
        <v>50</v>
      </c>
      <c r="C360" s="61">
        <v>266674</v>
      </c>
      <c r="D360" s="61">
        <v>-2976</v>
      </c>
      <c r="E360" s="61">
        <v>0</v>
      </c>
      <c r="F360" s="61">
        <v>0</v>
      </c>
      <c r="G360" s="61">
        <v>0</v>
      </c>
      <c r="H360" s="61">
        <v>263698</v>
      </c>
      <c r="I360" s="61">
        <v>0</v>
      </c>
      <c r="J360" s="61">
        <v>263698</v>
      </c>
      <c r="K360" s="61">
        <v>0</v>
      </c>
      <c r="L360" s="61">
        <v>0</v>
      </c>
      <c r="M360" s="61">
        <v>0</v>
      </c>
      <c r="N360" s="61">
        <v>263698</v>
      </c>
    </row>
    <row r="361" spans="1:14" ht="30" x14ac:dyDescent="0.25">
      <c r="A361" s="68" t="s">
        <v>125</v>
      </c>
      <c r="B361" s="60" t="s">
        <v>51</v>
      </c>
      <c r="C361" s="61">
        <v>278247</v>
      </c>
      <c r="D361" s="61">
        <v>-2860</v>
      </c>
      <c r="E361" s="61">
        <v>0</v>
      </c>
      <c r="F361" s="61">
        <v>0</v>
      </c>
      <c r="G361" s="61">
        <v>0</v>
      </c>
      <c r="H361" s="61">
        <v>275387</v>
      </c>
      <c r="I361" s="61">
        <v>0</v>
      </c>
      <c r="J361" s="61">
        <v>275387</v>
      </c>
      <c r="K361" s="61">
        <v>0</v>
      </c>
      <c r="L361" s="61">
        <v>0</v>
      </c>
      <c r="M361" s="61">
        <v>0</v>
      </c>
      <c r="N361" s="61">
        <v>275387</v>
      </c>
    </row>
    <row r="362" spans="1:14" ht="30" x14ac:dyDescent="0.25">
      <c r="A362" s="68" t="s">
        <v>125</v>
      </c>
      <c r="B362" s="60" t="s">
        <v>52</v>
      </c>
      <c r="C362" s="61">
        <v>256674</v>
      </c>
      <c r="D362" s="61">
        <v>-2959</v>
      </c>
      <c r="E362" s="61">
        <v>0</v>
      </c>
      <c r="F362" s="61">
        <v>0</v>
      </c>
      <c r="G362" s="61">
        <v>0</v>
      </c>
      <c r="H362" s="61">
        <v>253715</v>
      </c>
      <c r="I362" s="61">
        <v>0</v>
      </c>
      <c r="J362" s="61">
        <v>253715</v>
      </c>
      <c r="K362" s="61">
        <v>0</v>
      </c>
      <c r="L362" s="61">
        <v>0</v>
      </c>
      <c r="M362" s="61">
        <v>0</v>
      </c>
      <c r="N362" s="61">
        <v>253715</v>
      </c>
    </row>
    <row r="363" spans="1:14" ht="30" x14ac:dyDescent="0.25">
      <c r="A363" s="68" t="s">
        <v>125</v>
      </c>
      <c r="B363" s="60" t="s">
        <v>53</v>
      </c>
      <c r="C363" s="61">
        <v>230912</v>
      </c>
      <c r="D363" s="61">
        <v>-2470</v>
      </c>
      <c r="E363" s="61">
        <v>0</v>
      </c>
      <c r="F363" s="61">
        <v>0</v>
      </c>
      <c r="G363" s="61">
        <v>0</v>
      </c>
      <c r="H363" s="61">
        <v>228442</v>
      </c>
      <c r="I363" s="61">
        <v>0</v>
      </c>
      <c r="J363" s="61">
        <v>228442</v>
      </c>
      <c r="K363" s="61">
        <v>0</v>
      </c>
      <c r="L363" s="61">
        <v>0</v>
      </c>
      <c r="M363" s="61">
        <v>0</v>
      </c>
      <c r="N363" s="61">
        <v>228442</v>
      </c>
    </row>
    <row r="364" spans="1:14" ht="30" x14ac:dyDescent="0.25">
      <c r="A364" s="68" t="s">
        <v>125</v>
      </c>
      <c r="B364" s="60" t="s">
        <v>54</v>
      </c>
      <c r="C364" s="61">
        <v>225212</v>
      </c>
      <c r="D364" s="61">
        <v>-2676</v>
      </c>
      <c r="E364" s="61">
        <v>0</v>
      </c>
      <c r="F364" s="61">
        <v>0</v>
      </c>
      <c r="G364" s="61">
        <v>0</v>
      </c>
      <c r="H364" s="61">
        <v>222536</v>
      </c>
      <c r="I364" s="61">
        <v>0</v>
      </c>
      <c r="J364" s="61">
        <v>222536</v>
      </c>
      <c r="K364" s="61">
        <v>0</v>
      </c>
      <c r="L364" s="61">
        <v>0</v>
      </c>
      <c r="M364" s="61">
        <v>0</v>
      </c>
      <c r="N364" s="61">
        <v>222536</v>
      </c>
    </row>
    <row r="365" spans="1:14" ht="30" x14ac:dyDescent="0.25">
      <c r="A365" s="68" t="s">
        <v>125</v>
      </c>
      <c r="B365" s="60" t="s">
        <v>55</v>
      </c>
      <c r="C365" s="61">
        <v>200270</v>
      </c>
      <c r="D365" s="61">
        <v>-1838</v>
      </c>
      <c r="E365" s="61">
        <v>0</v>
      </c>
      <c r="F365" s="61">
        <v>0</v>
      </c>
      <c r="G365" s="61">
        <v>0</v>
      </c>
      <c r="H365" s="61">
        <v>198432</v>
      </c>
      <c r="I365" s="61">
        <v>0</v>
      </c>
      <c r="J365" s="61">
        <v>198432</v>
      </c>
      <c r="K365" s="61">
        <v>0</v>
      </c>
      <c r="L365" s="61">
        <v>0</v>
      </c>
      <c r="M365" s="61">
        <v>0</v>
      </c>
      <c r="N365" s="61">
        <v>198432</v>
      </c>
    </row>
    <row r="366" spans="1:14" ht="30" x14ac:dyDescent="0.25">
      <c r="A366" s="68" t="s">
        <v>125</v>
      </c>
      <c r="B366" s="60" t="s">
        <v>56</v>
      </c>
      <c r="C366" s="61">
        <v>161370</v>
      </c>
      <c r="D366" s="61">
        <v>-1570</v>
      </c>
      <c r="E366" s="61">
        <v>0</v>
      </c>
      <c r="F366" s="61">
        <v>0</v>
      </c>
      <c r="G366" s="61">
        <v>0</v>
      </c>
      <c r="H366" s="61">
        <v>159800</v>
      </c>
      <c r="I366" s="61">
        <v>0</v>
      </c>
      <c r="J366" s="61">
        <v>159800</v>
      </c>
      <c r="K366" s="61">
        <v>0</v>
      </c>
      <c r="L366" s="61">
        <v>0</v>
      </c>
      <c r="M366" s="61">
        <v>0</v>
      </c>
      <c r="N366" s="61">
        <v>159800</v>
      </c>
    </row>
    <row r="367" spans="1:14" ht="30" x14ac:dyDescent="0.25">
      <c r="A367" s="68" t="s">
        <v>125</v>
      </c>
      <c r="B367" s="60" t="s">
        <v>57</v>
      </c>
      <c r="C367" s="61">
        <v>52364</v>
      </c>
      <c r="D367" s="61">
        <v>-374</v>
      </c>
      <c r="E367" s="61">
        <v>0</v>
      </c>
      <c r="F367" s="61">
        <v>0</v>
      </c>
      <c r="G367" s="61">
        <v>0</v>
      </c>
      <c r="H367" s="61">
        <v>51990</v>
      </c>
      <c r="I367" s="61">
        <v>0</v>
      </c>
      <c r="J367" s="61">
        <v>51990</v>
      </c>
      <c r="K367" s="61">
        <v>0</v>
      </c>
      <c r="L367" s="61">
        <v>0</v>
      </c>
      <c r="M367" s="61">
        <v>0</v>
      </c>
      <c r="N367" s="61">
        <v>51990</v>
      </c>
    </row>
    <row r="368" spans="1:14" ht="15.75" x14ac:dyDescent="0.25">
      <c r="A368" s="52" t="s">
        <v>126</v>
      </c>
      <c r="B368" s="53" t="s">
        <v>8</v>
      </c>
      <c r="C368" s="19">
        <f>SUBTOTAL(109,Program306[(C)
Program
Costs])</f>
        <v>2030093</v>
      </c>
      <c r="D368" s="19">
        <f>SUBTOTAL(109,Program306[(D)
Prior Period Adjustments])</f>
        <v>-20485</v>
      </c>
      <c r="E368" s="19">
        <f>SUBTOTAL(109,Program306[(E)
Current Period Desk 
Reviews])</f>
        <v>0</v>
      </c>
      <c r="F368" s="19">
        <f>SUBTOTAL(109,Program306[(F)
Current Period 
Final 
Audits])</f>
        <v>0</v>
      </c>
      <c r="G368" s="19">
        <f>SUBTOTAL(109,Program306[(G)
Current Period 
Other Adjustments])</f>
        <v>0</v>
      </c>
      <c r="H368" s="19">
        <f>SUBTOTAL(109,Program306[(H)
Net Program Costs
Sum (C through G)])</f>
        <v>2009608</v>
      </c>
      <c r="I368" s="19">
        <f>SUBTOTAL(109,Program306[(I)
Payments
 and Offsets])</f>
        <v>0</v>
      </c>
      <c r="J368" s="19">
        <f>SUBTOTAL(109,Program306[(J)
Accounts Payable Balance
(H + I)])</f>
        <v>2009608</v>
      </c>
      <c r="K368" s="19">
        <f>SUBTOTAL(109,Program306[(K)
Established 
Accounts Receivable])</f>
        <v>0</v>
      </c>
      <c r="L368" s="19">
        <f>SUBTOTAL(109,Program306[(L)
Recovered
 Accounts Receivable])</f>
        <v>0</v>
      </c>
      <c r="M368" s="19">
        <f>SUBTOTAL(109,Program306[(M)
Accounts Receivable Balance
(K + L)])</f>
        <v>0</v>
      </c>
      <c r="N368" s="19">
        <f>SUBTOTAL(109,Program306[(N)
Net Balance
(J minus M)])</f>
        <v>2009608</v>
      </c>
    </row>
    <row r="369" spans="1:14" ht="15.75" x14ac:dyDescent="0.25">
      <c r="A369" s="17" t="s">
        <v>13</v>
      </c>
      <c r="B369" s="54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</row>
    <row r="370" spans="1:14" ht="78.75" x14ac:dyDescent="0.25">
      <c r="A370" s="39" t="s">
        <v>32</v>
      </c>
      <c r="B370" s="40" t="s">
        <v>33</v>
      </c>
      <c r="C370" s="41" t="s">
        <v>34</v>
      </c>
      <c r="D370" s="41" t="s">
        <v>35</v>
      </c>
      <c r="E370" s="42" t="s">
        <v>36</v>
      </c>
      <c r="F370" s="42" t="s">
        <v>37</v>
      </c>
      <c r="G370" s="42" t="s">
        <v>38</v>
      </c>
      <c r="H370" s="43" t="s">
        <v>39</v>
      </c>
      <c r="I370" s="44" t="s">
        <v>40</v>
      </c>
      <c r="J370" s="44" t="s">
        <v>41</v>
      </c>
      <c r="K370" s="42" t="s">
        <v>42</v>
      </c>
      <c r="L370" s="44" t="s">
        <v>43</v>
      </c>
      <c r="M370" s="44" t="s">
        <v>44</v>
      </c>
      <c r="N370" s="45" t="s">
        <v>45</v>
      </c>
    </row>
    <row r="371" spans="1:14" ht="15.75" x14ac:dyDescent="0.25">
      <c r="A371" s="46" t="s">
        <v>127</v>
      </c>
      <c r="B371" s="47" t="s">
        <v>49</v>
      </c>
      <c r="C371" s="48">
        <v>25577</v>
      </c>
      <c r="D371" s="48">
        <v>0</v>
      </c>
      <c r="E371" s="48">
        <v>0</v>
      </c>
      <c r="F371" s="48">
        <v>0</v>
      </c>
      <c r="G371" s="48">
        <v>0</v>
      </c>
      <c r="H371" s="48">
        <v>25577</v>
      </c>
      <c r="I371" s="48">
        <v>0</v>
      </c>
      <c r="J371" s="48">
        <v>25577</v>
      </c>
      <c r="K371" s="48">
        <v>0</v>
      </c>
      <c r="L371" s="48">
        <v>0</v>
      </c>
      <c r="M371" s="48">
        <v>0</v>
      </c>
      <c r="N371" s="48">
        <v>25577</v>
      </c>
    </row>
    <row r="372" spans="1:14" ht="15.75" x14ac:dyDescent="0.25">
      <c r="A372" s="49" t="s">
        <v>127</v>
      </c>
      <c r="B372" s="50" t="s">
        <v>50</v>
      </c>
      <c r="C372" s="51">
        <v>677833</v>
      </c>
      <c r="D372" s="51">
        <v>-314477</v>
      </c>
      <c r="E372" s="51">
        <v>0</v>
      </c>
      <c r="F372" s="51">
        <v>0</v>
      </c>
      <c r="G372" s="51">
        <v>0</v>
      </c>
      <c r="H372" s="51">
        <v>363356</v>
      </c>
      <c r="I372" s="51">
        <v>0</v>
      </c>
      <c r="J372" s="51">
        <v>363356</v>
      </c>
      <c r="K372" s="51">
        <v>0</v>
      </c>
      <c r="L372" s="51">
        <v>0</v>
      </c>
      <c r="M372" s="51">
        <v>0</v>
      </c>
      <c r="N372" s="51">
        <v>363356</v>
      </c>
    </row>
    <row r="373" spans="1:14" ht="15.75" x14ac:dyDescent="0.25">
      <c r="A373" s="49" t="s">
        <v>127</v>
      </c>
      <c r="B373" s="50" t="s">
        <v>51</v>
      </c>
      <c r="C373" s="51">
        <v>587241</v>
      </c>
      <c r="D373" s="51">
        <v>-266200</v>
      </c>
      <c r="E373" s="51">
        <v>0</v>
      </c>
      <c r="F373" s="51">
        <v>0</v>
      </c>
      <c r="G373" s="51">
        <v>0</v>
      </c>
      <c r="H373" s="51">
        <v>321041</v>
      </c>
      <c r="I373" s="51">
        <v>0</v>
      </c>
      <c r="J373" s="51">
        <v>321041</v>
      </c>
      <c r="K373" s="51">
        <v>0</v>
      </c>
      <c r="L373" s="51">
        <v>0</v>
      </c>
      <c r="M373" s="51">
        <v>0</v>
      </c>
      <c r="N373" s="51">
        <v>321041</v>
      </c>
    </row>
    <row r="374" spans="1:14" ht="15.75" x14ac:dyDescent="0.25">
      <c r="A374" s="49" t="s">
        <v>127</v>
      </c>
      <c r="B374" s="50" t="s">
        <v>52</v>
      </c>
      <c r="C374" s="51">
        <v>474943</v>
      </c>
      <c r="D374" s="51">
        <v>-136102</v>
      </c>
      <c r="E374" s="51">
        <v>0</v>
      </c>
      <c r="F374" s="51">
        <v>0</v>
      </c>
      <c r="G374" s="51">
        <v>0</v>
      </c>
      <c r="H374" s="51">
        <v>338841</v>
      </c>
      <c r="I374" s="51">
        <v>-338841</v>
      </c>
      <c r="J374" s="51">
        <v>0</v>
      </c>
      <c r="K374" s="51">
        <v>234780</v>
      </c>
      <c r="L374" s="51">
        <v>-234780</v>
      </c>
      <c r="M374" s="51">
        <v>0</v>
      </c>
      <c r="N374" s="51">
        <v>0</v>
      </c>
    </row>
    <row r="375" spans="1:14" ht="15.75" x14ac:dyDescent="0.25">
      <c r="A375" s="49" t="s">
        <v>127</v>
      </c>
      <c r="B375" s="50" t="s">
        <v>53</v>
      </c>
      <c r="C375" s="51">
        <v>464138</v>
      </c>
      <c r="D375" s="51">
        <v>0</v>
      </c>
      <c r="E375" s="51">
        <v>0</v>
      </c>
      <c r="F375" s="51">
        <v>0</v>
      </c>
      <c r="G375" s="51">
        <v>0</v>
      </c>
      <c r="H375" s="51">
        <v>464138</v>
      </c>
      <c r="I375" s="51">
        <v>-464138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</row>
    <row r="376" spans="1:14" ht="15.75" x14ac:dyDescent="0.25">
      <c r="A376" s="49" t="s">
        <v>127</v>
      </c>
      <c r="B376" s="50" t="s">
        <v>54</v>
      </c>
      <c r="C376" s="51">
        <v>463054</v>
      </c>
      <c r="D376" s="51">
        <v>-246</v>
      </c>
      <c r="E376" s="51">
        <v>0</v>
      </c>
      <c r="F376" s="51">
        <v>0</v>
      </c>
      <c r="G376" s="51">
        <v>0</v>
      </c>
      <c r="H376" s="51">
        <v>462808</v>
      </c>
      <c r="I376" s="51">
        <v>-462808</v>
      </c>
      <c r="J376" s="51">
        <v>0</v>
      </c>
      <c r="K376" s="51">
        <v>20133</v>
      </c>
      <c r="L376" s="51">
        <v>-20133</v>
      </c>
      <c r="M376" s="51">
        <v>0</v>
      </c>
      <c r="N376" s="51">
        <v>0</v>
      </c>
    </row>
    <row r="377" spans="1:14" ht="15.75" x14ac:dyDescent="0.25">
      <c r="A377" s="49" t="s">
        <v>127</v>
      </c>
      <c r="B377" s="50" t="s">
        <v>55</v>
      </c>
      <c r="C377" s="51">
        <v>415782</v>
      </c>
      <c r="D377" s="51">
        <v>-187281</v>
      </c>
      <c r="E377" s="51">
        <v>0</v>
      </c>
      <c r="F377" s="51">
        <v>0</v>
      </c>
      <c r="G377" s="51">
        <v>0</v>
      </c>
      <c r="H377" s="51">
        <v>228501</v>
      </c>
      <c r="I377" s="51">
        <v>-228501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</row>
    <row r="378" spans="1:14" ht="15.75" x14ac:dyDescent="0.25">
      <c r="A378" s="49" t="s">
        <v>127</v>
      </c>
      <c r="B378" s="50" t="s">
        <v>56</v>
      </c>
      <c r="C378" s="51">
        <v>404146</v>
      </c>
      <c r="D378" s="51">
        <v>-851</v>
      </c>
      <c r="E378" s="51">
        <v>0</v>
      </c>
      <c r="F378" s="51">
        <v>0</v>
      </c>
      <c r="G378" s="51">
        <v>0</v>
      </c>
      <c r="H378" s="51">
        <v>403295</v>
      </c>
      <c r="I378" s="51">
        <v>-403295</v>
      </c>
      <c r="J378" s="51">
        <v>0</v>
      </c>
      <c r="K378" s="51">
        <v>25</v>
      </c>
      <c r="L378" s="51">
        <v>-25</v>
      </c>
      <c r="M378" s="51">
        <v>0</v>
      </c>
      <c r="N378" s="51">
        <v>0</v>
      </c>
    </row>
    <row r="379" spans="1:14" ht="15.75" x14ac:dyDescent="0.25">
      <c r="A379" s="49" t="s">
        <v>127</v>
      </c>
      <c r="B379" s="50" t="s">
        <v>57</v>
      </c>
      <c r="C379" s="51">
        <v>252291</v>
      </c>
      <c r="D379" s="51">
        <v>-1454</v>
      </c>
      <c r="E379" s="51">
        <v>0</v>
      </c>
      <c r="F379" s="51">
        <v>0</v>
      </c>
      <c r="G379" s="51">
        <v>0</v>
      </c>
      <c r="H379" s="51">
        <v>250837</v>
      </c>
      <c r="I379" s="51">
        <v>-250837</v>
      </c>
      <c r="J379" s="51">
        <v>0</v>
      </c>
      <c r="K379" s="51">
        <v>26415</v>
      </c>
      <c r="L379" s="51">
        <v>-26415</v>
      </c>
      <c r="M379" s="51">
        <v>0</v>
      </c>
      <c r="N379" s="51">
        <v>0</v>
      </c>
    </row>
    <row r="380" spans="1:14" ht="15.75" x14ac:dyDescent="0.25">
      <c r="A380" s="49" t="s">
        <v>127</v>
      </c>
      <c r="B380" s="50" t="s">
        <v>58</v>
      </c>
      <c r="C380" s="51">
        <v>233149</v>
      </c>
      <c r="D380" s="51">
        <v>-595</v>
      </c>
      <c r="E380" s="51">
        <v>0</v>
      </c>
      <c r="F380" s="51">
        <v>0</v>
      </c>
      <c r="G380" s="51">
        <v>0</v>
      </c>
      <c r="H380" s="51">
        <v>232554</v>
      </c>
      <c r="I380" s="51">
        <v>-232554</v>
      </c>
      <c r="J380" s="51">
        <v>0</v>
      </c>
      <c r="K380" s="51">
        <v>26878</v>
      </c>
      <c r="L380" s="51">
        <v>-26878</v>
      </c>
      <c r="M380" s="51">
        <v>0</v>
      </c>
      <c r="N380" s="51">
        <v>0</v>
      </c>
    </row>
    <row r="381" spans="1:14" ht="15.75" x14ac:dyDescent="0.25">
      <c r="A381" s="49" t="s">
        <v>127</v>
      </c>
      <c r="B381" s="50" t="s">
        <v>59</v>
      </c>
      <c r="C381" s="51">
        <v>428841</v>
      </c>
      <c r="D381" s="51">
        <v>-218927</v>
      </c>
      <c r="E381" s="51">
        <v>0</v>
      </c>
      <c r="F381" s="51">
        <v>0</v>
      </c>
      <c r="G381" s="51">
        <v>0</v>
      </c>
      <c r="H381" s="51">
        <v>209914</v>
      </c>
      <c r="I381" s="51">
        <v>-209914</v>
      </c>
      <c r="J381" s="51">
        <v>0</v>
      </c>
      <c r="K381" s="51">
        <v>227438</v>
      </c>
      <c r="L381" s="51">
        <v>-227438</v>
      </c>
      <c r="M381" s="51">
        <v>0</v>
      </c>
      <c r="N381" s="51">
        <v>0</v>
      </c>
    </row>
    <row r="382" spans="1:14" ht="15.75" x14ac:dyDescent="0.25">
      <c r="A382" s="49" t="s">
        <v>127</v>
      </c>
      <c r="B382" s="50" t="s">
        <v>60</v>
      </c>
      <c r="C382" s="51">
        <v>143690</v>
      </c>
      <c r="D382" s="51">
        <v>-1000</v>
      </c>
      <c r="E382" s="51">
        <v>0</v>
      </c>
      <c r="F382" s="51">
        <v>0</v>
      </c>
      <c r="G382" s="51">
        <v>0</v>
      </c>
      <c r="H382" s="51">
        <v>142690</v>
      </c>
      <c r="I382" s="51">
        <v>-142690</v>
      </c>
      <c r="J382" s="51">
        <v>0</v>
      </c>
      <c r="K382" s="51">
        <v>25695</v>
      </c>
      <c r="L382" s="51">
        <v>-25695</v>
      </c>
      <c r="M382" s="51">
        <v>0</v>
      </c>
      <c r="N382" s="51">
        <v>0</v>
      </c>
    </row>
    <row r="383" spans="1:14" ht="15.75" x14ac:dyDescent="0.25">
      <c r="A383" s="49" t="s">
        <v>127</v>
      </c>
      <c r="B383" s="50" t="s">
        <v>61</v>
      </c>
      <c r="C383" s="51">
        <v>201231</v>
      </c>
      <c r="D383" s="51">
        <v>0</v>
      </c>
      <c r="E383" s="51">
        <v>0</v>
      </c>
      <c r="F383" s="51">
        <v>0</v>
      </c>
      <c r="G383" s="51">
        <v>0</v>
      </c>
      <c r="H383" s="51">
        <v>201231</v>
      </c>
      <c r="I383" s="51">
        <v>-201231</v>
      </c>
      <c r="J383" s="51">
        <v>0</v>
      </c>
      <c r="K383" s="51">
        <v>67958</v>
      </c>
      <c r="L383" s="51">
        <v>-67958</v>
      </c>
      <c r="M383" s="51">
        <v>0</v>
      </c>
      <c r="N383" s="51">
        <v>0</v>
      </c>
    </row>
    <row r="384" spans="1:14" ht="15.75" x14ac:dyDescent="0.25">
      <c r="A384" s="49" t="s">
        <v>127</v>
      </c>
      <c r="B384" s="50" t="s">
        <v>62</v>
      </c>
      <c r="C384" s="51">
        <v>148624</v>
      </c>
      <c r="D384" s="51">
        <v>-1386</v>
      </c>
      <c r="E384" s="51">
        <v>0</v>
      </c>
      <c r="F384" s="51">
        <v>0</v>
      </c>
      <c r="G384" s="51">
        <v>0</v>
      </c>
      <c r="H384" s="51">
        <v>147238</v>
      </c>
      <c r="I384" s="51">
        <v>-147238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</row>
    <row r="385" spans="1:14" ht="15.75" x14ac:dyDescent="0.25">
      <c r="A385" s="49" t="s">
        <v>127</v>
      </c>
      <c r="B385" s="50" t="s">
        <v>63</v>
      </c>
      <c r="C385" s="51">
        <v>64765</v>
      </c>
      <c r="D385" s="51">
        <v>-17538</v>
      </c>
      <c r="E385" s="51">
        <v>0</v>
      </c>
      <c r="F385" s="51">
        <v>0</v>
      </c>
      <c r="G385" s="51">
        <v>0</v>
      </c>
      <c r="H385" s="51">
        <v>47227</v>
      </c>
      <c r="I385" s="51">
        <v>-47227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</row>
    <row r="386" spans="1:14" ht="15.75" x14ac:dyDescent="0.25">
      <c r="A386" s="52" t="s">
        <v>128</v>
      </c>
      <c r="B386" s="53" t="s">
        <v>8</v>
      </c>
      <c r="C386" s="19">
        <f>SUBTOTAL(109,Program158[(C)
Program
Costs])</f>
        <v>4985305</v>
      </c>
      <c r="D386" s="19">
        <f>SUBTOTAL(109,Program158[(D)
Prior Period Adjustments])</f>
        <v>-1146057</v>
      </c>
      <c r="E386" s="19">
        <f>SUBTOTAL(109,Program158[(E)
Current Period Desk 
Reviews])</f>
        <v>0</v>
      </c>
      <c r="F386" s="19">
        <f>SUBTOTAL(109,Program158[(F)
Current Period 
Final 
Audits])</f>
        <v>0</v>
      </c>
      <c r="G386" s="19">
        <f>SUBTOTAL(109,Program158[(G)
Current Period 
Other Adjustments])</f>
        <v>0</v>
      </c>
      <c r="H386" s="19">
        <f>SUBTOTAL(109,Program158[(H)
Net Program Costs
Sum (C through G)])</f>
        <v>3839248</v>
      </c>
      <c r="I386" s="19">
        <f>SUBTOTAL(109,Program158[(I)
Payments
 and Offsets])</f>
        <v>-3129274</v>
      </c>
      <c r="J386" s="19">
        <f>SUBTOTAL(109,Program158[(J)
Accounts Payable Balance
(H + I)])</f>
        <v>709974</v>
      </c>
      <c r="K386" s="19">
        <f>SUBTOTAL(109,Program158[(K)
Established 
Accounts Receivable])</f>
        <v>629322</v>
      </c>
      <c r="L386" s="19">
        <f>SUBTOTAL(109,Program158[(L)
Recovered
 Accounts Receivable])</f>
        <v>-629322</v>
      </c>
      <c r="M386" s="19">
        <f>SUBTOTAL(109,Program158[(M)
Accounts Receivable Balance
(K + L)])</f>
        <v>0</v>
      </c>
      <c r="N386" s="19">
        <f>SUBTOTAL(109,Program158[(N)
Net Balance
(J minus M)])</f>
        <v>709974</v>
      </c>
    </row>
    <row r="387" spans="1:14" ht="15.75" x14ac:dyDescent="0.25">
      <c r="A387" s="17" t="s">
        <v>13</v>
      </c>
      <c r="B387" s="54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</row>
    <row r="388" spans="1:14" ht="78.75" x14ac:dyDescent="0.25">
      <c r="A388" s="39" t="s">
        <v>32</v>
      </c>
      <c r="B388" s="40" t="s">
        <v>33</v>
      </c>
      <c r="C388" s="41" t="s">
        <v>34</v>
      </c>
      <c r="D388" s="41" t="s">
        <v>35</v>
      </c>
      <c r="E388" s="42" t="s">
        <v>36</v>
      </c>
      <c r="F388" s="42" t="s">
        <v>37</v>
      </c>
      <c r="G388" s="42" t="s">
        <v>38</v>
      </c>
      <c r="H388" s="43" t="s">
        <v>39</v>
      </c>
      <c r="I388" s="44" t="s">
        <v>40</v>
      </c>
      <c r="J388" s="44" t="s">
        <v>41</v>
      </c>
      <c r="K388" s="42" t="s">
        <v>42</v>
      </c>
      <c r="L388" s="44" t="s">
        <v>43</v>
      </c>
      <c r="M388" s="44" t="s">
        <v>44</v>
      </c>
      <c r="N388" s="45" t="s">
        <v>45</v>
      </c>
    </row>
    <row r="389" spans="1:14" ht="30" x14ac:dyDescent="0.25">
      <c r="A389" s="67" t="s">
        <v>129</v>
      </c>
      <c r="B389" s="57" t="s">
        <v>76</v>
      </c>
      <c r="C389" s="58">
        <v>12796010</v>
      </c>
      <c r="D389" s="58">
        <v>0</v>
      </c>
      <c r="E389" s="58">
        <v>0</v>
      </c>
      <c r="F389" s="58">
        <v>0</v>
      </c>
      <c r="G389" s="58">
        <v>0</v>
      </c>
      <c r="H389" s="58">
        <v>12796010</v>
      </c>
      <c r="I389" s="58">
        <v>0</v>
      </c>
      <c r="J389" s="58">
        <v>12796010</v>
      </c>
      <c r="K389" s="58">
        <v>0</v>
      </c>
      <c r="L389" s="58">
        <v>0</v>
      </c>
      <c r="M389" s="58">
        <v>0</v>
      </c>
      <c r="N389" s="58">
        <v>12796010</v>
      </c>
    </row>
    <row r="390" spans="1:14" ht="30" x14ac:dyDescent="0.25">
      <c r="A390" s="68" t="s">
        <v>129</v>
      </c>
      <c r="B390" s="60" t="s">
        <v>77</v>
      </c>
      <c r="C390" s="61">
        <v>12881851</v>
      </c>
      <c r="D390" s="61">
        <v>0</v>
      </c>
      <c r="E390" s="61">
        <v>0</v>
      </c>
      <c r="F390" s="61">
        <v>0</v>
      </c>
      <c r="G390" s="61">
        <v>-924</v>
      </c>
      <c r="H390" s="61">
        <v>12880927</v>
      </c>
      <c r="I390" s="61">
        <v>-12872611</v>
      </c>
      <c r="J390" s="61">
        <v>8316</v>
      </c>
      <c r="K390" s="61">
        <v>0</v>
      </c>
      <c r="L390" s="61">
        <v>0</v>
      </c>
      <c r="M390" s="61">
        <v>0</v>
      </c>
      <c r="N390" s="61">
        <v>8316</v>
      </c>
    </row>
    <row r="391" spans="1:14" ht="30" x14ac:dyDescent="0.25">
      <c r="A391" s="68" t="s">
        <v>129</v>
      </c>
      <c r="B391" s="60" t="s">
        <v>78</v>
      </c>
      <c r="C391" s="61">
        <v>12580858</v>
      </c>
      <c r="D391" s="61">
        <v>-24123</v>
      </c>
      <c r="E391" s="61">
        <v>0</v>
      </c>
      <c r="F391" s="61">
        <v>0</v>
      </c>
      <c r="G391" s="61">
        <v>0</v>
      </c>
      <c r="H391" s="61">
        <v>12556735</v>
      </c>
      <c r="I391" s="61">
        <v>-12556735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</row>
    <row r="392" spans="1:14" ht="30" x14ac:dyDescent="0.25">
      <c r="A392" s="68" t="s">
        <v>129</v>
      </c>
      <c r="B392" s="60" t="s">
        <v>47</v>
      </c>
      <c r="C392" s="61">
        <v>12335179</v>
      </c>
      <c r="D392" s="61">
        <v>-18515</v>
      </c>
      <c r="E392" s="61">
        <v>0</v>
      </c>
      <c r="F392" s="61">
        <v>0</v>
      </c>
      <c r="G392" s="61">
        <v>0</v>
      </c>
      <c r="H392" s="61">
        <v>12316664</v>
      </c>
      <c r="I392" s="61">
        <v>-12316664</v>
      </c>
      <c r="J392" s="61">
        <v>0</v>
      </c>
      <c r="K392" s="61">
        <v>18172</v>
      </c>
      <c r="L392" s="61">
        <v>-18172</v>
      </c>
      <c r="M392" s="61">
        <v>0</v>
      </c>
      <c r="N392" s="61">
        <v>0</v>
      </c>
    </row>
    <row r="393" spans="1:14" ht="30" x14ac:dyDescent="0.25">
      <c r="A393" s="68" t="s">
        <v>129</v>
      </c>
      <c r="B393" s="60" t="s">
        <v>79</v>
      </c>
      <c r="C393" s="61">
        <v>12727921</v>
      </c>
      <c r="D393" s="61">
        <v>-16178</v>
      </c>
      <c r="E393" s="61">
        <v>0</v>
      </c>
      <c r="F393" s="61">
        <v>0</v>
      </c>
      <c r="G393" s="61">
        <v>0</v>
      </c>
      <c r="H393" s="61">
        <v>12711743</v>
      </c>
      <c r="I393" s="61">
        <v>-12711743</v>
      </c>
      <c r="J393" s="61">
        <v>0</v>
      </c>
      <c r="K393" s="61">
        <v>16178</v>
      </c>
      <c r="L393" s="61">
        <v>-16178</v>
      </c>
      <c r="M393" s="61">
        <v>0</v>
      </c>
      <c r="N393" s="61">
        <v>0</v>
      </c>
    </row>
    <row r="394" spans="1:14" ht="30" x14ac:dyDescent="0.25">
      <c r="A394" s="68" t="s">
        <v>129</v>
      </c>
      <c r="B394" s="60" t="s">
        <v>80</v>
      </c>
      <c r="C394" s="61">
        <v>12281185</v>
      </c>
      <c r="D394" s="61">
        <v>-6468</v>
      </c>
      <c r="E394" s="61">
        <v>0</v>
      </c>
      <c r="F394" s="61">
        <v>0</v>
      </c>
      <c r="G394" s="61">
        <v>0</v>
      </c>
      <c r="H394" s="61">
        <v>12274717</v>
      </c>
      <c r="I394" s="61">
        <v>-12274717</v>
      </c>
      <c r="J394" s="61">
        <v>0</v>
      </c>
      <c r="K394" s="61">
        <v>12728</v>
      </c>
      <c r="L394" s="61">
        <v>-12728</v>
      </c>
      <c r="M394" s="61">
        <v>0</v>
      </c>
      <c r="N394" s="61">
        <v>0</v>
      </c>
    </row>
    <row r="395" spans="1:14" ht="30" x14ac:dyDescent="0.25">
      <c r="A395" s="68" t="s">
        <v>129</v>
      </c>
      <c r="B395" s="60" t="s">
        <v>81</v>
      </c>
      <c r="C395" s="61">
        <v>12446683</v>
      </c>
      <c r="D395" s="61">
        <v>0</v>
      </c>
      <c r="E395" s="61">
        <v>0</v>
      </c>
      <c r="F395" s="61">
        <v>0</v>
      </c>
      <c r="G395" s="61">
        <v>0</v>
      </c>
      <c r="H395" s="61">
        <v>12446683</v>
      </c>
      <c r="I395" s="61">
        <v>-12446683</v>
      </c>
      <c r="J395" s="61">
        <v>0</v>
      </c>
      <c r="K395" s="61">
        <v>16144</v>
      </c>
      <c r="L395" s="61">
        <v>-16144</v>
      </c>
      <c r="M395" s="61">
        <v>0</v>
      </c>
      <c r="N395" s="61">
        <v>0</v>
      </c>
    </row>
    <row r="396" spans="1:14" ht="30" x14ac:dyDescent="0.25">
      <c r="A396" s="68" t="s">
        <v>129</v>
      </c>
      <c r="B396" s="60" t="s">
        <v>82</v>
      </c>
      <c r="C396" s="61">
        <v>11726066</v>
      </c>
      <c r="D396" s="61">
        <v>-12999</v>
      </c>
      <c r="E396" s="61">
        <v>0</v>
      </c>
      <c r="F396" s="61">
        <v>0</v>
      </c>
      <c r="G396" s="61">
        <v>0</v>
      </c>
      <c r="H396" s="61">
        <v>11713067</v>
      </c>
      <c r="I396" s="61">
        <v>-11713067</v>
      </c>
      <c r="J396" s="61">
        <v>0</v>
      </c>
      <c r="K396" s="61">
        <v>7155</v>
      </c>
      <c r="L396" s="61">
        <v>-7155</v>
      </c>
      <c r="M396" s="61">
        <v>0</v>
      </c>
      <c r="N396" s="61">
        <v>0</v>
      </c>
    </row>
    <row r="397" spans="1:14" ht="30" x14ac:dyDescent="0.25">
      <c r="A397" s="68" t="s">
        <v>129</v>
      </c>
      <c r="B397" s="60" t="s">
        <v>83</v>
      </c>
      <c r="C397" s="61">
        <v>11607476</v>
      </c>
      <c r="D397" s="61">
        <v>0</v>
      </c>
      <c r="E397" s="61">
        <v>0</v>
      </c>
      <c r="F397" s="61">
        <v>0</v>
      </c>
      <c r="G397" s="61">
        <v>0</v>
      </c>
      <c r="H397" s="61">
        <v>11607476</v>
      </c>
      <c r="I397" s="61">
        <v>-11607476</v>
      </c>
      <c r="J397" s="61">
        <v>0</v>
      </c>
      <c r="K397" s="61">
        <v>0</v>
      </c>
      <c r="L397" s="61">
        <v>0</v>
      </c>
      <c r="M397" s="61">
        <v>0</v>
      </c>
      <c r="N397" s="61">
        <v>0</v>
      </c>
    </row>
    <row r="398" spans="1:14" ht="30" x14ac:dyDescent="0.25">
      <c r="A398" s="68" t="s">
        <v>129</v>
      </c>
      <c r="B398" s="60" t="s">
        <v>48</v>
      </c>
      <c r="C398" s="61">
        <v>11411309</v>
      </c>
      <c r="D398" s="61">
        <v>-479</v>
      </c>
      <c r="E398" s="61">
        <v>0</v>
      </c>
      <c r="F398" s="61">
        <v>0</v>
      </c>
      <c r="G398" s="61">
        <v>0</v>
      </c>
      <c r="H398" s="61">
        <v>11410830</v>
      </c>
      <c r="I398" s="61">
        <v>-11410830</v>
      </c>
      <c r="J398" s="61">
        <v>0</v>
      </c>
      <c r="K398" s="61">
        <v>0</v>
      </c>
      <c r="L398" s="61">
        <v>0</v>
      </c>
      <c r="M398" s="61">
        <v>0</v>
      </c>
      <c r="N398" s="61">
        <v>0</v>
      </c>
    </row>
    <row r="399" spans="1:14" ht="30" x14ac:dyDescent="0.25">
      <c r="A399" s="68" t="s">
        <v>129</v>
      </c>
      <c r="B399" s="60" t="s">
        <v>49</v>
      </c>
      <c r="C399" s="61">
        <v>12392007</v>
      </c>
      <c r="D399" s="61">
        <v>-9817</v>
      </c>
      <c r="E399" s="61">
        <v>0</v>
      </c>
      <c r="F399" s="61">
        <v>0</v>
      </c>
      <c r="G399" s="61">
        <v>0</v>
      </c>
      <c r="H399" s="61">
        <v>12382190</v>
      </c>
      <c r="I399" s="61">
        <v>-12382190</v>
      </c>
      <c r="J399" s="61">
        <v>0</v>
      </c>
      <c r="K399" s="61">
        <v>0</v>
      </c>
      <c r="L399" s="61">
        <v>0</v>
      </c>
      <c r="M399" s="61">
        <v>0</v>
      </c>
      <c r="N399" s="61">
        <v>0</v>
      </c>
    </row>
    <row r="400" spans="1:14" ht="30" x14ac:dyDescent="0.25">
      <c r="A400" s="68" t="s">
        <v>129</v>
      </c>
      <c r="B400" s="60" t="s">
        <v>50</v>
      </c>
      <c r="C400" s="61">
        <v>13449786</v>
      </c>
      <c r="D400" s="61">
        <v>-51220</v>
      </c>
      <c r="E400" s="61">
        <v>0</v>
      </c>
      <c r="F400" s="61">
        <v>0</v>
      </c>
      <c r="G400" s="61">
        <v>0</v>
      </c>
      <c r="H400" s="61">
        <v>13398566</v>
      </c>
      <c r="I400" s="61">
        <v>-13398566</v>
      </c>
      <c r="J400" s="61">
        <v>0</v>
      </c>
      <c r="K400" s="61">
        <v>51220</v>
      </c>
      <c r="L400" s="61">
        <v>-51220</v>
      </c>
      <c r="M400" s="61">
        <v>0</v>
      </c>
      <c r="N400" s="61">
        <v>0</v>
      </c>
    </row>
    <row r="401" spans="1:14" ht="30" x14ac:dyDescent="0.25">
      <c r="A401" s="68" t="s">
        <v>129</v>
      </c>
      <c r="B401" s="60" t="s">
        <v>51</v>
      </c>
      <c r="C401" s="61">
        <v>14202464</v>
      </c>
      <c r="D401" s="61">
        <v>-58825</v>
      </c>
      <c r="E401" s="61">
        <v>0</v>
      </c>
      <c r="F401" s="61">
        <v>0</v>
      </c>
      <c r="G401" s="61">
        <v>0</v>
      </c>
      <c r="H401" s="61">
        <v>14143639</v>
      </c>
      <c r="I401" s="61">
        <v>-14143639</v>
      </c>
      <c r="J401" s="61">
        <v>0</v>
      </c>
      <c r="K401" s="61">
        <v>52252</v>
      </c>
      <c r="L401" s="61">
        <v>-52252</v>
      </c>
      <c r="M401" s="61">
        <v>0</v>
      </c>
      <c r="N401" s="61">
        <v>0</v>
      </c>
    </row>
    <row r="402" spans="1:14" ht="30" x14ac:dyDescent="0.25">
      <c r="A402" s="68" t="s">
        <v>129</v>
      </c>
      <c r="B402" s="60" t="s">
        <v>52</v>
      </c>
      <c r="C402" s="61">
        <v>14046271</v>
      </c>
      <c r="D402" s="61">
        <v>-597260</v>
      </c>
      <c r="E402" s="61">
        <v>0</v>
      </c>
      <c r="F402" s="61">
        <v>0</v>
      </c>
      <c r="G402" s="61">
        <v>0</v>
      </c>
      <c r="H402" s="61">
        <v>13449011</v>
      </c>
      <c r="I402" s="61">
        <v>-13449011</v>
      </c>
      <c r="J402" s="61">
        <v>0</v>
      </c>
      <c r="K402" s="61">
        <v>959386</v>
      </c>
      <c r="L402" s="61">
        <v>-959386</v>
      </c>
      <c r="M402" s="61">
        <v>0</v>
      </c>
      <c r="N402" s="61">
        <v>0</v>
      </c>
    </row>
    <row r="403" spans="1:14" ht="30" x14ac:dyDescent="0.25">
      <c r="A403" s="68" t="s">
        <v>129</v>
      </c>
      <c r="B403" s="60" t="s">
        <v>53</v>
      </c>
      <c r="C403" s="61">
        <v>13186821</v>
      </c>
      <c r="D403" s="61">
        <v>-652151</v>
      </c>
      <c r="E403" s="61">
        <v>0</v>
      </c>
      <c r="F403" s="61">
        <v>0</v>
      </c>
      <c r="G403" s="61">
        <v>0</v>
      </c>
      <c r="H403" s="61">
        <v>12534670</v>
      </c>
      <c r="I403" s="61">
        <v>-12534670</v>
      </c>
      <c r="J403" s="61">
        <v>0</v>
      </c>
      <c r="K403" s="61">
        <v>652171</v>
      </c>
      <c r="L403" s="61">
        <v>-652171</v>
      </c>
      <c r="M403" s="61">
        <v>0</v>
      </c>
      <c r="N403" s="61">
        <v>0</v>
      </c>
    </row>
    <row r="404" spans="1:14" ht="30" x14ac:dyDescent="0.25">
      <c r="A404" s="68" t="s">
        <v>129</v>
      </c>
      <c r="B404" s="60" t="s">
        <v>54</v>
      </c>
      <c r="C404" s="61">
        <v>13081074</v>
      </c>
      <c r="D404" s="61">
        <v>-261410</v>
      </c>
      <c r="E404" s="61">
        <v>0</v>
      </c>
      <c r="F404" s="61">
        <v>0</v>
      </c>
      <c r="G404" s="61">
        <v>0</v>
      </c>
      <c r="H404" s="61">
        <v>12819664</v>
      </c>
      <c r="I404" s="61">
        <v>-12819664</v>
      </c>
      <c r="J404" s="61">
        <v>0</v>
      </c>
      <c r="K404" s="61">
        <v>1718446</v>
      </c>
      <c r="L404" s="61">
        <v>-1718446</v>
      </c>
      <c r="M404" s="61">
        <v>0</v>
      </c>
      <c r="N404" s="61">
        <v>0</v>
      </c>
    </row>
    <row r="405" spans="1:14" ht="30" x14ac:dyDescent="0.25">
      <c r="A405" s="68" t="s">
        <v>129</v>
      </c>
      <c r="B405" s="60" t="s">
        <v>55</v>
      </c>
      <c r="C405" s="61">
        <v>13550832</v>
      </c>
      <c r="D405" s="61">
        <v>-768373</v>
      </c>
      <c r="E405" s="61">
        <v>0</v>
      </c>
      <c r="F405" s="61">
        <v>0</v>
      </c>
      <c r="G405" s="61">
        <v>0</v>
      </c>
      <c r="H405" s="61">
        <v>12782459</v>
      </c>
      <c r="I405" s="61">
        <v>-12782459</v>
      </c>
      <c r="J405" s="61">
        <v>0</v>
      </c>
      <c r="K405" s="61">
        <v>0</v>
      </c>
      <c r="L405" s="61">
        <v>0</v>
      </c>
      <c r="M405" s="61">
        <v>0</v>
      </c>
      <c r="N405" s="61">
        <v>0</v>
      </c>
    </row>
    <row r="406" spans="1:14" ht="30" x14ac:dyDescent="0.25">
      <c r="A406" s="68" t="s">
        <v>129</v>
      </c>
      <c r="B406" s="60" t="s">
        <v>56</v>
      </c>
      <c r="C406" s="61">
        <v>16183827</v>
      </c>
      <c r="D406" s="61">
        <v>-223280</v>
      </c>
      <c r="E406" s="61">
        <v>0</v>
      </c>
      <c r="F406" s="61">
        <v>0</v>
      </c>
      <c r="G406" s="61">
        <v>0</v>
      </c>
      <c r="H406" s="61">
        <v>15960547</v>
      </c>
      <c r="I406" s="61">
        <v>-15960547</v>
      </c>
      <c r="J406" s="61">
        <v>0</v>
      </c>
      <c r="K406" s="61">
        <v>0</v>
      </c>
      <c r="L406" s="61">
        <v>0</v>
      </c>
      <c r="M406" s="61">
        <v>0</v>
      </c>
      <c r="N406" s="61">
        <v>0</v>
      </c>
    </row>
    <row r="407" spans="1:14" ht="30" x14ac:dyDescent="0.25">
      <c r="A407" s="68" t="s">
        <v>129</v>
      </c>
      <c r="B407" s="60" t="s">
        <v>57</v>
      </c>
      <c r="C407" s="61">
        <v>16912771</v>
      </c>
      <c r="D407" s="61">
        <v>-1099122</v>
      </c>
      <c r="E407" s="61">
        <v>0</v>
      </c>
      <c r="F407" s="61">
        <v>0</v>
      </c>
      <c r="G407" s="61">
        <v>0</v>
      </c>
      <c r="H407" s="61">
        <v>15813649</v>
      </c>
      <c r="I407" s="61">
        <v>-15813649</v>
      </c>
      <c r="J407" s="61">
        <v>0</v>
      </c>
      <c r="K407" s="61">
        <v>1269937</v>
      </c>
      <c r="L407" s="61">
        <v>-1269937</v>
      </c>
      <c r="M407" s="61">
        <v>0</v>
      </c>
      <c r="N407" s="61">
        <v>0</v>
      </c>
    </row>
    <row r="408" spans="1:14" ht="30" x14ac:dyDescent="0.25">
      <c r="A408" s="68" t="s">
        <v>129</v>
      </c>
      <c r="B408" s="60" t="s">
        <v>58</v>
      </c>
      <c r="C408" s="61">
        <v>15435153</v>
      </c>
      <c r="D408" s="61">
        <v>-931451</v>
      </c>
      <c r="E408" s="61">
        <v>0</v>
      </c>
      <c r="F408" s="61">
        <v>0</v>
      </c>
      <c r="G408" s="61">
        <v>0</v>
      </c>
      <c r="H408" s="61">
        <v>14503702</v>
      </c>
      <c r="I408" s="61">
        <v>-14503702</v>
      </c>
      <c r="J408" s="61">
        <v>0</v>
      </c>
      <c r="K408" s="61">
        <v>352000</v>
      </c>
      <c r="L408" s="61">
        <v>-352000</v>
      </c>
      <c r="M408" s="61">
        <v>0</v>
      </c>
      <c r="N408" s="61">
        <v>0</v>
      </c>
    </row>
    <row r="409" spans="1:14" ht="30" x14ac:dyDescent="0.25">
      <c r="A409" s="68" t="s">
        <v>129</v>
      </c>
      <c r="B409" s="60" t="s">
        <v>59</v>
      </c>
      <c r="C409" s="61">
        <v>13532359</v>
      </c>
      <c r="D409" s="61">
        <v>-859850</v>
      </c>
      <c r="E409" s="61">
        <v>0</v>
      </c>
      <c r="F409" s="61">
        <v>0</v>
      </c>
      <c r="G409" s="61">
        <v>0</v>
      </c>
      <c r="H409" s="61">
        <v>12672509</v>
      </c>
      <c r="I409" s="61">
        <v>-12672509</v>
      </c>
      <c r="J409" s="61">
        <v>0</v>
      </c>
      <c r="K409" s="61">
        <v>1648423</v>
      </c>
      <c r="L409" s="61">
        <v>-1648423</v>
      </c>
      <c r="M409" s="61">
        <v>0</v>
      </c>
      <c r="N409" s="61">
        <v>0</v>
      </c>
    </row>
    <row r="410" spans="1:14" ht="30" x14ac:dyDescent="0.25">
      <c r="A410" s="68" t="s">
        <v>129</v>
      </c>
      <c r="B410" s="60" t="s">
        <v>60</v>
      </c>
      <c r="C410" s="61">
        <v>13290471</v>
      </c>
      <c r="D410" s="61">
        <v>-846244</v>
      </c>
      <c r="E410" s="61">
        <v>0</v>
      </c>
      <c r="F410" s="61">
        <v>0</v>
      </c>
      <c r="G410" s="61">
        <v>0</v>
      </c>
      <c r="H410" s="61">
        <v>12444227</v>
      </c>
      <c r="I410" s="61">
        <v>-12444227</v>
      </c>
      <c r="J410" s="61">
        <v>0</v>
      </c>
      <c r="K410" s="61">
        <v>979241</v>
      </c>
      <c r="L410" s="61">
        <v>-979241</v>
      </c>
      <c r="M410" s="61">
        <v>0</v>
      </c>
      <c r="N410" s="61">
        <v>0</v>
      </c>
    </row>
    <row r="411" spans="1:14" ht="30" x14ac:dyDescent="0.25">
      <c r="A411" s="68" t="s">
        <v>129</v>
      </c>
      <c r="B411" s="60" t="s">
        <v>61</v>
      </c>
      <c r="C411" s="61">
        <v>12381521</v>
      </c>
      <c r="D411" s="61">
        <v>-1038847</v>
      </c>
      <c r="E411" s="61">
        <v>0</v>
      </c>
      <c r="F411" s="61">
        <v>0</v>
      </c>
      <c r="G411" s="61">
        <v>0</v>
      </c>
      <c r="H411" s="61">
        <v>11342674</v>
      </c>
      <c r="I411" s="61">
        <v>-11342674</v>
      </c>
      <c r="J411" s="61">
        <v>0</v>
      </c>
      <c r="K411" s="61">
        <v>1072599</v>
      </c>
      <c r="L411" s="61">
        <v>-1072599</v>
      </c>
      <c r="M411" s="61">
        <v>0</v>
      </c>
      <c r="N411" s="61">
        <v>0</v>
      </c>
    </row>
    <row r="412" spans="1:14" ht="30" x14ac:dyDescent="0.25">
      <c r="A412" s="68" t="s">
        <v>129</v>
      </c>
      <c r="B412" s="60" t="s">
        <v>62</v>
      </c>
      <c r="C412" s="61">
        <v>11571956</v>
      </c>
      <c r="D412" s="61">
        <v>-1137161</v>
      </c>
      <c r="E412" s="61">
        <v>0</v>
      </c>
      <c r="F412" s="61">
        <v>0</v>
      </c>
      <c r="G412" s="61">
        <v>0</v>
      </c>
      <c r="H412" s="61">
        <v>10434795</v>
      </c>
      <c r="I412" s="61">
        <v>-10434795</v>
      </c>
      <c r="J412" s="61">
        <v>0</v>
      </c>
      <c r="K412" s="61">
        <v>2462217</v>
      </c>
      <c r="L412" s="61">
        <v>-2462217</v>
      </c>
      <c r="M412" s="61">
        <v>0</v>
      </c>
      <c r="N412" s="61">
        <v>0</v>
      </c>
    </row>
    <row r="413" spans="1:14" ht="30" x14ac:dyDescent="0.25">
      <c r="A413" s="68" t="s">
        <v>129</v>
      </c>
      <c r="B413" s="60" t="s">
        <v>63</v>
      </c>
      <c r="C413" s="61">
        <v>10238478</v>
      </c>
      <c r="D413" s="61">
        <v>-287789</v>
      </c>
      <c r="E413" s="61">
        <v>0</v>
      </c>
      <c r="F413" s="61">
        <v>0</v>
      </c>
      <c r="G413" s="61">
        <v>0</v>
      </c>
      <c r="H413" s="61">
        <v>9950689</v>
      </c>
      <c r="I413" s="61">
        <v>-9950689</v>
      </c>
      <c r="J413" s="61">
        <v>0</v>
      </c>
      <c r="K413" s="61">
        <v>924446</v>
      </c>
      <c r="L413" s="61">
        <v>-924446</v>
      </c>
      <c r="M413" s="61">
        <v>0</v>
      </c>
      <c r="N413" s="61">
        <v>0</v>
      </c>
    </row>
    <row r="414" spans="1:14" ht="30" x14ac:dyDescent="0.25">
      <c r="A414" s="68" t="s">
        <v>129</v>
      </c>
      <c r="B414" s="60" t="s">
        <v>64</v>
      </c>
      <c r="C414" s="61">
        <v>9526170</v>
      </c>
      <c r="D414" s="61">
        <v>-715760</v>
      </c>
      <c r="E414" s="61">
        <v>0</v>
      </c>
      <c r="F414" s="61">
        <v>0</v>
      </c>
      <c r="G414" s="61">
        <v>0</v>
      </c>
      <c r="H414" s="61">
        <v>8810410</v>
      </c>
      <c r="I414" s="61">
        <v>-8810410</v>
      </c>
      <c r="J414" s="61">
        <v>0</v>
      </c>
      <c r="K414" s="61">
        <v>30020</v>
      </c>
      <c r="L414" s="61">
        <v>-30020</v>
      </c>
      <c r="M414" s="61">
        <v>0</v>
      </c>
      <c r="N414" s="61">
        <v>0</v>
      </c>
    </row>
    <row r="415" spans="1:14" ht="30" x14ac:dyDescent="0.25">
      <c r="A415" s="68" t="s">
        <v>129</v>
      </c>
      <c r="B415" s="60" t="s">
        <v>65</v>
      </c>
      <c r="C415" s="61">
        <v>7925685</v>
      </c>
      <c r="D415" s="61">
        <v>-69272</v>
      </c>
      <c r="E415" s="61">
        <v>0</v>
      </c>
      <c r="F415" s="61">
        <v>0</v>
      </c>
      <c r="G415" s="61">
        <v>0</v>
      </c>
      <c r="H415" s="61">
        <v>7856413</v>
      </c>
      <c r="I415" s="61">
        <v>-7856413</v>
      </c>
      <c r="J415" s="61">
        <v>0</v>
      </c>
      <c r="K415" s="61">
        <v>57331</v>
      </c>
      <c r="L415" s="61">
        <v>-57331</v>
      </c>
      <c r="M415" s="61">
        <v>0</v>
      </c>
      <c r="N415" s="61">
        <v>0</v>
      </c>
    </row>
    <row r="416" spans="1:14" ht="30" x14ac:dyDescent="0.25">
      <c r="A416" s="68" t="s">
        <v>129</v>
      </c>
      <c r="B416" s="60" t="s">
        <v>66</v>
      </c>
      <c r="C416" s="61">
        <v>6290579</v>
      </c>
      <c r="D416" s="61">
        <v>-389366</v>
      </c>
      <c r="E416" s="61">
        <v>0</v>
      </c>
      <c r="F416" s="61">
        <v>0</v>
      </c>
      <c r="G416" s="61">
        <v>0</v>
      </c>
      <c r="H416" s="61">
        <v>5901213</v>
      </c>
      <c r="I416" s="61">
        <v>-5901213</v>
      </c>
      <c r="J416" s="61">
        <v>0</v>
      </c>
      <c r="K416" s="61">
        <v>4063</v>
      </c>
      <c r="L416" s="61">
        <v>-4063</v>
      </c>
      <c r="M416" s="61">
        <v>0</v>
      </c>
      <c r="N416" s="61">
        <v>0</v>
      </c>
    </row>
    <row r="417" spans="1:14" ht="30" x14ac:dyDescent="0.25">
      <c r="A417" s="68" t="s">
        <v>129</v>
      </c>
      <c r="B417" s="60" t="s">
        <v>67</v>
      </c>
      <c r="C417" s="61">
        <v>5957680</v>
      </c>
      <c r="D417" s="61">
        <v>-291328</v>
      </c>
      <c r="E417" s="61">
        <v>0</v>
      </c>
      <c r="F417" s="61">
        <v>0</v>
      </c>
      <c r="G417" s="61">
        <v>0</v>
      </c>
      <c r="H417" s="61">
        <v>5666352</v>
      </c>
      <c r="I417" s="61">
        <v>-5666352</v>
      </c>
      <c r="J417" s="61">
        <v>0</v>
      </c>
      <c r="K417" s="61">
        <v>9265</v>
      </c>
      <c r="L417" s="61">
        <v>-9265</v>
      </c>
      <c r="M417" s="61">
        <v>0</v>
      </c>
      <c r="N417" s="61">
        <v>0</v>
      </c>
    </row>
    <row r="418" spans="1:14" ht="30" x14ac:dyDescent="0.25">
      <c r="A418" s="68" t="s">
        <v>129</v>
      </c>
      <c r="B418" s="60" t="s">
        <v>68</v>
      </c>
      <c r="C418" s="61">
        <v>70309</v>
      </c>
      <c r="D418" s="61">
        <v>0</v>
      </c>
      <c r="E418" s="61">
        <v>0</v>
      </c>
      <c r="F418" s="61">
        <v>0</v>
      </c>
      <c r="G418" s="61">
        <v>0</v>
      </c>
      <c r="H418" s="61">
        <v>70309</v>
      </c>
      <c r="I418" s="61">
        <v>-70309</v>
      </c>
      <c r="J418" s="61">
        <v>0</v>
      </c>
      <c r="K418" s="61">
        <v>24256</v>
      </c>
      <c r="L418" s="61">
        <v>-24256</v>
      </c>
      <c r="M418" s="61">
        <v>0</v>
      </c>
      <c r="N418" s="61">
        <v>0</v>
      </c>
    </row>
    <row r="419" spans="1:14" ht="30" x14ac:dyDescent="0.25">
      <c r="A419" s="68" t="s">
        <v>129</v>
      </c>
      <c r="B419" s="60" t="s">
        <v>69</v>
      </c>
      <c r="C419" s="61">
        <v>0</v>
      </c>
      <c r="D419" s="61">
        <v>0</v>
      </c>
      <c r="E419" s="61">
        <v>0</v>
      </c>
      <c r="F419" s="61">
        <v>0</v>
      </c>
      <c r="G419" s="61">
        <v>0</v>
      </c>
      <c r="H419" s="61">
        <v>0</v>
      </c>
      <c r="I419" s="61">
        <v>0</v>
      </c>
      <c r="J419" s="61">
        <v>0</v>
      </c>
      <c r="K419" s="61">
        <v>1641</v>
      </c>
      <c r="L419" s="61">
        <v>-1641</v>
      </c>
      <c r="M419" s="61">
        <v>0</v>
      </c>
      <c r="N419" s="61">
        <v>0</v>
      </c>
    </row>
    <row r="420" spans="1:14" ht="15.75" x14ac:dyDescent="0.25">
      <c r="A420" s="52" t="s">
        <v>130</v>
      </c>
      <c r="B420" s="53" t="s">
        <v>8</v>
      </c>
      <c r="C420" s="19">
        <f>SUBTOTAL(109,Program013[(C)
Program
Costs])</f>
        <v>356020752</v>
      </c>
      <c r="D420" s="19">
        <f>SUBTOTAL(109,Program013[(D)
Prior Period Adjustments])</f>
        <v>-10367288</v>
      </c>
      <c r="E420" s="19">
        <f>SUBTOTAL(109,Program013[(E)
Current Period Desk 
Reviews])</f>
        <v>0</v>
      </c>
      <c r="F420" s="19">
        <f>SUBTOTAL(109,Program013[(F)
Current Period 
Final 
Audits])</f>
        <v>0</v>
      </c>
      <c r="G420" s="19">
        <f>SUBTOTAL(109,Program013[(G)
Current Period 
Other Adjustments])</f>
        <v>-924</v>
      </c>
      <c r="H420" s="19">
        <f>SUBTOTAL(109,Program013[(H)
Net Program Costs
Sum (C through G)])</f>
        <v>345652540</v>
      </c>
      <c r="I420" s="19">
        <f>SUBTOTAL(109,Program013[(I)
Payments
 and Offsets])</f>
        <v>-332848214</v>
      </c>
      <c r="J420" s="19">
        <f>SUBTOTAL(109,Program013[(J)
Accounts Payable Balance
(H + I)])</f>
        <v>12804326</v>
      </c>
      <c r="K420" s="19">
        <f>SUBTOTAL(109,Program013[(K)
Established 
Accounts Receivable])</f>
        <v>12339291</v>
      </c>
      <c r="L420" s="19">
        <f>SUBTOTAL(109,Program013[(L)
Recovered
 Accounts Receivable])</f>
        <v>-12339291</v>
      </c>
      <c r="M420" s="19">
        <f>SUBTOTAL(109,Program013[(M)
Accounts Receivable Balance
(K + L)])</f>
        <v>0</v>
      </c>
      <c r="N420" s="19">
        <f>SUBTOTAL(109,Program013[(N)
Net Balance
(J minus M)])</f>
        <v>12804326</v>
      </c>
    </row>
    <row r="421" spans="1:14" ht="15.75" x14ac:dyDescent="0.25">
      <c r="A421" s="17" t="s">
        <v>13</v>
      </c>
      <c r="B421" s="54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</row>
    <row r="422" spans="1:14" ht="78.75" x14ac:dyDescent="0.25">
      <c r="A422" s="39" t="s">
        <v>32</v>
      </c>
      <c r="B422" s="40" t="s">
        <v>33</v>
      </c>
      <c r="C422" s="41" t="s">
        <v>34</v>
      </c>
      <c r="D422" s="41" t="s">
        <v>35</v>
      </c>
      <c r="E422" s="42" t="s">
        <v>36</v>
      </c>
      <c r="F422" s="42" t="s">
        <v>37</v>
      </c>
      <c r="G422" s="42" t="s">
        <v>38</v>
      </c>
      <c r="H422" s="43" t="s">
        <v>39</v>
      </c>
      <c r="I422" s="44" t="s">
        <v>40</v>
      </c>
      <c r="J422" s="44" t="s">
        <v>41</v>
      </c>
      <c r="K422" s="42" t="s">
        <v>42</v>
      </c>
      <c r="L422" s="44" t="s">
        <v>43</v>
      </c>
      <c r="M422" s="44" t="s">
        <v>44</v>
      </c>
      <c r="N422" s="45" t="s">
        <v>45</v>
      </c>
    </row>
    <row r="423" spans="1:14" ht="15.75" x14ac:dyDescent="0.25">
      <c r="A423" s="46" t="s">
        <v>131</v>
      </c>
      <c r="B423" s="47" t="s">
        <v>66</v>
      </c>
      <c r="C423" s="48">
        <v>1074</v>
      </c>
      <c r="D423" s="48">
        <v>0</v>
      </c>
      <c r="E423" s="48">
        <v>0</v>
      </c>
      <c r="F423" s="48">
        <v>0</v>
      </c>
      <c r="G423" s="48">
        <v>0</v>
      </c>
      <c r="H423" s="48">
        <v>1074</v>
      </c>
      <c r="I423" s="48">
        <v>-1074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</row>
    <row r="424" spans="1:14" ht="15.75" x14ac:dyDescent="0.25">
      <c r="A424" s="49" t="s">
        <v>131</v>
      </c>
      <c r="B424" s="50" t="s">
        <v>67</v>
      </c>
      <c r="C424" s="51">
        <v>448</v>
      </c>
      <c r="D424" s="51">
        <v>-448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</row>
    <row r="425" spans="1:14" ht="15.75" x14ac:dyDescent="0.25">
      <c r="A425" s="49" t="s">
        <v>131</v>
      </c>
      <c r="B425" s="50" t="s">
        <v>68</v>
      </c>
      <c r="C425" s="51">
        <v>0</v>
      </c>
      <c r="D425" s="51">
        <v>0</v>
      </c>
      <c r="E425" s="51">
        <v>0</v>
      </c>
      <c r="F425" s="51">
        <v>0</v>
      </c>
      <c r="G425" s="51">
        <v>0</v>
      </c>
      <c r="H425" s="51">
        <v>0</v>
      </c>
      <c r="I425" s="51">
        <v>0</v>
      </c>
      <c r="J425" s="51">
        <v>0</v>
      </c>
      <c r="K425" s="51">
        <v>6.04</v>
      </c>
      <c r="L425" s="51">
        <v>-6.04</v>
      </c>
      <c r="M425" s="51">
        <v>0</v>
      </c>
      <c r="N425" s="51">
        <v>0</v>
      </c>
    </row>
    <row r="426" spans="1:14" ht="15.75" x14ac:dyDescent="0.25">
      <c r="A426" s="52" t="s">
        <v>132</v>
      </c>
      <c r="B426" s="53" t="s">
        <v>8</v>
      </c>
      <c r="C426" s="19">
        <f>SUBTOTAL(109,Program062[(C)
Program
Costs])</f>
        <v>1522</v>
      </c>
      <c r="D426" s="19">
        <f>SUBTOTAL(109,Program062[(D)
Prior Period Adjustments])</f>
        <v>-448</v>
      </c>
      <c r="E426" s="19">
        <f>SUBTOTAL(109,Program062[(E)
Current Period Desk 
Reviews])</f>
        <v>0</v>
      </c>
      <c r="F426" s="19">
        <f>SUBTOTAL(109,Program062[(F)
Current Period 
Final 
Audits])</f>
        <v>0</v>
      </c>
      <c r="G426" s="19">
        <f>SUBTOTAL(109,Program062[(G)
Current Period 
Other Adjustments])</f>
        <v>0</v>
      </c>
      <c r="H426" s="19">
        <f>SUBTOTAL(109,Program062[(H)
Net Program Costs
Sum (C through G)])</f>
        <v>1074</v>
      </c>
      <c r="I426" s="19">
        <f>SUBTOTAL(109,Program062[(I)
Payments
 and Offsets])</f>
        <v>-1074</v>
      </c>
      <c r="J426" s="19">
        <f>SUBTOTAL(109,Program062[(J)
Accounts Payable Balance
(H + I)])</f>
        <v>0</v>
      </c>
      <c r="K426" s="19">
        <f>SUBTOTAL(109,Program062[(K)
Established 
Accounts Receivable])</f>
        <v>6.04</v>
      </c>
      <c r="L426" s="19">
        <f>SUBTOTAL(109,Program062[(L)
Recovered
 Accounts Receivable])</f>
        <v>-6.04</v>
      </c>
      <c r="M426" s="19">
        <f>SUBTOTAL(109,Program062[(M)
Accounts Receivable Balance
(K + L)])</f>
        <v>0</v>
      </c>
      <c r="N426" s="19">
        <f>SUBTOTAL(109,Program062[(N)
Net Balance
(J minus M)])</f>
        <v>0</v>
      </c>
    </row>
    <row r="427" spans="1:14" ht="15.75" x14ac:dyDescent="0.25">
      <c r="A427" s="17" t="s">
        <v>13</v>
      </c>
      <c r="B427" s="54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</row>
    <row r="428" spans="1:14" ht="78.75" x14ac:dyDescent="0.25">
      <c r="A428" s="39" t="s">
        <v>32</v>
      </c>
      <c r="B428" s="40" t="s">
        <v>33</v>
      </c>
      <c r="C428" s="41" t="s">
        <v>34</v>
      </c>
      <c r="D428" s="41" t="s">
        <v>35</v>
      </c>
      <c r="E428" s="42" t="s">
        <v>36</v>
      </c>
      <c r="F428" s="42" t="s">
        <v>37</v>
      </c>
      <c r="G428" s="42" t="s">
        <v>38</v>
      </c>
      <c r="H428" s="43" t="s">
        <v>39</v>
      </c>
      <c r="I428" s="44" t="s">
        <v>40</v>
      </c>
      <c r="J428" s="44" t="s">
        <v>41</v>
      </c>
      <c r="K428" s="42" t="s">
        <v>42</v>
      </c>
      <c r="L428" s="44" t="s">
        <v>43</v>
      </c>
      <c r="M428" s="44" t="s">
        <v>44</v>
      </c>
      <c r="N428" s="45" t="s">
        <v>45</v>
      </c>
    </row>
    <row r="429" spans="1:14" ht="30" x14ac:dyDescent="0.25">
      <c r="A429" s="67" t="s">
        <v>133</v>
      </c>
      <c r="B429" s="57" t="s">
        <v>49</v>
      </c>
      <c r="C429" s="58">
        <v>40390</v>
      </c>
      <c r="D429" s="58">
        <v>0</v>
      </c>
      <c r="E429" s="58">
        <v>0</v>
      </c>
      <c r="F429" s="58">
        <v>0</v>
      </c>
      <c r="G429" s="58">
        <v>0</v>
      </c>
      <c r="H429" s="58">
        <v>40390</v>
      </c>
      <c r="I429" s="58">
        <v>0</v>
      </c>
      <c r="J429" s="58">
        <v>40390</v>
      </c>
      <c r="K429" s="58">
        <v>0</v>
      </c>
      <c r="L429" s="58">
        <v>0</v>
      </c>
      <c r="M429" s="58">
        <v>0</v>
      </c>
      <c r="N429" s="58">
        <v>40390</v>
      </c>
    </row>
    <row r="430" spans="1:14" ht="30" x14ac:dyDescent="0.25">
      <c r="A430" s="68" t="s">
        <v>133</v>
      </c>
      <c r="B430" s="60" t="s">
        <v>50</v>
      </c>
      <c r="C430" s="61">
        <v>567312</v>
      </c>
      <c r="D430" s="61">
        <v>0</v>
      </c>
      <c r="E430" s="61">
        <v>0</v>
      </c>
      <c r="F430" s="61">
        <v>0</v>
      </c>
      <c r="G430" s="61">
        <v>0</v>
      </c>
      <c r="H430" s="61">
        <v>567312</v>
      </c>
      <c r="I430" s="61">
        <v>0</v>
      </c>
      <c r="J430" s="61">
        <v>567312</v>
      </c>
      <c r="K430" s="61">
        <v>0</v>
      </c>
      <c r="L430" s="61">
        <v>0</v>
      </c>
      <c r="M430" s="61">
        <v>0</v>
      </c>
      <c r="N430" s="61">
        <v>567312</v>
      </c>
    </row>
    <row r="431" spans="1:14" ht="30" x14ac:dyDescent="0.25">
      <c r="A431" s="68" t="s">
        <v>133</v>
      </c>
      <c r="B431" s="60" t="s">
        <v>51</v>
      </c>
      <c r="C431" s="61">
        <v>594030</v>
      </c>
      <c r="D431" s="61">
        <v>-798</v>
      </c>
      <c r="E431" s="61">
        <v>0</v>
      </c>
      <c r="F431" s="61">
        <v>0</v>
      </c>
      <c r="G431" s="61">
        <v>0</v>
      </c>
      <c r="H431" s="61">
        <v>593232</v>
      </c>
      <c r="I431" s="61">
        <v>0</v>
      </c>
      <c r="J431" s="61">
        <v>593232</v>
      </c>
      <c r="K431" s="61">
        <v>0</v>
      </c>
      <c r="L431" s="61">
        <v>0</v>
      </c>
      <c r="M431" s="61">
        <v>0</v>
      </c>
      <c r="N431" s="61">
        <v>593232</v>
      </c>
    </row>
    <row r="432" spans="1:14" ht="30" x14ac:dyDescent="0.25">
      <c r="A432" s="68" t="s">
        <v>133</v>
      </c>
      <c r="B432" s="60" t="s">
        <v>52</v>
      </c>
      <c r="C432" s="61">
        <v>457363</v>
      </c>
      <c r="D432" s="61">
        <v>-1000</v>
      </c>
      <c r="E432" s="61">
        <v>0</v>
      </c>
      <c r="F432" s="61">
        <v>0</v>
      </c>
      <c r="G432" s="61">
        <v>0</v>
      </c>
      <c r="H432" s="61">
        <v>456363</v>
      </c>
      <c r="I432" s="61">
        <v>-456363</v>
      </c>
      <c r="J432" s="61">
        <v>0</v>
      </c>
      <c r="K432" s="61">
        <v>4779</v>
      </c>
      <c r="L432" s="61">
        <v>-4779</v>
      </c>
      <c r="M432" s="61">
        <v>0</v>
      </c>
      <c r="N432" s="61">
        <v>0</v>
      </c>
    </row>
    <row r="433" spans="1:14" ht="30" x14ac:dyDescent="0.25">
      <c r="A433" s="68" t="s">
        <v>133</v>
      </c>
      <c r="B433" s="60" t="s">
        <v>53</v>
      </c>
      <c r="C433" s="61">
        <v>318739</v>
      </c>
      <c r="D433" s="61">
        <v>0</v>
      </c>
      <c r="E433" s="61">
        <v>0</v>
      </c>
      <c r="F433" s="61">
        <v>0</v>
      </c>
      <c r="G433" s="61">
        <v>0</v>
      </c>
      <c r="H433" s="61">
        <v>318739</v>
      </c>
      <c r="I433" s="61">
        <v>-318739</v>
      </c>
      <c r="J433" s="61">
        <v>0</v>
      </c>
      <c r="K433" s="61">
        <v>549</v>
      </c>
      <c r="L433" s="61">
        <v>-549</v>
      </c>
      <c r="M433" s="61">
        <v>0</v>
      </c>
      <c r="N433" s="61">
        <v>0</v>
      </c>
    </row>
    <row r="434" spans="1:14" ht="30" x14ac:dyDescent="0.25">
      <c r="A434" s="68" t="s">
        <v>133</v>
      </c>
      <c r="B434" s="60" t="s">
        <v>54</v>
      </c>
      <c r="C434" s="61">
        <v>338260</v>
      </c>
      <c r="D434" s="61">
        <v>-20482</v>
      </c>
      <c r="E434" s="61">
        <v>0</v>
      </c>
      <c r="F434" s="61">
        <v>0</v>
      </c>
      <c r="G434" s="61">
        <v>0</v>
      </c>
      <c r="H434" s="61">
        <v>317778</v>
      </c>
      <c r="I434" s="61">
        <v>-317778</v>
      </c>
      <c r="J434" s="61">
        <v>0</v>
      </c>
      <c r="K434" s="61">
        <v>55612</v>
      </c>
      <c r="L434" s="61">
        <v>-55612</v>
      </c>
      <c r="M434" s="61">
        <v>0</v>
      </c>
      <c r="N434" s="61">
        <v>0</v>
      </c>
    </row>
    <row r="435" spans="1:14" ht="30" x14ac:dyDescent="0.25">
      <c r="A435" s="68" t="s">
        <v>133</v>
      </c>
      <c r="B435" s="60" t="s">
        <v>55</v>
      </c>
      <c r="C435" s="61">
        <v>317924</v>
      </c>
      <c r="D435" s="61">
        <v>-9250</v>
      </c>
      <c r="E435" s="61">
        <v>0</v>
      </c>
      <c r="F435" s="61">
        <v>0</v>
      </c>
      <c r="G435" s="61">
        <v>0</v>
      </c>
      <c r="H435" s="61">
        <v>308674</v>
      </c>
      <c r="I435" s="61">
        <v>-308674</v>
      </c>
      <c r="J435" s="61">
        <v>0</v>
      </c>
      <c r="K435" s="61">
        <v>0</v>
      </c>
      <c r="L435" s="61">
        <v>0</v>
      </c>
      <c r="M435" s="61">
        <v>0</v>
      </c>
      <c r="N435" s="61">
        <v>0</v>
      </c>
    </row>
    <row r="436" spans="1:14" ht="30" x14ac:dyDescent="0.25">
      <c r="A436" s="68" t="s">
        <v>133</v>
      </c>
      <c r="B436" s="60" t="s">
        <v>56</v>
      </c>
      <c r="C436" s="61">
        <v>335776</v>
      </c>
      <c r="D436" s="61">
        <v>0</v>
      </c>
      <c r="E436" s="61">
        <v>0</v>
      </c>
      <c r="F436" s="61">
        <v>0</v>
      </c>
      <c r="G436" s="61">
        <v>0</v>
      </c>
      <c r="H436" s="61">
        <v>335776</v>
      </c>
      <c r="I436" s="61">
        <v>-335776</v>
      </c>
      <c r="J436" s="61">
        <v>0</v>
      </c>
      <c r="K436" s="61">
        <v>5</v>
      </c>
      <c r="L436" s="61">
        <v>-5</v>
      </c>
      <c r="M436" s="61">
        <v>0</v>
      </c>
      <c r="N436" s="61">
        <v>0</v>
      </c>
    </row>
    <row r="437" spans="1:14" ht="30" x14ac:dyDescent="0.25">
      <c r="A437" s="68" t="s">
        <v>133</v>
      </c>
      <c r="B437" s="60" t="s">
        <v>57</v>
      </c>
      <c r="C437" s="61">
        <v>340221</v>
      </c>
      <c r="D437" s="61">
        <v>-755</v>
      </c>
      <c r="E437" s="61">
        <v>0</v>
      </c>
      <c r="F437" s="61">
        <v>0</v>
      </c>
      <c r="G437" s="61">
        <v>0</v>
      </c>
      <c r="H437" s="61">
        <v>339466</v>
      </c>
      <c r="I437" s="61">
        <v>-339466</v>
      </c>
      <c r="J437" s="61">
        <v>0</v>
      </c>
      <c r="K437" s="61">
        <v>0</v>
      </c>
      <c r="L437" s="61">
        <v>0</v>
      </c>
      <c r="M437" s="61">
        <v>0</v>
      </c>
      <c r="N437" s="61">
        <v>0</v>
      </c>
    </row>
    <row r="438" spans="1:14" ht="30" x14ac:dyDescent="0.25">
      <c r="A438" s="68" t="s">
        <v>133</v>
      </c>
      <c r="B438" s="60" t="s">
        <v>58</v>
      </c>
      <c r="C438" s="61">
        <v>283475</v>
      </c>
      <c r="D438" s="61">
        <v>-140</v>
      </c>
      <c r="E438" s="61">
        <v>0</v>
      </c>
      <c r="F438" s="61">
        <v>0</v>
      </c>
      <c r="G438" s="61">
        <v>0</v>
      </c>
      <c r="H438" s="61">
        <v>283335</v>
      </c>
      <c r="I438" s="61">
        <v>-283335</v>
      </c>
      <c r="J438" s="61">
        <v>0</v>
      </c>
      <c r="K438" s="61">
        <v>4127</v>
      </c>
      <c r="L438" s="61">
        <v>-4127</v>
      </c>
      <c r="M438" s="61">
        <v>0</v>
      </c>
      <c r="N438" s="61">
        <v>0</v>
      </c>
    </row>
    <row r="439" spans="1:14" ht="30" x14ac:dyDescent="0.25">
      <c r="A439" s="68" t="s">
        <v>133</v>
      </c>
      <c r="B439" s="60" t="s">
        <v>59</v>
      </c>
      <c r="C439" s="61">
        <v>209868</v>
      </c>
      <c r="D439" s="61">
        <v>-1860</v>
      </c>
      <c r="E439" s="61">
        <v>0</v>
      </c>
      <c r="F439" s="61">
        <v>0</v>
      </c>
      <c r="G439" s="61">
        <v>0</v>
      </c>
      <c r="H439" s="61">
        <v>208008</v>
      </c>
      <c r="I439" s="61">
        <v>-208008</v>
      </c>
      <c r="J439" s="61">
        <v>0</v>
      </c>
      <c r="K439" s="61">
        <v>8671</v>
      </c>
      <c r="L439" s="61">
        <v>-8671</v>
      </c>
      <c r="M439" s="61">
        <v>0</v>
      </c>
      <c r="N439" s="61">
        <v>0</v>
      </c>
    </row>
    <row r="440" spans="1:14" ht="30" x14ac:dyDescent="0.25">
      <c r="A440" s="68" t="s">
        <v>133</v>
      </c>
      <c r="B440" s="60" t="s">
        <v>60</v>
      </c>
      <c r="C440" s="61">
        <v>193721</v>
      </c>
      <c r="D440" s="61">
        <v>-988</v>
      </c>
      <c r="E440" s="61">
        <v>0</v>
      </c>
      <c r="F440" s="61">
        <v>0</v>
      </c>
      <c r="G440" s="61">
        <v>0</v>
      </c>
      <c r="H440" s="61">
        <v>192733</v>
      </c>
      <c r="I440" s="61">
        <v>-192733</v>
      </c>
      <c r="J440" s="61">
        <v>0</v>
      </c>
      <c r="K440" s="61">
        <v>1400</v>
      </c>
      <c r="L440" s="61">
        <v>-1400</v>
      </c>
      <c r="M440" s="61">
        <v>0</v>
      </c>
      <c r="N440" s="61">
        <v>0</v>
      </c>
    </row>
    <row r="441" spans="1:14" ht="30" x14ac:dyDescent="0.25">
      <c r="A441" s="68" t="s">
        <v>133</v>
      </c>
      <c r="B441" s="60" t="s">
        <v>61</v>
      </c>
      <c r="C441" s="61">
        <v>181065</v>
      </c>
      <c r="D441" s="61">
        <v>0</v>
      </c>
      <c r="E441" s="61">
        <v>0</v>
      </c>
      <c r="F441" s="61">
        <v>0</v>
      </c>
      <c r="G441" s="61">
        <v>0</v>
      </c>
      <c r="H441" s="61">
        <v>181065</v>
      </c>
      <c r="I441" s="61">
        <v>-181065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</row>
    <row r="442" spans="1:14" ht="30" x14ac:dyDescent="0.25">
      <c r="A442" s="68" t="s">
        <v>133</v>
      </c>
      <c r="B442" s="60" t="s">
        <v>62</v>
      </c>
      <c r="C442" s="61">
        <v>157446</v>
      </c>
      <c r="D442" s="61">
        <v>0</v>
      </c>
      <c r="E442" s="61">
        <v>0</v>
      </c>
      <c r="F442" s="61">
        <v>0</v>
      </c>
      <c r="G442" s="61">
        <v>0</v>
      </c>
      <c r="H442" s="61">
        <v>157446</v>
      </c>
      <c r="I442" s="61">
        <v>-157446</v>
      </c>
      <c r="J442" s="61">
        <v>0</v>
      </c>
      <c r="K442" s="61">
        <v>0</v>
      </c>
      <c r="L442" s="61">
        <v>0</v>
      </c>
      <c r="M442" s="61">
        <v>0</v>
      </c>
      <c r="N442" s="61">
        <v>0</v>
      </c>
    </row>
    <row r="443" spans="1:14" ht="30" x14ac:dyDescent="0.25">
      <c r="A443" s="68" t="s">
        <v>133</v>
      </c>
      <c r="B443" s="60" t="s">
        <v>63</v>
      </c>
      <c r="C443" s="61">
        <v>159433</v>
      </c>
      <c r="D443" s="61">
        <v>-1000</v>
      </c>
      <c r="E443" s="61">
        <v>0</v>
      </c>
      <c r="F443" s="61">
        <v>0</v>
      </c>
      <c r="G443" s="61">
        <v>0</v>
      </c>
      <c r="H443" s="61">
        <v>158433</v>
      </c>
      <c r="I443" s="61">
        <v>-158433</v>
      </c>
      <c r="J443" s="61">
        <v>0</v>
      </c>
      <c r="K443" s="61">
        <v>0</v>
      </c>
      <c r="L443" s="61">
        <v>0</v>
      </c>
      <c r="M443" s="61">
        <v>0</v>
      </c>
      <c r="N443" s="61">
        <v>0</v>
      </c>
    </row>
    <row r="444" spans="1:14" ht="30" x14ac:dyDescent="0.25">
      <c r="A444" s="68" t="s">
        <v>133</v>
      </c>
      <c r="B444" s="60" t="s">
        <v>64</v>
      </c>
      <c r="C444" s="61">
        <v>135302</v>
      </c>
      <c r="D444" s="61">
        <v>0</v>
      </c>
      <c r="E444" s="61">
        <v>0</v>
      </c>
      <c r="F444" s="61">
        <v>0</v>
      </c>
      <c r="G444" s="61">
        <v>0</v>
      </c>
      <c r="H444" s="61">
        <v>135302</v>
      </c>
      <c r="I444" s="61">
        <v>-135302</v>
      </c>
      <c r="J444" s="61">
        <v>0</v>
      </c>
      <c r="K444" s="61">
        <v>0</v>
      </c>
      <c r="L444" s="61">
        <v>0</v>
      </c>
      <c r="M444" s="61">
        <v>0</v>
      </c>
      <c r="N444" s="61">
        <v>0</v>
      </c>
    </row>
    <row r="445" spans="1:14" ht="30" x14ac:dyDescent="0.25">
      <c r="A445" s="68" t="s">
        <v>133</v>
      </c>
      <c r="B445" s="60" t="s">
        <v>65</v>
      </c>
      <c r="C445" s="61">
        <v>25584</v>
      </c>
      <c r="D445" s="61">
        <v>0</v>
      </c>
      <c r="E445" s="61">
        <v>0</v>
      </c>
      <c r="F445" s="61">
        <v>0</v>
      </c>
      <c r="G445" s="61">
        <v>0</v>
      </c>
      <c r="H445" s="61">
        <v>25584</v>
      </c>
      <c r="I445" s="61">
        <v>-25584</v>
      </c>
      <c r="J445" s="61">
        <v>0</v>
      </c>
      <c r="K445" s="61">
        <v>0</v>
      </c>
      <c r="L445" s="61">
        <v>0</v>
      </c>
      <c r="M445" s="61">
        <v>0</v>
      </c>
      <c r="N445" s="61">
        <v>0</v>
      </c>
    </row>
    <row r="446" spans="1:14" ht="30" x14ac:dyDescent="0.25">
      <c r="A446" s="68" t="s">
        <v>133</v>
      </c>
      <c r="B446" s="60" t="s">
        <v>66</v>
      </c>
      <c r="C446" s="61">
        <v>21971</v>
      </c>
      <c r="D446" s="61">
        <v>0</v>
      </c>
      <c r="E446" s="61">
        <v>0</v>
      </c>
      <c r="F446" s="61">
        <v>0</v>
      </c>
      <c r="G446" s="61">
        <v>0</v>
      </c>
      <c r="H446" s="61">
        <v>21971</v>
      </c>
      <c r="I446" s="61">
        <v>-21971</v>
      </c>
      <c r="J446" s="61">
        <v>0</v>
      </c>
      <c r="K446" s="61">
        <v>0</v>
      </c>
      <c r="L446" s="61">
        <v>0</v>
      </c>
      <c r="M446" s="61">
        <v>0</v>
      </c>
      <c r="N446" s="61">
        <v>0</v>
      </c>
    </row>
    <row r="447" spans="1:14" ht="30" x14ac:dyDescent="0.25">
      <c r="A447" s="68" t="s">
        <v>133</v>
      </c>
      <c r="B447" s="60" t="s">
        <v>67</v>
      </c>
      <c r="C447" s="61">
        <v>3870</v>
      </c>
      <c r="D447" s="61">
        <v>0</v>
      </c>
      <c r="E447" s="61">
        <v>0</v>
      </c>
      <c r="F447" s="61">
        <v>0</v>
      </c>
      <c r="G447" s="61">
        <v>0</v>
      </c>
      <c r="H447" s="61">
        <v>3870</v>
      </c>
      <c r="I447" s="61">
        <v>-3870</v>
      </c>
      <c r="J447" s="61">
        <v>0</v>
      </c>
      <c r="K447" s="61">
        <v>0</v>
      </c>
      <c r="L447" s="61">
        <v>0</v>
      </c>
      <c r="M447" s="61">
        <v>0</v>
      </c>
      <c r="N447" s="61">
        <v>0</v>
      </c>
    </row>
    <row r="448" spans="1:14" ht="30" x14ac:dyDescent="0.25">
      <c r="A448" s="68" t="s">
        <v>133</v>
      </c>
      <c r="B448" s="60" t="s">
        <v>68</v>
      </c>
      <c r="C448" s="61">
        <v>0</v>
      </c>
      <c r="D448" s="61">
        <v>0</v>
      </c>
      <c r="E448" s="61">
        <v>0</v>
      </c>
      <c r="F448" s="61">
        <v>0</v>
      </c>
      <c r="G448" s="61">
        <v>0</v>
      </c>
      <c r="H448" s="61">
        <v>0</v>
      </c>
      <c r="I448" s="61">
        <v>0</v>
      </c>
      <c r="J448" s="61">
        <v>0</v>
      </c>
      <c r="K448" s="61">
        <v>2.33</v>
      </c>
      <c r="L448" s="61">
        <v>-2.33</v>
      </c>
      <c r="M448" s="61">
        <v>0</v>
      </c>
      <c r="N448" s="61">
        <v>0</v>
      </c>
    </row>
    <row r="449" spans="1:14" ht="15.75" x14ac:dyDescent="0.25">
      <c r="A449" s="52" t="s">
        <v>134</v>
      </c>
      <c r="B449" s="53" t="s">
        <v>8</v>
      </c>
      <c r="C449" s="19">
        <f>SUBTOTAL(109,Program087[(C)
Program
Costs])</f>
        <v>4681750</v>
      </c>
      <c r="D449" s="19">
        <f>SUBTOTAL(109,Program087[(D)
Prior Period Adjustments])</f>
        <v>-36273</v>
      </c>
      <c r="E449" s="19">
        <f>SUBTOTAL(109,Program087[(E)
Current Period Desk 
Reviews])</f>
        <v>0</v>
      </c>
      <c r="F449" s="19">
        <f>SUBTOTAL(109,Program087[(F)
Current Period 
Final 
Audits])</f>
        <v>0</v>
      </c>
      <c r="G449" s="19">
        <f>SUBTOTAL(109,Program087[(G)
Current Period 
Other Adjustments])</f>
        <v>0</v>
      </c>
      <c r="H449" s="19">
        <f>SUBTOTAL(109,Program087[(H)
Net Program Costs
Sum (C through G)])</f>
        <v>4645477</v>
      </c>
      <c r="I449" s="19">
        <f>SUBTOTAL(109,Program087[(I)
Payments
 and Offsets])</f>
        <v>-3444543</v>
      </c>
      <c r="J449" s="19">
        <f>SUBTOTAL(109,Program087[(J)
Accounts Payable Balance
(H + I)])</f>
        <v>1200934</v>
      </c>
      <c r="K449" s="19">
        <f>SUBTOTAL(109,Program087[(K)
Established 
Accounts Receivable])</f>
        <v>75145.33</v>
      </c>
      <c r="L449" s="19">
        <f>SUBTOTAL(109,Program087[(L)
Recovered
 Accounts Receivable])</f>
        <v>-75145.33</v>
      </c>
      <c r="M449" s="19">
        <f>SUBTOTAL(109,Program087[(M)
Accounts Receivable Balance
(K + L)])</f>
        <v>0</v>
      </c>
      <c r="N449" s="19">
        <f>SUBTOTAL(109,Program087[(N)
Net Balance
(J minus M)])</f>
        <v>1200934</v>
      </c>
    </row>
    <row r="450" spans="1:14" ht="15.75" x14ac:dyDescent="0.25">
      <c r="A450" s="17" t="s">
        <v>13</v>
      </c>
      <c r="B450" s="54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</row>
    <row r="451" spans="1:14" ht="78.75" x14ac:dyDescent="0.25">
      <c r="A451" s="39" t="s">
        <v>32</v>
      </c>
      <c r="B451" s="40" t="s">
        <v>33</v>
      </c>
      <c r="C451" s="41" t="s">
        <v>34</v>
      </c>
      <c r="D451" s="41" t="s">
        <v>35</v>
      </c>
      <c r="E451" s="42" t="s">
        <v>36</v>
      </c>
      <c r="F451" s="42" t="s">
        <v>37</v>
      </c>
      <c r="G451" s="42" t="s">
        <v>38</v>
      </c>
      <c r="H451" s="43" t="s">
        <v>39</v>
      </c>
      <c r="I451" s="44" t="s">
        <v>40</v>
      </c>
      <c r="J451" s="44" t="s">
        <v>41</v>
      </c>
      <c r="K451" s="42" t="s">
        <v>42</v>
      </c>
      <c r="L451" s="44" t="s">
        <v>43</v>
      </c>
      <c r="M451" s="44" t="s">
        <v>44</v>
      </c>
      <c r="N451" s="45" t="s">
        <v>45</v>
      </c>
    </row>
    <row r="452" spans="1:14" ht="15.75" x14ac:dyDescent="0.25">
      <c r="A452" s="46" t="s">
        <v>135</v>
      </c>
      <c r="B452" s="47" t="str">
        <f>[1]Locals!A426</f>
        <v>1995-96</v>
      </c>
      <c r="C452" s="48">
        <f>[1]Locals!B426</f>
        <v>13959252.92</v>
      </c>
      <c r="D452" s="48">
        <f>[1]Locals!C426</f>
        <v>0</v>
      </c>
      <c r="E452" s="48">
        <f>[1]Locals!D426</f>
        <v>0</v>
      </c>
      <c r="F452" s="48">
        <f>[1]Locals!E426</f>
        <v>0</v>
      </c>
      <c r="G452" s="48">
        <f>[1]Locals!F426</f>
        <v>0</v>
      </c>
      <c r="H452" s="48">
        <f>[1]Locals!G426</f>
        <v>13959252.92</v>
      </c>
      <c r="I452" s="48">
        <f>[1]Locals!H426</f>
        <v>-13959252.92</v>
      </c>
      <c r="J452" s="48">
        <f>[1]Locals!I426</f>
        <v>0</v>
      </c>
      <c r="K452" s="48">
        <f>[1]Locals!J426</f>
        <v>0</v>
      </c>
      <c r="L452" s="48">
        <f>[1]Locals!K426</f>
        <v>0</v>
      </c>
      <c r="M452" s="48">
        <f>[1]Locals!L426</f>
        <v>0</v>
      </c>
      <c r="N452" s="48">
        <f>[1]Locals!M426</f>
        <v>0</v>
      </c>
    </row>
    <row r="453" spans="1:14" ht="15.75" x14ac:dyDescent="0.25">
      <c r="A453" s="52" t="s">
        <v>136</v>
      </c>
      <c r="B453" s="53" t="s">
        <v>8</v>
      </c>
      <c r="C453" s="19">
        <f>SUBTOTAL(109,Program143[(C)
Program
Costs])</f>
        <v>13959252.92</v>
      </c>
      <c r="D453" s="19">
        <f>SUBTOTAL(109,Program143[(D)
Prior Period Adjustments])</f>
        <v>0</v>
      </c>
      <c r="E453" s="19">
        <f>SUBTOTAL(109,Program143[(E)
Current Period Desk 
Reviews])</f>
        <v>0</v>
      </c>
      <c r="F453" s="19">
        <f>SUBTOTAL(109,Program143[(F)
Current Period 
Final 
Audits])</f>
        <v>0</v>
      </c>
      <c r="G453" s="19">
        <f>SUBTOTAL(109,Program143[(G)
Current Period 
Other Adjustments])</f>
        <v>0</v>
      </c>
      <c r="H453" s="19">
        <f>SUBTOTAL(109,Program143[(H)
Net Program Costs
Sum (C through G)])</f>
        <v>13959252.92</v>
      </c>
      <c r="I453" s="19">
        <f>SUBTOTAL(109,Program143[(I)
Payments
 and Offsets])</f>
        <v>-13959252.92</v>
      </c>
      <c r="J453" s="19">
        <f>SUBTOTAL(109,Program143[(J)
Accounts Payable Balance
(H + I)])</f>
        <v>0</v>
      </c>
      <c r="K453" s="19">
        <f>SUBTOTAL(109,Program143[(K)
Established 
Accounts Receivable])</f>
        <v>0</v>
      </c>
      <c r="L453" s="19">
        <f>SUBTOTAL(109,Program143[(L)
Recovered
 Accounts Receivable])</f>
        <v>0</v>
      </c>
      <c r="M453" s="19">
        <f>SUBTOTAL(109,Program143[(M)
Accounts Receivable Balance
(K + L)])</f>
        <v>0</v>
      </c>
      <c r="N453" s="19">
        <f>SUBTOTAL(109,Program143[(N)
Net Balance
(J minus M)])</f>
        <v>0</v>
      </c>
    </row>
    <row r="454" spans="1:14" ht="15.75" x14ac:dyDescent="0.25">
      <c r="A454" s="17" t="s">
        <v>13</v>
      </c>
      <c r="B454" s="54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</row>
    <row r="455" spans="1:14" ht="78.75" x14ac:dyDescent="0.25">
      <c r="A455" s="39" t="s">
        <v>32</v>
      </c>
      <c r="B455" s="40" t="s">
        <v>33</v>
      </c>
      <c r="C455" s="41" t="s">
        <v>34</v>
      </c>
      <c r="D455" s="41" t="s">
        <v>35</v>
      </c>
      <c r="E455" s="42" t="s">
        <v>36</v>
      </c>
      <c r="F455" s="42" t="s">
        <v>37</v>
      </c>
      <c r="G455" s="42" t="s">
        <v>38</v>
      </c>
      <c r="H455" s="43" t="s">
        <v>39</v>
      </c>
      <c r="I455" s="44" t="s">
        <v>40</v>
      </c>
      <c r="J455" s="44" t="s">
        <v>41</v>
      </c>
      <c r="K455" s="42" t="s">
        <v>42</v>
      </c>
      <c r="L455" s="44" t="s">
        <v>43</v>
      </c>
      <c r="M455" s="44" t="s">
        <v>44</v>
      </c>
      <c r="N455" s="45" t="s">
        <v>45</v>
      </c>
    </row>
    <row r="456" spans="1:14" ht="15.75" x14ac:dyDescent="0.25">
      <c r="A456" s="46" t="s">
        <v>137</v>
      </c>
      <c r="B456" s="47" t="s">
        <v>50</v>
      </c>
      <c r="C456" s="48">
        <v>146180</v>
      </c>
      <c r="D456" s="48">
        <v>0</v>
      </c>
      <c r="E456" s="48">
        <v>0</v>
      </c>
      <c r="F456" s="48">
        <v>0</v>
      </c>
      <c r="G456" s="48">
        <v>0</v>
      </c>
      <c r="H456" s="48">
        <v>146180</v>
      </c>
      <c r="I456" s="48">
        <v>0</v>
      </c>
      <c r="J456" s="48">
        <v>146180</v>
      </c>
      <c r="K456" s="48">
        <v>0</v>
      </c>
      <c r="L456" s="48">
        <v>0</v>
      </c>
      <c r="M456" s="48">
        <v>0</v>
      </c>
      <c r="N456" s="48">
        <v>146180</v>
      </c>
    </row>
    <row r="457" spans="1:14" ht="15.75" x14ac:dyDescent="0.25">
      <c r="A457" s="49" t="s">
        <v>137</v>
      </c>
      <c r="B457" s="50" t="s">
        <v>51</v>
      </c>
      <c r="C457" s="51">
        <v>163634</v>
      </c>
      <c r="D457" s="51">
        <v>0</v>
      </c>
      <c r="E457" s="51">
        <v>0</v>
      </c>
      <c r="F457" s="51">
        <v>0</v>
      </c>
      <c r="G457" s="51">
        <v>0</v>
      </c>
      <c r="H457" s="51">
        <v>163634</v>
      </c>
      <c r="I457" s="51">
        <v>0</v>
      </c>
      <c r="J457" s="51">
        <v>163634</v>
      </c>
      <c r="K457" s="51">
        <v>0</v>
      </c>
      <c r="L457" s="51">
        <v>0</v>
      </c>
      <c r="M457" s="51">
        <v>0</v>
      </c>
      <c r="N457" s="51">
        <v>163634</v>
      </c>
    </row>
    <row r="458" spans="1:14" ht="15.75" x14ac:dyDescent="0.25">
      <c r="A458" s="49" t="s">
        <v>137</v>
      </c>
      <c r="B458" s="50" t="s">
        <v>52</v>
      </c>
      <c r="C458" s="51">
        <v>150515</v>
      </c>
      <c r="D458" s="51">
        <v>0</v>
      </c>
      <c r="E458" s="51">
        <v>0</v>
      </c>
      <c r="F458" s="51">
        <v>0</v>
      </c>
      <c r="G458" s="51">
        <v>0</v>
      </c>
      <c r="H458" s="51">
        <v>150515</v>
      </c>
      <c r="I458" s="51">
        <v>-150515</v>
      </c>
      <c r="J458" s="51">
        <v>0</v>
      </c>
      <c r="K458" s="51">
        <v>0</v>
      </c>
      <c r="L458" s="51">
        <v>0</v>
      </c>
      <c r="M458" s="51">
        <v>0</v>
      </c>
      <c r="N458" s="51">
        <v>0</v>
      </c>
    </row>
    <row r="459" spans="1:14" ht="15.75" x14ac:dyDescent="0.25">
      <c r="A459" s="49" t="s">
        <v>137</v>
      </c>
      <c r="B459" s="50" t="s">
        <v>53</v>
      </c>
      <c r="C459" s="51">
        <v>244113</v>
      </c>
      <c r="D459" s="51">
        <v>-2727</v>
      </c>
      <c r="E459" s="51">
        <v>0</v>
      </c>
      <c r="F459" s="51">
        <v>0</v>
      </c>
      <c r="G459" s="51">
        <v>0</v>
      </c>
      <c r="H459" s="51">
        <v>241386</v>
      </c>
      <c r="I459" s="51">
        <v>-241386</v>
      </c>
      <c r="J459" s="51">
        <v>0</v>
      </c>
      <c r="K459" s="51">
        <v>0</v>
      </c>
      <c r="L459" s="51">
        <v>0</v>
      </c>
      <c r="M459" s="51">
        <v>0</v>
      </c>
      <c r="N459" s="51">
        <v>0</v>
      </c>
    </row>
    <row r="460" spans="1:14" ht="15.75" x14ac:dyDescent="0.25">
      <c r="A460" s="49" t="s">
        <v>137</v>
      </c>
      <c r="B460" s="50" t="s">
        <v>54</v>
      </c>
      <c r="C460" s="51">
        <v>11773</v>
      </c>
      <c r="D460" s="51">
        <v>0</v>
      </c>
      <c r="E460" s="51">
        <v>0</v>
      </c>
      <c r="F460" s="51">
        <v>0</v>
      </c>
      <c r="G460" s="51">
        <v>0</v>
      </c>
      <c r="H460" s="51">
        <v>11773</v>
      </c>
      <c r="I460" s="51">
        <v>-11773</v>
      </c>
      <c r="J460" s="51">
        <v>0</v>
      </c>
      <c r="K460" s="51">
        <v>0</v>
      </c>
      <c r="L460" s="51">
        <v>0</v>
      </c>
      <c r="M460" s="51">
        <v>0</v>
      </c>
      <c r="N460" s="51">
        <v>0</v>
      </c>
    </row>
    <row r="461" spans="1:14" ht="15.75" x14ac:dyDescent="0.25">
      <c r="A461" s="49" t="s">
        <v>137</v>
      </c>
      <c r="B461" s="50" t="s">
        <v>55</v>
      </c>
      <c r="C461" s="51">
        <v>30022</v>
      </c>
      <c r="D461" s="51">
        <v>0</v>
      </c>
      <c r="E461" s="51">
        <v>0</v>
      </c>
      <c r="F461" s="51">
        <v>0</v>
      </c>
      <c r="G461" s="51">
        <v>0</v>
      </c>
      <c r="H461" s="51">
        <v>30022</v>
      </c>
      <c r="I461" s="51">
        <v>-30022</v>
      </c>
      <c r="J461" s="51">
        <v>0</v>
      </c>
      <c r="K461" s="51">
        <v>0</v>
      </c>
      <c r="L461" s="51">
        <v>0</v>
      </c>
      <c r="M461" s="51">
        <v>0</v>
      </c>
      <c r="N461" s="51">
        <v>0</v>
      </c>
    </row>
    <row r="462" spans="1:14" ht="15.75" x14ac:dyDescent="0.25">
      <c r="A462" s="49" t="s">
        <v>137</v>
      </c>
      <c r="B462" s="50" t="s">
        <v>56</v>
      </c>
      <c r="C462" s="51">
        <v>86938</v>
      </c>
      <c r="D462" s="51">
        <v>0</v>
      </c>
      <c r="E462" s="51">
        <v>0</v>
      </c>
      <c r="F462" s="51">
        <v>0</v>
      </c>
      <c r="G462" s="51">
        <v>0</v>
      </c>
      <c r="H462" s="51">
        <v>86938</v>
      </c>
      <c r="I462" s="51">
        <v>-86938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</row>
    <row r="463" spans="1:14" ht="15.75" x14ac:dyDescent="0.25">
      <c r="A463" s="49" t="s">
        <v>137</v>
      </c>
      <c r="B463" s="50" t="s">
        <v>57</v>
      </c>
      <c r="C463" s="51">
        <v>1693</v>
      </c>
      <c r="D463" s="51">
        <v>0</v>
      </c>
      <c r="E463" s="51">
        <v>0</v>
      </c>
      <c r="F463" s="51">
        <v>0</v>
      </c>
      <c r="G463" s="51">
        <v>0</v>
      </c>
      <c r="H463" s="51">
        <v>1693</v>
      </c>
      <c r="I463" s="51">
        <v>-1693</v>
      </c>
      <c r="J463" s="51">
        <v>0</v>
      </c>
      <c r="K463" s="51">
        <v>0</v>
      </c>
      <c r="L463" s="51">
        <v>0</v>
      </c>
      <c r="M463" s="51">
        <v>0</v>
      </c>
      <c r="N463" s="51">
        <v>0</v>
      </c>
    </row>
    <row r="464" spans="1:14" ht="15.75" x14ac:dyDescent="0.25">
      <c r="A464" s="52" t="s">
        <v>138</v>
      </c>
      <c r="B464" s="53" t="s">
        <v>8</v>
      </c>
      <c r="C464" s="19">
        <f>SUBTOTAL(109,Program266[(C)
Program
Costs])</f>
        <v>834868</v>
      </c>
      <c r="D464" s="19">
        <f>SUBTOTAL(109,Program266[(D)
Prior Period Adjustments])</f>
        <v>-2727</v>
      </c>
      <c r="E464" s="19">
        <f>SUBTOTAL(109,Program266[(E)
Current Period Desk 
Reviews])</f>
        <v>0</v>
      </c>
      <c r="F464" s="19">
        <f>SUBTOTAL(109,Program266[(F)
Current Period 
Final 
Audits])</f>
        <v>0</v>
      </c>
      <c r="G464" s="19">
        <f>SUBTOTAL(109,Program266[(G)
Current Period 
Other Adjustments])</f>
        <v>0</v>
      </c>
      <c r="H464" s="19">
        <f>SUBTOTAL(109,Program266[(H)
Net Program Costs
Sum (C through G)])</f>
        <v>832141</v>
      </c>
      <c r="I464" s="19">
        <f>SUBTOTAL(109,Program266[(I)
Payments
 and Offsets])</f>
        <v>-522327</v>
      </c>
      <c r="J464" s="19">
        <f>SUBTOTAL(109,Program266[(J)
Accounts Payable Balance
(H + I)])</f>
        <v>309814</v>
      </c>
      <c r="K464" s="19">
        <f>SUBTOTAL(109,Program266[(K)
Established 
Accounts Receivable])</f>
        <v>0</v>
      </c>
      <c r="L464" s="19">
        <f>SUBTOTAL(109,Program266[(L)
Recovered
 Accounts Receivable])</f>
        <v>0</v>
      </c>
      <c r="M464" s="19">
        <f>SUBTOTAL(109,Program266[(M)
Accounts Receivable Balance
(K + L)])</f>
        <v>0</v>
      </c>
      <c r="N464" s="19">
        <f>SUBTOTAL(109,Program266[(N)
Net Balance
(J minus M)])</f>
        <v>309814</v>
      </c>
    </row>
    <row r="465" spans="1:14" ht="15.75" x14ac:dyDescent="0.25">
      <c r="A465" s="17" t="s">
        <v>13</v>
      </c>
      <c r="B465" s="54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</row>
    <row r="466" spans="1:14" ht="78.75" x14ac:dyDescent="0.25">
      <c r="A466" s="39" t="s">
        <v>32</v>
      </c>
      <c r="B466" s="40" t="s">
        <v>33</v>
      </c>
      <c r="C466" s="41" t="s">
        <v>34</v>
      </c>
      <c r="D466" s="41" t="s">
        <v>35</v>
      </c>
      <c r="E466" s="42" t="s">
        <v>36</v>
      </c>
      <c r="F466" s="42" t="s">
        <v>37</v>
      </c>
      <c r="G466" s="42" t="s">
        <v>38</v>
      </c>
      <c r="H466" s="43" t="s">
        <v>39</v>
      </c>
      <c r="I466" s="44" t="s">
        <v>40</v>
      </c>
      <c r="J466" s="44" t="s">
        <v>41</v>
      </c>
      <c r="K466" s="42" t="s">
        <v>42</v>
      </c>
      <c r="L466" s="44" t="s">
        <v>43</v>
      </c>
      <c r="M466" s="44" t="s">
        <v>44</v>
      </c>
      <c r="N466" s="45" t="s">
        <v>45</v>
      </c>
    </row>
    <row r="467" spans="1:14" ht="30" x14ac:dyDescent="0.25">
      <c r="A467" s="67" t="s">
        <v>139</v>
      </c>
      <c r="B467" s="57" t="s">
        <v>76</v>
      </c>
      <c r="C467" s="58">
        <v>9546431</v>
      </c>
      <c r="D467" s="58">
        <v>0</v>
      </c>
      <c r="E467" s="58">
        <v>0</v>
      </c>
      <c r="F467" s="58">
        <v>0</v>
      </c>
      <c r="G467" s="58">
        <v>0</v>
      </c>
      <c r="H467" s="58">
        <v>9546431</v>
      </c>
      <c r="I467" s="58">
        <v>0</v>
      </c>
      <c r="J467" s="58">
        <v>9546431</v>
      </c>
      <c r="K467" s="58">
        <v>0</v>
      </c>
      <c r="L467" s="58">
        <v>0</v>
      </c>
      <c r="M467" s="58">
        <v>0</v>
      </c>
      <c r="N467" s="58">
        <v>9546431</v>
      </c>
    </row>
    <row r="468" spans="1:14" ht="30" x14ac:dyDescent="0.25">
      <c r="A468" s="68" t="s">
        <v>139</v>
      </c>
      <c r="B468" s="60" t="s">
        <v>77</v>
      </c>
      <c r="C468" s="61">
        <v>9691560</v>
      </c>
      <c r="D468" s="61">
        <v>0</v>
      </c>
      <c r="E468" s="61">
        <v>-25644</v>
      </c>
      <c r="F468" s="61">
        <v>0</v>
      </c>
      <c r="G468" s="61">
        <v>-15793</v>
      </c>
      <c r="H468" s="61">
        <v>9650123</v>
      </c>
      <c r="I468" s="61">
        <v>-9508028</v>
      </c>
      <c r="J468" s="61">
        <v>142095</v>
      </c>
      <c r="K468" s="61">
        <v>0</v>
      </c>
      <c r="L468" s="61">
        <v>0</v>
      </c>
      <c r="M468" s="61">
        <v>0</v>
      </c>
      <c r="N468" s="61">
        <v>142095</v>
      </c>
    </row>
    <row r="469" spans="1:14" ht="30" x14ac:dyDescent="0.25">
      <c r="A469" s="68" t="s">
        <v>139</v>
      </c>
      <c r="B469" s="60" t="s">
        <v>78</v>
      </c>
      <c r="C469" s="61">
        <v>9516500</v>
      </c>
      <c r="D469" s="61">
        <v>-32962</v>
      </c>
      <c r="E469" s="61">
        <v>0</v>
      </c>
      <c r="F469" s="61">
        <v>0</v>
      </c>
      <c r="G469" s="61">
        <v>0</v>
      </c>
      <c r="H469" s="61">
        <v>9483538</v>
      </c>
      <c r="I469" s="61">
        <v>-9483538</v>
      </c>
      <c r="J469" s="61">
        <v>0</v>
      </c>
      <c r="K469" s="61">
        <v>32867</v>
      </c>
      <c r="L469" s="61">
        <v>-32185</v>
      </c>
      <c r="M469" s="61">
        <v>682</v>
      </c>
      <c r="N469" s="61">
        <v>-682</v>
      </c>
    </row>
    <row r="470" spans="1:14" ht="30" x14ac:dyDescent="0.25">
      <c r="A470" s="68" t="s">
        <v>139</v>
      </c>
      <c r="B470" s="60" t="s">
        <v>47</v>
      </c>
      <c r="C470" s="61">
        <v>9001016</v>
      </c>
      <c r="D470" s="61">
        <v>-76904</v>
      </c>
      <c r="E470" s="61">
        <v>0</v>
      </c>
      <c r="F470" s="61">
        <v>0</v>
      </c>
      <c r="G470" s="61">
        <v>0</v>
      </c>
      <c r="H470" s="61">
        <v>8924112</v>
      </c>
      <c r="I470" s="61">
        <v>-8924112</v>
      </c>
      <c r="J470" s="61">
        <v>0</v>
      </c>
      <c r="K470" s="61">
        <v>49840</v>
      </c>
      <c r="L470" s="61">
        <v>-49840</v>
      </c>
      <c r="M470" s="61">
        <v>0</v>
      </c>
      <c r="N470" s="61">
        <v>0</v>
      </c>
    </row>
    <row r="471" spans="1:14" ht="30" x14ac:dyDescent="0.25">
      <c r="A471" s="68" t="s">
        <v>139</v>
      </c>
      <c r="B471" s="60" t="s">
        <v>79</v>
      </c>
      <c r="C471" s="61">
        <v>8565749</v>
      </c>
      <c r="D471" s="61">
        <v>-95260</v>
      </c>
      <c r="E471" s="61">
        <v>0</v>
      </c>
      <c r="F471" s="61">
        <v>0</v>
      </c>
      <c r="G471" s="61">
        <v>0</v>
      </c>
      <c r="H471" s="61">
        <v>8470489</v>
      </c>
      <c r="I471" s="61">
        <v>-8470489</v>
      </c>
      <c r="J471" s="61">
        <v>0</v>
      </c>
      <c r="K471" s="61">
        <v>139451</v>
      </c>
      <c r="L471" s="61">
        <v>-139451</v>
      </c>
      <c r="M471" s="61">
        <v>0</v>
      </c>
      <c r="N471" s="61">
        <v>0</v>
      </c>
    </row>
    <row r="472" spans="1:14" ht="30" x14ac:dyDescent="0.25">
      <c r="A472" s="68" t="s">
        <v>139</v>
      </c>
      <c r="B472" s="60" t="s">
        <v>80</v>
      </c>
      <c r="C472" s="61">
        <v>7943288</v>
      </c>
      <c r="D472" s="61">
        <v>170666</v>
      </c>
      <c r="E472" s="61">
        <v>0</v>
      </c>
      <c r="F472" s="61">
        <v>0</v>
      </c>
      <c r="G472" s="61">
        <v>0</v>
      </c>
      <c r="H472" s="61">
        <v>8113954</v>
      </c>
      <c r="I472" s="61">
        <v>-8113954</v>
      </c>
      <c r="J472" s="61">
        <v>0</v>
      </c>
      <c r="K472" s="61">
        <v>151955</v>
      </c>
      <c r="L472" s="61">
        <v>-151955</v>
      </c>
      <c r="M472" s="61">
        <v>0</v>
      </c>
      <c r="N472" s="61">
        <v>0</v>
      </c>
    </row>
    <row r="473" spans="1:14" ht="30" x14ac:dyDescent="0.25">
      <c r="A473" s="68" t="s">
        <v>139</v>
      </c>
      <c r="B473" s="60" t="s">
        <v>81</v>
      </c>
      <c r="C473" s="61">
        <v>7970114</v>
      </c>
      <c r="D473" s="61">
        <v>-144123</v>
      </c>
      <c r="E473" s="61">
        <v>0</v>
      </c>
      <c r="F473" s="61">
        <v>0</v>
      </c>
      <c r="G473" s="61">
        <v>0</v>
      </c>
      <c r="H473" s="61">
        <v>7825991</v>
      </c>
      <c r="I473" s="61">
        <v>-7825991</v>
      </c>
      <c r="J473" s="61">
        <v>0</v>
      </c>
      <c r="K473" s="61">
        <v>132637</v>
      </c>
      <c r="L473" s="61">
        <v>-98973</v>
      </c>
      <c r="M473" s="61">
        <v>33664</v>
      </c>
      <c r="N473" s="61">
        <v>-33664</v>
      </c>
    </row>
    <row r="474" spans="1:14" ht="30" x14ac:dyDescent="0.25">
      <c r="A474" s="68" t="s">
        <v>139</v>
      </c>
      <c r="B474" s="60" t="s">
        <v>82</v>
      </c>
      <c r="C474" s="61">
        <v>7321159</v>
      </c>
      <c r="D474" s="61">
        <v>-208963</v>
      </c>
      <c r="E474" s="61">
        <v>0</v>
      </c>
      <c r="F474" s="61">
        <v>0</v>
      </c>
      <c r="G474" s="61">
        <v>0</v>
      </c>
      <c r="H474" s="61">
        <v>7112196</v>
      </c>
      <c r="I474" s="61">
        <v>-7112196</v>
      </c>
      <c r="J474" s="61">
        <v>0</v>
      </c>
      <c r="K474" s="61">
        <v>452661</v>
      </c>
      <c r="L474" s="61">
        <v>-452661</v>
      </c>
      <c r="M474" s="61">
        <v>0</v>
      </c>
      <c r="N474" s="61">
        <v>0</v>
      </c>
    </row>
    <row r="475" spans="1:14" ht="30" x14ac:dyDescent="0.25">
      <c r="A475" s="68" t="s">
        <v>139</v>
      </c>
      <c r="B475" s="60" t="s">
        <v>83</v>
      </c>
      <c r="C475" s="61">
        <v>7422303</v>
      </c>
      <c r="D475" s="61">
        <v>-214362</v>
      </c>
      <c r="E475" s="61">
        <v>0</v>
      </c>
      <c r="F475" s="61">
        <v>0</v>
      </c>
      <c r="G475" s="61">
        <v>0</v>
      </c>
      <c r="H475" s="61">
        <v>7207941</v>
      </c>
      <c r="I475" s="61">
        <v>-7207941</v>
      </c>
      <c r="J475" s="61">
        <v>0</v>
      </c>
      <c r="K475" s="61">
        <v>307890</v>
      </c>
      <c r="L475" s="61">
        <v>-307890</v>
      </c>
      <c r="M475" s="61">
        <v>0</v>
      </c>
      <c r="N475" s="61">
        <v>0</v>
      </c>
    </row>
    <row r="476" spans="1:14" ht="30" x14ac:dyDescent="0.25">
      <c r="A476" s="68" t="s">
        <v>139</v>
      </c>
      <c r="B476" s="60" t="s">
        <v>48</v>
      </c>
      <c r="C476" s="61">
        <v>7276141</v>
      </c>
      <c r="D476" s="61">
        <v>-765261</v>
      </c>
      <c r="E476" s="61">
        <v>0</v>
      </c>
      <c r="F476" s="61">
        <v>0</v>
      </c>
      <c r="G476" s="61">
        <v>0</v>
      </c>
      <c r="H476" s="61">
        <v>6510880</v>
      </c>
      <c r="I476" s="61">
        <v>-6510880</v>
      </c>
      <c r="J476" s="61">
        <v>0</v>
      </c>
      <c r="K476" s="61">
        <v>739054</v>
      </c>
      <c r="L476" s="61">
        <v>-739054</v>
      </c>
      <c r="M476" s="61">
        <v>0</v>
      </c>
      <c r="N476" s="61">
        <v>0</v>
      </c>
    </row>
    <row r="477" spans="1:14" ht="30" x14ac:dyDescent="0.25">
      <c r="A477" s="68" t="s">
        <v>139</v>
      </c>
      <c r="B477" s="60" t="s">
        <v>49</v>
      </c>
      <c r="C477" s="61">
        <v>7326088</v>
      </c>
      <c r="D477" s="61">
        <v>-1254455</v>
      </c>
      <c r="E477" s="61">
        <v>0</v>
      </c>
      <c r="F477" s="61">
        <v>0</v>
      </c>
      <c r="G477" s="61">
        <v>0</v>
      </c>
      <c r="H477" s="61">
        <v>6071633</v>
      </c>
      <c r="I477" s="61">
        <v>-6071633</v>
      </c>
      <c r="J477" s="61">
        <v>0</v>
      </c>
      <c r="K477" s="61">
        <v>1303649</v>
      </c>
      <c r="L477" s="61">
        <v>-1303649</v>
      </c>
      <c r="M477" s="61">
        <v>0</v>
      </c>
      <c r="N477" s="61">
        <v>0</v>
      </c>
    </row>
    <row r="478" spans="1:14" ht="30" x14ac:dyDescent="0.25">
      <c r="A478" s="68" t="s">
        <v>139</v>
      </c>
      <c r="B478" s="60" t="s">
        <v>50</v>
      </c>
      <c r="C478" s="61">
        <v>7475135</v>
      </c>
      <c r="D478" s="61">
        <v>-1439199</v>
      </c>
      <c r="E478" s="61">
        <v>0</v>
      </c>
      <c r="F478" s="61">
        <v>0</v>
      </c>
      <c r="G478" s="61">
        <v>0</v>
      </c>
      <c r="H478" s="61">
        <v>6035936</v>
      </c>
      <c r="I478" s="61">
        <v>-6035936</v>
      </c>
      <c r="J478" s="61">
        <v>0</v>
      </c>
      <c r="K478" s="61">
        <v>1512584</v>
      </c>
      <c r="L478" s="61">
        <v>-1512584</v>
      </c>
      <c r="M478" s="61">
        <v>0</v>
      </c>
      <c r="N478" s="61">
        <v>0</v>
      </c>
    </row>
    <row r="479" spans="1:14" ht="30" x14ac:dyDescent="0.25">
      <c r="A479" s="68" t="s">
        <v>139</v>
      </c>
      <c r="B479" s="60" t="s">
        <v>51</v>
      </c>
      <c r="C479" s="61">
        <v>7619906</v>
      </c>
      <c r="D479" s="61">
        <v>-570658</v>
      </c>
      <c r="E479" s="61">
        <v>0</v>
      </c>
      <c r="F479" s="61">
        <v>0</v>
      </c>
      <c r="G479" s="61">
        <v>0</v>
      </c>
      <c r="H479" s="61">
        <v>7049248</v>
      </c>
      <c r="I479" s="61">
        <v>-7049248</v>
      </c>
      <c r="J479" s="61">
        <v>0</v>
      </c>
      <c r="K479" s="61">
        <v>558382</v>
      </c>
      <c r="L479" s="61">
        <v>-558382</v>
      </c>
      <c r="M479" s="61">
        <v>0</v>
      </c>
      <c r="N479" s="61">
        <v>0</v>
      </c>
    </row>
    <row r="480" spans="1:14" ht="30" x14ac:dyDescent="0.25">
      <c r="A480" s="68" t="s">
        <v>139</v>
      </c>
      <c r="B480" s="60" t="s">
        <v>52</v>
      </c>
      <c r="C480" s="61">
        <v>7609420</v>
      </c>
      <c r="D480" s="61">
        <v>-561223</v>
      </c>
      <c r="E480" s="61">
        <v>0</v>
      </c>
      <c r="F480" s="61">
        <v>0</v>
      </c>
      <c r="G480" s="61">
        <v>0</v>
      </c>
      <c r="H480" s="61">
        <v>7048197</v>
      </c>
      <c r="I480" s="61">
        <v>-7048197</v>
      </c>
      <c r="J480" s="61">
        <v>0</v>
      </c>
      <c r="K480" s="61">
        <v>708807</v>
      </c>
      <c r="L480" s="61">
        <v>-708807</v>
      </c>
      <c r="M480" s="61">
        <v>0</v>
      </c>
      <c r="N480" s="61">
        <v>0</v>
      </c>
    </row>
    <row r="481" spans="1:14" ht="30" x14ac:dyDescent="0.25">
      <c r="A481" s="68" t="s">
        <v>139</v>
      </c>
      <c r="B481" s="60" t="s">
        <v>53</v>
      </c>
      <c r="C481" s="61">
        <v>6930908</v>
      </c>
      <c r="D481" s="61">
        <v>-263490</v>
      </c>
      <c r="E481" s="61">
        <v>0</v>
      </c>
      <c r="F481" s="61">
        <v>0</v>
      </c>
      <c r="G481" s="61">
        <v>0</v>
      </c>
      <c r="H481" s="61">
        <v>6667418</v>
      </c>
      <c r="I481" s="61">
        <v>-6667418</v>
      </c>
      <c r="J481" s="61">
        <v>0</v>
      </c>
      <c r="K481" s="61">
        <v>275973</v>
      </c>
      <c r="L481" s="61">
        <v>-275973</v>
      </c>
      <c r="M481" s="61">
        <v>0</v>
      </c>
      <c r="N481" s="61">
        <v>0</v>
      </c>
    </row>
    <row r="482" spans="1:14" ht="30" x14ac:dyDescent="0.25">
      <c r="A482" s="68" t="s">
        <v>139</v>
      </c>
      <c r="B482" s="60" t="s">
        <v>54</v>
      </c>
      <c r="C482" s="61">
        <v>6342552</v>
      </c>
      <c r="D482" s="61">
        <v>-200991</v>
      </c>
      <c r="E482" s="61">
        <v>0</v>
      </c>
      <c r="F482" s="61">
        <v>0</v>
      </c>
      <c r="G482" s="61">
        <v>0</v>
      </c>
      <c r="H482" s="61">
        <v>6141561</v>
      </c>
      <c r="I482" s="61">
        <v>-6141561</v>
      </c>
      <c r="J482" s="61">
        <v>0</v>
      </c>
      <c r="K482" s="61">
        <v>1110167</v>
      </c>
      <c r="L482" s="61">
        <v>-1110167</v>
      </c>
      <c r="M482" s="61">
        <v>0</v>
      </c>
      <c r="N482" s="61">
        <v>0</v>
      </c>
    </row>
    <row r="483" spans="1:14" ht="30" x14ac:dyDescent="0.25">
      <c r="A483" s="68" t="s">
        <v>139</v>
      </c>
      <c r="B483" s="60" t="s">
        <v>55</v>
      </c>
      <c r="C483" s="61">
        <v>6284140</v>
      </c>
      <c r="D483" s="61">
        <v>-334463</v>
      </c>
      <c r="E483" s="61">
        <v>0</v>
      </c>
      <c r="F483" s="61">
        <v>0</v>
      </c>
      <c r="G483" s="61">
        <v>0</v>
      </c>
      <c r="H483" s="61">
        <v>5949677</v>
      </c>
      <c r="I483" s="61">
        <v>-5949677</v>
      </c>
      <c r="J483" s="61">
        <v>0</v>
      </c>
      <c r="K483" s="61">
        <v>0</v>
      </c>
      <c r="L483" s="61">
        <v>0</v>
      </c>
      <c r="M483" s="61">
        <v>0</v>
      </c>
      <c r="N483" s="61">
        <v>0</v>
      </c>
    </row>
    <row r="484" spans="1:14" ht="30" x14ac:dyDescent="0.25">
      <c r="A484" s="68" t="s">
        <v>139</v>
      </c>
      <c r="B484" s="60" t="s">
        <v>56</v>
      </c>
      <c r="C484" s="61">
        <v>6328894</v>
      </c>
      <c r="D484" s="61">
        <v>-335501</v>
      </c>
      <c r="E484" s="61">
        <v>0</v>
      </c>
      <c r="F484" s="61">
        <v>0</v>
      </c>
      <c r="G484" s="61">
        <v>0</v>
      </c>
      <c r="H484" s="61">
        <v>5993393</v>
      </c>
      <c r="I484" s="61">
        <v>-5993393</v>
      </c>
      <c r="J484" s="61">
        <v>0</v>
      </c>
      <c r="K484" s="61">
        <v>34</v>
      </c>
      <c r="L484" s="61">
        <v>-34</v>
      </c>
      <c r="M484" s="61">
        <v>0</v>
      </c>
      <c r="N484" s="61">
        <v>0</v>
      </c>
    </row>
    <row r="485" spans="1:14" ht="30" x14ac:dyDescent="0.25">
      <c r="A485" s="68" t="s">
        <v>139</v>
      </c>
      <c r="B485" s="60" t="s">
        <v>57</v>
      </c>
      <c r="C485" s="61">
        <v>6587173</v>
      </c>
      <c r="D485" s="61">
        <v>-263480</v>
      </c>
      <c r="E485" s="61">
        <v>0</v>
      </c>
      <c r="F485" s="61">
        <v>0</v>
      </c>
      <c r="G485" s="61">
        <v>0</v>
      </c>
      <c r="H485" s="61">
        <v>6323693</v>
      </c>
      <c r="I485" s="61">
        <v>-6323693</v>
      </c>
      <c r="J485" s="61">
        <v>0</v>
      </c>
      <c r="K485" s="61">
        <v>247050</v>
      </c>
      <c r="L485" s="61">
        <v>-247050</v>
      </c>
      <c r="M485" s="61">
        <v>0</v>
      </c>
      <c r="N485" s="61">
        <v>0</v>
      </c>
    </row>
    <row r="486" spans="1:14" ht="30" x14ac:dyDescent="0.25">
      <c r="A486" s="68" t="s">
        <v>139</v>
      </c>
      <c r="B486" s="60" t="s">
        <v>58</v>
      </c>
      <c r="C486" s="61">
        <v>6401940</v>
      </c>
      <c r="D486" s="61">
        <v>-273016</v>
      </c>
      <c r="E486" s="61">
        <v>0</v>
      </c>
      <c r="F486" s="61">
        <v>0</v>
      </c>
      <c r="G486" s="61">
        <v>0</v>
      </c>
      <c r="H486" s="61">
        <v>6128924</v>
      </c>
      <c r="I486" s="61">
        <v>-6128924</v>
      </c>
      <c r="J486" s="61">
        <v>0</v>
      </c>
      <c r="K486" s="61">
        <v>662088</v>
      </c>
      <c r="L486" s="61">
        <v>-662088</v>
      </c>
      <c r="M486" s="61">
        <v>0</v>
      </c>
      <c r="N486" s="61">
        <v>0</v>
      </c>
    </row>
    <row r="487" spans="1:14" ht="30" x14ac:dyDescent="0.25">
      <c r="A487" s="68" t="s">
        <v>139</v>
      </c>
      <c r="B487" s="60" t="s">
        <v>59</v>
      </c>
      <c r="C487" s="61">
        <v>6565773</v>
      </c>
      <c r="D487" s="61">
        <v>-157090</v>
      </c>
      <c r="E487" s="61">
        <v>0</v>
      </c>
      <c r="F487" s="61">
        <v>0</v>
      </c>
      <c r="G487" s="61">
        <v>0</v>
      </c>
      <c r="H487" s="61">
        <v>6408683</v>
      </c>
      <c r="I487" s="61">
        <v>-6408683</v>
      </c>
      <c r="J487" s="61">
        <v>0</v>
      </c>
      <c r="K487" s="61">
        <v>1129623</v>
      </c>
      <c r="L487" s="61">
        <v>-1129623</v>
      </c>
      <c r="M487" s="61">
        <v>0</v>
      </c>
      <c r="N487" s="61">
        <v>0</v>
      </c>
    </row>
    <row r="488" spans="1:14" ht="30" x14ac:dyDescent="0.25">
      <c r="A488" s="68" t="s">
        <v>139</v>
      </c>
      <c r="B488" s="60" t="s">
        <v>60</v>
      </c>
      <c r="C488" s="61">
        <v>6800144</v>
      </c>
      <c r="D488" s="61">
        <v>-774455</v>
      </c>
      <c r="E488" s="61">
        <v>0</v>
      </c>
      <c r="F488" s="61">
        <v>0</v>
      </c>
      <c r="G488" s="61">
        <v>0</v>
      </c>
      <c r="H488" s="61">
        <v>6025689</v>
      </c>
      <c r="I488" s="61">
        <v>-6025689</v>
      </c>
      <c r="J488" s="61">
        <v>0</v>
      </c>
      <c r="K488" s="61">
        <v>934382</v>
      </c>
      <c r="L488" s="61">
        <v>-934382</v>
      </c>
      <c r="M488" s="61">
        <v>0</v>
      </c>
      <c r="N488" s="61">
        <v>0</v>
      </c>
    </row>
    <row r="489" spans="1:14" ht="30" x14ac:dyDescent="0.25">
      <c r="A489" s="68" t="s">
        <v>139</v>
      </c>
      <c r="B489" s="60" t="s">
        <v>61</v>
      </c>
      <c r="C489" s="61">
        <v>6603014</v>
      </c>
      <c r="D489" s="61">
        <v>-546826</v>
      </c>
      <c r="E489" s="61">
        <v>0</v>
      </c>
      <c r="F489" s="61">
        <v>0</v>
      </c>
      <c r="G489" s="61">
        <v>0</v>
      </c>
      <c r="H489" s="61">
        <v>6056188</v>
      </c>
      <c r="I489" s="61">
        <v>-6056188</v>
      </c>
      <c r="J489" s="61">
        <v>0</v>
      </c>
      <c r="K489" s="61">
        <v>653924</v>
      </c>
      <c r="L489" s="61">
        <v>-653924</v>
      </c>
      <c r="M489" s="61">
        <v>0</v>
      </c>
      <c r="N489" s="61">
        <v>0</v>
      </c>
    </row>
    <row r="490" spans="1:14" ht="30" x14ac:dyDescent="0.25">
      <c r="A490" s="68" t="s">
        <v>139</v>
      </c>
      <c r="B490" s="60" t="s">
        <v>62</v>
      </c>
      <c r="C490" s="61">
        <v>7691505</v>
      </c>
      <c r="D490" s="61">
        <v>-803847</v>
      </c>
      <c r="E490" s="61">
        <v>0</v>
      </c>
      <c r="F490" s="61">
        <v>0</v>
      </c>
      <c r="G490" s="61">
        <v>0</v>
      </c>
      <c r="H490" s="61">
        <v>6887658</v>
      </c>
      <c r="I490" s="61">
        <v>-6887658</v>
      </c>
      <c r="J490" s="61">
        <v>0</v>
      </c>
      <c r="K490" s="61">
        <v>845549</v>
      </c>
      <c r="L490" s="61">
        <v>-845549</v>
      </c>
      <c r="M490" s="61">
        <v>0</v>
      </c>
      <c r="N490" s="61">
        <v>0</v>
      </c>
    </row>
    <row r="491" spans="1:14" ht="30" x14ac:dyDescent="0.25">
      <c r="A491" s="68" t="s">
        <v>139</v>
      </c>
      <c r="B491" s="60" t="s">
        <v>63</v>
      </c>
      <c r="C491" s="61">
        <v>3376910</v>
      </c>
      <c r="D491" s="61">
        <v>-332385</v>
      </c>
      <c r="E491" s="61">
        <v>0</v>
      </c>
      <c r="F491" s="61">
        <v>0</v>
      </c>
      <c r="G491" s="61">
        <v>0</v>
      </c>
      <c r="H491" s="61">
        <v>3044525</v>
      </c>
      <c r="I491" s="61">
        <v>-3044525</v>
      </c>
      <c r="J491" s="61">
        <v>0</v>
      </c>
      <c r="K491" s="61">
        <v>357646</v>
      </c>
      <c r="L491" s="61">
        <v>-357646</v>
      </c>
      <c r="M491" s="61">
        <v>0</v>
      </c>
      <c r="N491" s="61">
        <v>0</v>
      </c>
    </row>
    <row r="492" spans="1:14" ht="15.75" x14ac:dyDescent="0.25">
      <c r="A492" s="52" t="s">
        <v>140</v>
      </c>
      <c r="B492" s="53" t="s">
        <v>8</v>
      </c>
      <c r="C492" s="19">
        <f>SUBTOTAL(109,Program167[(C)
Program
Costs])</f>
        <v>184197763</v>
      </c>
      <c r="D492" s="19">
        <f>SUBTOTAL(109,Program167[(D)
Prior Period Adjustments])</f>
        <v>-9478248</v>
      </c>
      <c r="E492" s="19">
        <f>SUBTOTAL(109,Program167[(E)
Current Period Desk 
Reviews])</f>
        <v>-25644</v>
      </c>
      <c r="F492" s="19">
        <f>SUBTOTAL(109,Program167[(F)
Current Period 
Final 
Audits])</f>
        <v>0</v>
      </c>
      <c r="G492" s="19">
        <f>SUBTOTAL(109,Program167[(G)
Current Period 
Other Adjustments])</f>
        <v>-15793</v>
      </c>
      <c r="H492" s="19">
        <f>SUBTOTAL(109,Program167[(H)
Net Program Costs
Sum (C through G)])</f>
        <v>174678078</v>
      </c>
      <c r="I492" s="19">
        <f>SUBTOTAL(109,Program167[(I)
Payments
 and Offsets])</f>
        <v>-164989552</v>
      </c>
      <c r="J492" s="19">
        <f>SUBTOTAL(109,Program167[(J)
Accounts Payable Balance
(H + I)])</f>
        <v>9688526</v>
      </c>
      <c r="K492" s="19">
        <f>SUBTOTAL(109,Program167[(K)
Established 
Accounts Receivable])</f>
        <v>12306213</v>
      </c>
      <c r="L492" s="19">
        <f>SUBTOTAL(109,Program167[(L)
Recovered
 Accounts Receivable])</f>
        <v>-12271867</v>
      </c>
      <c r="M492" s="19">
        <f>SUBTOTAL(109,Program167[(M)
Accounts Receivable Balance
(K + L)])</f>
        <v>34346</v>
      </c>
      <c r="N492" s="19">
        <f>SUBTOTAL(109,Program167[(N)
Net Balance
(J minus M)])</f>
        <v>9654180</v>
      </c>
    </row>
    <row r="493" spans="1:14" ht="15.75" x14ac:dyDescent="0.25">
      <c r="A493" s="17" t="s">
        <v>13</v>
      </c>
      <c r="B493" s="54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</row>
    <row r="494" spans="1:14" ht="78.75" x14ac:dyDescent="0.25">
      <c r="A494" s="39" t="s">
        <v>32</v>
      </c>
      <c r="B494" s="40" t="s">
        <v>33</v>
      </c>
      <c r="C494" s="41" t="s">
        <v>34</v>
      </c>
      <c r="D494" s="41" t="s">
        <v>35</v>
      </c>
      <c r="E494" s="42" t="s">
        <v>36</v>
      </c>
      <c r="F494" s="42" t="s">
        <v>37</v>
      </c>
      <c r="G494" s="42" t="s">
        <v>38</v>
      </c>
      <c r="H494" s="43" t="s">
        <v>39</v>
      </c>
      <c r="I494" s="44" t="s">
        <v>40</v>
      </c>
      <c r="J494" s="44" t="s">
        <v>41</v>
      </c>
      <c r="K494" s="42" t="s">
        <v>42</v>
      </c>
      <c r="L494" s="44" t="s">
        <v>43</v>
      </c>
      <c r="M494" s="44" t="s">
        <v>44</v>
      </c>
      <c r="N494" s="45" t="s">
        <v>45</v>
      </c>
    </row>
    <row r="495" spans="1:14" ht="30" x14ac:dyDescent="0.25">
      <c r="A495" s="67" t="s">
        <v>141</v>
      </c>
      <c r="B495" s="57" t="s">
        <v>76</v>
      </c>
      <c r="C495" s="58">
        <v>2331228</v>
      </c>
      <c r="D495" s="58">
        <v>0</v>
      </c>
      <c r="E495" s="58">
        <v>0</v>
      </c>
      <c r="F495" s="58">
        <v>0</v>
      </c>
      <c r="G495" s="58">
        <v>0</v>
      </c>
      <c r="H495" s="58">
        <v>2331228</v>
      </c>
      <c r="I495" s="58">
        <v>0</v>
      </c>
      <c r="J495" s="58">
        <v>2331228</v>
      </c>
      <c r="K495" s="58">
        <v>0</v>
      </c>
      <c r="L495" s="58">
        <v>0</v>
      </c>
      <c r="M495" s="58">
        <v>0</v>
      </c>
      <c r="N495" s="58">
        <v>2331228</v>
      </c>
    </row>
    <row r="496" spans="1:14" ht="30" x14ac:dyDescent="0.25">
      <c r="A496" s="68" t="s">
        <v>141</v>
      </c>
      <c r="B496" s="60" t="s">
        <v>77</v>
      </c>
      <c r="C496" s="61">
        <v>2415500</v>
      </c>
      <c r="D496" s="61">
        <v>0</v>
      </c>
      <c r="E496" s="61">
        <v>0</v>
      </c>
      <c r="F496" s="61">
        <v>0</v>
      </c>
      <c r="G496" s="61">
        <v>-4465</v>
      </c>
      <c r="H496" s="61">
        <v>2411035</v>
      </c>
      <c r="I496" s="61">
        <v>-2215741</v>
      </c>
      <c r="J496" s="61">
        <v>195294</v>
      </c>
      <c r="K496" s="61">
        <v>5256</v>
      </c>
      <c r="L496" s="61">
        <v>0</v>
      </c>
      <c r="M496" s="61">
        <v>5256</v>
      </c>
      <c r="N496" s="61">
        <v>190038</v>
      </c>
    </row>
    <row r="497" spans="1:14" ht="30" x14ac:dyDescent="0.25">
      <c r="A497" s="68" t="s">
        <v>141</v>
      </c>
      <c r="B497" s="60" t="s">
        <v>78</v>
      </c>
      <c r="C497" s="61">
        <v>2245294</v>
      </c>
      <c r="D497" s="61">
        <v>-8279</v>
      </c>
      <c r="E497" s="61">
        <v>0</v>
      </c>
      <c r="F497" s="61">
        <v>0</v>
      </c>
      <c r="G497" s="61">
        <v>0</v>
      </c>
      <c r="H497" s="61">
        <v>2237015</v>
      </c>
      <c r="I497" s="61">
        <v>-2237015</v>
      </c>
      <c r="J497" s="61">
        <v>0</v>
      </c>
      <c r="K497" s="61">
        <v>234</v>
      </c>
      <c r="L497" s="61">
        <v>-234</v>
      </c>
      <c r="M497" s="61">
        <v>0</v>
      </c>
      <c r="N497" s="61">
        <v>0</v>
      </c>
    </row>
    <row r="498" spans="1:14" ht="30" x14ac:dyDescent="0.25">
      <c r="A498" s="68" t="s">
        <v>141</v>
      </c>
      <c r="B498" s="60" t="s">
        <v>47</v>
      </c>
      <c r="C498" s="61">
        <v>2194813</v>
      </c>
      <c r="D498" s="61">
        <v>-6791</v>
      </c>
      <c r="E498" s="61">
        <v>0</v>
      </c>
      <c r="F498" s="61">
        <v>0</v>
      </c>
      <c r="G498" s="61">
        <v>0</v>
      </c>
      <c r="H498" s="61">
        <v>2188022</v>
      </c>
      <c r="I498" s="61">
        <v>-2188022</v>
      </c>
      <c r="J498" s="61">
        <v>0</v>
      </c>
      <c r="K498" s="61">
        <v>1211</v>
      </c>
      <c r="L498" s="61">
        <v>-711</v>
      </c>
      <c r="M498" s="61">
        <v>500</v>
      </c>
      <c r="N498" s="61">
        <v>-500</v>
      </c>
    </row>
    <row r="499" spans="1:14" ht="30" x14ac:dyDescent="0.25">
      <c r="A499" s="68" t="s">
        <v>141</v>
      </c>
      <c r="B499" s="60" t="s">
        <v>79</v>
      </c>
      <c r="C499" s="61">
        <v>2093743</v>
      </c>
      <c r="D499" s="61">
        <v>-11848</v>
      </c>
      <c r="E499" s="61">
        <v>0</v>
      </c>
      <c r="F499" s="61">
        <v>0</v>
      </c>
      <c r="G499" s="61">
        <v>0</v>
      </c>
      <c r="H499" s="61">
        <v>2081895</v>
      </c>
      <c r="I499" s="61">
        <v>-2081895</v>
      </c>
      <c r="J499" s="61">
        <v>0</v>
      </c>
      <c r="K499" s="61">
        <v>0</v>
      </c>
      <c r="L499" s="61">
        <v>0</v>
      </c>
      <c r="M499" s="61">
        <v>0</v>
      </c>
      <c r="N499" s="61">
        <v>0</v>
      </c>
    </row>
    <row r="500" spans="1:14" ht="30" x14ac:dyDescent="0.25">
      <c r="A500" s="68" t="s">
        <v>141</v>
      </c>
      <c r="B500" s="60" t="s">
        <v>80</v>
      </c>
      <c r="C500" s="61">
        <v>1967648</v>
      </c>
      <c r="D500" s="61">
        <v>84982</v>
      </c>
      <c r="E500" s="61">
        <v>0</v>
      </c>
      <c r="F500" s="61">
        <v>0</v>
      </c>
      <c r="G500" s="61">
        <v>0</v>
      </c>
      <c r="H500" s="61">
        <v>2052630</v>
      </c>
      <c r="I500" s="61">
        <v>-2052630</v>
      </c>
      <c r="J500" s="61">
        <v>0</v>
      </c>
      <c r="K500" s="61">
        <v>0</v>
      </c>
      <c r="L500" s="61">
        <v>0</v>
      </c>
      <c r="M500" s="61">
        <v>0</v>
      </c>
      <c r="N500" s="61">
        <v>0</v>
      </c>
    </row>
    <row r="501" spans="1:14" ht="30" x14ac:dyDescent="0.25">
      <c r="A501" s="68" t="s">
        <v>141</v>
      </c>
      <c r="B501" s="60" t="s">
        <v>81</v>
      </c>
      <c r="C501" s="61">
        <v>1881553</v>
      </c>
      <c r="D501" s="61">
        <v>-1692</v>
      </c>
      <c r="E501" s="61">
        <v>0</v>
      </c>
      <c r="F501" s="61">
        <v>0</v>
      </c>
      <c r="G501" s="61">
        <v>0</v>
      </c>
      <c r="H501" s="61">
        <v>1879861</v>
      </c>
      <c r="I501" s="61">
        <v>-1879861</v>
      </c>
      <c r="J501" s="61">
        <v>0</v>
      </c>
      <c r="K501" s="61">
        <v>0</v>
      </c>
      <c r="L501" s="61">
        <v>0</v>
      </c>
      <c r="M501" s="61">
        <v>0</v>
      </c>
      <c r="N501" s="61">
        <v>0</v>
      </c>
    </row>
    <row r="502" spans="1:14" ht="30" x14ac:dyDescent="0.25">
      <c r="A502" s="68" t="s">
        <v>141</v>
      </c>
      <c r="B502" s="60" t="s">
        <v>82</v>
      </c>
      <c r="C502" s="61">
        <v>1870537</v>
      </c>
      <c r="D502" s="61">
        <v>-2268</v>
      </c>
      <c r="E502" s="61">
        <v>0</v>
      </c>
      <c r="F502" s="61">
        <v>0</v>
      </c>
      <c r="G502" s="61">
        <v>0</v>
      </c>
      <c r="H502" s="61">
        <v>1868269</v>
      </c>
      <c r="I502" s="61">
        <v>-1868269</v>
      </c>
      <c r="J502" s="61">
        <v>0</v>
      </c>
      <c r="K502" s="61">
        <v>0</v>
      </c>
      <c r="L502" s="61">
        <v>0</v>
      </c>
      <c r="M502" s="61">
        <v>0</v>
      </c>
      <c r="N502" s="61">
        <v>0</v>
      </c>
    </row>
    <row r="503" spans="1:14" ht="30" x14ac:dyDescent="0.25">
      <c r="A503" s="68" t="s">
        <v>141</v>
      </c>
      <c r="B503" s="60" t="s">
        <v>83</v>
      </c>
      <c r="C503" s="61">
        <v>1642240</v>
      </c>
      <c r="D503" s="61">
        <v>-10056</v>
      </c>
      <c r="E503" s="61">
        <v>0</v>
      </c>
      <c r="F503" s="61">
        <v>0</v>
      </c>
      <c r="G503" s="61">
        <v>0</v>
      </c>
      <c r="H503" s="61">
        <v>1632184</v>
      </c>
      <c r="I503" s="61">
        <v>-1632184</v>
      </c>
      <c r="J503" s="61">
        <v>0</v>
      </c>
      <c r="K503" s="61">
        <v>2400</v>
      </c>
      <c r="L503" s="61">
        <v>-2400</v>
      </c>
      <c r="M503" s="61">
        <v>0</v>
      </c>
      <c r="N503" s="61">
        <v>0</v>
      </c>
    </row>
    <row r="504" spans="1:14" ht="30" x14ac:dyDescent="0.25">
      <c r="A504" s="68" t="s">
        <v>141</v>
      </c>
      <c r="B504" s="60" t="s">
        <v>48</v>
      </c>
      <c r="C504" s="61">
        <v>1535560</v>
      </c>
      <c r="D504" s="61">
        <v>-4554</v>
      </c>
      <c r="E504" s="61">
        <v>0</v>
      </c>
      <c r="F504" s="61">
        <v>0</v>
      </c>
      <c r="G504" s="61">
        <v>0</v>
      </c>
      <c r="H504" s="61">
        <v>1531006</v>
      </c>
      <c r="I504" s="61">
        <v>-1531006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</row>
    <row r="505" spans="1:14" ht="30" x14ac:dyDescent="0.25">
      <c r="A505" s="68" t="s">
        <v>141</v>
      </c>
      <c r="B505" s="60" t="s">
        <v>49</v>
      </c>
      <c r="C505" s="61">
        <v>1394206</v>
      </c>
      <c r="D505" s="61">
        <v>-27701</v>
      </c>
      <c r="E505" s="61">
        <v>0</v>
      </c>
      <c r="F505" s="61">
        <v>0</v>
      </c>
      <c r="G505" s="61">
        <v>0</v>
      </c>
      <c r="H505" s="61">
        <v>1366505</v>
      </c>
      <c r="I505" s="61">
        <v>-1366505</v>
      </c>
      <c r="J505" s="61">
        <v>0</v>
      </c>
      <c r="K505" s="61">
        <v>7643</v>
      </c>
      <c r="L505" s="61">
        <v>-7643</v>
      </c>
      <c r="M505" s="61">
        <v>0</v>
      </c>
      <c r="N505" s="61">
        <v>0</v>
      </c>
    </row>
    <row r="506" spans="1:14" ht="30" x14ac:dyDescent="0.25">
      <c r="A506" s="68" t="s">
        <v>141</v>
      </c>
      <c r="B506" s="60" t="s">
        <v>50</v>
      </c>
      <c r="C506" s="61">
        <v>1458693</v>
      </c>
      <c r="D506" s="61">
        <v>-109761</v>
      </c>
      <c r="E506" s="61">
        <v>0</v>
      </c>
      <c r="F506" s="61">
        <v>0</v>
      </c>
      <c r="G506" s="61">
        <v>0</v>
      </c>
      <c r="H506" s="61">
        <v>1348932</v>
      </c>
      <c r="I506" s="61">
        <v>-1348932</v>
      </c>
      <c r="J506" s="61">
        <v>0</v>
      </c>
      <c r="K506" s="61">
        <v>107865</v>
      </c>
      <c r="L506" s="61">
        <v>-107865</v>
      </c>
      <c r="M506" s="61">
        <v>0</v>
      </c>
      <c r="N506" s="61">
        <v>0</v>
      </c>
    </row>
    <row r="507" spans="1:14" ht="30" x14ac:dyDescent="0.25">
      <c r="A507" s="68" t="s">
        <v>141</v>
      </c>
      <c r="B507" s="60" t="s">
        <v>51</v>
      </c>
      <c r="C507" s="61">
        <v>1367731</v>
      </c>
      <c r="D507" s="61">
        <v>-129157</v>
      </c>
      <c r="E507" s="61">
        <v>0</v>
      </c>
      <c r="F507" s="61">
        <v>0</v>
      </c>
      <c r="G507" s="61">
        <v>0</v>
      </c>
      <c r="H507" s="61">
        <v>1238574</v>
      </c>
      <c r="I507" s="61">
        <v>-1238574</v>
      </c>
      <c r="J507" s="61">
        <v>0</v>
      </c>
      <c r="K507" s="61">
        <v>120918</v>
      </c>
      <c r="L507" s="61">
        <v>-120918</v>
      </c>
      <c r="M507" s="61">
        <v>0</v>
      </c>
      <c r="N507" s="61">
        <v>0</v>
      </c>
    </row>
    <row r="508" spans="1:14" ht="30" x14ac:dyDescent="0.25">
      <c r="A508" s="68" t="s">
        <v>141</v>
      </c>
      <c r="B508" s="60" t="s">
        <v>52</v>
      </c>
      <c r="C508" s="61">
        <v>1325897</v>
      </c>
      <c r="D508" s="61">
        <v>-8868</v>
      </c>
      <c r="E508" s="61">
        <v>0</v>
      </c>
      <c r="F508" s="61">
        <v>0</v>
      </c>
      <c r="G508" s="61">
        <v>0</v>
      </c>
      <c r="H508" s="61">
        <v>1317029</v>
      </c>
      <c r="I508" s="61">
        <v>-1317029</v>
      </c>
      <c r="J508" s="61">
        <v>0</v>
      </c>
      <c r="K508" s="61">
        <v>5433</v>
      </c>
      <c r="L508" s="61">
        <v>-5433</v>
      </c>
      <c r="M508" s="61">
        <v>0</v>
      </c>
      <c r="N508" s="61">
        <v>0</v>
      </c>
    </row>
    <row r="509" spans="1:14" ht="30" x14ac:dyDescent="0.25">
      <c r="A509" s="68" t="s">
        <v>141</v>
      </c>
      <c r="B509" s="60" t="s">
        <v>53</v>
      </c>
      <c r="C509" s="61">
        <v>1256143</v>
      </c>
      <c r="D509" s="61">
        <v>-4960</v>
      </c>
      <c r="E509" s="61">
        <v>0</v>
      </c>
      <c r="F509" s="61">
        <v>0</v>
      </c>
      <c r="G509" s="61">
        <v>0</v>
      </c>
      <c r="H509" s="61">
        <v>1251183</v>
      </c>
      <c r="I509" s="61">
        <v>-1251183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</row>
    <row r="510" spans="1:14" ht="30" x14ac:dyDescent="0.25">
      <c r="A510" s="68" t="s">
        <v>141</v>
      </c>
      <c r="B510" s="60" t="s">
        <v>54</v>
      </c>
      <c r="C510" s="61">
        <v>1096656</v>
      </c>
      <c r="D510" s="61">
        <v>-3110</v>
      </c>
      <c r="E510" s="61">
        <v>0</v>
      </c>
      <c r="F510" s="61">
        <v>0</v>
      </c>
      <c r="G510" s="61">
        <v>0</v>
      </c>
      <c r="H510" s="61">
        <v>1093546</v>
      </c>
      <c r="I510" s="61">
        <v>-1093546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</row>
    <row r="511" spans="1:14" ht="30" x14ac:dyDescent="0.25">
      <c r="A511" s="68" t="s">
        <v>141</v>
      </c>
      <c r="B511" s="60" t="s">
        <v>55</v>
      </c>
      <c r="C511" s="61">
        <v>1030425</v>
      </c>
      <c r="D511" s="61">
        <v>-5424</v>
      </c>
      <c r="E511" s="61">
        <v>0</v>
      </c>
      <c r="F511" s="61">
        <v>0</v>
      </c>
      <c r="G511" s="61">
        <v>0</v>
      </c>
      <c r="H511" s="61">
        <v>1025001</v>
      </c>
      <c r="I511" s="61">
        <v>-1025001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</row>
    <row r="512" spans="1:14" ht="30" x14ac:dyDescent="0.25">
      <c r="A512" s="68" t="s">
        <v>141</v>
      </c>
      <c r="B512" s="60" t="s">
        <v>56</v>
      </c>
      <c r="C512" s="61">
        <v>940633</v>
      </c>
      <c r="D512" s="61">
        <v>-4343</v>
      </c>
      <c r="E512" s="61">
        <v>0</v>
      </c>
      <c r="F512" s="61">
        <v>0</v>
      </c>
      <c r="G512" s="61">
        <v>0</v>
      </c>
      <c r="H512" s="61">
        <v>936290</v>
      </c>
      <c r="I512" s="61">
        <v>-936290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</row>
    <row r="513" spans="1:14" ht="30" x14ac:dyDescent="0.25">
      <c r="A513" s="68" t="s">
        <v>141</v>
      </c>
      <c r="B513" s="60" t="s">
        <v>57</v>
      </c>
      <c r="C513" s="61">
        <v>878282</v>
      </c>
      <c r="D513" s="61">
        <v>-4503</v>
      </c>
      <c r="E513" s="61">
        <v>0</v>
      </c>
      <c r="F513" s="61">
        <v>0</v>
      </c>
      <c r="G513" s="61">
        <v>0</v>
      </c>
      <c r="H513" s="61">
        <v>873779</v>
      </c>
      <c r="I513" s="61">
        <v>-873779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</row>
    <row r="514" spans="1:14" ht="30" x14ac:dyDescent="0.25">
      <c r="A514" s="68" t="s">
        <v>141</v>
      </c>
      <c r="B514" s="60" t="s">
        <v>58</v>
      </c>
      <c r="C514" s="61">
        <v>794975</v>
      </c>
      <c r="D514" s="61">
        <v>-5556</v>
      </c>
      <c r="E514" s="61">
        <v>0</v>
      </c>
      <c r="F514" s="61">
        <v>0</v>
      </c>
      <c r="G514" s="61">
        <v>0</v>
      </c>
      <c r="H514" s="61">
        <v>789419</v>
      </c>
      <c r="I514" s="61">
        <v>-789419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</row>
    <row r="515" spans="1:14" ht="30" x14ac:dyDescent="0.25">
      <c r="A515" s="68" t="s">
        <v>141</v>
      </c>
      <c r="B515" s="60" t="s">
        <v>59</v>
      </c>
      <c r="C515" s="61">
        <v>702303</v>
      </c>
      <c r="D515" s="61">
        <v>-8185</v>
      </c>
      <c r="E515" s="61">
        <v>0</v>
      </c>
      <c r="F515" s="61">
        <v>0</v>
      </c>
      <c r="G515" s="61">
        <v>0</v>
      </c>
      <c r="H515" s="61">
        <v>694118</v>
      </c>
      <c r="I515" s="61">
        <v>-694118</v>
      </c>
      <c r="J515" s="61">
        <v>0</v>
      </c>
      <c r="K515" s="61">
        <v>0</v>
      </c>
      <c r="L515" s="61">
        <v>0</v>
      </c>
      <c r="M515" s="61">
        <v>0</v>
      </c>
      <c r="N515" s="61">
        <v>0</v>
      </c>
    </row>
    <row r="516" spans="1:14" ht="30" x14ac:dyDescent="0.25">
      <c r="A516" s="68" t="s">
        <v>141</v>
      </c>
      <c r="B516" s="60" t="s">
        <v>60</v>
      </c>
      <c r="C516" s="61">
        <v>292553</v>
      </c>
      <c r="D516" s="61">
        <v>-4498</v>
      </c>
      <c r="E516" s="61">
        <v>0</v>
      </c>
      <c r="F516" s="61">
        <v>0</v>
      </c>
      <c r="G516" s="61">
        <v>0</v>
      </c>
      <c r="H516" s="61">
        <v>288055</v>
      </c>
      <c r="I516" s="61">
        <v>-288055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</row>
    <row r="517" spans="1:14" ht="15.75" x14ac:dyDescent="0.25">
      <c r="A517" s="52" t="s">
        <v>142</v>
      </c>
      <c r="B517" s="53" t="s">
        <v>8</v>
      </c>
      <c r="C517" s="19">
        <f>SUBTOTAL(109,Program274[(C)
Program
Costs])</f>
        <v>32716613</v>
      </c>
      <c r="D517" s="19">
        <f>SUBTOTAL(109,Program274[(D)
Prior Period Adjustments])</f>
        <v>-276572</v>
      </c>
      <c r="E517" s="19">
        <f>SUBTOTAL(109,Program274[(E)
Current Period Desk 
Reviews])</f>
        <v>0</v>
      </c>
      <c r="F517" s="19">
        <f>SUBTOTAL(109,Program274[(F)
Current Period 
Final 
Audits])</f>
        <v>0</v>
      </c>
      <c r="G517" s="19">
        <f>SUBTOTAL(109,Program274[(G)
Current Period 
Other Adjustments])</f>
        <v>-4465</v>
      </c>
      <c r="H517" s="19">
        <f>SUBTOTAL(109,Program274[(H)
Net Program Costs
Sum (C through G)])</f>
        <v>32435576</v>
      </c>
      <c r="I517" s="19">
        <f>SUBTOTAL(109,Program274[(I)
Payments
 and Offsets])</f>
        <v>-29909054</v>
      </c>
      <c r="J517" s="19">
        <f>SUBTOTAL(109,Program274[(J)
Accounts Payable Balance
(H + I)])</f>
        <v>2526522</v>
      </c>
      <c r="K517" s="19">
        <f>SUBTOTAL(109,Program274[(K)
Established 
Accounts Receivable])</f>
        <v>250960</v>
      </c>
      <c r="L517" s="19">
        <f>SUBTOTAL(109,Program274[(L)
Recovered
 Accounts Receivable])</f>
        <v>-245204</v>
      </c>
      <c r="M517" s="19">
        <f>SUBTOTAL(109,Program274[(M)
Accounts Receivable Balance
(K + L)])</f>
        <v>5756</v>
      </c>
      <c r="N517" s="19">
        <f>SUBTOTAL(109,Program274[(N)
Net Balance
(J minus M)])</f>
        <v>2520766</v>
      </c>
    </row>
    <row r="518" spans="1:14" ht="15.75" x14ac:dyDescent="0.25">
      <c r="A518" s="17" t="s">
        <v>13</v>
      </c>
      <c r="B518" s="54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</row>
    <row r="519" spans="1:14" ht="78.75" x14ac:dyDescent="0.25">
      <c r="A519" s="39" t="s">
        <v>32</v>
      </c>
      <c r="B519" s="40" t="s">
        <v>33</v>
      </c>
      <c r="C519" s="41" t="s">
        <v>34</v>
      </c>
      <c r="D519" s="41" t="s">
        <v>35</v>
      </c>
      <c r="E519" s="42" t="s">
        <v>36</v>
      </c>
      <c r="F519" s="42" t="s">
        <v>37</v>
      </c>
      <c r="G519" s="42" t="s">
        <v>38</v>
      </c>
      <c r="H519" s="43" t="s">
        <v>39</v>
      </c>
      <c r="I519" s="44" t="s">
        <v>40</v>
      </c>
      <c r="J519" s="44" t="s">
        <v>41</v>
      </c>
      <c r="K519" s="42" t="s">
        <v>42</v>
      </c>
      <c r="L519" s="44" t="s">
        <v>43</v>
      </c>
      <c r="M519" s="44" t="s">
        <v>44</v>
      </c>
      <c r="N519" s="45" t="s">
        <v>45</v>
      </c>
    </row>
    <row r="520" spans="1:14" ht="15.75" x14ac:dyDescent="0.25">
      <c r="A520" s="46" t="s">
        <v>143</v>
      </c>
      <c r="B520" s="47" t="s">
        <v>82</v>
      </c>
      <c r="C520" s="48">
        <v>1408612</v>
      </c>
      <c r="D520" s="48">
        <v>-400623</v>
      </c>
      <c r="E520" s="48">
        <v>0</v>
      </c>
      <c r="F520" s="48">
        <v>0</v>
      </c>
      <c r="G520" s="48">
        <v>0</v>
      </c>
      <c r="H520" s="48">
        <v>1007989</v>
      </c>
      <c r="I520" s="48">
        <v>0</v>
      </c>
      <c r="J520" s="48">
        <v>1007989</v>
      </c>
      <c r="K520" s="48">
        <v>0</v>
      </c>
      <c r="L520" s="48">
        <v>0</v>
      </c>
      <c r="M520" s="48">
        <v>0</v>
      </c>
      <c r="N520" s="48">
        <v>1007989</v>
      </c>
    </row>
    <row r="521" spans="1:14" ht="15.75" x14ac:dyDescent="0.25">
      <c r="A521" s="49" t="s">
        <v>143</v>
      </c>
      <c r="B521" s="50" t="s">
        <v>83</v>
      </c>
      <c r="C521" s="51">
        <v>2269994</v>
      </c>
      <c r="D521" s="51">
        <v>-1014360</v>
      </c>
      <c r="E521" s="51">
        <v>0</v>
      </c>
      <c r="F521" s="51">
        <v>0</v>
      </c>
      <c r="G521" s="51">
        <v>0</v>
      </c>
      <c r="H521" s="51">
        <v>1255634</v>
      </c>
      <c r="I521" s="51">
        <v>0</v>
      </c>
      <c r="J521" s="51">
        <v>1255634</v>
      </c>
      <c r="K521" s="51">
        <v>0</v>
      </c>
      <c r="L521" s="51">
        <v>0</v>
      </c>
      <c r="M521" s="51">
        <v>0</v>
      </c>
      <c r="N521" s="51">
        <v>1255634</v>
      </c>
    </row>
    <row r="522" spans="1:14" ht="15.75" x14ac:dyDescent="0.25">
      <c r="A522" s="49" t="s">
        <v>143</v>
      </c>
      <c r="B522" s="50" t="s">
        <v>48</v>
      </c>
      <c r="C522" s="51">
        <v>2343977</v>
      </c>
      <c r="D522" s="51">
        <v>-1071350</v>
      </c>
      <c r="E522" s="51">
        <v>0</v>
      </c>
      <c r="F522" s="51">
        <v>0</v>
      </c>
      <c r="G522" s="51">
        <v>0</v>
      </c>
      <c r="H522" s="51">
        <v>1272627</v>
      </c>
      <c r="I522" s="51">
        <v>0</v>
      </c>
      <c r="J522" s="51">
        <v>1272627</v>
      </c>
      <c r="K522" s="51">
        <v>0</v>
      </c>
      <c r="L522" s="51">
        <v>0</v>
      </c>
      <c r="M522" s="51">
        <v>0</v>
      </c>
      <c r="N522" s="51">
        <v>1272627</v>
      </c>
    </row>
    <row r="523" spans="1:14" ht="15.75" x14ac:dyDescent="0.25">
      <c r="A523" s="49" t="s">
        <v>143</v>
      </c>
      <c r="B523" s="50" t="s">
        <v>49</v>
      </c>
      <c r="C523" s="51">
        <v>1994828</v>
      </c>
      <c r="D523" s="51">
        <v>-910876</v>
      </c>
      <c r="E523" s="51">
        <v>0</v>
      </c>
      <c r="F523" s="51">
        <v>0</v>
      </c>
      <c r="G523" s="51">
        <v>0</v>
      </c>
      <c r="H523" s="51">
        <v>1083952</v>
      </c>
      <c r="I523" s="51">
        <v>0</v>
      </c>
      <c r="J523" s="51">
        <v>1083952</v>
      </c>
      <c r="K523" s="51">
        <v>0</v>
      </c>
      <c r="L523" s="51">
        <v>0</v>
      </c>
      <c r="M523" s="51">
        <v>0</v>
      </c>
      <c r="N523" s="51">
        <v>1083952</v>
      </c>
    </row>
    <row r="524" spans="1:14" ht="15.75" x14ac:dyDescent="0.25">
      <c r="A524" s="49" t="s">
        <v>143</v>
      </c>
      <c r="B524" s="50" t="s">
        <v>50</v>
      </c>
      <c r="C524" s="51">
        <v>2219596</v>
      </c>
      <c r="D524" s="51">
        <v>-1113569</v>
      </c>
      <c r="E524" s="51">
        <v>0</v>
      </c>
      <c r="F524" s="51">
        <v>0</v>
      </c>
      <c r="G524" s="51">
        <v>0</v>
      </c>
      <c r="H524" s="51">
        <v>1106027</v>
      </c>
      <c r="I524" s="51">
        <v>0</v>
      </c>
      <c r="J524" s="51">
        <v>1106027</v>
      </c>
      <c r="K524" s="51">
        <v>0</v>
      </c>
      <c r="L524" s="51">
        <v>0</v>
      </c>
      <c r="M524" s="51">
        <v>0</v>
      </c>
      <c r="N524" s="51">
        <v>1106027</v>
      </c>
    </row>
    <row r="525" spans="1:14" ht="15.75" x14ac:dyDescent="0.25">
      <c r="A525" s="49" t="s">
        <v>143</v>
      </c>
      <c r="B525" s="50" t="s">
        <v>51</v>
      </c>
      <c r="C525" s="51">
        <v>2061441</v>
      </c>
      <c r="D525" s="51">
        <v>-1003115</v>
      </c>
      <c r="E525" s="51">
        <v>0</v>
      </c>
      <c r="F525" s="51">
        <v>0</v>
      </c>
      <c r="G525" s="51">
        <v>0</v>
      </c>
      <c r="H525" s="51">
        <v>1058326</v>
      </c>
      <c r="I525" s="51">
        <v>0</v>
      </c>
      <c r="J525" s="51">
        <v>1058326</v>
      </c>
      <c r="K525" s="51">
        <v>0</v>
      </c>
      <c r="L525" s="51">
        <v>0</v>
      </c>
      <c r="M525" s="51">
        <v>0</v>
      </c>
      <c r="N525" s="51">
        <v>1058326</v>
      </c>
    </row>
    <row r="526" spans="1:14" ht="15.75" x14ac:dyDescent="0.25">
      <c r="A526" s="49" t="s">
        <v>143</v>
      </c>
      <c r="B526" s="50" t="s">
        <v>52</v>
      </c>
      <c r="C526" s="51">
        <v>1728052</v>
      </c>
      <c r="D526" s="51">
        <v>-744478</v>
      </c>
      <c r="E526" s="51">
        <v>0</v>
      </c>
      <c r="F526" s="51">
        <v>0</v>
      </c>
      <c r="G526" s="51">
        <v>0</v>
      </c>
      <c r="H526" s="51">
        <v>983574</v>
      </c>
      <c r="I526" s="51">
        <v>0</v>
      </c>
      <c r="J526" s="51">
        <v>983574</v>
      </c>
      <c r="K526" s="51">
        <v>0</v>
      </c>
      <c r="L526" s="51">
        <v>0</v>
      </c>
      <c r="M526" s="51">
        <v>0</v>
      </c>
      <c r="N526" s="51">
        <v>983574</v>
      </c>
    </row>
    <row r="527" spans="1:14" ht="15.75" x14ac:dyDescent="0.25">
      <c r="A527" s="49" t="s">
        <v>143</v>
      </c>
      <c r="B527" s="50" t="s">
        <v>53</v>
      </c>
      <c r="C527" s="51">
        <v>1524802</v>
      </c>
      <c r="D527" s="51">
        <v>-561282</v>
      </c>
      <c r="E527" s="51">
        <v>0</v>
      </c>
      <c r="F527" s="51">
        <v>0</v>
      </c>
      <c r="G527" s="51">
        <v>0</v>
      </c>
      <c r="H527" s="51">
        <v>963520</v>
      </c>
      <c r="I527" s="51">
        <v>0</v>
      </c>
      <c r="J527" s="51">
        <v>963520</v>
      </c>
      <c r="K527" s="51">
        <v>0</v>
      </c>
      <c r="L527" s="51">
        <v>0</v>
      </c>
      <c r="M527" s="51">
        <v>0</v>
      </c>
      <c r="N527" s="51">
        <v>963520</v>
      </c>
    </row>
    <row r="528" spans="1:14" ht="15.75" x14ac:dyDescent="0.25">
      <c r="A528" s="49" t="s">
        <v>143</v>
      </c>
      <c r="B528" s="50" t="s">
        <v>54</v>
      </c>
      <c r="C528" s="51">
        <v>1407570</v>
      </c>
      <c r="D528" s="51">
        <v>-504594</v>
      </c>
      <c r="E528" s="51">
        <v>0</v>
      </c>
      <c r="F528" s="51">
        <v>0</v>
      </c>
      <c r="G528" s="51">
        <v>0</v>
      </c>
      <c r="H528" s="51">
        <v>902976</v>
      </c>
      <c r="I528" s="51">
        <v>0</v>
      </c>
      <c r="J528" s="51">
        <v>902976</v>
      </c>
      <c r="K528" s="51">
        <v>0</v>
      </c>
      <c r="L528" s="51">
        <v>0</v>
      </c>
      <c r="M528" s="51">
        <v>0</v>
      </c>
      <c r="N528" s="51">
        <v>902976</v>
      </c>
    </row>
    <row r="529" spans="1:14" ht="15.75" x14ac:dyDescent="0.25">
      <c r="A529" s="49" t="s">
        <v>143</v>
      </c>
      <c r="B529" s="50" t="s">
        <v>55</v>
      </c>
      <c r="C529" s="51">
        <v>1560040</v>
      </c>
      <c r="D529" s="51">
        <v>-612458</v>
      </c>
      <c r="E529" s="51">
        <v>0</v>
      </c>
      <c r="F529" s="51">
        <v>0</v>
      </c>
      <c r="G529" s="51">
        <v>0</v>
      </c>
      <c r="H529" s="51">
        <v>947582</v>
      </c>
      <c r="I529" s="51">
        <v>0</v>
      </c>
      <c r="J529" s="51">
        <v>947582</v>
      </c>
      <c r="K529" s="51">
        <v>0</v>
      </c>
      <c r="L529" s="51">
        <v>0</v>
      </c>
      <c r="M529" s="51">
        <v>0</v>
      </c>
      <c r="N529" s="51">
        <v>947582</v>
      </c>
    </row>
    <row r="530" spans="1:14" ht="15.75" x14ac:dyDescent="0.25">
      <c r="A530" s="49" t="s">
        <v>143</v>
      </c>
      <c r="B530" s="50" t="s">
        <v>56</v>
      </c>
      <c r="C530" s="51">
        <v>1593012</v>
      </c>
      <c r="D530" s="51">
        <v>-716355</v>
      </c>
      <c r="E530" s="51">
        <v>0</v>
      </c>
      <c r="F530" s="51">
        <v>0</v>
      </c>
      <c r="G530" s="51">
        <v>0</v>
      </c>
      <c r="H530" s="51">
        <v>876657</v>
      </c>
      <c r="I530" s="51">
        <v>0</v>
      </c>
      <c r="J530" s="51">
        <v>876657</v>
      </c>
      <c r="K530" s="51">
        <v>0</v>
      </c>
      <c r="L530" s="51">
        <v>0</v>
      </c>
      <c r="M530" s="51">
        <v>0</v>
      </c>
      <c r="N530" s="51">
        <v>876657</v>
      </c>
    </row>
    <row r="531" spans="1:14" ht="15.75" x14ac:dyDescent="0.25">
      <c r="A531" s="49" t="s">
        <v>143</v>
      </c>
      <c r="B531" s="50" t="s">
        <v>57</v>
      </c>
      <c r="C531" s="51">
        <v>631483</v>
      </c>
      <c r="D531" s="51">
        <v>-163053</v>
      </c>
      <c r="E531" s="51">
        <v>0</v>
      </c>
      <c r="F531" s="51">
        <v>0</v>
      </c>
      <c r="G531" s="51">
        <v>0</v>
      </c>
      <c r="H531" s="51">
        <v>468430</v>
      </c>
      <c r="I531" s="51">
        <v>0</v>
      </c>
      <c r="J531" s="51">
        <v>468430</v>
      </c>
      <c r="K531" s="51">
        <v>0</v>
      </c>
      <c r="L531" s="51">
        <v>0</v>
      </c>
      <c r="M531" s="51">
        <v>0</v>
      </c>
      <c r="N531" s="51">
        <v>468430</v>
      </c>
    </row>
    <row r="532" spans="1:14" ht="15.75" x14ac:dyDescent="0.25">
      <c r="A532" s="52" t="s">
        <v>144</v>
      </c>
      <c r="B532" s="53" t="s">
        <v>8</v>
      </c>
      <c r="C532" s="19">
        <f>SUBTOTAL(109,Program322[(C)
Program
Costs])</f>
        <v>20743407</v>
      </c>
      <c r="D532" s="19">
        <f>SUBTOTAL(109,Program322[(D)
Prior Period Adjustments])</f>
        <v>-8816113</v>
      </c>
      <c r="E532" s="19">
        <f>SUBTOTAL(109,Program322[(E)
Current Period Desk 
Reviews])</f>
        <v>0</v>
      </c>
      <c r="F532" s="19">
        <f>SUBTOTAL(109,Program322[(F)
Current Period 
Final 
Audits])</f>
        <v>0</v>
      </c>
      <c r="G532" s="19">
        <f>SUBTOTAL(109,Program322[(G)
Current Period 
Other Adjustments])</f>
        <v>0</v>
      </c>
      <c r="H532" s="19">
        <f>SUBTOTAL(109,Program322[(H)
Net Program Costs
Sum (C through G)])</f>
        <v>11927294</v>
      </c>
      <c r="I532" s="19">
        <f>SUBTOTAL(109,Program322[(I)
Payments
 and Offsets])</f>
        <v>0</v>
      </c>
      <c r="J532" s="19">
        <f>SUBTOTAL(109,Program322[(J)
Accounts Payable Balance
(H + I)])</f>
        <v>11927294</v>
      </c>
      <c r="K532" s="19">
        <f>SUBTOTAL(109,Program322[(K)
Established 
Accounts Receivable])</f>
        <v>0</v>
      </c>
      <c r="L532" s="19">
        <f>SUBTOTAL(109,Program322[(L)
Recovered
 Accounts Receivable])</f>
        <v>0</v>
      </c>
      <c r="M532" s="19">
        <f>SUBTOTAL(109,Program322[(M)
Accounts Receivable Balance
(K + L)])</f>
        <v>0</v>
      </c>
      <c r="N532" s="19">
        <f>SUBTOTAL(109,Program322[(N)
Net Balance
(J minus M)])</f>
        <v>11927294</v>
      </c>
    </row>
    <row r="533" spans="1:14" ht="15.75" x14ac:dyDescent="0.25">
      <c r="A533" s="17" t="s">
        <v>13</v>
      </c>
      <c r="B533" s="54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</row>
    <row r="534" spans="1:14" ht="78.75" x14ac:dyDescent="0.25">
      <c r="A534" s="39" t="s">
        <v>32</v>
      </c>
      <c r="B534" s="40" t="s">
        <v>33</v>
      </c>
      <c r="C534" s="41" t="s">
        <v>34</v>
      </c>
      <c r="D534" s="41" t="s">
        <v>35</v>
      </c>
      <c r="E534" s="42" t="s">
        <v>36</v>
      </c>
      <c r="F534" s="42" t="s">
        <v>37</v>
      </c>
      <c r="G534" s="42" t="s">
        <v>38</v>
      </c>
      <c r="H534" s="43" t="s">
        <v>39</v>
      </c>
      <c r="I534" s="44" t="s">
        <v>40</v>
      </c>
      <c r="J534" s="44" t="s">
        <v>41</v>
      </c>
      <c r="K534" s="42" t="s">
        <v>42</v>
      </c>
      <c r="L534" s="44" t="s">
        <v>43</v>
      </c>
      <c r="M534" s="44" t="s">
        <v>44</v>
      </c>
      <c r="N534" s="45" t="s">
        <v>45</v>
      </c>
    </row>
    <row r="535" spans="1:14" ht="15.75" x14ac:dyDescent="0.25">
      <c r="A535" s="46" t="s">
        <v>145</v>
      </c>
      <c r="B535" s="47" t="s">
        <v>63</v>
      </c>
      <c r="C535" s="48">
        <v>1507037</v>
      </c>
      <c r="D535" s="48">
        <v>-357052</v>
      </c>
      <c r="E535" s="48">
        <v>0</v>
      </c>
      <c r="F535" s="48">
        <v>0</v>
      </c>
      <c r="G535" s="48">
        <v>0</v>
      </c>
      <c r="H535" s="48">
        <v>1149985</v>
      </c>
      <c r="I535" s="48">
        <v>-1149985</v>
      </c>
      <c r="J535" s="48">
        <v>0</v>
      </c>
      <c r="K535" s="48">
        <v>428568</v>
      </c>
      <c r="L535" s="48">
        <v>-428568</v>
      </c>
      <c r="M535" s="48">
        <v>0</v>
      </c>
      <c r="N535" s="48">
        <v>0</v>
      </c>
    </row>
    <row r="536" spans="1:14" ht="15.75" x14ac:dyDescent="0.25">
      <c r="A536" s="49" t="s">
        <v>145</v>
      </c>
      <c r="B536" s="50" t="s">
        <v>64</v>
      </c>
      <c r="C536" s="51">
        <v>3691694</v>
      </c>
      <c r="D536" s="51">
        <v>0</v>
      </c>
      <c r="E536" s="51">
        <v>0</v>
      </c>
      <c r="F536" s="51">
        <v>0</v>
      </c>
      <c r="G536" s="51">
        <v>0</v>
      </c>
      <c r="H536" s="51">
        <v>3691694</v>
      </c>
      <c r="I536" s="51">
        <v>-3691694</v>
      </c>
      <c r="J536" s="51">
        <v>0</v>
      </c>
      <c r="K536" s="51">
        <v>0</v>
      </c>
      <c r="L536" s="51">
        <v>0</v>
      </c>
      <c r="M536" s="51">
        <v>0</v>
      </c>
      <c r="N536" s="51">
        <v>0</v>
      </c>
    </row>
    <row r="537" spans="1:14" ht="15.75" x14ac:dyDescent="0.25">
      <c r="A537" s="49" t="s">
        <v>145</v>
      </c>
      <c r="B537" s="50" t="s">
        <v>65</v>
      </c>
      <c r="C537" s="51">
        <v>3291079</v>
      </c>
      <c r="D537" s="51">
        <v>0</v>
      </c>
      <c r="E537" s="51">
        <v>0</v>
      </c>
      <c r="F537" s="51">
        <v>0</v>
      </c>
      <c r="G537" s="51">
        <v>0</v>
      </c>
      <c r="H537" s="51">
        <v>3291079</v>
      </c>
      <c r="I537" s="51">
        <v>-3291079</v>
      </c>
      <c r="J537" s="51">
        <v>0</v>
      </c>
      <c r="K537" s="51">
        <v>7922</v>
      </c>
      <c r="L537" s="51">
        <v>-7922</v>
      </c>
      <c r="M537" s="51">
        <v>0</v>
      </c>
      <c r="N537" s="51">
        <v>0</v>
      </c>
    </row>
    <row r="538" spans="1:14" ht="15.75" x14ac:dyDescent="0.25">
      <c r="A538" s="49" t="s">
        <v>145</v>
      </c>
      <c r="B538" s="50" t="s">
        <v>66</v>
      </c>
      <c r="C538" s="51">
        <v>2983166</v>
      </c>
      <c r="D538" s="51">
        <v>-340554</v>
      </c>
      <c r="E538" s="51">
        <v>0</v>
      </c>
      <c r="F538" s="51">
        <v>0</v>
      </c>
      <c r="G538" s="51">
        <v>0</v>
      </c>
      <c r="H538" s="51">
        <v>2642612</v>
      </c>
      <c r="I538" s="51">
        <v>-2642612</v>
      </c>
      <c r="J538" s="51">
        <v>0</v>
      </c>
      <c r="K538" s="51">
        <v>9029</v>
      </c>
      <c r="L538" s="51">
        <v>-9029</v>
      </c>
      <c r="M538" s="51">
        <v>0</v>
      </c>
      <c r="N538" s="51">
        <v>0</v>
      </c>
    </row>
    <row r="539" spans="1:14" ht="15.75" x14ac:dyDescent="0.25">
      <c r="A539" s="49" t="s">
        <v>145</v>
      </c>
      <c r="B539" s="50" t="s">
        <v>67</v>
      </c>
      <c r="C539" s="51">
        <v>2914621</v>
      </c>
      <c r="D539" s="51">
        <v>-308531</v>
      </c>
      <c r="E539" s="51">
        <v>0</v>
      </c>
      <c r="F539" s="51">
        <v>0</v>
      </c>
      <c r="G539" s="51">
        <v>0</v>
      </c>
      <c r="H539" s="51">
        <v>2606090</v>
      </c>
      <c r="I539" s="51">
        <v>-2606090</v>
      </c>
      <c r="J539" s="51">
        <v>0</v>
      </c>
      <c r="K539" s="51">
        <v>0</v>
      </c>
      <c r="L539" s="51">
        <v>0</v>
      </c>
      <c r="M539" s="51">
        <v>0</v>
      </c>
      <c r="N539" s="51">
        <v>0</v>
      </c>
    </row>
    <row r="540" spans="1:14" ht="15.75" x14ac:dyDescent="0.25">
      <c r="A540" s="49" t="s">
        <v>145</v>
      </c>
      <c r="B540" s="50" t="s">
        <v>68</v>
      </c>
      <c r="C540" s="51">
        <v>78824</v>
      </c>
      <c r="D540" s="51">
        <v>0</v>
      </c>
      <c r="E540" s="51">
        <v>0</v>
      </c>
      <c r="F540" s="51">
        <v>0</v>
      </c>
      <c r="G540" s="51">
        <v>0</v>
      </c>
      <c r="H540" s="51">
        <v>78824</v>
      </c>
      <c r="I540" s="51">
        <v>-78824</v>
      </c>
      <c r="J540" s="51">
        <v>0</v>
      </c>
      <c r="K540" s="51">
        <v>75657</v>
      </c>
      <c r="L540" s="51">
        <v>-75657</v>
      </c>
      <c r="M540" s="51">
        <v>0</v>
      </c>
      <c r="N540" s="51">
        <v>0</v>
      </c>
    </row>
    <row r="541" spans="1:14" ht="15.75" x14ac:dyDescent="0.25">
      <c r="A541" s="52" t="s">
        <v>146</v>
      </c>
      <c r="B541" s="53" t="s">
        <v>8</v>
      </c>
      <c r="C541" s="19">
        <f>SUBTOTAL(109,Program016[(C)
Program
Costs])</f>
        <v>14466421</v>
      </c>
      <c r="D541" s="19">
        <f>SUBTOTAL(109,Program016[(D)
Prior Period Adjustments])</f>
        <v>-1006137</v>
      </c>
      <c r="E541" s="19">
        <f>SUBTOTAL(109,Program016[(E)
Current Period Desk 
Reviews])</f>
        <v>0</v>
      </c>
      <c r="F541" s="19">
        <f>SUBTOTAL(109,Program016[(F)
Current Period 
Final 
Audits])</f>
        <v>0</v>
      </c>
      <c r="G541" s="19">
        <f>SUBTOTAL(109,Program016[(G)
Current Period 
Other Adjustments])</f>
        <v>0</v>
      </c>
      <c r="H541" s="19">
        <f>SUBTOTAL(109,Program016[(H)
Net Program Costs
Sum (C through G)])</f>
        <v>13460284</v>
      </c>
      <c r="I541" s="19">
        <f>SUBTOTAL(109,Program016[(I)
Payments
 and Offsets])</f>
        <v>-13460284</v>
      </c>
      <c r="J541" s="19">
        <f>SUBTOTAL(109,Program016[(J)
Accounts Payable Balance
(H + I)])</f>
        <v>0</v>
      </c>
      <c r="K541" s="19">
        <f>SUBTOTAL(109,Program016[(K)
Established 
Accounts Receivable])</f>
        <v>521176</v>
      </c>
      <c r="L541" s="19">
        <f>SUBTOTAL(109,Program016[(L)
Recovered
 Accounts Receivable])</f>
        <v>-521176</v>
      </c>
      <c r="M541" s="19">
        <f>SUBTOTAL(109,Program016[(M)
Accounts Receivable Balance
(K + L)])</f>
        <v>0</v>
      </c>
      <c r="N541" s="19">
        <f>SUBTOTAL(109,Program016[(N)
Net Balance
(J minus M)])</f>
        <v>0</v>
      </c>
    </row>
    <row r="542" spans="1:14" ht="15.75" x14ac:dyDescent="0.25">
      <c r="A542" s="17" t="s">
        <v>13</v>
      </c>
      <c r="B542" s="54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</row>
    <row r="543" spans="1:14" ht="78.75" x14ac:dyDescent="0.25">
      <c r="A543" s="39" t="s">
        <v>32</v>
      </c>
      <c r="B543" s="40" t="s">
        <v>33</v>
      </c>
      <c r="C543" s="41" t="s">
        <v>34</v>
      </c>
      <c r="D543" s="41" t="s">
        <v>35</v>
      </c>
      <c r="E543" s="42" t="s">
        <v>36</v>
      </c>
      <c r="F543" s="42" t="s">
        <v>37</v>
      </c>
      <c r="G543" s="42" t="s">
        <v>38</v>
      </c>
      <c r="H543" s="43" t="s">
        <v>39</v>
      </c>
      <c r="I543" s="44" t="s">
        <v>40</v>
      </c>
      <c r="J543" s="44" t="s">
        <v>41</v>
      </c>
      <c r="K543" s="42" t="s">
        <v>42</v>
      </c>
      <c r="L543" s="44" t="s">
        <v>43</v>
      </c>
      <c r="M543" s="44" t="s">
        <v>44</v>
      </c>
      <c r="N543" s="45" t="s">
        <v>45</v>
      </c>
    </row>
    <row r="544" spans="1:14" ht="30" x14ac:dyDescent="0.25">
      <c r="A544" s="67" t="s">
        <v>147</v>
      </c>
      <c r="B544" s="57" t="s">
        <v>62</v>
      </c>
      <c r="C544" s="58">
        <v>1439249</v>
      </c>
      <c r="D544" s="58">
        <v>-240</v>
      </c>
      <c r="E544" s="58">
        <v>0</v>
      </c>
      <c r="F544" s="58">
        <v>0</v>
      </c>
      <c r="G544" s="58">
        <v>0</v>
      </c>
      <c r="H544" s="58">
        <v>1439009</v>
      </c>
      <c r="I544" s="58">
        <v>-1439009</v>
      </c>
      <c r="J544" s="58">
        <v>0</v>
      </c>
      <c r="K544" s="58">
        <v>158</v>
      </c>
      <c r="L544" s="58">
        <v>-158</v>
      </c>
      <c r="M544" s="58">
        <v>0</v>
      </c>
      <c r="N544" s="58">
        <v>0</v>
      </c>
    </row>
    <row r="545" spans="1:14" ht="30" x14ac:dyDescent="0.25">
      <c r="A545" s="68" t="s">
        <v>147</v>
      </c>
      <c r="B545" s="60" t="s">
        <v>63</v>
      </c>
      <c r="C545" s="61">
        <v>1069087</v>
      </c>
      <c r="D545" s="61">
        <v>0</v>
      </c>
      <c r="E545" s="61">
        <v>0</v>
      </c>
      <c r="F545" s="61">
        <v>0</v>
      </c>
      <c r="G545" s="61">
        <v>0</v>
      </c>
      <c r="H545" s="61">
        <v>1069087</v>
      </c>
      <c r="I545" s="61">
        <v>-1069087</v>
      </c>
      <c r="J545" s="61">
        <v>0</v>
      </c>
      <c r="K545" s="61">
        <v>0</v>
      </c>
      <c r="L545" s="61">
        <v>0</v>
      </c>
      <c r="M545" s="61">
        <v>0</v>
      </c>
      <c r="N545" s="61">
        <v>0</v>
      </c>
    </row>
    <row r="546" spans="1:14" ht="15.75" x14ac:dyDescent="0.25">
      <c r="A546" s="52" t="s">
        <v>148</v>
      </c>
      <c r="B546" s="53" t="s">
        <v>8</v>
      </c>
      <c r="C546" s="19">
        <f>SUBTOTAL(109,Program159[(C)
Program
Costs])</f>
        <v>2508336</v>
      </c>
      <c r="D546" s="19">
        <f>SUBTOTAL(109,Program159[(D)
Prior Period Adjustments])</f>
        <v>-240</v>
      </c>
      <c r="E546" s="19">
        <f>SUBTOTAL(109,Program159[(E)
Current Period Desk 
Reviews])</f>
        <v>0</v>
      </c>
      <c r="F546" s="19">
        <f>SUBTOTAL(109,Program159[(F)
Current Period 
Final 
Audits])</f>
        <v>0</v>
      </c>
      <c r="G546" s="19">
        <f>SUBTOTAL(109,Program159[(G)
Current Period 
Other Adjustments])</f>
        <v>0</v>
      </c>
      <c r="H546" s="19">
        <f>SUBTOTAL(109,Program159[(H)
Net Program Costs
Sum (C through G)])</f>
        <v>2508096</v>
      </c>
      <c r="I546" s="19">
        <f>SUBTOTAL(109,Program159[(I)
Payments
 and Offsets])</f>
        <v>-2508096</v>
      </c>
      <c r="J546" s="19">
        <f>SUBTOTAL(109,Program159[(J)
Accounts Payable Balance
(H + I)])</f>
        <v>0</v>
      </c>
      <c r="K546" s="19">
        <f>SUBTOTAL(109,Program159[(K)
Established 
Accounts Receivable])</f>
        <v>158</v>
      </c>
      <c r="L546" s="19">
        <f>SUBTOTAL(109,Program159[(L)
Recovered
 Accounts Receivable])</f>
        <v>-158</v>
      </c>
      <c r="M546" s="19">
        <f>SUBTOTAL(109,Program159[(M)
Accounts Receivable Balance
(K + L)])</f>
        <v>0</v>
      </c>
      <c r="N546" s="19">
        <f>SUBTOTAL(109,Program159[(N)
Net Balance
(J minus M)])</f>
        <v>0</v>
      </c>
    </row>
    <row r="547" spans="1:14" ht="15.75" x14ac:dyDescent="0.25">
      <c r="A547" s="17" t="s">
        <v>13</v>
      </c>
      <c r="B547" s="54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</row>
    <row r="548" spans="1:14" ht="78.75" x14ac:dyDescent="0.25">
      <c r="A548" s="39" t="s">
        <v>32</v>
      </c>
      <c r="B548" s="40" t="s">
        <v>33</v>
      </c>
      <c r="C548" s="41" t="s">
        <v>34</v>
      </c>
      <c r="D548" s="41" t="s">
        <v>35</v>
      </c>
      <c r="E548" s="42" t="s">
        <v>36</v>
      </c>
      <c r="F548" s="42" t="s">
        <v>37</v>
      </c>
      <c r="G548" s="42" t="s">
        <v>38</v>
      </c>
      <c r="H548" s="43" t="s">
        <v>39</v>
      </c>
      <c r="I548" s="44" t="s">
        <v>40</v>
      </c>
      <c r="J548" s="44" t="s">
        <v>41</v>
      </c>
      <c r="K548" s="42" t="s">
        <v>42</v>
      </c>
      <c r="L548" s="44" t="s">
        <v>43</v>
      </c>
      <c r="M548" s="44" t="s">
        <v>44</v>
      </c>
      <c r="N548" s="45" t="s">
        <v>45</v>
      </c>
    </row>
    <row r="549" spans="1:14" ht="15.75" x14ac:dyDescent="0.25">
      <c r="A549" s="46" t="s">
        <v>149</v>
      </c>
      <c r="B549" s="47" t="s">
        <v>60</v>
      </c>
      <c r="C549" s="48">
        <v>1913202</v>
      </c>
      <c r="D549" s="48">
        <v>-5143</v>
      </c>
      <c r="E549" s="48">
        <v>0</v>
      </c>
      <c r="F549" s="48">
        <v>0</v>
      </c>
      <c r="G549" s="48">
        <v>0</v>
      </c>
      <c r="H549" s="48">
        <v>1908059</v>
      </c>
      <c r="I549" s="48">
        <v>-1908059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</row>
    <row r="550" spans="1:14" ht="15.75" x14ac:dyDescent="0.25">
      <c r="A550" s="49" t="s">
        <v>149</v>
      </c>
      <c r="B550" s="50" t="s">
        <v>61</v>
      </c>
      <c r="C550" s="51">
        <v>1791992</v>
      </c>
      <c r="D550" s="51">
        <v>-8011</v>
      </c>
      <c r="E550" s="51">
        <v>0</v>
      </c>
      <c r="F550" s="51">
        <v>0</v>
      </c>
      <c r="G550" s="51">
        <v>0</v>
      </c>
      <c r="H550" s="51">
        <v>1783981</v>
      </c>
      <c r="I550" s="51">
        <v>-1783981</v>
      </c>
      <c r="J550" s="51">
        <v>0</v>
      </c>
      <c r="K550" s="51">
        <v>0</v>
      </c>
      <c r="L550" s="51">
        <v>0</v>
      </c>
      <c r="M550" s="51">
        <v>0</v>
      </c>
      <c r="N550" s="51">
        <v>0</v>
      </c>
    </row>
    <row r="551" spans="1:14" ht="15.75" x14ac:dyDescent="0.25">
      <c r="A551" s="49" t="s">
        <v>149</v>
      </c>
      <c r="B551" s="50" t="s">
        <v>66</v>
      </c>
      <c r="C551" s="51">
        <v>1555473</v>
      </c>
      <c r="D551" s="51">
        <v>-6772</v>
      </c>
      <c r="E551" s="51">
        <v>0</v>
      </c>
      <c r="F551" s="51">
        <v>0</v>
      </c>
      <c r="G551" s="51">
        <v>0</v>
      </c>
      <c r="H551" s="51">
        <v>1548701</v>
      </c>
      <c r="I551" s="51">
        <v>-1548701</v>
      </c>
      <c r="J551" s="51">
        <v>0</v>
      </c>
      <c r="K551" s="51">
        <v>0</v>
      </c>
      <c r="L551" s="51">
        <v>0</v>
      </c>
      <c r="M551" s="51">
        <v>0</v>
      </c>
      <c r="N551" s="51">
        <v>0</v>
      </c>
    </row>
    <row r="552" spans="1:14" ht="15.75" x14ac:dyDescent="0.25">
      <c r="A552" s="49" t="s">
        <v>149</v>
      </c>
      <c r="B552" s="50" t="s">
        <v>67</v>
      </c>
      <c r="C552" s="51">
        <v>7901407</v>
      </c>
      <c r="D552" s="51">
        <v>-311732</v>
      </c>
      <c r="E552" s="51">
        <v>0</v>
      </c>
      <c r="F552" s="51">
        <v>0</v>
      </c>
      <c r="G552" s="51">
        <v>0</v>
      </c>
      <c r="H552" s="51">
        <v>7589675</v>
      </c>
      <c r="I552" s="51">
        <v>-7589675</v>
      </c>
      <c r="J552" s="51">
        <v>0</v>
      </c>
      <c r="K552" s="51">
        <v>290736</v>
      </c>
      <c r="L552" s="51">
        <v>-290736</v>
      </c>
      <c r="M552" s="51">
        <v>0</v>
      </c>
      <c r="N552" s="51">
        <v>0</v>
      </c>
    </row>
    <row r="553" spans="1:14" ht="15.75" x14ac:dyDescent="0.25">
      <c r="A553" s="49" t="s">
        <v>149</v>
      </c>
      <c r="B553" s="50" t="s">
        <v>68</v>
      </c>
      <c r="C553" s="51">
        <v>0</v>
      </c>
      <c r="D553" s="51">
        <v>0</v>
      </c>
      <c r="E553" s="51">
        <v>0</v>
      </c>
      <c r="F553" s="51">
        <v>0</v>
      </c>
      <c r="G553" s="51">
        <v>0</v>
      </c>
      <c r="H553" s="51">
        <v>0</v>
      </c>
      <c r="I553" s="51">
        <v>0</v>
      </c>
      <c r="J553" s="51">
        <v>0</v>
      </c>
      <c r="K553" s="51">
        <v>86053</v>
      </c>
      <c r="L553" s="51">
        <v>-86053</v>
      </c>
      <c r="M553" s="51">
        <v>0</v>
      </c>
      <c r="N553" s="51">
        <v>0</v>
      </c>
    </row>
    <row r="554" spans="1:14" ht="15.75" x14ac:dyDescent="0.25">
      <c r="A554" s="49" t="s">
        <v>149</v>
      </c>
      <c r="B554" s="50" t="s">
        <v>115</v>
      </c>
      <c r="C554" s="51">
        <v>0</v>
      </c>
      <c r="D554" s="51">
        <v>0</v>
      </c>
      <c r="E554" s="51">
        <v>0</v>
      </c>
      <c r="F554" s="51">
        <v>0</v>
      </c>
      <c r="G554" s="51">
        <v>0</v>
      </c>
      <c r="H554" s="51">
        <v>0</v>
      </c>
      <c r="I554" s="51">
        <v>0</v>
      </c>
      <c r="J554" s="51">
        <v>0</v>
      </c>
      <c r="K554" s="51">
        <v>2356</v>
      </c>
      <c r="L554" s="51">
        <v>-2356</v>
      </c>
      <c r="M554" s="51">
        <v>0</v>
      </c>
      <c r="N554" s="51">
        <v>0</v>
      </c>
    </row>
    <row r="555" spans="1:14" ht="15.75" x14ac:dyDescent="0.25">
      <c r="A555" s="52" t="s">
        <v>150</v>
      </c>
      <c r="B555" s="53" t="s">
        <v>8</v>
      </c>
      <c r="C555" s="19">
        <f>SUBTOTAL(109,Program015[(C)
Program
Costs])</f>
        <v>13162074</v>
      </c>
      <c r="D555" s="19">
        <f>SUBTOTAL(109,Program015[(D)
Prior Period Adjustments])</f>
        <v>-331658</v>
      </c>
      <c r="E555" s="19">
        <f>SUBTOTAL(109,Program015[(E)
Current Period Desk 
Reviews])</f>
        <v>0</v>
      </c>
      <c r="F555" s="19">
        <f>SUBTOTAL(109,Program015[(F)
Current Period 
Final 
Audits])</f>
        <v>0</v>
      </c>
      <c r="G555" s="19">
        <f>SUBTOTAL(109,Program015[(G)
Current Period 
Other Adjustments])</f>
        <v>0</v>
      </c>
      <c r="H555" s="19">
        <f>SUBTOTAL(109,Program015[(H)
Net Program Costs
Sum (C through G)])</f>
        <v>12830416</v>
      </c>
      <c r="I555" s="19">
        <f>SUBTOTAL(109,Program015[(I)
Payments
 and Offsets])</f>
        <v>-12830416</v>
      </c>
      <c r="J555" s="19">
        <f>SUBTOTAL(109,Program015[(J)
Accounts Payable Balance
(H + I)])</f>
        <v>0</v>
      </c>
      <c r="K555" s="19">
        <f>SUBTOTAL(109,Program015[(K)
Established 
Accounts Receivable])</f>
        <v>379145</v>
      </c>
      <c r="L555" s="19">
        <f>SUBTOTAL(109,Program015[(L)
Recovered
 Accounts Receivable])</f>
        <v>-379145</v>
      </c>
      <c r="M555" s="19">
        <f>SUBTOTAL(109,Program015[(M)
Accounts Receivable Balance
(K + L)])</f>
        <v>0</v>
      </c>
      <c r="N555" s="19">
        <f>SUBTOTAL(109,Program015[(N)
Net Balance
(J minus M)])</f>
        <v>0</v>
      </c>
    </row>
    <row r="556" spans="1:14" ht="15.75" x14ac:dyDescent="0.25">
      <c r="A556" s="17" t="s">
        <v>13</v>
      </c>
      <c r="B556" s="54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</row>
    <row r="557" spans="1:14" ht="78.75" x14ac:dyDescent="0.25">
      <c r="A557" s="39" t="s">
        <v>32</v>
      </c>
      <c r="B557" s="40" t="s">
        <v>33</v>
      </c>
      <c r="C557" s="41" t="s">
        <v>34</v>
      </c>
      <c r="D557" s="41" t="s">
        <v>35</v>
      </c>
      <c r="E557" s="42" t="s">
        <v>36</v>
      </c>
      <c r="F557" s="42" t="s">
        <v>37</v>
      </c>
      <c r="G557" s="42" t="s">
        <v>38</v>
      </c>
      <c r="H557" s="43" t="s">
        <v>39</v>
      </c>
      <c r="I557" s="44" t="s">
        <v>40</v>
      </c>
      <c r="J557" s="44" t="s">
        <v>41</v>
      </c>
      <c r="K557" s="42" t="s">
        <v>42</v>
      </c>
      <c r="L557" s="44" t="s">
        <v>43</v>
      </c>
      <c r="M557" s="44" t="s">
        <v>44</v>
      </c>
      <c r="N557" s="45" t="s">
        <v>45</v>
      </c>
    </row>
    <row r="558" spans="1:14" ht="15.75" x14ac:dyDescent="0.25">
      <c r="A558" s="46" t="s">
        <v>151</v>
      </c>
      <c r="B558" s="47" t="s">
        <v>60</v>
      </c>
      <c r="C558" s="48">
        <v>0</v>
      </c>
      <c r="D558" s="48">
        <v>0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1900</v>
      </c>
      <c r="L558" s="48">
        <v>-1900</v>
      </c>
      <c r="M558" s="48">
        <v>0</v>
      </c>
      <c r="N558" s="48">
        <v>0</v>
      </c>
    </row>
    <row r="559" spans="1:14" ht="15.75" x14ac:dyDescent="0.25">
      <c r="A559" s="49" t="s">
        <v>151</v>
      </c>
      <c r="B559" s="50" t="s">
        <v>61</v>
      </c>
      <c r="C559" s="51">
        <v>4787</v>
      </c>
      <c r="D559" s="51">
        <v>0</v>
      </c>
      <c r="E559" s="51">
        <v>0</v>
      </c>
      <c r="F559" s="51">
        <v>0</v>
      </c>
      <c r="G559" s="51">
        <v>0</v>
      </c>
      <c r="H559" s="51">
        <v>4787</v>
      </c>
      <c r="I559" s="51">
        <v>-4787</v>
      </c>
      <c r="J559" s="51">
        <v>0</v>
      </c>
      <c r="K559" s="51">
        <v>0</v>
      </c>
      <c r="L559" s="51">
        <v>0</v>
      </c>
      <c r="M559" s="51">
        <v>0</v>
      </c>
      <c r="N559" s="51">
        <v>0</v>
      </c>
    </row>
    <row r="560" spans="1:14" ht="15.75" x14ac:dyDescent="0.25">
      <c r="A560" s="49" t="s">
        <v>151</v>
      </c>
      <c r="B560" s="50" t="s">
        <v>62</v>
      </c>
      <c r="C560" s="51">
        <v>158451</v>
      </c>
      <c r="D560" s="51">
        <v>-212</v>
      </c>
      <c r="E560" s="51">
        <v>0</v>
      </c>
      <c r="F560" s="51">
        <v>0</v>
      </c>
      <c r="G560" s="51">
        <v>0</v>
      </c>
      <c r="H560" s="51">
        <v>158239</v>
      </c>
      <c r="I560" s="51">
        <v>-158239</v>
      </c>
      <c r="J560" s="51">
        <v>0</v>
      </c>
      <c r="K560" s="51">
        <v>0</v>
      </c>
      <c r="L560" s="51">
        <v>0</v>
      </c>
      <c r="M560" s="51">
        <v>0</v>
      </c>
      <c r="N560" s="51">
        <v>0</v>
      </c>
    </row>
    <row r="561" spans="1:14" ht="15.75" x14ac:dyDescent="0.25">
      <c r="A561" s="49" t="s">
        <v>151</v>
      </c>
      <c r="B561" s="50" t="s">
        <v>63</v>
      </c>
      <c r="C561" s="51">
        <v>1553603</v>
      </c>
      <c r="D561" s="51">
        <v>-304160</v>
      </c>
      <c r="E561" s="51">
        <v>0</v>
      </c>
      <c r="F561" s="51">
        <v>0</v>
      </c>
      <c r="G561" s="51">
        <v>0</v>
      </c>
      <c r="H561" s="51">
        <v>1249443</v>
      </c>
      <c r="I561" s="51">
        <v>-1249443</v>
      </c>
      <c r="J561" s="51">
        <v>0</v>
      </c>
      <c r="K561" s="51">
        <v>584912</v>
      </c>
      <c r="L561" s="51">
        <v>-584912</v>
      </c>
      <c r="M561" s="51">
        <v>0</v>
      </c>
      <c r="N561" s="51">
        <v>0</v>
      </c>
    </row>
    <row r="562" spans="1:14" ht="15.75" x14ac:dyDescent="0.25">
      <c r="A562" s="49" t="s">
        <v>151</v>
      </c>
      <c r="B562" s="50" t="s">
        <v>64</v>
      </c>
      <c r="C562" s="51">
        <v>923050</v>
      </c>
      <c r="D562" s="51">
        <v>-430656</v>
      </c>
      <c r="E562" s="51">
        <v>0</v>
      </c>
      <c r="F562" s="51">
        <v>0</v>
      </c>
      <c r="G562" s="51">
        <v>0</v>
      </c>
      <c r="H562" s="51">
        <v>492394</v>
      </c>
      <c r="I562" s="51">
        <v>-492394</v>
      </c>
      <c r="J562" s="51">
        <v>0</v>
      </c>
      <c r="K562" s="51">
        <v>294367</v>
      </c>
      <c r="L562" s="51">
        <v>-294367</v>
      </c>
      <c r="M562" s="51">
        <v>0</v>
      </c>
      <c r="N562" s="51">
        <v>0</v>
      </c>
    </row>
    <row r="563" spans="1:14" ht="15.75" x14ac:dyDescent="0.25">
      <c r="A563" s="49" t="s">
        <v>151</v>
      </c>
      <c r="B563" s="50" t="s">
        <v>65</v>
      </c>
      <c r="C563" s="51">
        <v>351861</v>
      </c>
      <c r="D563" s="51">
        <v>-21460</v>
      </c>
      <c r="E563" s="51">
        <v>0</v>
      </c>
      <c r="F563" s="51">
        <v>0</v>
      </c>
      <c r="G563" s="51">
        <v>0</v>
      </c>
      <c r="H563" s="51">
        <v>330401</v>
      </c>
      <c r="I563" s="51">
        <v>-330401</v>
      </c>
      <c r="J563" s="51">
        <v>0</v>
      </c>
      <c r="K563" s="51">
        <v>17262</v>
      </c>
      <c r="L563" s="51">
        <v>-17262</v>
      </c>
      <c r="M563" s="51">
        <v>0</v>
      </c>
      <c r="N563" s="51">
        <v>0</v>
      </c>
    </row>
    <row r="564" spans="1:14" ht="15.75" x14ac:dyDescent="0.25">
      <c r="A564" s="52" t="s">
        <v>152</v>
      </c>
      <c r="B564" s="53" t="s">
        <v>8</v>
      </c>
      <c r="C564" s="19">
        <f>SUBTOTAL(109,Program142[(C)
Program
Costs])</f>
        <v>2991752</v>
      </c>
      <c r="D564" s="19">
        <f>SUBTOTAL(109,Program142[(D)
Prior Period Adjustments])</f>
        <v>-756488</v>
      </c>
      <c r="E564" s="19">
        <f>SUBTOTAL(109,Program142[(E)
Current Period Desk 
Reviews])</f>
        <v>0</v>
      </c>
      <c r="F564" s="19">
        <f>SUBTOTAL(109,Program142[(F)
Current Period 
Final 
Audits])</f>
        <v>0</v>
      </c>
      <c r="G564" s="19">
        <f>SUBTOTAL(109,Program142[(G)
Current Period 
Other Adjustments])</f>
        <v>0</v>
      </c>
      <c r="H564" s="19">
        <f>SUBTOTAL(109,Program142[(H)
Net Program Costs
Sum (C through G)])</f>
        <v>2235264</v>
      </c>
      <c r="I564" s="19">
        <f>SUBTOTAL(109,Program142[(I)
Payments
 and Offsets])</f>
        <v>-2235264</v>
      </c>
      <c r="J564" s="19">
        <f>SUBTOTAL(109,Program142[(J)
Accounts Payable Balance
(H + I)])</f>
        <v>0</v>
      </c>
      <c r="K564" s="19">
        <f>SUBTOTAL(109,Program142[(K)
Established 
Accounts Receivable])</f>
        <v>898441</v>
      </c>
      <c r="L564" s="19">
        <f>SUBTOTAL(109,Program142[(L)
Recovered
 Accounts Receivable])</f>
        <v>-898441</v>
      </c>
      <c r="M564" s="19">
        <f>SUBTOTAL(109,Program142[(M)
Accounts Receivable Balance
(K + L)])</f>
        <v>0</v>
      </c>
      <c r="N564" s="19">
        <f>SUBTOTAL(109,Program142[(N)
Net Balance
(J minus M)])</f>
        <v>0</v>
      </c>
    </row>
    <row r="565" spans="1:14" ht="15.75" x14ac:dyDescent="0.25">
      <c r="A565" s="17" t="s">
        <v>13</v>
      </c>
      <c r="B565" s="54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</row>
    <row r="566" spans="1:14" ht="78.75" x14ac:dyDescent="0.25">
      <c r="A566" s="39" t="s">
        <v>32</v>
      </c>
      <c r="B566" s="40" t="s">
        <v>33</v>
      </c>
      <c r="C566" s="41" t="s">
        <v>34</v>
      </c>
      <c r="D566" s="41" t="s">
        <v>35</v>
      </c>
      <c r="E566" s="42" t="s">
        <v>36</v>
      </c>
      <c r="F566" s="42" t="s">
        <v>37</v>
      </c>
      <c r="G566" s="42" t="s">
        <v>38</v>
      </c>
      <c r="H566" s="43" t="s">
        <v>39</v>
      </c>
      <c r="I566" s="44" t="s">
        <v>40</v>
      </c>
      <c r="J566" s="44" t="s">
        <v>41</v>
      </c>
      <c r="K566" s="42" t="s">
        <v>42</v>
      </c>
      <c r="L566" s="44" t="s">
        <v>43</v>
      </c>
      <c r="M566" s="44" t="s">
        <v>44</v>
      </c>
      <c r="N566" s="45" t="s">
        <v>45</v>
      </c>
    </row>
    <row r="567" spans="1:14" ht="30" customHeight="1" x14ac:dyDescent="0.25">
      <c r="A567" s="67" t="s">
        <v>153</v>
      </c>
      <c r="B567" s="57" t="s">
        <v>76</v>
      </c>
      <c r="C567" s="58">
        <v>2161354</v>
      </c>
      <c r="D567" s="58">
        <v>0</v>
      </c>
      <c r="E567" s="58">
        <v>0</v>
      </c>
      <c r="F567" s="58">
        <v>0</v>
      </c>
      <c r="G567" s="58">
        <v>0</v>
      </c>
      <c r="H567" s="58">
        <v>2161354</v>
      </c>
      <c r="I567" s="58">
        <v>0</v>
      </c>
      <c r="J567" s="58">
        <v>2161354</v>
      </c>
      <c r="K567" s="58">
        <v>0</v>
      </c>
      <c r="L567" s="58">
        <v>0</v>
      </c>
      <c r="M567" s="58">
        <v>0</v>
      </c>
      <c r="N567" s="58">
        <v>2161354</v>
      </c>
    </row>
    <row r="568" spans="1:14" ht="30" customHeight="1" x14ac:dyDescent="0.25">
      <c r="A568" s="68" t="s">
        <v>153</v>
      </c>
      <c r="B568" s="60" t="s">
        <v>77</v>
      </c>
      <c r="C568" s="61">
        <v>2325565</v>
      </c>
      <c r="D568" s="61">
        <v>0</v>
      </c>
      <c r="E568" s="61">
        <v>0</v>
      </c>
      <c r="F568" s="61">
        <v>0</v>
      </c>
      <c r="G568" s="61">
        <v>-2758</v>
      </c>
      <c r="H568" s="61">
        <v>2322807</v>
      </c>
      <c r="I568" s="61">
        <v>-2297992</v>
      </c>
      <c r="J568" s="61">
        <v>24815</v>
      </c>
      <c r="K568" s="61">
        <v>0</v>
      </c>
      <c r="L568" s="61">
        <v>0</v>
      </c>
      <c r="M568" s="61">
        <v>0</v>
      </c>
      <c r="N568" s="61">
        <v>24815</v>
      </c>
    </row>
    <row r="569" spans="1:14" ht="30" customHeight="1" x14ac:dyDescent="0.25">
      <c r="A569" s="68" t="s">
        <v>153</v>
      </c>
      <c r="B569" s="60" t="s">
        <v>78</v>
      </c>
      <c r="C569" s="61">
        <v>2350602</v>
      </c>
      <c r="D569" s="61">
        <v>-2494</v>
      </c>
      <c r="E569" s="61">
        <v>0</v>
      </c>
      <c r="F569" s="61">
        <v>0</v>
      </c>
      <c r="G569" s="61">
        <v>0</v>
      </c>
      <c r="H569" s="61">
        <v>2348108</v>
      </c>
      <c r="I569" s="61">
        <v>-2348108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</row>
    <row r="570" spans="1:14" ht="30" customHeight="1" x14ac:dyDescent="0.25">
      <c r="A570" s="68" t="s">
        <v>153</v>
      </c>
      <c r="B570" s="60" t="s">
        <v>47</v>
      </c>
      <c r="C570" s="61">
        <v>3366658</v>
      </c>
      <c r="D570" s="61">
        <v>0</v>
      </c>
      <c r="E570" s="61">
        <v>0</v>
      </c>
      <c r="F570" s="61">
        <v>0</v>
      </c>
      <c r="G570" s="61">
        <v>0</v>
      </c>
      <c r="H570" s="61">
        <v>3366658</v>
      </c>
      <c r="I570" s="61">
        <v>-3366658</v>
      </c>
      <c r="J570" s="61">
        <v>0</v>
      </c>
      <c r="K570" s="61">
        <v>0</v>
      </c>
      <c r="L570" s="61">
        <v>0</v>
      </c>
      <c r="M570" s="61">
        <v>0</v>
      </c>
      <c r="N570" s="61">
        <v>0</v>
      </c>
    </row>
    <row r="571" spans="1:14" ht="30" customHeight="1" x14ac:dyDescent="0.25">
      <c r="A571" s="68" t="s">
        <v>153</v>
      </c>
      <c r="B571" s="60" t="s">
        <v>79</v>
      </c>
      <c r="C571" s="61">
        <v>2813293</v>
      </c>
      <c r="D571" s="61">
        <v>-2722</v>
      </c>
      <c r="E571" s="61">
        <v>0</v>
      </c>
      <c r="F571" s="61">
        <v>0</v>
      </c>
      <c r="G571" s="61">
        <v>0</v>
      </c>
      <c r="H571" s="61">
        <v>2810571</v>
      </c>
      <c r="I571" s="61">
        <v>-2810571</v>
      </c>
      <c r="J571" s="61">
        <v>0</v>
      </c>
      <c r="K571" s="61">
        <v>0</v>
      </c>
      <c r="L571" s="61">
        <v>0</v>
      </c>
      <c r="M571" s="61">
        <v>0</v>
      </c>
      <c r="N571" s="61">
        <v>0</v>
      </c>
    </row>
    <row r="572" spans="1:14" ht="30" customHeight="1" x14ac:dyDescent="0.25">
      <c r="A572" s="68" t="s">
        <v>153</v>
      </c>
      <c r="B572" s="60" t="s">
        <v>80</v>
      </c>
      <c r="C572" s="61">
        <v>2637676</v>
      </c>
      <c r="D572" s="61">
        <v>290771</v>
      </c>
      <c r="E572" s="61">
        <v>0</v>
      </c>
      <c r="F572" s="61">
        <v>0</v>
      </c>
      <c r="G572" s="61">
        <v>0</v>
      </c>
      <c r="H572" s="61">
        <v>2928447</v>
      </c>
      <c r="I572" s="61">
        <v>-2928447</v>
      </c>
      <c r="J572" s="61">
        <v>0</v>
      </c>
      <c r="K572" s="61">
        <v>0</v>
      </c>
      <c r="L572" s="61">
        <v>0</v>
      </c>
      <c r="M572" s="61">
        <v>0</v>
      </c>
      <c r="N572" s="61">
        <v>0</v>
      </c>
    </row>
    <row r="573" spans="1:14" ht="30" customHeight="1" x14ac:dyDescent="0.25">
      <c r="A573" s="68" t="s">
        <v>153</v>
      </c>
      <c r="B573" s="60" t="s">
        <v>81</v>
      </c>
      <c r="C573" s="61">
        <v>2070376</v>
      </c>
      <c r="D573" s="61">
        <v>-10000</v>
      </c>
      <c r="E573" s="61">
        <v>0</v>
      </c>
      <c r="F573" s="61">
        <v>0</v>
      </c>
      <c r="G573" s="61">
        <v>0</v>
      </c>
      <c r="H573" s="61">
        <v>2060376</v>
      </c>
      <c r="I573" s="61">
        <v>-2060376</v>
      </c>
      <c r="J573" s="61">
        <v>0</v>
      </c>
      <c r="K573" s="61">
        <v>0</v>
      </c>
      <c r="L573" s="61">
        <v>0</v>
      </c>
      <c r="M573" s="61">
        <v>0</v>
      </c>
      <c r="N573" s="61">
        <v>0</v>
      </c>
    </row>
    <row r="574" spans="1:14" ht="30" customHeight="1" x14ac:dyDescent="0.25">
      <c r="A574" s="68" t="s">
        <v>153</v>
      </c>
      <c r="B574" s="60" t="s">
        <v>82</v>
      </c>
      <c r="C574" s="61">
        <v>2091421</v>
      </c>
      <c r="D574" s="61">
        <v>-4704</v>
      </c>
      <c r="E574" s="61">
        <v>0</v>
      </c>
      <c r="F574" s="61">
        <v>0</v>
      </c>
      <c r="G574" s="61">
        <v>0</v>
      </c>
      <c r="H574" s="61">
        <v>2086717</v>
      </c>
      <c r="I574" s="61">
        <v>-2086717</v>
      </c>
      <c r="J574" s="61">
        <v>0</v>
      </c>
      <c r="K574" s="61">
        <v>2736</v>
      </c>
      <c r="L574" s="61">
        <v>-2736</v>
      </c>
      <c r="M574" s="61">
        <v>0</v>
      </c>
      <c r="N574" s="61">
        <v>0</v>
      </c>
    </row>
    <row r="575" spans="1:14" ht="30" customHeight="1" x14ac:dyDescent="0.25">
      <c r="A575" s="68" t="s">
        <v>153</v>
      </c>
      <c r="B575" s="60" t="s">
        <v>83</v>
      </c>
      <c r="C575" s="61">
        <v>1945160</v>
      </c>
      <c r="D575" s="61">
        <v>-29</v>
      </c>
      <c r="E575" s="61">
        <v>0</v>
      </c>
      <c r="F575" s="61">
        <v>0</v>
      </c>
      <c r="G575" s="61">
        <v>0</v>
      </c>
      <c r="H575" s="61">
        <v>1945131</v>
      </c>
      <c r="I575" s="61">
        <v>-1945131</v>
      </c>
      <c r="J575" s="61">
        <v>0</v>
      </c>
      <c r="K575" s="61">
        <v>0</v>
      </c>
      <c r="L575" s="61">
        <v>0</v>
      </c>
      <c r="M575" s="61">
        <v>0</v>
      </c>
      <c r="N575" s="61">
        <v>0</v>
      </c>
    </row>
    <row r="576" spans="1:14" ht="30" customHeight="1" x14ac:dyDescent="0.25">
      <c r="A576" s="68" t="s">
        <v>153</v>
      </c>
      <c r="B576" s="60" t="s">
        <v>48</v>
      </c>
      <c r="C576" s="61">
        <v>1999968</v>
      </c>
      <c r="D576" s="61">
        <v>-1292</v>
      </c>
      <c r="E576" s="61">
        <v>0</v>
      </c>
      <c r="F576" s="61">
        <v>0</v>
      </c>
      <c r="G576" s="61">
        <v>0</v>
      </c>
      <c r="H576" s="61">
        <v>1998676</v>
      </c>
      <c r="I576" s="61">
        <v>-1998676</v>
      </c>
      <c r="J576" s="61">
        <v>0</v>
      </c>
      <c r="K576" s="61">
        <v>0</v>
      </c>
      <c r="L576" s="61">
        <v>0</v>
      </c>
      <c r="M576" s="61">
        <v>0</v>
      </c>
      <c r="N576" s="61">
        <v>0</v>
      </c>
    </row>
    <row r="577" spans="1:14" ht="30" customHeight="1" x14ac:dyDescent="0.25">
      <c r="A577" s="68" t="s">
        <v>153</v>
      </c>
      <c r="B577" s="60" t="s">
        <v>49</v>
      </c>
      <c r="C577" s="61">
        <v>1850888</v>
      </c>
      <c r="D577" s="61">
        <v>0</v>
      </c>
      <c r="E577" s="61">
        <v>0</v>
      </c>
      <c r="F577" s="61">
        <v>0</v>
      </c>
      <c r="G577" s="61">
        <v>0</v>
      </c>
      <c r="H577" s="61">
        <v>1850888</v>
      </c>
      <c r="I577" s="61">
        <v>-1850888</v>
      </c>
      <c r="J577" s="61">
        <v>0</v>
      </c>
      <c r="K577" s="61">
        <v>0</v>
      </c>
      <c r="L577" s="61">
        <v>0</v>
      </c>
      <c r="M577" s="61">
        <v>0</v>
      </c>
      <c r="N577" s="61">
        <v>0</v>
      </c>
    </row>
    <row r="578" spans="1:14" ht="30" customHeight="1" x14ac:dyDescent="0.25">
      <c r="A578" s="68" t="s">
        <v>153</v>
      </c>
      <c r="B578" s="60" t="s">
        <v>50</v>
      </c>
      <c r="C578" s="61">
        <v>2472595</v>
      </c>
      <c r="D578" s="61">
        <v>-298328</v>
      </c>
      <c r="E578" s="61">
        <v>0</v>
      </c>
      <c r="F578" s="61">
        <v>0</v>
      </c>
      <c r="G578" s="61">
        <v>0</v>
      </c>
      <c r="H578" s="61">
        <v>2174267</v>
      </c>
      <c r="I578" s="61">
        <v>-2174267</v>
      </c>
      <c r="J578" s="61">
        <v>0</v>
      </c>
      <c r="K578" s="61">
        <v>298196</v>
      </c>
      <c r="L578" s="61">
        <v>-298196</v>
      </c>
      <c r="M578" s="61">
        <v>0</v>
      </c>
      <c r="N578" s="61">
        <v>0</v>
      </c>
    </row>
    <row r="579" spans="1:14" ht="30" customHeight="1" x14ac:dyDescent="0.25">
      <c r="A579" s="68" t="s">
        <v>153</v>
      </c>
      <c r="B579" s="60" t="s">
        <v>51</v>
      </c>
      <c r="C579" s="61">
        <v>2604974</v>
      </c>
      <c r="D579" s="61">
        <v>-121919</v>
      </c>
      <c r="E579" s="61">
        <v>0</v>
      </c>
      <c r="F579" s="61">
        <v>0</v>
      </c>
      <c r="G579" s="61">
        <v>0</v>
      </c>
      <c r="H579" s="61">
        <v>2483055</v>
      </c>
      <c r="I579" s="61">
        <v>-2483055</v>
      </c>
      <c r="J579" s="61">
        <v>0</v>
      </c>
      <c r="K579" s="61">
        <v>121703</v>
      </c>
      <c r="L579" s="61">
        <v>-121703</v>
      </c>
      <c r="M579" s="61">
        <v>0</v>
      </c>
      <c r="N579" s="61">
        <v>0</v>
      </c>
    </row>
    <row r="580" spans="1:14" ht="30" customHeight="1" x14ac:dyDescent="0.25">
      <c r="A580" s="68" t="s">
        <v>153</v>
      </c>
      <c r="B580" s="60" t="s">
        <v>52</v>
      </c>
      <c r="C580" s="61">
        <v>2758368</v>
      </c>
      <c r="D580" s="61">
        <v>-21859</v>
      </c>
      <c r="E580" s="61">
        <v>0</v>
      </c>
      <c r="F580" s="61">
        <v>0</v>
      </c>
      <c r="G580" s="61">
        <v>0</v>
      </c>
      <c r="H580" s="61">
        <v>2736509</v>
      </c>
      <c r="I580" s="61">
        <v>-2736509</v>
      </c>
      <c r="J580" s="61">
        <v>0</v>
      </c>
      <c r="K580" s="61">
        <v>87931</v>
      </c>
      <c r="L580" s="61">
        <v>-87931</v>
      </c>
      <c r="M580" s="61">
        <v>0</v>
      </c>
      <c r="N580" s="61">
        <v>0</v>
      </c>
    </row>
    <row r="581" spans="1:14" ht="30" customHeight="1" x14ac:dyDescent="0.25">
      <c r="A581" s="68" t="s">
        <v>153</v>
      </c>
      <c r="B581" s="60" t="s">
        <v>53</v>
      </c>
      <c r="C581" s="61">
        <v>2322933</v>
      </c>
      <c r="D581" s="61">
        <v>-25438</v>
      </c>
      <c r="E581" s="61">
        <v>0</v>
      </c>
      <c r="F581" s="61">
        <v>0</v>
      </c>
      <c r="G581" s="61">
        <v>0</v>
      </c>
      <c r="H581" s="61">
        <v>2297495</v>
      </c>
      <c r="I581" s="61">
        <v>-2297495</v>
      </c>
      <c r="J581" s="61">
        <v>0</v>
      </c>
      <c r="K581" s="61">
        <v>25111</v>
      </c>
      <c r="L581" s="61">
        <v>-25111</v>
      </c>
      <c r="M581" s="61">
        <v>0</v>
      </c>
      <c r="N581" s="61">
        <v>0</v>
      </c>
    </row>
    <row r="582" spans="1:14" ht="30" customHeight="1" x14ac:dyDescent="0.25">
      <c r="A582" s="68" t="s">
        <v>153</v>
      </c>
      <c r="B582" s="60" t="s">
        <v>54</v>
      </c>
      <c r="C582" s="61">
        <v>2208050</v>
      </c>
      <c r="D582" s="61">
        <v>-55099</v>
      </c>
      <c r="E582" s="61">
        <v>0</v>
      </c>
      <c r="F582" s="61">
        <v>0</v>
      </c>
      <c r="G582" s="61">
        <v>0</v>
      </c>
      <c r="H582" s="61">
        <v>2152951</v>
      </c>
      <c r="I582" s="61">
        <v>-2152951</v>
      </c>
      <c r="J582" s="61">
        <v>0</v>
      </c>
      <c r="K582" s="61">
        <v>351701</v>
      </c>
      <c r="L582" s="61">
        <v>-351701</v>
      </c>
      <c r="M582" s="61">
        <v>0</v>
      </c>
      <c r="N582" s="61">
        <v>0</v>
      </c>
    </row>
    <row r="583" spans="1:14" ht="30" customHeight="1" x14ac:dyDescent="0.25">
      <c r="A583" s="68" t="s">
        <v>153</v>
      </c>
      <c r="B583" s="60" t="s">
        <v>55</v>
      </c>
      <c r="C583" s="61">
        <v>2357015</v>
      </c>
      <c r="D583" s="61">
        <v>-195323</v>
      </c>
      <c r="E583" s="61">
        <v>0</v>
      </c>
      <c r="F583" s="61">
        <v>0</v>
      </c>
      <c r="G583" s="61">
        <v>0</v>
      </c>
      <c r="H583" s="61">
        <v>2161692</v>
      </c>
      <c r="I583" s="61">
        <v>-2161692</v>
      </c>
      <c r="J583" s="61">
        <v>0</v>
      </c>
      <c r="K583" s="61">
        <v>0</v>
      </c>
      <c r="L583" s="61">
        <v>0</v>
      </c>
      <c r="M583" s="61">
        <v>0</v>
      </c>
      <c r="N583" s="61">
        <v>0</v>
      </c>
    </row>
    <row r="584" spans="1:14" ht="30" customHeight="1" x14ac:dyDescent="0.25">
      <c r="A584" s="68" t="s">
        <v>153</v>
      </c>
      <c r="B584" s="60" t="s">
        <v>56</v>
      </c>
      <c r="C584" s="61">
        <v>2584488</v>
      </c>
      <c r="D584" s="61">
        <v>-79768</v>
      </c>
      <c r="E584" s="61">
        <v>0</v>
      </c>
      <c r="F584" s="61">
        <v>0</v>
      </c>
      <c r="G584" s="61">
        <v>0</v>
      </c>
      <c r="H584" s="61">
        <v>2504720</v>
      </c>
      <c r="I584" s="61">
        <v>-2504720</v>
      </c>
      <c r="J584" s="61">
        <v>0</v>
      </c>
      <c r="K584" s="61">
        <v>1</v>
      </c>
      <c r="L584" s="61">
        <v>-1</v>
      </c>
      <c r="M584" s="61">
        <v>0</v>
      </c>
      <c r="N584" s="61">
        <v>0</v>
      </c>
    </row>
    <row r="585" spans="1:14" ht="30" customHeight="1" x14ac:dyDescent="0.25">
      <c r="A585" s="68" t="s">
        <v>153</v>
      </c>
      <c r="B585" s="60" t="s">
        <v>57</v>
      </c>
      <c r="C585" s="61">
        <v>2732040</v>
      </c>
      <c r="D585" s="61">
        <v>-280855</v>
      </c>
      <c r="E585" s="61">
        <v>0</v>
      </c>
      <c r="F585" s="61">
        <v>0</v>
      </c>
      <c r="G585" s="61">
        <v>0</v>
      </c>
      <c r="H585" s="61">
        <v>2451185</v>
      </c>
      <c r="I585" s="61">
        <v>-2451185</v>
      </c>
      <c r="J585" s="61">
        <v>0</v>
      </c>
      <c r="K585" s="61">
        <v>48177</v>
      </c>
      <c r="L585" s="61">
        <v>-48177</v>
      </c>
      <c r="M585" s="61">
        <v>0</v>
      </c>
      <c r="N585" s="61">
        <v>0</v>
      </c>
    </row>
    <row r="586" spans="1:14" ht="30" customHeight="1" x14ac:dyDescent="0.25">
      <c r="A586" s="68" t="s">
        <v>153</v>
      </c>
      <c r="B586" s="60" t="s">
        <v>58</v>
      </c>
      <c r="C586" s="61">
        <v>2602010</v>
      </c>
      <c r="D586" s="61">
        <v>-349580</v>
      </c>
      <c r="E586" s="61">
        <v>0</v>
      </c>
      <c r="F586" s="61">
        <v>0</v>
      </c>
      <c r="G586" s="61">
        <v>0</v>
      </c>
      <c r="H586" s="61">
        <v>2252430</v>
      </c>
      <c r="I586" s="61">
        <v>-2252430</v>
      </c>
      <c r="J586" s="61">
        <v>0</v>
      </c>
      <c r="K586" s="61">
        <v>383170</v>
      </c>
      <c r="L586" s="61">
        <v>-383170</v>
      </c>
      <c r="M586" s="61">
        <v>0</v>
      </c>
      <c r="N586" s="61">
        <v>0</v>
      </c>
    </row>
    <row r="587" spans="1:14" ht="30" customHeight="1" x14ac:dyDescent="0.25">
      <c r="A587" s="68" t="s">
        <v>153</v>
      </c>
      <c r="B587" s="60" t="s">
        <v>59</v>
      </c>
      <c r="C587" s="61">
        <v>2614806</v>
      </c>
      <c r="D587" s="61">
        <v>-553769</v>
      </c>
      <c r="E587" s="61">
        <v>0</v>
      </c>
      <c r="F587" s="61">
        <v>0</v>
      </c>
      <c r="G587" s="61">
        <v>0</v>
      </c>
      <c r="H587" s="61">
        <v>2061037</v>
      </c>
      <c r="I587" s="61">
        <v>-2061037</v>
      </c>
      <c r="J587" s="61">
        <v>0</v>
      </c>
      <c r="K587" s="61">
        <v>587701</v>
      </c>
      <c r="L587" s="61">
        <v>-587701</v>
      </c>
      <c r="M587" s="61">
        <v>0</v>
      </c>
      <c r="N587" s="61">
        <v>0</v>
      </c>
    </row>
    <row r="588" spans="1:14" ht="30" customHeight="1" x14ac:dyDescent="0.25">
      <c r="A588" s="68" t="s">
        <v>153</v>
      </c>
      <c r="B588" s="60" t="s">
        <v>60</v>
      </c>
      <c r="C588" s="61">
        <v>2051096</v>
      </c>
      <c r="D588" s="61">
        <v>-190521</v>
      </c>
      <c r="E588" s="61">
        <v>0</v>
      </c>
      <c r="F588" s="61">
        <v>0</v>
      </c>
      <c r="G588" s="61">
        <v>0</v>
      </c>
      <c r="H588" s="61">
        <v>1860575</v>
      </c>
      <c r="I588" s="61">
        <v>-1860575</v>
      </c>
      <c r="J588" s="61">
        <v>0</v>
      </c>
      <c r="K588" s="61">
        <v>215643</v>
      </c>
      <c r="L588" s="61">
        <v>-215643</v>
      </c>
      <c r="M588" s="61">
        <v>0</v>
      </c>
      <c r="N588" s="61">
        <v>0</v>
      </c>
    </row>
    <row r="589" spans="1:14" ht="30" customHeight="1" x14ac:dyDescent="0.25">
      <c r="A589" s="68" t="s">
        <v>153</v>
      </c>
      <c r="B589" s="60" t="s">
        <v>61</v>
      </c>
      <c r="C589" s="61">
        <v>1539002</v>
      </c>
      <c r="D589" s="61">
        <v>-46</v>
      </c>
      <c r="E589" s="61">
        <v>0</v>
      </c>
      <c r="F589" s="61">
        <v>0</v>
      </c>
      <c r="G589" s="61">
        <v>0</v>
      </c>
      <c r="H589" s="61">
        <v>1538956</v>
      </c>
      <c r="I589" s="61">
        <v>-1538956</v>
      </c>
      <c r="J589" s="61">
        <v>0</v>
      </c>
      <c r="K589" s="61">
        <v>0</v>
      </c>
      <c r="L589" s="61">
        <v>0</v>
      </c>
      <c r="M589" s="61">
        <v>0</v>
      </c>
      <c r="N589" s="61">
        <v>0</v>
      </c>
    </row>
    <row r="590" spans="1:14" ht="30" customHeight="1" x14ac:dyDescent="0.25">
      <c r="A590" s="68" t="s">
        <v>153</v>
      </c>
      <c r="B590" s="60" t="s">
        <v>62</v>
      </c>
      <c r="C590" s="61">
        <v>873818</v>
      </c>
      <c r="D590" s="61">
        <v>22</v>
      </c>
      <c r="E590" s="61">
        <v>0</v>
      </c>
      <c r="F590" s="61">
        <v>0</v>
      </c>
      <c r="G590" s="61">
        <v>0</v>
      </c>
      <c r="H590" s="61">
        <v>873840</v>
      </c>
      <c r="I590" s="61">
        <v>-873840</v>
      </c>
      <c r="J590" s="61">
        <v>0</v>
      </c>
      <c r="K590" s="61">
        <v>0</v>
      </c>
      <c r="L590" s="61">
        <v>0</v>
      </c>
      <c r="M590" s="61">
        <v>0</v>
      </c>
      <c r="N590" s="61">
        <v>0</v>
      </c>
    </row>
    <row r="591" spans="1:14" ht="30" customHeight="1" x14ac:dyDescent="0.25">
      <c r="A591" s="68" t="s">
        <v>153</v>
      </c>
      <c r="B591" s="60" t="s">
        <v>63</v>
      </c>
      <c r="C591" s="61">
        <v>384658</v>
      </c>
      <c r="D591" s="61">
        <v>0</v>
      </c>
      <c r="E591" s="61">
        <v>0</v>
      </c>
      <c r="F591" s="61">
        <v>0</v>
      </c>
      <c r="G591" s="61">
        <v>0</v>
      </c>
      <c r="H591" s="61">
        <v>384658</v>
      </c>
      <c r="I591" s="61">
        <v>-384658</v>
      </c>
      <c r="J591" s="61">
        <v>0</v>
      </c>
      <c r="K591" s="61">
        <v>0</v>
      </c>
      <c r="L591" s="61">
        <v>0</v>
      </c>
      <c r="M591" s="61">
        <v>0</v>
      </c>
      <c r="N591" s="61">
        <v>0</v>
      </c>
    </row>
    <row r="592" spans="1:14" ht="15.75" x14ac:dyDescent="0.25">
      <c r="A592" s="52" t="s">
        <v>154</v>
      </c>
      <c r="B592" s="53" t="s">
        <v>8</v>
      </c>
      <c r="C592" s="19">
        <f>SUBTOTAL(109,Program177[(C)
Program
Costs])</f>
        <v>55718814</v>
      </c>
      <c r="D592" s="19">
        <f>SUBTOTAL(109,Program177[(D)
Prior Period Adjustments])</f>
        <v>-1902953</v>
      </c>
      <c r="E592" s="19">
        <f>SUBTOTAL(109,Program177[(E)
Current Period Desk 
Reviews])</f>
        <v>0</v>
      </c>
      <c r="F592" s="19">
        <f>SUBTOTAL(109,Program177[(F)
Current Period 
Final 
Audits])</f>
        <v>0</v>
      </c>
      <c r="G592" s="19">
        <f>SUBTOTAL(109,Program177[(G)
Current Period 
Other Adjustments])</f>
        <v>-2758</v>
      </c>
      <c r="H592" s="19">
        <f>SUBTOTAL(109,Program177[(H)
Net Program Costs
Sum (C through G)])</f>
        <v>53813103</v>
      </c>
      <c r="I592" s="19">
        <f>SUBTOTAL(109,Program177[(I)
Payments
 and Offsets])</f>
        <v>-51626934</v>
      </c>
      <c r="J592" s="19">
        <f>SUBTOTAL(109,Program177[(J)
Accounts Payable Balance
(H + I)])</f>
        <v>2186169</v>
      </c>
      <c r="K592" s="19">
        <f>SUBTOTAL(109,Program177[(K)
Established 
Accounts Receivable])</f>
        <v>2122070</v>
      </c>
      <c r="L592" s="19">
        <f>SUBTOTAL(109,Program177[(L)
Recovered
 Accounts Receivable])</f>
        <v>-2122070</v>
      </c>
      <c r="M592" s="19">
        <f>SUBTOTAL(109,Program177[(M)
Accounts Receivable Balance
(K + L)])</f>
        <v>0</v>
      </c>
      <c r="N592" s="19">
        <f>SUBTOTAL(109,Program177[(N)
Net Balance
(J minus M)])</f>
        <v>2186169</v>
      </c>
    </row>
    <row r="593" spans="1:14" ht="15.75" x14ac:dyDescent="0.25">
      <c r="A593" s="17" t="s">
        <v>13</v>
      </c>
      <c r="B593" s="54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</row>
    <row r="594" spans="1:14" ht="78.75" x14ac:dyDescent="0.25">
      <c r="A594" s="39" t="s">
        <v>32</v>
      </c>
      <c r="B594" s="40" t="s">
        <v>33</v>
      </c>
      <c r="C594" s="41" t="s">
        <v>34</v>
      </c>
      <c r="D594" s="41" t="s">
        <v>35</v>
      </c>
      <c r="E594" s="42" t="s">
        <v>36</v>
      </c>
      <c r="F594" s="42" t="s">
        <v>37</v>
      </c>
      <c r="G594" s="42" t="s">
        <v>38</v>
      </c>
      <c r="H594" s="43" t="s">
        <v>39</v>
      </c>
      <c r="I594" s="44" t="s">
        <v>40</v>
      </c>
      <c r="J594" s="44" t="s">
        <v>41</v>
      </c>
      <c r="K594" s="42" t="s">
        <v>42</v>
      </c>
      <c r="L594" s="44" t="s">
        <v>43</v>
      </c>
      <c r="M594" s="44" t="s">
        <v>44</v>
      </c>
      <c r="N594" s="45" t="s">
        <v>45</v>
      </c>
    </row>
    <row r="595" spans="1:14" ht="15.75" x14ac:dyDescent="0.25">
      <c r="A595" s="46" t="s">
        <v>155</v>
      </c>
      <c r="B595" s="47" t="s">
        <v>56</v>
      </c>
      <c r="C595" s="48">
        <v>22714</v>
      </c>
      <c r="D595" s="48">
        <v>0</v>
      </c>
      <c r="E595" s="48">
        <v>0</v>
      </c>
      <c r="F595" s="48">
        <v>0</v>
      </c>
      <c r="G595" s="48">
        <v>0</v>
      </c>
      <c r="H595" s="48">
        <v>22714</v>
      </c>
      <c r="I595" s="48">
        <v>-22714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</row>
    <row r="596" spans="1:14" ht="15.75" x14ac:dyDescent="0.25">
      <c r="A596" s="49" t="s">
        <v>155</v>
      </c>
      <c r="B596" s="50" t="s">
        <v>57</v>
      </c>
      <c r="C596" s="51">
        <v>67916</v>
      </c>
      <c r="D596" s="51">
        <v>-1275</v>
      </c>
      <c r="E596" s="51">
        <v>0</v>
      </c>
      <c r="F596" s="51">
        <v>0</v>
      </c>
      <c r="G596" s="51">
        <v>0</v>
      </c>
      <c r="H596" s="51">
        <v>66641</v>
      </c>
      <c r="I596" s="51">
        <v>-66641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</row>
    <row r="597" spans="1:14" ht="15.75" x14ac:dyDescent="0.25">
      <c r="A597" s="49" t="s">
        <v>155</v>
      </c>
      <c r="B597" s="50" t="s">
        <v>58</v>
      </c>
      <c r="C597" s="51">
        <v>142096</v>
      </c>
      <c r="D597" s="51">
        <v>-185</v>
      </c>
      <c r="E597" s="51">
        <v>0</v>
      </c>
      <c r="F597" s="51">
        <v>0</v>
      </c>
      <c r="G597" s="51">
        <v>0</v>
      </c>
      <c r="H597" s="51">
        <v>141911</v>
      </c>
      <c r="I597" s="51">
        <v>-141911</v>
      </c>
      <c r="J597" s="51">
        <v>0</v>
      </c>
      <c r="K597" s="51">
        <v>0</v>
      </c>
      <c r="L597" s="51">
        <v>0</v>
      </c>
      <c r="M597" s="51">
        <v>0</v>
      </c>
      <c r="N597" s="51">
        <v>0</v>
      </c>
    </row>
    <row r="598" spans="1:14" ht="15.75" x14ac:dyDescent="0.25">
      <c r="A598" s="49" t="s">
        <v>155</v>
      </c>
      <c r="B598" s="50" t="s">
        <v>59</v>
      </c>
      <c r="C598" s="51">
        <v>274143</v>
      </c>
      <c r="D598" s="51">
        <v>-2148</v>
      </c>
      <c r="E598" s="51">
        <v>0</v>
      </c>
      <c r="F598" s="51">
        <v>0</v>
      </c>
      <c r="G598" s="51">
        <v>0</v>
      </c>
      <c r="H598" s="51">
        <v>271995</v>
      </c>
      <c r="I598" s="51">
        <v>-271995</v>
      </c>
      <c r="J598" s="51">
        <v>0</v>
      </c>
      <c r="K598" s="51">
        <v>0</v>
      </c>
      <c r="L598" s="51">
        <v>0</v>
      </c>
      <c r="M598" s="51">
        <v>0</v>
      </c>
      <c r="N598" s="51">
        <v>0</v>
      </c>
    </row>
    <row r="599" spans="1:14" ht="15.75" x14ac:dyDescent="0.25">
      <c r="A599" s="49" t="s">
        <v>155</v>
      </c>
      <c r="B599" s="50" t="s">
        <v>60</v>
      </c>
      <c r="C599" s="51">
        <v>830171</v>
      </c>
      <c r="D599" s="51">
        <v>-3105</v>
      </c>
      <c r="E599" s="51">
        <v>0</v>
      </c>
      <c r="F599" s="51">
        <v>0</v>
      </c>
      <c r="G599" s="51">
        <v>0</v>
      </c>
      <c r="H599" s="51">
        <v>827066</v>
      </c>
      <c r="I599" s="51">
        <v>-827066</v>
      </c>
      <c r="J599" s="51">
        <v>0</v>
      </c>
      <c r="K599" s="51">
        <v>0</v>
      </c>
      <c r="L599" s="51">
        <v>0</v>
      </c>
      <c r="M599" s="51">
        <v>0</v>
      </c>
      <c r="N599" s="51">
        <v>0</v>
      </c>
    </row>
    <row r="600" spans="1:14" ht="15.75" x14ac:dyDescent="0.25">
      <c r="A600" s="49" t="s">
        <v>155</v>
      </c>
      <c r="B600" s="50" t="s">
        <v>61</v>
      </c>
      <c r="C600" s="51">
        <v>376151</v>
      </c>
      <c r="D600" s="51">
        <v>307</v>
      </c>
      <c r="E600" s="51">
        <v>0</v>
      </c>
      <c r="F600" s="51">
        <v>0</v>
      </c>
      <c r="G600" s="51">
        <v>0</v>
      </c>
      <c r="H600" s="51">
        <v>376458</v>
      </c>
      <c r="I600" s="51">
        <v>-376458</v>
      </c>
      <c r="J600" s="51">
        <v>0</v>
      </c>
      <c r="K600" s="51">
        <v>0</v>
      </c>
      <c r="L600" s="51">
        <v>0</v>
      </c>
      <c r="M600" s="51">
        <v>0</v>
      </c>
      <c r="N600" s="51">
        <v>0</v>
      </c>
    </row>
    <row r="601" spans="1:14" ht="15.75" x14ac:dyDescent="0.25">
      <c r="A601" s="52" t="s">
        <v>156</v>
      </c>
      <c r="B601" s="53" t="s">
        <v>8</v>
      </c>
      <c r="C601" s="19">
        <f>SUBTOTAL(109,Program205[(C)
Program
Costs])</f>
        <v>1713191</v>
      </c>
      <c r="D601" s="19">
        <f>SUBTOTAL(109,Program205[(D)
Prior Period Adjustments])</f>
        <v>-6406</v>
      </c>
      <c r="E601" s="19">
        <f>SUBTOTAL(109,Program205[(E)
Current Period Desk 
Reviews])</f>
        <v>0</v>
      </c>
      <c r="F601" s="19">
        <f>SUBTOTAL(109,Program205[(F)
Current Period 
Final 
Audits])</f>
        <v>0</v>
      </c>
      <c r="G601" s="19">
        <f>SUBTOTAL(109,Program205[(G)
Current Period 
Other Adjustments])</f>
        <v>0</v>
      </c>
      <c r="H601" s="19">
        <f>SUBTOTAL(109,Program205[(H)
Net Program Costs
Sum (C through G)])</f>
        <v>1706785</v>
      </c>
      <c r="I601" s="19">
        <f>SUBTOTAL(109,Program205[(I)
Payments
 and Offsets])</f>
        <v>-1706785</v>
      </c>
      <c r="J601" s="19">
        <f>SUBTOTAL(109,Program205[(J)
Accounts Payable Balance
(H + I)])</f>
        <v>0</v>
      </c>
      <c r="K601" s="19">
        <f>SUBTOTAL(109,Program205[(K)
Established 
Accounts Receivable])</f>
        <v>0</v>
      </c>
      <c r="L601" s="19">
        <f>SUBTOTAL(109,Program205[(L)
Recovered
 Accounts Receivable])</f>
        <v>0</v>
      </c>
      <c r="M601" s="19">
        <f>SUBTOTAL(109,Program205[(M)
Accounts Receivable Balance
(K + L)])</f>
        <v>0</v>
      </c>
      <c r="N601" s="19">
        <f>SUBTOTAL(109,Program205[(N)
Net Balance
(J minus M)])</f>
        <v>0</v>
      </c>
    </row>
    <row r="602" spans="1:14" ht="15.75" x14ac:dyDescent="0.25">
      <c r="A602" s="17" t="s">
        <v>13</v>
      </c>
      <c r="B602" s="54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</row>
    <row r="603" spans="1:14" ht="78.75" x14ac:dyDescent="0.25">
      <c r="A603" s="39" t="s">
        <v>32</v>
      </c>
      <c r="B603" s="40" t="s">
        <v>33</v>
      </c>
      <c r="C603" s="41" t="s">
        <v>34</v>
      </c>
      <c r="D603" s="41" t="s">
        <v>35</v>
      </c>
      <c r="E603" s="42" t="s">
        <v>36</v>
      </c>
      <c r="F603" s="42" t="s">
        <v>37</v>
      </c>
      <c r="G603" s="42" t="s">
        <v>38</v>
      </c>
      <c r="H603" s="43" t="s">
        <v>39</v>
      </c>
      <c r="I603" s="44" t="s">
        <v>40</v>
      </c>
      <c r="J603" s="44" t="s">
        <v>41</v>
      </c>
      <c r="K603" s="42" t="s">
        <v>42</v>
      </c>
      <c r="L603" s="44" t="s">
        <v>43</v>
      </c>
      <c r="M603" s="44" t="s">
        <v>44</v>
      </c>
      <c r="N603" s="45" t="s">
        <v>45</v>
      </c>
    </row>
    <row r="604" spans="1:14" ht="15.75" x14ac:dyDescent="0.25">
      <c r="A604" s="46" t="s">
        <v>157</v>
      </c>
      <c r="B604" s="47" t="s">
        <v>66</v>
      </c>
      <c r="C604" s="48">
        <v>3353</v>
      </c>
      <c r="D604" s="48">
        <v>0</v>
      </c>
      <c r="E604" s="48">
        <v>0</v>
      </c>
      <c r="F604" s="48">
        <v>0</v>
      </c>
      <c r="G604" s="48">
        <v>0</v>
      </c>
      <c r="H604" s="48">
        <v>3353</v>
      </c>
      <c r="I604" s="48">
        <v>-3353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</row>
    <row r="605" spans="1:14" ht="15.75" x14ac:dyDescent="0.25">
      <c r="A605" s="49" t="s">
        <v>157</v>
      </c>
      <c r="B605" s="50" t="s">
        <v>67</v>
      </c>
      <c r="C605" s="51">
        <v>10817</v>
      </c>
      <c r="D605" s="51">
        <v>-676</v>
      </c>
      <c r="E605" s="51">
        <v>0</v>
      </c>
      <c r="F605" s="51">
        <v>0</v>
      </c>
      <c r="G605" s="51">
        <v>0</v>
      </c>
      <c r="H605" s="51">
        <v>10141</v>
      </c>
      <c r="I605" s="51">
        <v>-10141</v>
      </c>
      <c r="J605" s="51">
        <v>0</v>
      </c>
      <c r="K605" s="51">
        <v>515</v>
      </c>
      <c r="L605" s="51">
        <v>-515</v>
      </c>
      <c r="M605" s="51">
        <v>0</v>
      </c>
      <c r="N605" s="51">
        <v>0</v>
      </c>
    </row>
    <row r="606" spans="1:14" ht="15.75" x14ac:dyDescent="0.25">
      <c r="A606" s="52" t="s">
        <v>158</v>
      </c>
      <c r="B606" s="53" t="s">
        <v>8</v>
      </c>
      <c r="C606" s="19">
        <f>SUBTOTAL(109,Program017[(C)
Program
Costs])</f>
        <v>14170</v>
      </c>
      <c r="D606" s="19">
        <f>SUBTOTAL(109,Program017[(D)
Prior Period Adjustments])</f>
        <v>-676</v>
      </c>
      <c r="E606" s="19">
        <f>SUBTOTAL(109,Program017[(E)
Current Period Desk 
Reviews])</f>
        <v>0</v>
      </c>
      <c r="F606" s="19">
        <f>SUBTOTAL(109,Program017[(F)
Current Period 
Final 
Audits])</f>
        <v>0</v>
      </c>
      <c r="G606" s="19">
        <f>SUBTOTAL(109,Program017[(G)
Current Period 
Other Adjustments])</f>
        <v>0</v>
      </c>
      <c r="H606" s="19">
        <f>SUBTOTAL(109,Program017[(H)
Net Program Costs
Sum (C through G)])</f>
        <v>13494</v>
      </c>
      <c r="I606" s="19">
        <f>SUBTOTAL(109,Program017[(I)
Payments
 and Offsets])</f>
        <v>-13494</v>
      </c>
      <c r="J606" s="19">
        <f>SUBTOTAL(109,Program017[(J)
Accounts Payable Balance
(H + I)])</f>
        <v>0</v>
      </c>
      <c r="K606" s="19">
        <f>SUBTOTAL(109,Program017[(K)
Established 
Accounts Receivable])</f>
        <v>515</v>
      </c>
      <c r="L606" s="19">
        <f>SUBTOTAL(109,Program017[(L)
Recovered
 Accounts Receivable])</f>
        <v>-515</v>
      </c>
      <c r="M606" s="19">
        <f>SUBTOTAL(109,Program017[(M)
Accounts Receivable Balance
(K + L)])</f>
        <v>0</v>
      </c>
      <c r="N606" s="19">
        <f>SUBTOTAL(109,Program017[(N)
Net Balance
(J minus M)])</f>
        <v>0</v>
      </c>
    </row>
    <row r="607" spans="1:14" ht="15.75" x14ac:dyDescent="0.25">
      <c r="A607" s="17" t="s">
        <v>13</v>
      </c>
      <c r="B607" s="54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</row>
    <row r="608" spans="1:14" ht="78.75" x14ac:dyDescent="0.25">
      <c r="A608" s="39" t="s">
        <v>32</v>
      </c>
      <c r="B608" s="40" t="s">
        <v>33</v>
      </c>
      <c r="C608" s="41" t="s">
        <v>34</v>
      </c>
      <c r="D608" s="41" t="s">
        <v>35</v>
      </c>
      <c r="E608" s="42" t="s">
        <v>36</v>
      </c>
      <c r="F608" s="42" t="s">
        <v>37</v>
      </c>
      <c r="G608" s="42" t="s">
        <v>38</v>
      </c>
      <c r="H608" s="43" t="s">
        <v>39</v>
      </c>
      <c r="I608" s="44" t="s">
        <v>40</v>
      </c>
      <c r="J608" s="44" t="s">
        <v>41</v>
      </c>
      <c r="K608" s="42" t="s">
        <v>42</v>
      </c>
      <c r="L608" s="44" t="s">
        <v>43</v>
      </c>
      <c r="M608" s="44" t="s">
        <v>44</v>
      </c>
      <c r="N608" s="45" t="s">
        <v>45</v>
      </c>
    </row>
    <row r="609" spans="1:14" ht="15.75" x14ac:dyDescent="0.25">
      <c r="A609" s="46" t="s">
        <v>159</v>
      </c>
      <c r="B609" s="47" t="s">
        <v>56</v>
      </c>
      <c r="C609" s="48">
        <v>79326</v>
      </c>
      <c r="D609" s="48">
        <v>0</v>
      </c>
      <c r="E609" s="48">
        <v>0</v>
      </c>
      <c r="F609" s="48">
        <v>0</v>
      </c>
      <c r="G609" s="48">
        <v>0</v>
      </c>
      <c r="H609" s="48">
        <v>79326</v>
      </c>
      <c r="I609" s="48">
        <v>-79326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</row>
    <row r="610" spans="1:14" ht="15.75" x14ac:dyDescent="0.25">
      <c r="A610" s="49" t="s">
        <v>159</v>
      </c>
      <c r="B610" s="50" t="s">
        <v>57</v>
      </c>
      <c r="C610" s="51">
        <v>109909</v>
      </c>
      <c r="D610" s="51">
        <v>-2822</v>
      </c>
      <c r="E610" s="51">
        <v>0</v>
      </c>
      <c r="F610" s="51">
        <v>0</v>
      </c>
      <c r="G610" s="51">
        <v>0</v>
      </c>
      <c r="H610" s="51">
        <v>107087</v>
      </c>
      <c r="I610" s="51">
        <v>-107087</v>
      </c>
      <c r="J610" s="51">
        <v>0</v>
      </c>
      <c r="K610" s="51">
        <v>0</v>
      </c>
      <c r="L610" s="51">
        <v>0</v>
      </c>
      <c r="M610" s="51">
        <v>0</v>
      </c>
      <c r="N610" s="51">
        <v>0</v>
      </c>
    </row>
    <row r="611" spans="1:14" ht="15.75" x14ac:dyDescent="0.25">
      <c r="A611" s="49" t="s">
        <v>159</v>
      </c>
      <c r="B611" s="50" t="s">
        <v>58</v>
      </c>
      <c r="C611" s="51">
        <v>42351</v>
      </c>
      <c r="D611" s="51">
        <v>-1000</v>
      </c>
      <c r="E611" s="51">
        <v>0</v>
      </c>
      <c r="F611" s="51">
        <v>0</v>
      </c>
      <c r="G611" s="51">
        <v>0</v>
      </c>
      <c r="H611" s="51">
        <v>41351</v>
      </c>
      <c r="I611" s="51">
        <v>-41351</v>
      </c>
      <c r="J611" s="51">
        <v>0</v>
      </c>
      <c r="K611" s="51">
        <v>0</v>
      </c>
      <c r="L611" s="51">
        <v>0</v>
      </c>
      <c r="M611" s="51">
        <v>0</v>
      </c>
      <c r="N611" s="51">
        <v>0</v>
      </c>
    </row>
    <row r="612" spans="1:14" ht="15.75" x14ac:dyDescent="0.25">
      <c r="A612" s="49" t="s">
        <v>159</v>
      </c>
      <c r="B612" s="50" t="s">
        <v>59</v>
      </c>
      <c r="C612" s="51">
        <v>99324</v>
      </c>
      <c r="D612" s="51">
        <v>-13</v>
      </c>
      <c r="E612" s="51">
        <v>0</v>
      </c>
      <c r="F612" s="51">
        <v>0</v>
      </c>
      <c r="G612" s="51">
        <v>0</v>
      </c>
      <c r="H612" s="51">
        <v>99311</v>
      </c>
      <c r="I612" s="51">
        <v>-99311</v>
      </c>
      <c r="J612" s="51">
        <v>0</v>
      </c>
      <c r="K612" s="51">
        <v>0</v>
      </c>
      <c r="L612" s="51">
        <v>0</v>
      </c>
      <c r="M612" s="51">
        <v>0</v>
      </c>
      <c r="N612" s="51">
        <v>0</v>
      </c>
    </row>
    <row r="613" spans="1:14" ht="15.75" x14ac:dyDescent="0.25">
      <c r="A613" s="49" t="s">
        <v>159</v>
      </c>
      <c r="B613" s="50" t="s">
        <v>60</v>
      </c>
      <c r="C613" s="51">
        <v>135440</v>
      </c>
      <c r="D613" s="51">
        <v>-1000</v>
      </c>
      <c r="E613" s="51">
        <v>0</v>
      </c>
      <c r="F613" s="51">
        <v>0</v>
      </c>
      <c r="G613" s="51">
        <v>0</v>
      </c>
      <c r="H613" s="51">
        <v>134440</v>
      </c>
      <c r="I613" s="51">
        <v>-134440</v>
      </c>
      <c r="J613" s="51">
        <v>0</v>
      </c>
      <c r="K613" s="51">
        <v>0</v>
      </c>
      <c r="L613" s="51">
        <v>0</v>
      </c>
      <c r="M613" s="51">
        <v>0</v>
      </c>
      <c r="N613" s="51">
        <v>0</v>
      </c>
    </row>
    <row r="614" spans="1:14" ht="15.75" x14ac:dyDescent="0.25">
      <c r="A614" s="49" t="s">
        <v>159</v>
      </c>
      <c r="B614" s="50" t="s">
        <v>61</v>
      </c>
      <c r="C614" s="51">
        <v>19681</v>
      </c>
      <c r="D614" s="51">
        <v>0</v>
      </c>
      <c r="E614" s="51">
        <v>0</v>
      </c>
      <c r="F614" s="51">
        <v>0</v>
      </c>
      <c r="G614" s="51">
        <v>0</v>
      </c>
      <c r="H614" s="51">
        <v>19681</v>
      </c>
      <c r="I614" s="51">
        <v>-19681</v>
      </c>
      <c r="J614" s="51">
        <v>0</v>
      </c>
      <c r="K614" s="51">
        <v>0</v>
      </c>
      <c r="L614" s="51">
        <v>0</v>
      </c>
      <c r="M614" s="51">
        <v>0</v>
      </c>
      <c r="N614" s="51">
        <v>0</v>
      </c>
    </row>
    <row r="615" spans="1:14" ht="15.75" x14ac:dyDescent="0.25">
      <c r="A615" s="52" t="s">
        <v>160</v>
      </c>
      <c r="B615" s="53" t="s">
        <v>8</v>
      </c>
      <c r="C615" s="19">
        <f>SUBTOTAL(109,Program204[(C)
Program
Costs])</f>
        <v>486031</v>
      </c>
      <c r="D615" s="19">
        <f>SUBTOTAL(109,Program204[(D)
Prior Period Adjustments])</f>
        <v>-4835</v>
      </c>
      <c r="E615" s="19">
        <f>SUBTOTAL(109,Program204[(E)
Current Period Desk 
Reviews])</f>
        <v>0</v>
      </c>
      <c r="F615" s="19">
        <f>SUBTOTAL(109,Program204[(F)
Current Period 
Final 
Audits])</f>
        <v>0</v>
      </c>
      <c r="G615" s="19">
        <f>SUBTOTAL(109,Program204[(G)
Current Period 
Other Adjustments])</f>
        <v>0</v>
      </c>
      <c r="H615" s="19">
        <f>SUBTOTAL(109,Program204[(H)
Net Program Costs
Sum (C through G)])</f>
        <v>481196</v>
      </c>
      <c r="I615" s="19">
        <f>SUBTOTAL(109,Program204[(I)
Payments
 and Offsets])</f>
        <v>-481196</v>
      </c>
      <c r="J615" s="19">
        <f>SUBTOTAL(109,Program204[(J)
Accounts Payable Balance
(H + I)])</f>
        <v>0</v>
      </c>
      <c r="K615" s="19">
        <f>SUBTOTAL(109,Program204[(K)
Established 
Accounts Receivable])</f>
        <v>0</v>
      </c>
      <c r="L615" s="19">
        <f>SUBTOTAL(109,Program204[(L)
Recovered
 Accounts Receivable])</f>
        <v>0</v>
      </c>
      <c r="M615" s="19">
        <f>SUBTOTAL(109,Program204[(M)
Accounts Receivable Balance
(K + L)])</f>
        <v>0</v>
      </c>
      <c r="N615" s="19">
        <f>SUBTOTAL(109,Program204[(N)
Net Balance
(J minus M)])</f>
        <v>0</v>
      </c>
    </row>
    <row r="616" spans="1:14" ht="15.75" x14ac:dyDescent="0.25">
      <c r="A616" s="17" t="s">
        <v>13</v>
      </c>
      <c r="B616" s="54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</row>
    <row r="617" spans="1:14" ht="78.75" x14ac:dyDescent="0.25">
      <c r="A617" s="39" t="s">
        <v>32</v>
      </c>
      <c r="B617" s="40" t="s">
        <v>33</v>
      </c>
      <c r="C617" s="41" t="s">
        <v>34</v>
      </c>
      <c r="D617" s="41" t="s">
        <v>35</v>
      </c>
      <c r="E617" s="42" t="s">
        <v>36</v>
      </c>
      <c r="F617" s="42" t="s">
        <v>37</v>
      </c>
      <c r="G617" s="42" t="s">
        <v>38</v>
      </c>
      <c r="H617" s="43" t="s">
        <v>39</v>
      </c>
      <c r="I617" s="44" t="s">
        <v>40</v>
      </c>
      <c r="J617" s="44" t="s">
        <v>41</v>
      </c>
      <c r="K617" s="42" t="s">
        <v>42</v>
      </c>
      <c r="L617" s="44" t="s">
        <v>43</v>
      </c>
      <c r="M617" s="44" t="s">
        <v>44</v>
      </c>
      <c r="N617" s="45" t="s">
        <v>45</v>
      </c>
    </row>
    <row r="618" spans="1:14" ht="15.75" x14ac:dyDescent="0.25">
      <c r="A618" s="46" t="s">
        <v>161</v>
      </c>
      <c r="B618" s="47" t="s">
        <v>50</v>
      </c>
      <c r="C618" s="48">
        <v>4297</v>
      </c>
      <c r="D618" s="48">
        <v>0</v>
      </c>
      <c r="E618" s="48">
        <v>0</v>
      </c>
      <c r="F618" s="48">
        <v>0</v>
      </c>
      <c r="G618" s="48">
        <v>0</v>
      </c>
      <c r="H618" s="48">
        <v>4297</v>
      </c>
      <c r="I618" s="48">
        <v>0</v>
      </c>
      <c r="J618" s="48">
        <v>4297</v>
      </c>
      <c r="K618" s="48">
        <v>0</v>
      </c>
      <c r="L618" s="48">
        <v>0</v>
      </c>
      <c r="M618" s="48">
        <v>0</v>
      </c>
      <c r="N618" s="48">
        <v>4297</v>
      </c>
    </row>
    <row r="619" spans="1:14" ht="15.75" x14ac:dyDescent="0.25">
      <c r="A619" s="49" t="s">
        <v>161</v>
      </c>
      <c r="B619" s="50" t="s">
        <v>51</v>
      </c>
      <c r="C619" s="51">
        <v>5788</v>
      </c>
      <c r="D619" s="51">
        <v>0</v>
      </c>
      <c r="E619" s="51">
        <v>0</v>
      </c>
      <c r="F619" s="51">
        <v>0</v>
      </c>
      <c r="G619" s="51">
        <v>0</v>
      </c>
      <c r="H619" s="51">
        <v>5788</v>
      </c>
      <c r="I619" s="51">
        <v>0</v>
      </c>
      <c r="J619" s="51">
        <v>5788</v>
      </c>
      <c r="K619" s="51">
        <v>0</v>
      </c>
      <c r="L619" s="51">
        <v>0</v>
      </c>
      <c r="M619" s="51">
        <v>0</v>
      </c>
      <c r="N619" s="51">
        <v>5788</v>
      </c>
    </row>
    <row r="620" spans="1:14" ht="15.75" x14ac:dyDescent="0.25">
      <c r="A620" s="49" t="s">
        <v>161</v>
      </c>
      <c r="B620" s="50" t="s">
        <v>52</v>
      </c>
      <c r="C620" s="51">
        <v>6648</v>
      </c>
      <c r="D620" s="51">
        <v>0</v>
      </c>
      <c r="E620" s="51">
        <v>0</v>
      </c>
      <c r="F620" s="51">
        <v>0</v>
      </c>
      <c r="G620" s="51">
        <v>0</v>
      </c>
      <c r="H620" s="51">
        <v>6648</v>
      </c>
      <c r="I620" s="51">
        <v>-6648</v>
      </c>
      <c r="J620" s="51">
        <v>0</v>
      </c>
      <c r="K620" s="51">
        <v>1371</v>
      </c>
      <c r="L620" s="51">
        <v>-1371</v>
      </c>
      <c r="M620" s="51">
        <v>0</v>
      </c>
      <c r="N620" s="51">
        <v>0</v>
      </c>
    </row>
    <row r="621" spans="1:14" ht="15.75" x14ac:dyDescent="0.25">
      <c r="A621" s="49" t="s">
        <v>161</v>
      </c>
      <c r="B621" s="50" t="s">
        <v>53</v>
      </c>
      <c r="C621" s="51">
        <v>15159</v>
      </c>
      <c r="D621" s="51">
        <v>0</v>
      </c>
      <c r="E621" s="51">
        <v>0</v>
      </c>
      <c r="F621" s="51">
        <v>0</v>
      </c>
      <c r="G621" s="51">
        <v>0</v>
      </c>
      <c r="H621" s="51">
        <v>15159</v>
      </c>
      <c r="I621" s="51">
        <v>-15159</v>
      </c>
      <c r="J621" s="51">
        <v>0</v>
      </c>
      <c r="K621" s="51">
        <v>0</v>
      </c>
      <c r="L621" s="51">
        <v>0</v>
      </c>
      <c r="M621" s="51">
        <v>0</v>
      </c>
      <c r="N621" s="51">
        <v>0</v>
      </c>
    </row>
    <row r="622" spans="1:14" ht="15.75" x14ac:dyDescent="0.25">
      <c r="A622" s="49" t="s">
        <v>161</v>
      </c>
      <c r="B622" s="50" t="s">
        <v>54</v>
      </c>
      <c r="C622" s="51">
        <v>20132</v>
      </c>
      <c r="D622" s="51">
        <v>-657</v>
      </c>
      <c r="E622" s="51">
        <v>0</v>
      </c>
      <c r="F622" s="51">
        <v>0</v>
      </c>
      <c r="G622" s="51">
        <v>0</v>
      </c>
      <c r="H622" s="51">
        <v>19475</v>
      </c>
      <c r="I622" s="51">
        <v>-19475</v>
      </c>
      <c r="J622" s="51">
        <v>0</v>
      </c>
      <c r="K622" s="51">
        <v>0</v>
      </c>
      <c r="L622" s="51">
        <v>0</v>
      </c>
      <c r="M622" s="51">
        <v>0</v>
      </c>
      <c r="N622" s="51">
        <v>0</v>
      </c>
    </row>
    <row r="623" spans="1:14" ht="15.75" x14ac:dyDescent="0.25">
      <c r="A623" s="49" t="s">
        <v>161</v>
      </c>
      <c r="B623" s="50" t="s">
        <v>55</v>
      </c>
      <c r="C623" s="51">
        <v>11175</v>
      </c>
      <c r="D623" s="51">
        <v>0</v>
      </c>
      <c r="E623" s="51">
        <v>0</v>
      </c>
      <c r="F623" s="51">
        <v>0</v>
      </c>
      <c r="G623" s="51">
        <v>0</v>
      </c>
      <c r="H623" s="51">
        <v>11175</v>
      </c>
      <c r="I623" s="51">
        <v>-11175</v>
      </c>
      <c r="J623" s="51">
        <v>0</v>
      </c>
      <c r="K623" s="51">
        <v>0</v>
      </c>
      <c r="L623" s="51">
        <v>0</v>
      </c>
      <c r="M623" s="51">
        <v>0</v>
      </c>
      <c r="N623" s="51">
        <v>0</v>
      </c>
    </row>
    <row r="624" spans="1:14" ht="15.75" x14ac:dyDescent="0.25">
      <c r="A624" s="49" t="s">
        <v>161</v>
      </c>
      <c r="B624" s="50" t="s">
        <v>56</v>
      </c>
      <c r="C624" s="51">
        <v>13341</v>
      </c>
      <c r="D624" s="51">
        <v>0</v>
      </c>
      <c r="E624" s="51">
        <v>0</v>
      </c>
      <c r="F624" s="51">
        <v>0</v>
      </c>
      <c r="G624" s="51">
        <v>0</v>
      </c>
      <c r="H624" s="51">
        <v>13341</v>
      </c>
      <c r="I624" s="51">
        <v>-13341</v>
      </c>
      <c r="J624" s="51">
        <v>0</v>
      </c>
      <c r="K624" s="51">
        <v>0</v>
      </c>
      <c r="L624" s="51">
        <v>0</v>
      </c>
      <c r="M624" s="51">
        <v>0</v>
      </c>
      <c r="N624" s="51">
        <v>0</v>
      </c>
    </row>
    <row r="625" spans="1:14" ht="15.75" x14ac:dyDescent="0.25">
      <c r="A625" s="49" t="s">
        <v>161</v>
      </c>
      <c r="B625" s="50" t="s">
        <v>57</v>
      </c>
      <c r="C625" s="51">
        <v>15254</v>
      </c>
      <c r="D625" s="51">
        <v>0</v>
      </c>
      <c r="E625" s="51">
        <v>0</v>
      </c>
      <c r="F625" s="51">
        <v>0</v>
      </c>
      <c r="G625" s="51">
        <v>0</v>
      </c>
      <c r="H625" s="51">
        <v>15254</v>
      </c>
      <c r="I625" s="51">
        <v>-15254</v>
      </c>
      <c r="J625" s="51">
        <v>0</v>
      </c>
      <c r="K625" s="51">
        <v>0</v>
      </c>
      <c r="L625" s="51">
        <v>0</v>
      </c>
      <c r="M625" s="51">
        <v>0</v>
      </c>
      <c r="N625" s="51">
        <v>0</v>
      </c>
    </row>
    <row r="626" spans="1:14" ht="15.75" x14ac:dyDescent="0.25">
      <c r="A626" s="49" t="s">
        <v>161</v>
      </c>
      <c r="B626" s="50" t="s">
        <v>58</v>
      </c>
      <c r="C626" s="51">
        <v>16797</v>
      </c>
      <c r="D626" s="51">
        <v>0</v>
      </c>
      <c r="E626" s="51">
        <v>0</v>
      </c>
      <c r="F626" s="51">
        <v>0</v>
      </c>
      <c r="G626" s="51">
        <v>0</v>
      </c>
      <c r="H626" s="51">
        <v>16797</v>
      </c>
      <c r="I626" s="51">
        <v>-16797</v>
      </c>
      <c r="J626" s="51">
        <v>0</v>
      </c>
      <c r="K626" s="51">
        <v>0</v>
      </c>
      <c r="L626" s="51">
        <v>0</v>
      </c>
      <c r="M626" s="51">
        <v>0</v>
      </c>
      <c r="N626" s="51">
        <v>0</v>
      </c>
    </row>
    <row r="627" spans="1:14" ht="15.75" x14ac:dyDescent="0.25">
      <c r="A627" s="49" t="s">
        <v>161</v>
      </c>
      <c r="B627" s="50" t="s">
        <v>59</v>
      </c>
      <c r="C627" s="51">
        <v>16787</v>
      </c>
      <c r="D627" s="51">
        <v>0</v>
      </c>
      <c r="E627" s="51">
        <v>0</v>
      </c>
      <c r="F627" s="51">
        <v>0</v>
      </c>
      <c r="G627" s="51">
        <v>0</v>
      </c>
      <c r="H627" s="51">
        <v>16787</v>
      </c>
      <c r="I627" s="51">
        <v>-16787</v>
      </c>
      <c r="J627" s="51">
        <v>0</v>
      </c>
      <c r="K627" s="51">
        <v>0</v>
      </c>
      <c r="L627" s="51">
        <v>0</v>
      </c>
      <c r="M627" s="51">
        <v>0</v>
      </c>
      <c r="N627" s="51">
        <v>0</v>
      </c>
    </row>
    <row r="628" spans="1:14" ht="15.75" x14ac:dyDescent="0.25">
      <c r="A628" s="52" t="s">
        <v>162</v>
      </c>
      <c r="B628" s="53" t="s">
        <v>8</v>
      </c>
      <c r="C628" s="19">
        <f>SUBTOTAL(109,Program257[(C)
Program
Costs])</f>
        <v>125378</v>
      </c>
      <c r="D628" s="19">
        <f>SUBTOTAL(109,Program257[(D)
Prior Period Adjustments])</f>
        <v>-657</v>
      </c>
      <c r="E628" s="19">
        <f>SUBTOTAL(109,Program257[(E)
Current Period Desk 
Reviews])</f>
        <v>0</v>
      </c>
      <c r="F628" s="19">
        <f>SUBTOTAL(109,Program257[(F)
Current Period 
Final 
Audits])</f>
        <v>0</v>
      </c>
      <c r="G628" s="19">
        <f>SUBTOTAL(109,Program257[(G)
Current Period 
Other Adjustments])</f>
        <v>0</v>
      </c>
      <c r="H628" s="19">
        <f>SUBTOTAL(109,Program257[(H)
Net Program Costs
Sum (C through G)])</f>
        <v>124721</v>
      </c>
      <c r="I628" s="19">
        <f>SUBTOTAL(109,Program257[(I)
Payments
 and Offsets])</f>
        <v>-114636</v>
      </c>
      <c r="J628" s="19">
        <f>SUBTOTAL(109,Program257[(J)
Accounts Payable Balance
(H + I)])</f>
        <v>10085</v>
      </c>
      <c r="K628" s="19">
        <f>SUBTOTAL(109,Program257[(K)
Established 
Accounts Receivable])</f>
        <v>1371</v>
      </c>
      <c r="L628" s="19">
        <f>SUBTOTAL(109,Program257[(L)
Recovered
 Accounts Receivable])</f>
        <v>-1371</v>
      </c>
      <c r="M628" s="19">
        <f>SUBTOTAL(109,Program257[(M)
Accounts Receivable Balance
(K + L)])</f>
        <v>0</v>
      </c>
      <c r="N628" s="19">
        <f>SUBTOTAL(109,Program257[(N)
Net Balance
(J minus M)])</f>
        <v>10085</v>
      </c>
    </row>
    <row r="629" spans="1:14" ht="15.75" x14ac:dyDescent="0.25">
      <c r="A629" s="17" t="s">
        <v>13</v>
      </c>
      <c r="B629" s="54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</row>
    <row r="630" spans="1:14" ht="78.75" x14ac:dyDescent="0.25">
      <c r="A630" s="39" t="s">
        <v>32</v>
      </c>
      <c r="B630" s="40" t="s">
        <v>33</v>
      </c>
      <c r="C630" s="41" t="s">
        <v>34</v>
      </c>
      <c r="D630" s="41" t="s">
        <v>35</v>
      </c>
      <c r="E630" s="42" t="s">
        <v>36</v>
      </c>
      <c r="F630" s="42" t="s">
        <v>37</v>
      </c>
      <c r="G630" s="42" t="s">
        <v>38</v>
      </c>
      <c r="H630" s="43" t="s">
        <v>39</v>
      </c>
      <c r="I630" s="44" t="s">
        <v>40</v>
      </c>
      <c r="J630" s="44" t="s">
        <v>41</v>
      </c>
      <c r="K630" s="42" t="s">
        <v>42</v>
      </c>
      <c r="L630" s="44" t="s">
        <v>43</v>
      </c>
      <c r="M630" s="44" t="s">
        <v>44</v>
      </c>
      <c r="N630" s="45" t="s">
        <v>45</v>
      </c>
    </row>
    <row r="631" spans="1:14" ht="15.75" x14ac:dyDescent="0.25">
      <c r="A631" s="46" t="s">
        <v>163</v>
      </c>
      <c r="B631" s="47" t="s">
        <v>51</v>
      </c>
      <c r="C631" s="48">
        <v>3493</v>
      </c>
      <c r="D631" s="48">
        <v>-3493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</row>
    <row r="632" spans="1:14" ht="15.75" x14ac:dyDescent="0.25">
      <c r="A632" s="52" t="s">
        <v>164</v>
      </c>
      <c r="B632" s="53" t="s">
        <v>8</v>
      </c>
      <c r="C632" s="19">
        <f>SUBTOTAL(109,Program290[(C)
Program
Costs])</f>
        <v>3493</v>
      </c>
      <c r="D632" s="19">
        <f>SUBTOTAL(109,Program290[(D)
Prior Period Adjustments])</f>
        <v>-3493</v>
      </c>
      <c r="E632" s="19">
        <f>SUBTOTAL(109,Program290[(E)
Current Period Desk 
Reviews])</f>
        <v>0</v>
      </c>
      <c r="F632" s="19">
        <f>SUBTOTAL(109,Program290[(F)
Current Period 
Final 
Audits])</f>
        <v>0</v>
      </c>
      <c r="G632" s="19">
        <f>SUBTOTAL(109,Program290[(G)
Current Period 
Other Adjustments])</f>
        <v>0</v>
      </c>
      <c r="H632" s="19">
        <f>SUBTOTAL(109,Program290[(H)
Net Program Costs
Sum (C through G)])</f>
        <v>0</v>
      </c>
      <c r="I632" s="19">
        <f>SUBTOTAL(109,Program290[(I)
Payments
 and Offsets])</f>
        <v>0</v>
      </c>
      <c r="J632" s="19">
        <f>SUBTOTAL(109,Program290[(J)
Accounts Payable Balance
(H + I)])</f>
        <v>0</v>
      </c>
      <c r="K632" s="19">
        <f>SUBTOTAL(109,Program290[(K)
Established 
Accounts Receivable])</f>
        <v>0</v>
      </c>
      <c r="L632" s="19">
        <f>SUBTOTAL(109,Program290[(L)
Recovered
 Accounts Receivable])</f>
        <v>0</v>
      </c>
      <c r="M632" s="19">
        <f>SUBTOTAL(109,Program290[(M)
Accounts Receivable Balance
(K + L)])</f>
        <v>0</v>
      </c>
      <c r="N632" s="19">
        <f>SUBTOTAL(109,Program290[(N)
Net Balance
(J minus M)])</f>
        <v>0</v>
      </c>
    </row>
    <row r="633" spans="1:14" ht="15.75" x14ac:dyDescent="0.25">
      <c r="A633" s="17" t="s">
        <v>13</v>
      </c>
      <c r="B633" s="54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</row>
    <row r="634" spans="1:14" ht="78.75" x14ac:dyDescent="0.25">
      <c r="A634" s="39" t="s">
        <v>32</v>
      </c>
      <c r="B634" s="40" t="s">
        <v>33</v>
      </c>
      <c r="C634" s="41" t="s">
        <v>34</v>
      </c>
      <c r="D634" s="41" t="s">
        <v>35</v>
      </c>
      <c r="E634" s="42" t="s">
        <v>36</v>
      </c>
      <c r="F634" s="42" t="s">
        <v>37</v>
      </c>
      <c r="G634" s="42" t="s">
        <v>38</v>
      </c>
      <c r="H634" s="43" t="s">
        <v>39</v>
      </c>
      <c r="I634" s="44" t="s">
        <v>40</v>
      </c>
      <c r="J634" s="44" t="s">
        <v>41</v>
      </c>
      <c r="K634" s="42" t="s">
        <v>42</v>
      </c>
      <c r="L634" s="44" t="s">
        <v>43</v>
      </c>
      <c r="M634" s="44" t="s">
        <v>44</v>
      </c>
      <c r="N634" s="45" t="s">
        <v>45</v>
      </c>
    </row>
    <row r="635" spans="1:14" ht="15.75" x14ac:dyDescent="0.25">
      <c r="A635" s="46" t="s">
        <v>165</v>
      </c>
      <c r="B635" s="47" t="s">
        <v>66</v>
      </c>
      <c r="C635" s="48">
        <v>810</v>
      </c>
      <c r="D635" s="48">
        <v>0</v>
      </c>
      <c r="E635" s="48">
        <v>0</v>
      </c>
      <c r="F635" s="48">
        <v>0</v>
      </c>
      <c r="G635" s="48">
        <v>0</v>
      </c>
      <c r="H635" s="48">
        <v>810</v>
      </c>
      <c r="I635" s="48">
        <v>-810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</row>
    <row r="636" spans="1:14" ht="15.75" x14ac:dyDescent="0.25">
      <c r="A636" s="49" t="s">
        <v>165</v>
      </c>
      <c r="B636" s="50" t="s">
        <v>67</v>
      </c>
      <c r="C636" s="51">
        <v>4821</v>
      </c>
      <c r="D636" s="51">
        <v>0</v>
      </c>
      <c r="E636" s="51">
        <v>0</v>
      </c>
      <c r="F636" s="51">
        <v>0</v>
      </c>
      <c r="G636" s="51">
        <v>0</v>
      </c>
      <c r="H636" s="51">
        <v>4821</v>
      </c>
      <c r="I636" s="51">
        <v>-4821</v>
      </c>
      <c r="J636" s="51">
        <v>0</v>
      </c>
      <c r="K636" s="51">
        <v>0</v>
      </c>
      <c r="L636" s="51">
        <v>0</v>
      </c>
      <c r="M636" s="51">
        <v>0</v>
      </c>
      <c r="N636" s="51">
        <v>0</v>
      </c>
    </row>
    <row r="637" spans="1:14" ht="15.75" x14ac:dyDescent="0.25">
      <c r="A637" s="52" t="s">
        <v>166</v>
      </c>
      <c r="B637" s="53" t="s">
        <v>8</v>
      </c>
      <c r="C637" s="19">
        <f>SUBTOTAL(109,Program021[(C)
Program
Costs])</f>
        <v>5631</v>
      </c>
      <c r="D637" s="19">
        <f>SUBTOTAL(109,Program021[(D)
Prior Period Adjustments])</f>
        <v>0</v>
      </c>
      <c r="E637" s="19">
        <f>SUBTOTAL(109,Program021[(E)
Current Period Desk 
Reviews])</f>
        <v>0</v>
      </c>
      <c r="F637" s="19">
        <f>SUBTOTAL(109,Program021[(F)
Current Period 
Final 
Audits])</f>
        <v>0</v>
      </c>
      <c r="G637" s="19">
        <f>SUBTOTAL(109,Program021[(G)
Current Period 
Other Adjustments])</f>
        <v>0</v>
      </c>
      <c r="H637" s="19">
        <f>SUBTOTAL(109,Program021[(H)
Net Program Costs
Sum (C through G)])</f>
        <v>5631</v>
      </c>
      <c r="I637" s="19">
        <f>SUBTOTAL(109,Program021[(I)
Payments
 and Offsets])</f>
        <v>-5631</v>
      </c>
      <c r="J637" s="19">
        <f>SUBTOTAL(109,Program021[(J)
Accounts Payable Balance
(H + I)])</f>
        <v>0</v>
      </c>
      <c r="K637" s="19">
        <f>SUBTOTAL(109,Program021[(K)
Established 
Accounts Receivable])</f>
        <v>0</v>
      </c>
      <c r="L637" s="19">
        <f>SUBTOTAL(109,Program021[(L)
Recovered
 Accounts Receivable])</f>
        <v>0</v>
      </c>
      <c r="M637" s="19">
        <f>SUBTOTAL(109,Program021[(M)
Accounts Receivable Balance
(K + L)])</f>
        <v>0</v>
      </c>
      <c r="N637" s="19">
        <f>SUBTOTAL(109,Program021[(N)
Net Balance
(J minus M)])</f>
        <v>0</v>
      </c>
    </row>
    <row r="638" spans="1:14" ht="15.75" x14ac:dyDescent="0.25">
      <c r="A638" s="17" t="s">
        <v>13</v>
      </c>
      <c r="B638" s="54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</row>
    <row r="639" spans="1:14" ht="78.75" x14ac:dyDescent="0.25">
      <c r="A639" s="39" t="s">
        <v>32</v>
      </c>
      <c r="B639" s="40" t="s">
        <v>33</v>
      </c>
      <c r="C639" s="41" t="s">
        <v>34</v>
      </c>
      <c r="D639" s="41" t="s">
        <v>35</v>
      </c>
      <c r="E639" s="42" t="s">
        <v>36</v>
      </c>
      <c r="F639" s="42" t="s">
        <v>37</v>
      </c>
      <c r="G639" s="42" t="s">
        <v>38</v>
      </c>
      <c r="H639" s="43" t="s">
        <v>39</v>
      </c>
      <c r="I639" s="44" t="s">
        <v>40</v>
      </c>
      <c r="J639" s="44" t="s">
        <v>41</v>
      </c>
      <c r="K639" s="42" t="s">
        <v>42</v>
      </c>
      <c r="L639" s="44" t="s">
        <v>43</v>
      </c>
      <c r="M639" s="44" t="s">
        <v>44</v>
      </c>
      <c r="N639" s="45" t="s">
        <v>45</v>
      </c>
    </row>
    <row r="640" spans="1:14" ht="15.75" x14ac:dyDescent="0.25">
      <c r="A640" s="46" t="s">
        <v>167</v>
      </c>
      <c r="B640" s="47" t="s">
        <v>50</v>
      </c>
      <c r="C640" s="48">
        <v>100886</v>
      </c>
      <c r="D640" s="48">
        <v>0</v>
      </c>
      <c r="E640" s="48">
        <v>0</v>
      </c>
      <c r="F640" s="48">
        <v>0</v>
      </c>
      <c r="G640" s="48">
        <v>0</v>
      </c>
      <c r="H640" s="48">
        <v>100886</v>
      </c>
      <c r="I640" s="48">
        <v>-100886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</row>
    <row r="641" spans="1:14" ht="15.75" x14ac:dyDescent="0.25">
      <c r="A641" s="49" t="s">
        <v>167</v>
      </c>
      <c r="B641" s="50" t="s">
        <v>51</v>
      </c>
      <c r="C641" s="51">
        <v>146297</v>
      </c>
      <c r="D641" s="51">
        <v>-297</v>
      </c>
      <c r="E641" s="51">
        <v>0</v>
      </c>
      <c r="F641" s="51">
        <v>0</v>
      </c>
      <c r="G641" s="51">
        <v>0</v>
      </c>
      <c r="H641" s="51">
        <v>146000</v>
      </c>
      <c r="I641" s="51">
        <v>-146000</v>
      </c>
      <c r="J641" s="51">
        <v>0</v>
      </c>
      <c r="K641" s="51">
        <v>0</v>
      </c>
      <c r="L641" s="51">
        <v>0</v>
      </c>
      <c r="M641" s="51">
        <v>0</v>
      </c>
      <c r="N641" s="51">
        <v>0</v>
      </c>
    </row>
    <row r="642" spans="1:14" ht="15.75" x14ac:dyDescent="0.25">
      <c r="A642" s="49" t="s">
        <v>167</v>
      </c>
      <c r="B642" s="50" t="s">
        <v>52</v>
      </c>
      <c r="C642" s="51">
        <v>100881</v>
      </c>
      <c r="D642" s="51">
        <v>-1365</v>
      </c>
      <c r="E642" s="51">
        <v>0</v>
      </c>
      <c r="F642" s="51">
        <v>0</v>
      </c>
      <c r="G642" s="51">
        <v>0</v>
      </c>
      <c r="H642" s="51">
        <v>99516</v>
      </c>
      <c r="I642" s="51">
        <v>-99516</v>
      </c>
      <c r="J642" s="51">
        <v>0</v>
      </c>
      <c r="K642" s="51">
        <v>0</v>
      </c>
      <c r="L642" s="51">
        <v>0</v>
      </c>
      <c r="M642" s="51">
        <v>0</v>
      </c>
      <c r="N642" s="51">
        <v>0</v>
      </c>
    </row>
    <row r="643" spans="1:14" ht="15.75" x14ac:dyDescent="0.25">
      <c r="A643" s="49" t="s">
        <v>167</v>
      </c>
      <c r="B643" s="50" t="s">
        <v>53</v>
      </c>
      <c r="C643" s="51">
        <v>79611</v>
      </c>
      <c r="D643" s="51">
        <v>-4617</v>
      </c>
      <c r="E643" s="51">
        <v>0</v>
      </c>
      <c r="F643" s="51">
        <v>0</v>
      </c>
      <c r="G643" s="51">
        <v>0</v>
      </c>
      <c r="H643" s="51">
        <v>74994</v>
      </c>
      <c r="I643" s="51">
        <v>-74994</v>
      </c>
      <c r="J643" s="51">
        <v>0</v>
      </c>
      <c r="K643" s="51">
        <v>0</v>
      </c>
      <c r="L643" s="51">
        <v>0</v>
      </c>
      <c r="M643" s="51">
        <v>0</v>
      </c>
      <c r="N643" s="51">
        <v>0</v>
      </c>
    </row>
    <row r="644" spans="1:14" ht="15.75" x14ac:dyDescent="0.25">
      <c r="A644" s="49" t="s">
        <v>167</v>
      </c>
      <c r="B644" s="50" t="s">
        <v>54</v>
      </c>
      <c r="C644" s="51">
        <v>85115</v>
      </c>
      <c r="D644" s="51">
        <v>-1445</v>
      </c>
      <c r="E644" s="51">
        <v>0</v>
      </c>
      <c r="F644" s="51">
        <v>0</v>
      </c>
      <c r="G644" s="51">
        <v>0</v>
      </c>
      <c r="H644" s="51">
        <v>83670</v>
      </c>
      <c r="I644" s="51">
        <v>-83670</v>
      </c>
      <c r="J644" s="51">
        <v>0</v>
      </c>
      <c r="K644" s="51">
        <v>0</v>
      </c>
      <c r="L644" s="51">
        <v>0</v>
      </c>
      <c r="M644" s="51">
        <v>0</v>
      </c>
      <c r="N644" s="51">
        <v>0</v>
      </c>
    </row>
    <row r="645" spans="1:14" ht="15.75" x14ac:dyDescent="0.25">
      <c r="A645" s="49" t="s">
        <v>167</v>
      </c>
      <c r="B645" s="50" t="s">
        <v>55</v>
      </c>
      <c r="C645" s="51">
        <v>70665</v>
      </c>
      <c r="D645" s="51">
        <v>-1497</v>
      </c>
      <c r="E645" s="51">
        <v>0</v>
      </c>
      <c r="F645" s="51">
        <v>0</v>
      </c>
      <c r="G645" s="51">
        <v>0</v>
      </c>
      <c r="H645" s="51">
        <v>69168</v>
      </c>
      <c r="I645" s="51">
        <v>-69168</v>
      </c>
      <c r="J645" s="51">
        <v>0</v>
      </c>
      <c r="K645" s="51">
        <v>0</v>
      </c>
      <c r="L645" s="51">
        <v>0</v>
      </c>
      <c r="M645" s="51">
        <v>0</v>
      </c>
      <c r="N645" s="51">
        <v>0</v>
      </c>
    </row>
    <row r="646" spans="1:14" ht="15.75" x14ac:dyDescent="0.25">
      <c r="A646" s="49" t="s">
        <v>167</v>
      </c>
      <c r="B646" s="50" t="s">
        <v>56</v>
      </c>
      <c r="C646" s="51">
        <v>61150</v>
      </c>
      <c r="D646" s="51">
        <v>-1649</v>
      </c>
      <c r="E646" s="51">
        <v>0</v>
      </c>
      <c r="F646" s="51">
        <v>0</v>
      </c>
      <c r="G646" s="51">
        <v>0</v>
      </c>
      <c r="H646" s="51">
        <v>59501</v>
      </c>
      <c r="I646" s="51">
        <v>-59501</v>
      </c>
      <c r="J646" s="51">
        <v>0</v>
      </c>
      <c r="K646" s="51">
        <v>0</v>
      </c>
      <c r="L646" s="51">
        <v>0</v>
      </c>
      <c r="M646" s="51">
        <v>0</v>
      </c>
      <c r="N646" s="51">
        <v>0</v>
      </c>
    </row>
    <row r="647" spans="1:14" ht="15.75" x14ac:dyDescent="0.25">
      <c r="A647" s="49" t="s">
        <v>167</v>
      </c>
      <c r="B647" s="50" t="s">
        <v>57</v>
      </c>
      <c r="C647" s="51">
        <v>76627</v>
      </c>
      <c r="D647" s="51">
        <v>-1571</v>
      </c>
      <c r="E647" s="51">
        <v>0</v>
      </c>
      <c r="F647" s="51">
        <v>0</v>
      </c>
      <c r="G647" s="51">
        <v>0</v>
      </c>
      <c r="H647" s="51">
        <v>75056</v>
      </c>
      <c r="I647" s="51">
        <v>-75056</v>
      </c>
      <c r="J647" s="51">
        <v>0</v>
      </c>
      <c r="K647" s="51">
        <v>0</v>
      </c>
      <c r="L647" s="51">
        <v>0</v>
      </c>
      <c r="M647" s="51">
        <v>0</v>
      </c>
      <c r="N647" s="51">
        <v>0</v>
      </c>
    </row>
    <row r="648" spans="1:14" ht="15.75" x14ac:dyDescent="0.25">
      <c r="A648" s="49" t="s">
        <v>167</v>
      </c>
      <c r="B648" s="50" t="s">
        <v>58</v>
      </c>
      <c r="C648" s="51">
        <v>57912</v>
      </c>
      <c r="D648" s="51">
        <v>-1910</v>
      </c>
      <c r="E648" s="51">
        <v>0</v>
      </c>
      <c r="F648" s="51">
        <v>0</v>
      </c>
      <c r="G648" s="51">
        <v>0</v>
      </c>
      <c r="H648" s="51">
        <v>56002</v>
      </c>
      <c r="I648" s="51">
        <v>-56002</v>
      </c>
      <c r="J648" s="51">
        <v>0</v>
      </c>
      <c r="K648" s="51">
        <v>0</v>
      </c>
      <c r="L648" s="51">
        <v>0</v>
      </c>
      <c r="M648" s="51">
        <v>0</v>
      </c>
      <c r="N648" s="51">
        <v>0</v>
      </c>
    </row>
    <row r="649" spans="1:14" ht="15.75" x14ac:dyDescent="0.25">
      <c r="A649" s="52" t="s">
        <v>168</v>
      </c>
      <c r="B649" s="53" t="s">
        <v>8</v>
      </c>
      <c r="C649" s="19">
        <f>SUBTOTAL(109,Program283[(C)
Program
Costs])</f>
        <v>779144</v>
      </c>
      <c r="D649" s="19">
        <f>SUBTOTAL(109,Program283[(D)
Prior Period Adjustments])</f>
        <v>-14351</v>
      </c>
      <c r="E649" s="19">
        <f>SUBTOTAL(109,Program283[(E)
Current Period Desk 
Reviews])</f>
        <v>0</v>
      </c>
      <c r="F649" s="19">
        <f>SUBTOTAL(109,Program283[(F)
Current Period 
Final 
Audits])</f>
        <v>0</v>
      </c>
      <c r="G649" s="19">
        <f>SUBTOTAL(109,Program283[(G)
Current Period 
Other Adjustments])</f>
        <v>0</v>
      </c>
      <c r="H649" s="19">
        <f>SUBTOTAL(109,Program283[(H)
Net Program Costs
Sum (C through G)])</f>
        <v>764793</v>
      </c>
      <c r="I649" s="19">
        <f>SUBTOTAL(109,Program283[(I)
Payments
 and Offsets])</f>
        <v>-764793</v>
      </c>
      <c r="J649" s="19">
        <f>SUBTOTAL(109,Program283[(J)
Accounts Payable Balance
(H + I)])</f>
        <v>0</v>
      </c>
      <c r="K649" s="19">
        <f>SUBTOTAL(109,Program283[(K)
Established 
Accounts Receivable])</f>
        <v>0</v>
      </c>
      <c r="L649" s="19">
        <f>SUBTOTAL(109,Program283[(L)
Recovered
 Accounts Receivable])</f>
        <v>0</v>
      </c>
      <c r="M649" s="19">
        <f>SUBTOTAL(109,Program283[(M)
Accounts Receivable Balance
(K + L)])</f>
        <v>0</v>
      </c>
      <c r="N649" s="19">
        <f>SUBTOTAL(109,Program283[(N)
Net Balance
(J minus M)])</f>
        <v>0</v>
      </c>
    </row>
    <row r="650" spans="1:14" ht="15.75" x14ac:dyDescent="0.25">
      <c r="A650" s="17" t="s">
        <v>13</v>
      </c>
      <c r="B650" s="54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</row>
    <row r="651" spans="1:14" ht="78.75" x14ac:dyDescent="0.25">
      <c r="A651" s="39" t="s">
        <v>32</v>
      </c>
      <c r="B651" s="40" t="s">
        <v>33</v>
      </c>
      <c r="C651" s="41" t="s">
        <v>34</v>
      </c>
      <c r="D651" s="41" t="s">
        <v>35</v>
      </c>
      <c r="E651" s="42" t="s">
        <v>36</v>
      </c>
      <c r="F651" s="42" t="s">
        <v>37</v>
      </c>
      <c r="G651" s="42" t="s">
        <v>38</v>
      </c>
      <c r="H651" s="43" t="s">
        <v>39</v>
      </c>
      <c r="I651" s="44" t="s">
        <v>40</v>
      </c>
      <c r="J651" s="44" t="s">
        <v>41</v>
      </c>
      <c r="K651" s="42" t="s">
        <v>42</v>
      </c>
      <c r="L651" s="44" t="s">
        <v>43</v>
      </c>
      <c r="M651" s="44" t="s">
        <v>44</v>
      </c>
      <c r="N651" s="45" t="s">
        <v>45</v>
      </c>
    </row>
    <row r="652" spans="1:14" x14ac:dyDescent="0.25">
      <c r="A652" s="56" t="s">
        <v>169</v>
      </c>
      <c r="B652" s="62" t="s">
        <v>49</v>
      </c>
      <c r="C652" s="63">
        <v>4732</v>
      </c>
      <c r="D652" s="63">
        <v>0</v>
      </c>
      <c r="E652" s="63">
        <v>0</v>
      </c>
      <c r="F652" s="63">
        <v>0</v>
      </c>
      <c r="G652" s="63">
        <v>0</v>
      </c>
      <c r="H652" s="63">
        <v>4732</v>
      </c>
      <c r="I652" s="63">
        <v>0</v>
      </c>
      <c r="J652" s="63">
        <v>4732</v>
      </c>
      <c r="K652" s="63">
        <v>0</v>
      </c>
      <c r="L652" s="63">
        <v>0</v>
      </c>
      <c r="M652" s="63">
        <v>0</v>
      </c>
      <c r="N652" s="63">
        <v>4732</v>
      </c>
    </row>
    <row r="653" spans="1:14" x14ac:dyDescent="0.25">
      <c r="A653" s="59" t="s">
        <v>169</v>
      </c>
      <c r="B653" s="65" t="s">
        <v>50</v>
      </c>
      <c r="C653" s="66">
        <v>31906</v>
      </c>
      <c r="D653" s="66">
        <v>0</v>
      </c>
      <c r="E653" s="66">
        <v>0</v>
      </c>
      <c r="F653" s="66">
        <v>0</v>
      </c>
      <c r="G653" s="66">
        <v>0</v>
      </c>
      <c r="H653" s="66">
        <v>31906</v>
      </c>
      <c r="I653" s="66">
        <v>0</v>
      </c>
      <c r="J653" s="66">
        <v>31906</v>
      </c>
      <c r="K653" s="66">
        <v>0</v>
      </c>
      <c r="L653" s="66">
        <v>0</v>
      </c>
      <c r="M653" s="66">
        <v>0</v>
      </c>
      <c r="N653" s="66">
        <v>31906</v>
      </c>
    </row>
    <row r="654" spans="1:14" x14ac:dyDescent="0.25">
      <c r="A654" s="59" t="s">
        <v>169</v>
      </c>
      <c r="B654" s="65" t="s">
        <v>51</v>
      </c>
      <c r="C654" s="66">
        <v>30213</v>
      </c>
      <c r="D654" s="66">
        <v>-2438</v>
      </c>
      <c r="E654" s="66">
        <v>0</v>
      </c>
      <c r="F654" s="66">
        <v>0</v>
      </c>
      <c r="G654" s="66">
        <v>0</v>
      </c>
      <c r="H654" s="66">
        <v>27775</v>
      </c>
      <c r="I654" s="66">
        <v>0</v>
      </c>
      <c r="J654" s="66">
        <v>27775</v>
      </c>
      <c r="K654" s="66">
        <v>0</v>
      </c>
      <c r="L654" s="66">
        <v>0</v>
      </c>
      <c r="M654" s="66">
        <v>0</v>
      </c>
      <c r="N654" s="66">
        <v>27775</v>
      </c>
    </row>
    <row r="655" spans="1:14" x14ac:dyDescent="0.25">
      <c r="A655" s="59" t="s">
        <v>169</v>
      </c>
      <c r="B655" s="65" t="s">
        <v>52</v>
      </c>
      <c r="C655" s="66">
        <v>19076</v>
      </c>
      <c r="D655" s="66">
        <v>-1733</v>
      </c>
      <c r="E655" s="66">
        <v>0</v>
      </c>
      <c r="F655" s="66">
        <v>0</v>
      </c>
      <c r="G655" s="66">
        <v>0</v>
      </c>
      <c r="H655" s="66">
        <v>17343</v>
      </c>
      <c r="I655" s="66">
        <v>0</v>
      </c>
      <c r="J655" s="66">
        <v>17343</v>
      </c>
      <c r="K655" s="66">
        <v>0</v>
      </c>
      <c r="L655" s="66">
        <v>0</v>
      </c>
      <c r="M655" s="66">
        <v>0</v>
      </c>
      <c r="N655" s="66">
        <v>17343</v>
      </c>
    </row>
    <row r="656" spans="1:14" x14ac:dyDescent="0.25">
      <c r="A656" s="59" t="s">
        <v>169</v>
      </c>
      <c r="B656" s="65" t="s">
        <v>53</v>
      </c>
      <c r="C656" s="66">
        <v>16259</v>
      </c>
      <c r="D656" s="66">
        <v>-1441</v>
      </c>
      <c r="E656" s="66">
        <v>0</v>
      </c>
      <c r="F656" s="66">
        <v>0</v>
      </c>
      <c r="G656" s="66">
        <v>0</v>
      </c>
      <c r="H656" s="66">
        <v>14818</v>
      </c>
      <c r="I656" s="66">
        <v>0</v>
      </c>
      <c r="J656" s="66">
        <v>14818</v>
      </c>
      <c r="K656" s="66">
        <v>0</v>
      </c>
      <c r="L656" s="66">
        <v>0</v>
      </c>
      <c r="M656" s="66">
        <v>0</v>
      </c>
      <c r="N656" s="66">
        <v>14818</v>
      </c>
    </row>
    <row r="657" spans="1:14" x14ac:dyDescent="0.25">
      <c r="A657" s="59" t="s">
        <v>169</v>
      </c>
      <c r="B657" s="65" t="s">
        <v>54</v>
      </c>
      <c r="C657" s="66">
        <v>10428</v>
      </c>
      <c r="D657" s="66">
        <v>-1043</v>
      </c>
      <c r="E657" s="66">
        <v>0</v>
      </c>
      <c r="F657" s="66">
        <v>0</v>
      </c>
      <c r="G657" s="66">
        <v>0</v>
      </c>
      <c r="H657" s="66">
        <v>9385</v>
      </c>
      <c r="I657" s="66">
        <v>0</v>
      </c>
      <c r="J657" s="66">
        <v>9385</v>
      </c>
      <c r="K657" s="66">
        <v>0</v>
      </c>
      <c r="L657" s="66">
        <v>0</v>
      </c>
      <c r="M657" s="66">
        <v>0</v>
      </c>
      <c r="N657" s="66">
        <v>9385</v>
      </c>
    </row>
    <row r="658" spans="1:14" x14ac:dyDescent="0.25">
      <c r="A658" s="59" t="s">
        <v>169</v>
      </c>
      <c r="B658" s="65" t="s">
        <v>55</v>
      </c>
      <c r="C658" s="66">
        <v>11468</v>
      </c>
      <c r="D658" s="66">
        <v>-1037</v>
      </c>
      <c r="E658" s="66">
        <v>0</v>
      </c>
      <c r="F658" s="66">
        <v>0</v>
      </c>
      <c r="G658" s="66">
        <v>0</v>
      </c>
      <c r="H658" s="66">
        <v>10431</v>
      </c>
      <c r="I658" s="66">
        <v>0</v>
      </c>
      <c r="J658" s="66">
        <v>10431</v>
      </c>
      <c r="K658" s="66">
        <v>0</v>
      </c>
      <c r="L658" s="66">
        <v>0</v>
      </c>
      <c r="M658" s="66">
        <v>0</v>
      </c>
      <c r="N658" s="66">
        <v>10431</v>
      </c>
    </row>
    <row r="659" spans="1:14" x14ac:dyDescent="0.25">
      <c r="A659" s="59" t="s">
        <v>169</v>
      </c>
      <c r="B659" s="65" t="s">
        <v>56</v>
      </c>
      <c r="C659" s="66">
        <v>13552</v>
      </c>
      <c r="D659" s="66">
        <v>-1142</v>
      </c>
      <c r="E659" s="66">
        <v>0</v>
      </c>
      <c r="F659" s="66">
        <v>0</v>
      </c>
      <c r="G659" s="66">
        <v>0</v>
      </c>
      <c r="H659" s="66">
        <v>12410</v>
      </c>
      <c r="I659" s="66">
        <v>0</v>
      </c>
      <c r="J659" s="66">
        <v>12410</v>
      </c>
      <c r="K659" s="66">
        <v>0</v>
      </c>
      <c r="L659" s="66">
        <v>0</v>
      </c>
      <c r="M659" s="66">
        <v>0</v>
      </c>
      <c r="N659" s="66">
        <v>12410</v>
      </c>
    </row>
    <row r="660" spans="1:14" x14ac:dyDescent="0.25">
      <c r="A660" s="59" t="s">
        <v>169</v>
      </c>
      <c r="B660" s="65" t="s">
        <v>57</v>
      </c>
      <c r="C660" s="66">
        <v>16677</v>
      </c>
      <c r="D660" s="66">
        <v>-1469</v>
      </c>
      <c r="E660" s="66">
        <v>0</v>
      </c>
      <c r="F660" s="66">
        <v>0</v>
      </c>
      <c r="G660" s="66">
        <v>0</v>
      </c>
      <c r="H660" s="66">
        <v>15208</v>
      </c>
      <c r="I660" s="66">
        <v>0</v>
      </c>
      <c r="J660" s="66">
        <v>15208</v>
      </c>
      <c r="K660" s="66">
        <v>0</v>
      </c>
      <c r="L660" s="66">
        <v>0</v>
      </c>
      <c r="M660" s="66">
        <v>0</v>
      </c>
      <c r="N660" s="66">
        <v>15208</v>
      </c>
    </row>
    <row r="661" spans="1:14" x14ac:dyDescent="0.25">
      <c r="A661" s="59" t="s">
        <v>169</v>
      </c>
      <c r="B661" s="65" t="s">
        <v>58</v>
      </c>
      <c r="C661" s="66">
        <v>14720</v>
      </c>
      <c r="D661" s="66">
        <v>-1472</v>
      </c>
      <c r="E661" s="66">
        <v>0</v>
      </c>
      <c r="F661" s="66">
        <v>0</v>
      </c>
      <c r="G661" s="66">
        <v>0</v>
      </c>
      <c r="H661" s="66">
        <v>13248</v>
      </c>
      <c r="I661" s="66">
        <v>0</v>
      </c>
      <c r="J661" s="66">
        <v>13248</v>
      </c>
      <c r="K661" s="66">
        <v>0</v>
      </c>
      <c r="L661" s="66">
        <v>0</v>
      </c>
      <c r="M661" s="66">
        <v>0</v>
      </c>
      <c r="N661" s="66">
        <v>13248</v>
      </c>
    </row>
    <row r="662" spans="1:14" ht="15.75" x14ac:dyDescent="0.25">
      <c r="A662" s="52" t="s">
        <v>170</v>
      </c>
      <c r="B662" s="53" t="s">
        <v>8</v>
      </c>
      <c r="C662" s="19">
        <f>SUBTOTAL(109,Program293[(C)
Program
Costs])</f>
        <v>169031</v>
      </c>
      <c r="D662" s="19">
        <f>SUBTOTAL(109,Program293[(D)
Prior Period Adjustments])</f>
        <v>-11775</v>
      </c>
      <c r="E662" s="19">
        <f>SUBTOTAL(109,Program293[(E)
Current Period Desk 
Reviews])</f>
        <v>0</v>
      </c>
      <c r="F662" s="19">
        <f>SUBTOTAL(109,Program293[(F)
Current Period 
Final 
Audits])</f>
        <v>0</v>
      </c>
      <c r="G662" s="19">
        <f>SUBTOTAL(109,Program293[(G)
Current Period 
Other Adjustments])</f>
        <v>0</v>
      </c>
      <c r="H662" s="19">
        <f>SUBTOTAL(109,Program293[(H)
Net Program Costs
Sum (C through G)])</f>
        <v>157256</v>
      </c>
      <c r="I662" s="19">
        <f>SUBTOTAL(109,Program293[(I)
Payments
 and Offsets])</f>
        <v>0</v>
      </c>
      <c r="J662" s="19">
        <f>SUBTOTAL(109,Program293[(J)
Accounts Payable Balance
(H + I)])</f>
        <v>157256</v>
      </c>
      <c r="K662" s="19">
        <f>SUBTOTAL(109,Program293[(K)
Established 
Accounts Receivable])</f>
        <v>0</v>
      </c>
      <c r="L662" s="19">
        <f>SUBTOTAL(109,Program293[(L)
Recovered
 Accounts Receivable])</f>
        <v>0</v>
      </c>
      <c r="M662" s="19">
        <f>SUBTOTAL(109,Program293[(M)
Accounts Receivable Balance
(K + L)])</f>
        <v>0</v>
      </c>
      <c r="N662" s="19">
        <f>SUBTOTAL(109,Program293[(N)
Net Balance
(J minus M)])</f>
        <v>157256</v>
      </c>
    </row>
    <row r="663" spans="1:14" ht="15.75" x14ac:dyDescent="0.25">
      <c r="A663" s="17" t="s">
        <v>13</v>
      </c>
      <c r="B663" s="54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</row>
    <row r="664" spans="1:14" ht="78.75" x14ac:dyDescent="0.25">
      <c r="A664" s="39" t="s">
        <v>32</v>
      </c>
      <c r="B664" s="40" t="s">
        <v>33</v>
      </c>
      <c r="C664" s="41" t="s">
        <v>34</v>
      </c>
      <c r="D664" s="41" t="s">
        <v>35</v>
      </c>
      <c r="E664" s="42" t="s">
        <v>36</v>
      </c>
      <c r="F664" s="42" t="s">
        <v>37</v>
      </c>
      <c r="G664" s="42" t="s">
        <v>38</v>
      </c>
      <c r="H664" s="43" t="s">
        <v>39</v>
      </c>
      <c r="I664" s="44" t="s">
        <v>40</v>
      </c>
      <c r="J664" s="44" t="s">
        <v>41</v>
      </c>
      <c r="K664" s="42" t="s">
        <v>42</v>
      </c>
      <c r="L664" s="44" t="s">
        <v>43</v>
      </c>
      <c r="M664" s="44" t="s">
        <v>44</v>
      </c>
      <c r="N664" s="45" t="s">
        <v>45</v>
      </c>
    </row>
    <row r="665" spans="1:14" ht="15.75" x14ac:dyDescent="0.25">
      <c r="A665" s="46" t="s">
        <v>171</v>
      </c>
      <c r="B665" s="47" t="s">
        <v>51</v>
      </c>
      <c r="C665" s="48">
        <v>7437561</v>
      </c>
      <c r="D665" s="48">
        <v>-1575770</v>
      </c>
      <c r="E665" s="48">
        <v>0</v>
      </c>
      <c r="F665" s="48">
        <v>0</v>
      </c>
      <c r="G665" s="48">
        <v>0</v>
      </c>
      <c r="H665" s="48">
        <v>5861791</v>
      </c>
      <c r="I665" s="48">
        <v>0</v>
      </c>
      <c r="J665" s="48">
        <v>5861791</v>
      </c>
      <c r="K665" s="48">
        <v>0</v>
      </c>
      <c r="L665" s="48">
        <v>0</v>
      </c>
      <c r="M665" s="48">
        <v>0</v>
      </c>
      <c r="N665" s="48">
        <v>5861791</v>
      </c>
    </row>
    <row r="666" spans="1:14" ht="15.75" x14ac:dyDescent="0.25">
      <c r="A666" s="49" t="s">
        <v>171</v>
      </c>
      <c r="B666" s="50" t="s">
        <v>52</v>
      </c>
      <c r="C666" s="51">
        <v>5259183</v>
      </c>
      <c r="D666" s="51">
        <v>-332712</v>
      </c>
      <c r="E666" s="51">
        <v>0</v>
      </c>
      <c r="F666" s="51">
        <v>0</v>
      </c>
      <c r="G666" s="51">
        <v>0</v>
      </c>
      <c r="H666" s="51">
        <v>4926471</v>
      </c>
      <c r="I666" s="51">
        <v>-4901214</v>
      </c>
      <c r="J666" s="51">
        <v>25257</v>
      </c>
      <c r="K666" s="51">
        <v>319599</v>
      </c>
      <c r="L666" s="51">
        <v>-262355</v>
      </c>
      <c r="M666" s="51">
        <v>57244</v>
      </c>
      <c r="N666" s="51">
        <v>-31987</v>
      </c>
    </row>
    <row r="667" spans="1:14" ht="15.75" x14ac:dyDescent="0.25">
      <c r="A667" s="49" t="s">
        <v>171</v>
      </c>
      <c r="B667" s="50" t="s">
        <v>53</v>
      </c>
      <c r="C667" s="51">
        <v>4313389</v>
      </c>
      <c r="D667" s="51">
        <v>-219569</v>
      </c>
      <c r="E667" s="51">
        <v>0</v>
      </c>
      <c r="F667" s="51">
        <v>0</v>
      </c>
      <c r="G667" s="51">
        <v>0</v>
      </c>
      <c r="H667" s="51">
        <v>4093820</v>
      </c>
      <c r="I667" s="51">
        <v>-4093820</v>
      </c>
      <c r="J667" s="51">
        <v>0</v>
      </c>
      <c r="K667" s="51">
        <v>29493</v>
      </c>
      <c r="L667" s="51">
        <v>-29493</v>
      </c>
      <c r="M667" s="51">
        <v>0</v>
      </c>
      <c r="N667" s="51">
        <v>0</v>
      </c>
    </row>
    <row r="668" spans="1:14" ht="15.75" x14ac:dyDescent="0.25">
      <c r="A668" s="49" t="s">
        <v>171</v>
      </c>
      <c r="B668" s="50" t="s">
        <v>54</v>
      </c>
      <c r="C668" s="51">
        <v>3512794</v>
      </c>
      <c r="D668" s="51">
        <v>-528371</v>
      </c>
      <c r="E668" s="51">
        <v>0</v>
      </c>
      <c r="F668" s="51">
        <v>0</v>
      </c>
      <c r="G668" s="51">
        <v>0</v>
      </c>
      <c r="H668" s="51">
        <v>2984423</v>
      </c>
      <c r="I668" s="51">
        <v>-2984423</v>
      </c>
      <c r="J668" s="51">
        <v>0</v>
      </c>
      <c r="K668" s="51">
        <v>863730</v>
      </c>
      <c r="L668" s="51">
        <v>-863730</v>
      </c>
      <c r="M668" s="51">
        <v>0</v>
      </c>
      <c r="N668" s="51">
        <v>0</v>
      </c>
    </row>
    <row r="669" spans="1:14" ht="15.75" x14ac:dyDescent="0.25">
      <c r="A669" s="49" t="s">
        <v>171</v>
      </c>
      <c r="B669" s="50" t="s">
        <v>55</v>
      </c>
      <c r="C669" s="51">
        <v>3873436</v>
      </c>
      <c r="D669" s="51">
        <v>-803425</v>
      </c>
      <c r="E669" s="51">
        <v>0</v>
      </c>
      <c r="F669" s="51">
        <v>0</v>
      </c>
      <c r="G669" s="51">
        <v>0</v>
      </c>
      <c r="H669" s="51">
        <v>3070011</v>
      </c>
      <c r="I669" s="51">
        <v>-3070011</v>
      </c>
      <c r="J669" s="51">
        <v>0</v>
      </c>
      <c r="K669" s="51">
        <v>0</v>
      </c>
      <c r="L669" s="51">
        <v>0</v>
      </c>
      <c r="M669" s="51">
        <v>0</v>
      </c>
      <c r="N669" s="51">
        <v>0</v>
      </c>
    </row>
    <row r="670" spans="1:14" ht="15.75" x14ac:dyDescent="0.25">
      <c r="A670" s="49" t="s">
        <v>171</v>
      </c>
      <c r="B670" s="50" t="s">
        <v>56</v>
      </c>
      <c r="C670" s="51">
        <v>4485420</v>
      </c>
      <c r="D670" s="51">
        <v>-755485</v>
      </c>
      <c r="E670" s="51">
        <v>0</v>
      </c>
      <c r="F670" s="51">
        <v>0</v>
      </c>
      <c r="G670" s="51">
        <v>0</v>
      </c>
      <c r="H670" s="51">
        <v>3729935</v>
      </c>
      <c r="I670" s="51">
        <v>-3729935</v>
      </c>
      <c r="J670" s="51">
        <v>0</v>
      </c>
      <c r="K670" s="51">
        <v>7</v>
      </c>
      <c r="L670" s="51">
        <v>-7</v>
      </c>
      <c r="M670" s="51">
        <v>0</v>
      </c>
      <c r="N670" s="51">
        <v>0</v>
      </c>
    </row>
    <row r="671" spans="1:14" ht="15.75" x14ac:dyDescent="0.25">
      <c r="A671" s="49" t="s">
        <v>171</v>
      </c>
      <c r="B671" s="50" t="s">
        <v>57</v>
      </c>
      <c r="C671" s="51">
        <v>3695604</v>
      </c>
      <c r="D671" s="51">
        <v>-672861</v>
      </c>
      <c r="E671" s="51">
        <v>0</v>
      </c>
      <c r="F671" s="51">
        <v>0</v>
      </c>
      <c r="G671" s="51">
        <v>0</v>
      </c>
      <c r="H671" s="51">
        <v>3022743</v>
      </c>
      <c r="I671" s="51">
        <v>-3022743</v>
      </c>
      <c r="J671" s="51">
        <v>0</v>
      </c>
      <c r="K671" s="51">
        <v>6927</v>
      </c>
      <c r="L671" s="51">
        <v>-6927</v>
      </c>
      <c r="M671" s="51">
        <v>0</v>
      </c>
      <c r="N671" s="51">
        <v>0</v>
      </c>
    </row>
    <row r="672" spans="1:14" ht="15.75" x14ac:dyDescent="0.25">
      <c r="A672" s="49" t="s">
        <v>171</v>
      </c>
      <c r="B672" s="50" t="s">
        <v>58</v>
      </c>
      <c r="C672" s="51">
        <v>1479438</v>
      </c>
      <c r="D672" s="51">
        <v>-228827</v>
      </c>
      <c r="E672" s="51">
        <v>0</v>
      </c>
      <c r="F672" s="51">
        <v>0</v>
      </c>
      <c r="G672" s="51">
        <v>0</v>
      </c>
      <c r="H672" s="51">
        <v>1250611</v>
      </c>
      <c r="I672" s="51">
        <v>-1250611</v>
      </c>
      <c r="J672" s="51">
        <v>0</v>
      </c>
      <c r="K672" s="51">
        <v>512013</v>
      </c>
      <c r="L672" s="51">
        <v>-512013</v>
      </c>
      <c r="M672" s="51">
        <v>0</v>
      </c>
      <c r="N672" s="51">
        <v>0</v>
      </c>
    </row>
    <row r="673" spans="1:14" ht="15.75" x14ac:dyDescent="0.25">
      <c r="A673" s="49" t="s">
        <v>171</v>
      </c>
      <c r="B673" s="50" t="s">
        <v>59</v>
      </c>
      <c r="C673" s="51">
        <v>1191770</v>
      </c>
      <c r="D673" s="51">
        <v>-99807</v>
      </c>
      <c r="E673" s="51">
        <v>0</v>
      </c>
      <c r="F673" s="51">
        <v>0</v>
      </c>
      <c r="G673" s="51">
        <v>0</v>
      </c>
      <c r="H673" s="51">
        <v>1091963</v>
      </c>
      <c r="I673" s="51">
        <v>-1091963</v>
      </c>
      <c r="J673" s="51">
        <v>0</v>
      </c>
      <c r="K673" s="51">
        <v>136139</v>
      </c>
      <c r="L673" s="51">
        <v>-136139</v>
      </c>
      <c r="M673" s="51">
        <v>0</v>
      </c>
      <c r="N673" s="51">
        <v>0</v>
      </c>
    </row>
    <row r="674" spans="1:14" ht="15.75" x14ac:dyDescent="0.25">
      <c r="A674" s="49" t="s">
        <v>171</v>
      </c>
      <c r="B674" s="50" t="s">
        <v>60</v>
      </c>
      <c r="C674" s="51">
        <v>1103353</v>
      </c>
      <c r="D674" s="51">
        <v>-50124</v>
      </c>
      <c r="E674" s="51">
        <v>0</v>
      </c>
      <c r="F674" s="51">
        <v>0</v>
      </c>
      <c r="G674" s="51">
        <v>0</v>
      </c>
      <c r="H674" s="51">
        <v>1053229</v>
      </c>
      <c r="I674" s="51">
        <v>-1053229</v>
      </c>
      <c r="J674" s="51">
        <v>0</v>
      </c>
      <c r="K674" s="51">
        <v>39896</v>
      </c>
      <c r="L674" s="51">
        <v>-39896</v>
      </c>
      <c r="M674" s="51">
        <v>0</v>
      </c>
      <c r="N674" s="51">
        <v>0</v>
      </c>
    </row>
    <row r="675" spans="1:14" ht="15.75" x14ac:dyDescent="0.25">
      <c r="A675" s="49" t="s">
        <v>171</v>
      </c>
      <c r="B675" s="50" t="s">
        <v>61</v>
      </c>
      <c r="C675" s="51">
        <v>796971</v>
      </c>
      <c r="D675" s="51">
        <v>-828</v>
      </c>
      <c r="E675" s="51">
        <v>0</v>
      </c>
      <c r="F675" s="51">
        <v>0</v>
      </c>
      <c r="G675" s="51">
        <v>0</v>
      </c>
      <c r="H675" s="51">
        <v>796143</v>
      </c>
      <c r="I675" s="51">
        <v>-796143</v>
      </c>
      <c r="J675" s="51">
        <v>0</v>
      </c>
      <c r="K675" s="51">
        <v>9085</v>
      </c>
      <c r="L675" s="51">
        <v>-9085</v>
      </c>
      <c r="M675" s="51">
        <v>0</v>
      </c>
      <c r="N675" s="51">
        <v>0</v>
      </c>
    </row>
    <row r="676" spans="1:14" ht="15.75" x14ac:dyDescent="0.25">
      <c r="A676" s="49" t="s">
        <v>171</v>
      </c>
      <c r="B676" s="50" t="s">
        <v>62</v>
      </c>
      <c r="C676" s="51">
        <v>663222</v>
      </c>
      <c r="D676" s="51">
        <v>0</v>
      </c>
      <c r="E676" s="51">
        <v>0</v>
      </c>
      <c r="F676" s="51">
        <v>0</v>
      </c>
      <c r="G676" s="51">
        <v>0</v>
      </c>
      <c r="H676" s="51">
        <v>663222</v>
      </c>
      <c r="I676" s="51">
        <v>-663222</v>
      </c>
      <c r="J676" s="51">
        <v>0</v>
      </c>
      <c r="K676" s="51">
        <v>100325</v>
      </c>
      <c r="L676" s="51">
        <v>-100325</v>
      </c>
      <c r="M676" s="51">
        <v>0</v>
      </c>
      <c r="N676" s="51">
        <v>0</v>
      </c>
    </row>
    <row r="677" spans="1:14" ht="15.75" x14ac:dyDescent="0.25">
      <c r="A677" s="49" t="s">
        <v>171</v>
      </c>
      <c r="B677" s="50" t="s">
        <v>63</v>
      </c>
      <c r="C677" s="51">
        <v>583868</v>
      </c>
      <c r="D677" s="51">
        <v>-44354</v>
      </c>
      <c r="E677" s="51">
        <v>0</v>
      </c>
      <c r="F677" s="51">
        <v>0</v>
      </c>
      <c r="G677" s="51">
        <v>0</v>
      </c>
      <c r="H677" s="51">
        <v>539514</v>
      </c>
      <c r="I677" s="51">
        <v>-539514</v>
      </c>
      <c r="J677" s="51">
        <v>0</v>
      </c>
      <c r="K677" s="51">
        <v>118096</v>
      </c>
      <c r="L677" s="51">
        <v>-118096</v>
      </c>
      <c r="M677" s="51">
        <v>0</v>
      </c>
      <c r="N677" s="51">
        <v>0</v>
      </c>
    </row>
    <row r="678" spans="1:14" ht="15.75" x14ac:dyDescent="0.25">
      <c r="A678" s="49" t="s">
        <v>171</v>
      </c>
      <c r="B678" s="50" t="s">
        <v>64</v>
      </c>
      <c r="C678" s="51">
        <v>446475</v>
      </c>
      <c r="D678" s="51">
        <v>-44819</v>
      </c>
      <c r="E678" s="51">
        <v>0</v>
      </c>
      <c r="F678" s="51">
        <v>0</v>
      </c>
      <c r="G678" s="51">
        <v>0</v>
      </c>
      <c r="H678" s="51">
        <v>401656</v>
      </c>
      <c r="I678" s="51">
        <v>-401656</v>
      </c>
      <c r="J678" s="51">
        <v>0</v>
      </c>
      <c r="K678" s="51">
        <v>70329</v>
      </c>
      <c r="L678" s="51">
        <v>-70329</v>
      </c>
      <c r="M678" s="51">
        <v>0</v>
      </c>
      <c r="N678" s="51">
        <v>0</v>
      </c>
    </row>
    <row r="679" spans="1:14" ht="15.75" x14ac:dyDescent="0.25">
      <c r="A679" s="49" t="s">
        <v>171</v>
      </c>
      <c r="B679" s="50" t="s">
        <v>65</v>
      </c>
      <c r="C679" s="51">
        <v>639569</v>
      </c>
      <c r="D679" s="51">
        <v>-75182</v>
      </c>
      <c r="E679" s="51">
        <v>0</v>
      </c>
      <c r="F679" s="51">
        <v>0</v>
      </c>
      <c r="G679" s="51">
        <v>0</v>
      </c>
      <c r="H679" s="51">
        <v>564387</v>
      </c>
      <c r="I679" s="51">
        <v>-564387</v>
      </c>
      <c r="J679" s="51">
        <v>0</v>
      </c>
      <c r="K679" s="51">
        <v>104446</v>
      </c>
      <c r="L679" s="51">
        <v>-104446</v>
      </c>
      <c r="M679" s="51">
        <v>0</v>
      </c>
      <c r="N679" s="51">
        <v>0</v>
      </c>
    </row>
    <row r="680" spans="1:14" ht="15.75" x14ac:dyDescent="0.25">
      <c r="A680" s="49" t="s">
        <v>171</v>
      </c>
      <c r="B680" s="50" t="s">
        <v>66</v>
      </c>
      <c r="C680" s="51">
        <v>1730501</v>
      </c>
      <c r="D680" s="51">
        <v>-1238034</v>
      </c>
      <c r="E680" s="51">
        <v>0</v>
      </c>
      <c r="F680" s="51">
        <v>0</v>
      </c>
      <c r="G680" s="51">
        <v>0</v>
      </c>
      <c r="H680" s="51">
        <v>492467</v>
      </c>
      <c r="I680" s="51">
        <v>-492467</v>
      </c>
      <c r="J680" s="51">
        <v>0</v>
      </c>
      <c r="K680" s="51">
        <v>48175</v>
      </c>
      <c r="L680" s="51">
        <v>-48175</v>
      </c>
      <c r="M680" s="51">
        <v>0</v>
      </c>
      <c r="N680" s="51">
        <v>0</v>
      </c>
    </row>
    <row r="681" spans="1:14" ht="15.75" x14ac:dyDescent="0.25">
      <c r="A681" s="49" t="s">
        <v>171</v>
      </c>
      <c r="B681" s="50" t="s">
        <v>67</v>
      </c>
      <c r="C681" s="51">
        <v>627907</v>
      </c>
      <c r="D681" s="51">
        <v>-125496</v>
      </c>
      <c r="E681" s="51">
        <v>0</v>
      </c>
      <c r="F681" s="51">
        <v>0</v>
      </c>
      <c r="G681" s="51">
        <v>0</v>
      </c>
      <c r="H681" s="51">
        <v>502411</v>
      </c>
      <c r="I681" s="51">
        <v>-502411</v>
      </c>
      <c r="J681" s="51">
        <v>0</v>
      </c>
      <c r="K681" s="51">
        <v>176729</v>
      </c>
      <c r="L681" s="51">
        <v>-176729</v>
      </c>
      <c r="M681" s="51">
        <v>0</v>
      </c>
      <c r="N681" s="51">
        <v>0</v>
      </c>
    </row>
    <row r="682" spans="1:14" ht="15.75" x14ac:dyDescent="0.25">
      <c r="A682" s="49" t="s">
        <v>171</v>
      </c>
      <c r="B682" s="50" t="s">
        <v>68</v>
      </c>
      <c r="C682" s="51">
        <v>0</v>
      </c>
      <c r="D682" s="51">
        <v>0</v>
      </c>
      <c r="E682" s="51">
        <v>0</v>
      </c>
      <c r="F682" s="51">
        <v>0</v>
      </c>
      <c r="G682" s="51">
        <v>0</v>
      </c>
      <c r="H682" s="51">
        <v>0</v>
      </c>
      <c r="I682" s="51">
        <v>0</v>
      </c>
      <c r="J682" s="51">
        <v>0</v>
      </c>
      <c r="K682" s="51">
        <v>83926</v>
      </c>
      <c r="L682" s="51">
        <v>-83926</v>
      </c>
      <c r="M682" s="51">
        <v>0</v>
      </c>
      <c r="N682" s="51">
        <v>0</v>
      </c>
    </row>
    <row r="683" spans="1:14" ht="15.75" x14ac:dyDescent="0.25">
      <c r="A683" s="49" t="s">
        <v>171</v>
      </c>
      <c r="B683" s="50" t="s">
        <v>69</v>
      </c>
      <c r="C683" s="51">
        <v>0</v>
      </c>
      <c r="D683" s="51">
        <v>0</v>
      </c>
      <c r="E683" s="51">
        <v>0</v>
      </c>
      <c r="F683" s="51">
        <v>0</v>
      </c>
      <c r="G683" s="51">
        <v>0</v>
      </c>
      <c r="H683" s="51">
        <v>0</v>
      </c>
      <c r="I683" s="51">
        <v>0</v>
      </c>
      <c r="J683" s="51">
        <v>0</v>
      </c>
      <c r="K683" s="51">
        <v>7501</v>
      </c>
      <c r="L683" s="51">
        <v>-7501</v>
      </c>
      <c r="M683" s="51">
        <v>0</v>
      </c>
      <c r="N683" s="51">
        <v>0</v>
      </c>
    </row>
    <row r="684" spans="1:14" ht="15.75" x14ac:dyDescent="0.25">
      <c r="A684" s="52" t="s">
        <v>172</v>
      </c>
      <c r="B684" s="53" t="s">
        <v>8</v>
      </c>
      <c r="C684" s="19">
        <f>SUBTOTAL(109,Program023[(C)
Program
Costs])</f>
        <v>41840461</v>
      </c>
      <c r="D684" s="19">
        <f>SUBTOTAL(109,Program023[(D)
Prior Period Adjustments])</f>
        <v>-6795664</v>
      </c>
      <c r="E684" s="19">
        <f>SUBTOTAL(109,Program023[(E)
Current Period Desk 
Reviews])</f>
        <v>0</v>
      </c>
      <c r="F684" s="19">
        <f>SUBTOTAL(109,Program023[(F)
Current Period 
Final 
Audits])</f>
        <v>0</v>
      </c>
      <c r="G684" s="19">
        <f>SUBTOTAL(109,Program023[(G)
Current Period 
Other Adjustments])</f>
        <v>0</v>
      </c>
      <c r="H684" s="19">
        <f>SUBTOTAL(109,Program023[(H)
Net Program Costs
Sum (C through G)])</f>
        <v>35044797</v>
      </c>
      <c r="I684" s="19">
        <f>SUBTOTAL(109,Program023[(I)
Payments
 and Offsets])</f>
        <v>-29157749</v>
      </c>
      <c r="J684" s="19">
        <f>SUBTOTAL(109,Program023[(J)
Accounts Payable Balance
(H + I)])</f>
        <v>5887048</v>
      </c>
      <c r="K684" s="19">
        <f>SUBTOTAL(109,Program023[(K)
Established 
Accounts Receivable])</f>
        <v>2626416</v>
      </c>
      <c r="L684" s="19">
        <f>SUBTOTAL(109,Program023[(L)
Recovered
 Accounts Receivable])</f>
        <v>-2569172</v>
      </c>
      <c r="M684" s="19">
        <f>SUBTOTAL(109,Program023[(M)
Accounts Receivable Balance
(K + L)])</f>
        <v>57244</v>
      </c>
      <c r="N684" s="19">
        <f>SUBTOTAL(109,Program023[(N)
Net Balance
(J minus M)])</f>
        <v>5829804</v>
      </c>
    </row>
    <row r="685" spans="1:14" ht="15.75" x14ac:dyDescent="0.25">
      <c r="A685" s="17" t="s">
        <v>13</v>
      </c>
      <c r="B685" s="54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</row>
    <row r="686" spans="1:14" ht="78.75" x14ac:dyDescent="0.25">
      <c r="A686" s="39" t="s">
        <v>32</v>
      </c>
      <c r="B686" s="40" t="s">
        <v>33</v>
      </c>
      <c r="C686" s="41" t="s">
        <v>34</v>
      </c>
      <c r="D686" s="41" t="s">
        <v>35</v>
      </c>
      <c r="E686" s="42" t="s">
        <v>36</v>
      </c>
      <c r="F686" s="42" t="s">
        <v>37</v>
      </c>
      <c r="G686" s="42" t="s">
        <v>38</v>
      </c>
      <c r="H686" s="43" t="s">
        <v>39</v>
      </c>
      <c r="I686" s="44" t="s">
        <v>40</v>
      </c>
      <c r="J686" s="44" t="s">
        <v>41</v>
      </c>
      <c r="K686" s="42" t="s">
        <v>42</v>
      </c>
      <c r="L686" s="44" t="s">
        <v>43</v>
      </c>
      <c r="M686" s="44" t="s">
        <v>44</v>
      </c>
      <c r="N686" s="45" t="s">
        <v>45</v>
      </c>
    </row>
    <row r="687" spans="1:14" ht="15.75" x14ac:dyDescent="0.25">
      <c r="A687" s="46" t="s">
        <v>173</v>
      </c>
      <c r="B687" s="47" t="s">
        <v>54</v>
      </c>
      <c r="C687" s="48">
        <v>2977723</v>
      </c>
      <c r="D687" s="48">
        <v>-4152</v>
      </c>
      <c r="E687" s="48">
        <v>0</v>
      </c>
      <c r="F687" s="48">
        <v>0</v>
      </c>
      <c r="G687" s="48">
        <v>0</v>
      </c>
      <c r="H687" s="48">
        <v>2973571</v>
      </c>
      <c r="I687" s="48">
        <v>-2973571</v>
      </c>
      <c r="J687" s="48">
        <v>0</v>
      </c>
      <c r="K687" s="48">
        <v>2431</v>
      </c>
      <c r="L687" s="48">
        <v>-2431</v>
      </c>
      <c r="M687" s="48">
        <v>0</v>
      </c>
      <c r="N687" s="48">
        <v>0</v>
      </c>
    </row>
    <row r="688" spans="1:14" ht="15.75" x14ac:dyDescent="0.25">
      <c r="A688" s="49" t="s">
        <v>173</v>
      </c>
      <c r="B688" s="50" t="s">
        <v>55</v>
      </c>
      <c r="C688" s="51">
        <v>2815916</v>
      </c>
      <c r="D688" s="51">
        <v>-34065</v>
      </c>
      <c r="E688" s="51">
        <v>0</v>
      </c>
      <c r="F688" s="51">
        <v>0</v>
      </c>
      <c r="G688" s="51">
        <v>0</v>
      </c>
      <c r="H688" s="51">
        <v>2781851</v>
      </c>
      <c r="I688" s="51">
        <v>-2781851</v>
      </c>
      <c r="J688" s="51">
        <v>0</v>
      </c>
      <c r="K688" s="51">
        <v>0</v>
      </c>
      <c r="L688" s="51">
        <v>0</v>
      </c>
      <c r="M688" s="51">
        <v>0</v>
      </c>
      <c r="N688" s="51">
        <v>0</v>
      </c>
    </row>
    <row r="689" spans="1:14" ht="15.75" x14ac:dyDescent="0.25">
      <c r="A689" s="49" t="s">
        <v>173</v>
      </c>
      <c r="B689" s="50" t="s">
        <v>56</v>
      </c>
      <c r="C689" s="51">
        <v>2107200</v>
      </c>
      <c r="D689" s="51">
        <v>-46319</v>
      </c>
      <c r="E689" s="51">
        <v>0</v>
      </c>
      <c r="F689" s="51">
        <v>0</v>
      </c>
      <c r="G689" s="51">
        <v>0</v>
      </c>
      <c r="H689" s="51">
        <v>2060881</v>
      </c>
      <c r="I689" s="51">
        <v>-2060881</v>
      </c>
      <c r="J689" s="51">
        <v>0</v>
      </c>
      <c r="K689" s="51">
        <v>0</v>
      </c>
      <c r="L689" s="51">
        <v>0</v>
      </c>
      <c r="M689" s="51">
        <v>0</v>
      </c>
      <c r="N689" s="51">
        <v>0</v>
      </c>
    </row>
    <row r="690" spans="1:14" ht="15.75" x14ac:dyDescent="0.25">
      <c r="A690" s="49" t="s">
        <v>173</v>
      </c>
      <c r="B690" s="50" t="s">
        <v>57</v>
      </c>
      <c r="C690" s="51">
        <v>1875153</v>
      </c>
      <c r="D690" s="51">
        <v>-32065</v>
      </c>
      <c r="E690" s="51">
        <v>0</v>
      </c>
      <c r="F690" s="51">
        <v>0</v>
      </c>
      <c r="G690" s="51">
        <v>0</v>
      </c>
      <c r="H690" s="51">
        <v>1843088</v>
      </c>
      <c r="I690" s="51">
        <v>-1843088</v>
      </c>
      <c r="J690" s="51">
        <v>0</v>
      </c>
      <c r="K690" s="51">
        <v>0</v>
      </c>
      <c r="L690" s="51">
        <v>0</v>
      </c>
      <c r="M690" s="51">
        <v>0</v>
      </c>
      <c r="N690" s="51">
        <v>0</v>
      </c>
    </row>
    <row r="691" spans="1:14" ht="15.75" x14ac:dyDescent="0.25">
      <c r="A691" s="49" t="s">
        <v>173</v>
      </c>
      <c r="B691" s="50" t="s">
        <v>58</v>
      </c>
      <c r="C691" s="51">
        <v>1838638</v>
      </c>
      <c r="D691" s="51">
        <v>-26543</v>
      </c>
      <c r="E691" s="51">
        <v>0</v>
      </c>
      <c r="F691" s="51">
        <v>0</v>
      </c>
      <c r="G691" s="51">
        <v>0</v>
      </c>
      <c r="H691" s="51">
        <v>1812095</v>
      </c>
      <c r="I691" s="51">
        <v>-1812095</v>
      </c>
      <c r="J691" s="51">
        <v>0</v>
      </c>
      <c r="K691" s="51">
        <v>0</v>
      </c>
      <c r="L691" s="51">
        <v>0</v>
      </c>
      <c r="M691" s="51">
        <v>0</v>
      </c>
      <c r="N691" s="51">
        <v>0</v>
      </c>
    </row>
    <row r="692" spans="1:14" ht="15.75" x14ac:dyDescent="0.25">
      <c r="A692" s="49" t="s">
        <v>173</v>
      </c>
      <c r="B692" s="50" t="s">
        <v>59</v>
      </c>
      <c r="C692" s="51">
        <v>1623033</v>
      </c>
      <c r="D692" s="51">
        <v>-27708</v>
      </c>
      <c r="E692" s="51">
        <v>0</v>
      </c>
      <c r="F692" s="51">
        <v>0</v>
      </c>
      <c r="G692" s="51">
        <v>0</v>
      </c>
      <c r="H692" s="51">
        <v>1595325</v>
      </c>
      <c r="I692" s="51">
        <v>-1595325</v>
      </c>
      <c r="J692" s="51">
        <v>0</v>
      </c>
      <c r="K692" s="51">
        <v>0</v>
      </c>
      <c r="L692" s="51">
        <v>0</v>
      </c>
      <c r="M692" s="51">
        <v>0</v>
      </c>
      <c r="N692" s="51">
        <v>0</v>
      </c>
    </row>
    <row r="693" spans="1:14" ht="15.75" x14ac:dyDescent="0.25">
      <c r="A693" s="49" t="s">
        <v>173</v>
      </c>
      <c r="B693" s="50" t="s">
        <v>60</v>
      </c>
      <c r="C693" s="51">
        <v>1407963</v>
      </c>
      <c r="D693" s="51">
        <v>-20017</v>
      </c>
      <c r="E693" s="51">
        <v>0</v>
      </c>
      <c r="F693" s="51">
        <v>0</v>
      </c>
      <c r="G693" s="51">
        <v>0</v>
      </c>
      <c r="H693" s="51">
        <v>1387946</v>
      </c>
      <c r="I693" s="51">
        <v>-1387946</v>
      </c>
      <c r="J693" s="51">
        <v>0</v>
      </c>
      <c r="K693" s="51">
        <v>0</v>
      </c>
      <c r="L693" s="51">
        <v>0</v>
      </c>
      <c r="M693" s="51">
        <v>0</v>
      </c>
      <c r="N693" s="51">
        <v>0</v>
      </c>
    </row>
    <row r="694" spans="1:14" ht="15.75" x14ac:dyDescent="0.25">
      <c r="A694" s="49" t="s">
        <v>173</v>
      </c>
      <c r="B694" s="50" t="s">
        <v>61</v>
      </c>
      <c r="C694" s="51">
        <v>821027</v>
      </c>
      <c r="D694" s="51">
        <v>-10266</v>
      </c>
      <c r="E694" s="51">
        <v>0</v>
      </c>
      <c r="F694" s="51">
        <v>0</v>
      </c>
      <c r="G694" s="51">
        <v>0</v>
      </c>
      <c r="H694" s="51">
        <v>810761</v>
      </c>
      <c r="I694" s="51">
        <v>-810761</v>
      </c>
      <c r="J694" s="51">
        <v>0</v>
      </c>
      <c r="K694" s="51">
        <v>0</v>
      </c>
      <c r="L694" s="51">
        <v>0</v>
      </c>
      <c r="M694" s="51">
        <v>0</v>
      </c>
      <c r="N694" s="51">
        <v>0</v>
      </c>
    </row>
    <row r="695" spans="1:14" ht="15.75" x14ac:dyDescent="0.25">
      <c r="A695" s="52" t="s">
        <v>174</v>
      </c>
      <c r="B695" s="53" t="s">
        <v>8</v>
      </c>
      <c r="C695" s="19">
        <f>SUBTOTAL(109,Program227[(C)
Program
Costs])</f>
        <v>15466653</v>
      </c>
      <c r="D695" s="19">
        <f>SUBTOTAL(109,Program227[(D)
Prior Period Adjustments])</f>
        <v>-201135</v>
      </c>
      <c r="E695" s="19">
        <f>SUBTOTAL(109,Program227[(E)
Current Period Desk 
Reviews])</f>
        <v>0</v>
      </c>
      <c r="F695" s="19">
        <f>SUBTOTAL(109,Program227[(F)
Current Period 
Final 
Audits])</f>
        <v>0</v>
      </c>
      <c r="G695" s="19">
        <f>SUBTOTAL(109,Program227[(G)
Current Period 
Other Adjustments])</f>
        <v>0</v>
      </c>
      <c r="H695" s="19">
        <f>SUBTOTAL(109,Program227[(H)
Net Program Costs
Sum (C through G)])</f>
        <v>15265518</v>
      </c>
      <c r="I695" s="19">
        <f>SUBTOTAL(109,Program227[(I)
Payments
 and Offsets])</f>
        <v>-15265518</v>
      </c>
      <c r="J695" s="19">
        <f>SUBTOTAL(109,Program227[(J)
Accounts Payable Balance
(H + I)])</f>
        <v>0</v>
      </c>
      <c r="K695" s="19">
        <f>SUBTOTAL(109,Program227[(K)
Established 
Accounts Receivable])</f>
        <v>2431</v>
      </c>
      <c r="L695" s="19">
        <f>SUBTOTAL(109,Program227[(L)
Recovered
 Accounts Receivable])</f>
        <v>-2431</v>
      </c>
      <c r="M695" s="19">
        <f>SUBTOTAL(109,Program227[(M)
Accounts Receivable Balance
(K + L)])</f>
        <v>0</v>
      </c>
      <c r="N695" s="19">
        <f>SUBTOTAL(109,Program227[(N)
Net Balance
(J minus M)])</f>
        <v>0</v>
      </c>
    </row>
    <row r="696" spans="1:14" ht="15.75" x14ac:dyDescent="0.25">
      <c r="A696" s="17" t="s">
        <v>13</v>
      </c>
      <c r="B696" s="54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</row>
    <row r="697" spans="1:14" ht="78.75" x14ac:dyDescent="0.25">
      <c r="A697" s="39" t="s">
        <v>32</v>
      </c>
      <c r="B697" s="40" t="s">
        <v>33</v>
      </c>
      <c r="C697" s="41" t="s">
        <v>34</v>
      </c>
      <c r="D697" s="41" t="s">
        <v>35</v>
      </c>
      <c r="E697" s="42" t="s">
        <v>36</v>
      </c>
      <c r="F697" s="42" t="s">
        <v>37</v>
      </c>
      <c r="G697" s="42" t="s">
        <v>38</v>
      </c>
      <c r="H697" s="43" t="s">
        <v>39</v>
      </c>
      <c r="I697" s="44" t="s">
        <v>40</v>
      </c>
      <c r="J697" s="44" t="s">
        <v>41</v>
      </c>
      <c r="K697" s="42" t="s">
        <v>42</v>
      </c>
      <c r="L697" s="44" t="s">
        <v>43</v>
      </c>
      <c r="M697" s="44" t="s">
        <v>44</v>
      </c>
      <c r="N697" s="45" t="s">
        <v>45</v>
      </c>
    </row>
    <row r="698" spans="1:14" ht="15.75" x14ac:dyDescent="0.25">
      <c r="A698" s="46" t="s">
        <v>175</v>
      </c>
      <c r="B698" s="47" t="s">
        <v>60</v>
      </c>
      <c r="C698" s="48">
        <v>85238</v>
      </c>
      <c r="D698" s="48">
        <v>0</v>
      </c>
      <c r="E698" s="48">
        <v>0</v>
      </c>
      <c r="F698" s="48">
        <v>0</v>
      </c>
      <c r="G698" s="48">
        <v>0</v>
      </c>
      <c r="H698" s="48">
        <v>85238</v>
      </c>
      <c r="I698" s="48">
        <v>-85238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</row>
    <row r="699" spans="1:14" ht="15.75" x14ac:dyDescent="0.25">
      <c r="A699" s="49" t="s">
        <v>175</v>
      </c>
      <c r="B699" s="50" t="s">
        <v>61</v>
      </c>
      <c r="C699" s="51">
        <v>85057</v>
      </c>
      <c r="D699" s="51">
        <v>-1000</v>
      </c>
      <c r="E699" s="51">
        <v>0</v>
      </c>
      <c r="F699" s="51">
        <v>0</v>
      </c>
      <c r="G699" s="51">
        <v>0</v>
      </c>
      <c r="H699" s="51">
        <v>84057</v>
      </c>
      <c r="I699" s="51">
        <v>-84057</v>
      </c>
      <c r="J699" s="51">
        <v>0</v>
      </c>
      <c r="K699" s="51">
        <v>0</v>
      </c>
      <c r="L699" s="51">
        <v>0</v>
      </c>
      <c r="M699" s="51">
        <v>0</v>
      </c>
      <c r="N699" s="51">
        <v>0</v>
      </c>
    </row>
    <row r="700" spans="1:14" ht="15.75" x14ac:dyDescent="0.25">
      <c r="A700" s="49" t="s">
        <v>175</v>
      </c>
      <c r="B700" s="50" t="s">
        <v>66</v>
      </c>
      <c r="C700" s="51">
        <v>162788</v>
      </c>
      <c r="D700" s="51">
        <v>0</v>
      </c>
      <c r="E700" s="51">
        <v>0</v>
      </c>
      <c r="F700" s="51">
        <v>0</v>
      </c>
      <c r="G700" s="51">
        <v>0</v>
      </c>
      <c r="H700" s="51">
        <v>162788</v>
      </c>
      <c r="I700" s="51">
        <v>-162788</v>
      </c>
      <c r="J700" s="51">
        <v>0</v>
      </c>
      <c r="K700" s="51">
        <v>0</v>
      </c>
      <c r="L700" s="51">
        <v>0</v>
      </c>
      <c r="M700" s="51">
        <v>0</v>
      </c>
      <c r="N700" s="51">
        <v>0</v>
      </c>
    </row>
    <row r="701" spans="1:14" ht="15.75" x14ac:dyDescent="0.25">
      <c r="A701" s="49" t="s">
        <v>175</v>
      </c>
      <c r="B701" s="50" t="s">
        <v>67</v>
      </c>
      <c r="C701" s="51">
        <v>1276025</v>
      </c>
      <c r="D701" s="51">
        <v>-77667</v>
      </c>
      <c r="E701" s="51">
        <v>0</v>
      </c>
      <c r="F701" s="51">
        <v>0</v>
      </c>
      <c r="G701" s="51">
        <v>0</v>
      </c>
      <c r="H701" s="51">
        <v>1198358</v>
      </c>
      <c r="I701" s="51">
        <v>-1198358</v>
      </c>
      <c r="J701" s="51">
        <v>0</v>
      </c>
      <c r="K701" s="51">
        <v>620</v>
      </c>
      <c r="L701" s="51">
        <v>-620</v>
      </c>
      <c r="M701" s="51">
        <v>0</v>
      </c>
      <c r="N701" s="51">
        <v>0</v>
      </c>
    </row>
    <row r="702" spans="1:14" ht="15.75" x14ac:dyDescent="0.25">
      <c r="A702" s="49" t="s">
        <v>175</v>
      </c>
      <c r="B702" s="50" t="s">
        <v>68</v>
      </c>
      <c r="C702" s="51">
        <v>152017</v>
      </c>
      <c r="D702" s="51">
        <v>0</v>
      </c>
      <c r="E702" s="51">
        <v>0</v>
      </c>
      <c r="F702" s="51">
        <v>0</v>
      </c>
      <c r="G702" s="51">
        <v>0</v>
      </c>
      <c r="H702" s="51">
        <v>152017</v>
      </c>
      <c r="I702" s="51">
        <v>-152017</v>
      </c>
      <c r="J702" s="51">
        <v>0</v>
      </c>
      <c r="K702" s="51">
        <v>292892</v>
      </c>
      <c r="L702" s="51">
        <v>-292892</v>
      </c>
      <c r="M702" s="51">
        <v>0</v>
      </c>
      <c r="N702" s="51">
        <v>0</v>
      </c>
    </row>
    <row r="703" spans="1:14" ht="15.75" x14ac:dyDescent="0.25">
      <c r="A703" s="49" t="s">
        <v>175</v>
      </c>
      <c r="B703" s="50" t="s">
        <v>69</v>
      </c>
      <c r="C703" s="51">
        <v>0</v>
      </c>
      <c r="D703" s="51">
        <v>0</v>
      </c>
      <c r="E703" s="51">
        <v>0</v>
      </c>
      <c r="F703" s="51">
        <v>0</v>
      </c>
      <c r="G703" s="51">
        <v>0</v>
      </c>
      <c r="H703" s="51">
        <v>0</v>
      </c>
      <c r="I703" s="51">
        <v>0</v>
      </c>
      <c r="J703" s="51">
        <v>0</v>
      </c>
      <c r="K703" s="51">
        <v>7440</v>
      </c>
      <c r="L703" s="51">
        <v>-7440</v>
      </c>
      <c r="M703" s="51">
        <v>0</v>
      </c>
      <c r="N703" s="51">
        <v>0</v>
      </c>
    </row>
    <row r="704" spans="1:14" ht="15.75" x14ac:dyDescent="0.25">
      <c r="A704" s="49" t="s">
        <v>175</v>
      </c>
      <c r="B704" s="50" t="s">
        <v>176</v>
      </c>
      <c r="C704" s="51">
        <v>204632</v>
      </c>
      <c r="D704" s="51">
        <v>-9411</v>
      </c>
      <c r="E704" s="51">
        <v>0</v>
      </c>
      <c r="F704" s="51">
        <v>0</v>
      </c>
      <c r="G704" s="51">
        <v>0</v>
      </c>
      <c r="H704" s="51">
        <v>195221</v>
      </c>
      <c r="I704" s="51">
        <v>-195221</v>
      </c>
      <c r="J704" s="51">
        <v>0</v>
      </c>
      <c r="K704" s="51">
        <v>0</v>
      </c>
      <c r="L704" s="51">
        <v>0</v>
      </c>
      <c r="M704" s="51">
        <v>0</v>
      </c>
      <c r="N704" s="51">
        <v>0</v>
      </c>
    </row>
    <row r="705" spans="1:14" ht="15.75" x14ac:dyDescent="0.25">
      <c r="A705" s="52" t="s">
        <v>177</v>
      </c>
      <c r="B705" s="53" t="s">
        <v>8</v>
      </c>
      <c r="C705" s="19">
        <f>SUBTOTAL(109,Program027[(C)
Program
Costs])</f>
        <v>1965757</v>
      </c>
      <c r="D705" s="19">
        <f>SUBTOTAL(109,Program027[(D)
Prior Period Adjustments])</f>
        <v>-88078</v>
      </c>
      <c r="E705" s="19">
        <f>SUBTOTAL(109,Program027[(E)
Current Period Desk 
Reviews])</f>
        <v>0</v>
      </c>
      <c r="F705" s="19">
        <f>SUBTOTAL(109,Program027[(F)
Current Period 
Final 
Audits])</f>
        <v>0</v>
      </c>
      <c r="G705" s="19">
        <f>SUBTOTAL(109,Program027[(G)
Current Period 
Other Adjustments])</f>
        <v>0</v>
      </c>
      <c r="H705" s="19">
        <f>SUBTOTAL(109,Program027[(H)
Net Program Costs
Sum (C through G)])</f>
        <v>1877679</v>
      </c>
      <c r="I705" s="19">
        <f>SUBTOTAL(109,Program027[(I)
Payments
 and Offsets])</f>
        <v>-1877679</v>
      </c>
      <c r="J705" s="19">
        <f>SUBTOTAL(109,Program027[(J)
Accounts Payable Balance
(H + I)])</f>
        <v>0</v>
      </c>
      <c r="K705" s="19">
        <f>SUBTOTAL(109,Program027[(K)
Established 
Accounts Receivable])</f>
        <v>300952</v>
      </c>
      <c r="L705" s="19">
        <f>SUBTOTAL(109,Program027[(L)
Recovered
 Accounts Receivable])</f>
        <v>-300952</v>
      </c>
      <c r="M705" s="19">
        <f>SUBTOTAL(109,Program027[(M)
Accounts Receivable Balance
(K + L)])</f>
        <v>0</v>
      </c>
      <c r="N705" s="19">
        <f>SUBTOTAL(109,Program027[(N)
Net Balance
(J minus M)])</f>
        <v>0</v>
      </c>
    </row>
    <row r="706" spans="1:14" ht="15.75" x14ac:dyDescent="0.25">
      <c r="A706" s="17" t="s">
        <v>13</v>
      </c>
      <c r="B706" s="54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</row>
    <row r="707" spans="1:14" ht="78.75" x14ac:dyDescent="0.25">
      <c r="A707" s="39" t="s">
        <v>32</v>
      </c>
      <c r="B707" s="40" t="s">
        <v>33</v>
      </c>
      <c r="C707" s="41" t="s">
        <v>34</v>
      </c>
      <c r="D707" s="41" t="s">
        <v>35</v>
      </c>
      <c r="E707" s="42" t="s">
        <v>36</v>
      </c>
      <c r="F707" s="42" t="s">
        <v>37</v>
      </c>
      <c r="G707" s="42" t="s">
        <v>38</v>
      </c>
      <c r="H707" s="43" t="s">
        <v>39</v>
      </c>
      <c r="I707" s="44" t="s">
        <v>40</v>
      </c>
      <c r="J707" s="44" t="s">
        <v>41</v>
      </c>
      <c r="K707" s="42" t="s">
        <v>42</v>
      </c>
      <c r="L707" s="44" t="s">
        <v>43</v>
      </c>
      <c r="M707" s="44" t="s">
        <v>44</v>
      </c>
      <c r="N707" s="45" t="s">
        <v>45</v>
      </c>
    </row>
    <row r="708" spans="1:14" ht="15.75" x14ac:dyDescent="0.25">
      <c r="A708" s="46" t="s">
        <v>178</v>
      </c>
      <c r="B708" s="47" t="s">
        <v>53</v>
      </c>
      <c r="C708" s="48">
        <v>65114857</v>
      </c>
      <c r="D708" s="48">
        <v>-14835543</v>
      </c>
      <c r="E708" s="48">
        <v>0</v>
      </c>
      <c r="F708" s="48">
        <v>0</v>
      </c>
      <c r="G708" s="48">
        <v>0</v>
      </c>
      <c r="H708" s="48">
        <v>50279314</v>
      </c>
      <c r="I708" s="48">
        <v>-50279314</v>
      </c>
      <c r="J708" s="48">
        <v>0</v>
      </c>
      <c r="K708" s="48">
        <v>21340451</v>
      </c>
      <c r="L708" s="48">
        <v>-21340451</v>
      </c>
      <c r="M708" s="48">
        <v>0</v>
      </c>
      <c r="N708" s="48">
        <v>0</v>
      </c>
    </row>
    <row r="709" spans="1:14" ht="15.75" x14ac:dyDescent="0.25">
      <c r="A709" s="49" t="s">
        <v>178</v>
      </c>
      <c r="B709" s="50" t="s">
        <v>54</v>
      </c>
      <c r="C709" s="51">
        <v>66942199</v>
      </c>
      <c r="D709" s="51">
        <v>-16314508</v>
      </c>
      <c r="E709" s="51">
        <v>0</v>
      </c>
      <c r="F709" s="51">
        <v>0</v>
      </c>
      <c r="G709" s="51">
        <v>0</v>
      </c>
      <c r="H709" s="51">
        <v>50627691</v>
      </c>
      <c r="I709" s="51">
        <v>-50627691</v>
      </c>
      <c r="J709" s="51">
        <v>0</v>
      </c>
      <c r="K709" s="51">
        <v>21902662</v>
      </c>
      <c r="L709" s="51">
        <v>-21902662</v>
      </c>
      <c r="M709" s="51">
        <v>0</v>
      </c>
      <c r="N709" s="51">
        <v>0</v>
      </c>
    </row>
    <row r="710" spans="1:14" ht="15.75" x14ac:dyDescent="0.25">
      <c r="A710" s="49" t="s">
        <v>178</v>
      </c>
      <c r="B710" s="50" t="s">
        <v>55</v>
      </c>
      <c r="C710" s="51">
        <v>62213036</v>
      </c>
      <c r="D710" s="51">
        <v>-19581674</v>
      </c>
      <c r="E710" s="51">
        <v>0</v>
      </c>
      <c r="F710" s="51">
        <v>0</v>
      </c>
      <c r="G710" s="51">
        <v>0</v>
      </c>
      <c r="H710" s="51">
        <v>42631362</v>
      </c>
      <c r="I710" s="51">
        <v>-42631362</v>
      </c>
      <c r="J710" s="51">
        <v>0</v>
      </c>
      <c r="K710" s="51">
        <v>0</v>
      </c>
      <c r="L710" s="51">
        <v>0</v>
      </c>
      <c r="M710" s="51">
        <v>0</v>
      </c>
      <c r="N710" s="51">
        <v>0</v>
      </c>
    </row>
    <row r="711" spans="1:14" ht="15.75" x14ac:dyDescent="0.25">
      <c r="A711" s="49" t="s">
        <v>178</v>
      </c>
      <c r="B711" s="50" t="s">
        <v>56</v>
      </c>
      <c r="C711" s="51">
        <v>125750537</v>
      </c>
      <c r="D711" s="51">
        <v>-4043787</v>
      </c>
      <c r="E711" s="51">
        <v>0</v>
      </c>
      <c r="F711" s="51">
        <v>0</v>
      </c>
      <c r="G711" s="51">
        <v>0</v>
      </c>
      <c r="H711" s="51">
        <v>121706750</v>
      </c>
      <c r="I711" s="51">
        <v>-121706750</v>
      </c>
      <c r="J711" s="51">
        <v>0</v>
      </c>
      <c r="K711" s="51">
        <v>0</v>
      </c>
      <c r="L711" s="51">
        <v>0</v>
      </c>
      <c r="M711" s="51">
        <v>0</v>
      </c>
      <c r="N711" s="51">
        <v>0</v>
      </c>
    </row>
    <row r="712" spans="1:14" ht="15.75" x14ac:dyDescent="0.25">
      <c r="A712" s="49" t="s">
        <v>178</v>
      </c>
      <c r="B712" s="50" t="s">
        <v>57</v>
      </c>
      <c r="C712" s="51">
        <v>111407131</v>
      </c>
      <c r="D712" s="51">
        <v>-10159391</v>
      </c>
      <c r="E712" s="51">
        <v>0</v>
      </c>
      <c r="F712" s="51">
        <v>0</v>
      </c>
      <c r="G712" s="51">
        <v>0</v>
      </c>
      <c r="H712" s="51">
        <v>101247740</v>
      </c>
      <c r="I712" s="51">
        <v>-101247740</v>
      </c>
      <c r="J712" s="51">
        <v>0</v>
      </c>
      <c r="K712" s="51">
        <v>67076</v>
      </c>
      <c r="L712" s="51">
        <v>-67076</v>
      </c>
      <c r="M712" s="51">
        <v>0</v>
      </c>
      <c r="N712" s="51">
        <v>0</v>
      </c>
    </row>
    <row r="713" spans="1:14" ht="15.75" x14ac:dyDescent="0.25">
      <c r="A713" s="49" t="s">
        <v>178</v>
      </c>
      <c r="B713" s="50" t="s">
        <v>58</v>
      </c>
      <c r="C713" s="51">
        <v>86746557</v>
      </c>
      <c r="D713" s="51">
        <v>-18555329</v>
      </c>
      <c r="E713" s="51">
        <v>0</v>
      </c>
      <c r="F713" s="51">
        <v>0</v>
      </c>
      <c r="G713" s="51">
        <v>0</v>
      </c>
      <c r="H713" s="51">
        <v>68191228</v>
      </c>
      <c r="I713" s="51">
        <v>-68191228</v>
      </c>
      <c r="J713" s="51">
        <v>0</v>
      </c>
      <c r="K713" s="51">
        <v>3793011</v>
      </c>
      <c r="L713" s="51">
        <v>-3793011</v>
      </c>
      <c r="M713" s="51">
        <v>0</v>
      </c>
      <c r="N713" s="51">
        <v>0</v>
      </c>
    </row>
    <row r="714" spans="1:14" ht="15.75" x14ac:dyDescent="0.25">
      <c r="A714" s="49" t="s">
        <v>178</v>
      </c>
      <c r="B714" s="50" t="s">
        <v>59</v>
      </c>
      <c r="C714" s="51">
        <v>68880483</v>
      </c>
      <c r="D714" s="51">
        <v>-7578797</v>
      </c>
      <c r="E714" s="51">
        <v>0</v>
      </c>
      <c r="F714" s="51">
        <v>0</v>
      </c>
      <c r="G714" s="51">
        <v>0</v>
      </c>
      <c r="H714" s="51">
        <v>61301686</v>
      </c>
      <c r="I714" s="51">
        <v>-61301686</v>
      </c>
      <c r="J714" s="51">
        <v>0</v>
      </c>
      <c r="K714" s="51">
        <v>2924952</v>
      </c>
      <c r="L714" s="51">
        <v>-2924952</v>
      </c>
      <c r="M714" s="51">
        <v>0</v>
      </c>
      <c r="N714" s="51">
        <v>0</v>
      </c>
    </row>
    <row r="715" spans="1:14" ht="15.75" x14ac:dyDescent="0.25">
      <c r="A715" s="49" t="s">
        <v>178</v>
      </c>
      <c r="B715" s="50" t="s">
        <v>60</v>
      </c>
      <c r="C715" s="51">
        <v>53304358</v>
      </c>
      <c r="D715" s="51">
        <v>-6985156</v>
      </c>
      <c r="E715" s="51">
        <v>0</v>
      </c>
      <c r="F715" s="51">
        <v>0</v>
      </c>
      <c r="G715" s="51">
        <v>0</v>
      </c>
      <c r="H715" s="51">
        <v>46319202</v>
      </c>
      <c r="I715" s="51">
        <v>-46319202</v>
      </c>
      <c r="J715" s="51">
        <v>0</v>
      </c>
      <c r="K715" s="51">
        <v>12772679</v>
      </c>
      <c r="L715" s="51">
        <v>-12772679</v>
      </c>
      <c r="M715" s="51">
        <v>0</v>
      </c>
      <c r="N715" s="51">
        <v>0</v>
      </c>
    </row>
    <row r="716" spans="1:14" ht="15.75" x14ac:dyDescent="0.25">
      <c r="A716" s="49" t="s">
        <v>178</v>
      </c>
      <c r="B716" s="50" t="s">
        <v>61</v>
      </c>
      <c r="C716" s="51">
        <v>45619769</v>
      </c>
      <c r="D716" s="51">
        <v>-2252181</v>
      </c>
      <c r="E716" s="51">
        <v>0</v>
      </c>
      <c r="F716" s="51">
        <v>0</v>
      </c>
      <c r="G716" s="51">
        <v>0</v>
      </c>
      <c r="H716" s="51">
        <v>43367588</v>
      </c>
      <c r="I716" s="51">
        <v>-43367588</v>
      </c>
      <c r="J716" s="51">
        <v>0</v>
      </c>
      <c r="K716" s="51">
        <v>3127851</v>
      </c>
      <c r="L716" s="51">
        <v>-3127851</v>
      </c>
      <c r="M716" s="51">
        <v>0</v>
      </c>
      <c r="N716" s="51">
        <v>0</v>
      </c>
    </row>
    <row r="717" spans="1:14" ht="15.75" x14ac:dyDescent="0.25">
      <c r="A717" s="49" t="s">
        <v>178</v>
      </c>
      <c r="B717" s="50" t="s">
        <v>62</v>
      </c>
      <c r="C717" s="51">
        <v>38476003</v>
      </c>
      <c r="D717" s="51">
        <v>-1256588</v>
      </c>
      <c r="E717" s="51">
        <v>0</v>
      </c>
      <c r="F717" s="51">
        <v>0</v>
      </c>
      <c r="G717" s="51">
        <v>0</v>
      </c>
      <c r="H717" s="51">
        <v>37219415</v>
      </c>
      <c r="I717" s="51">
        <v>-37219415</v>
      </c>
      <c r="J717" s="51">
        <v>0</v>
      </c>
      <c r="K717" s="51">
        <v>1597436</v>
      </c>
      <c r="L717" s="51">
        <v>-1597436</v>
      </c>
      <c r="M717" s="51">
        <v>0</v>
      </c>
      <c r="N717" s="51">
        <v>0</v>
      </c>
    </row>
    <row r="718" spans="1:14" ht="15.75" x14ac:dyDescent="0.25">
      <c r="A718" s="49" t="s">
        <v>178</v>
      </c>
      <c r="B718" s="50" t="s">
        <v>63</v>
      </c>
      <c r="C718" s="51">
        <v>28964649</v>
      </c>
      <c r="D718" s="51">
        <v>-388234</v>
      </c>
      <c r="E718" s="51">
        <v>0</v>
      </c>
      <c r="F718" s="51">
        <v>0</v>
      </c>
      <c r="G718" s="51">
        <v>0</v>
      </c>
      <c r="H718" s="51">
        <v>28576415</v>
      </c>
      <c r="I718" s="51">
        <v>-28576415</v>
      </c>
      <c r="J718" s="51">
        <v>0</v>
      </c>
      <c r="K718" s="51">
        <v>676179</v>
      </c>
      <c r="L718" s="51">
        <v>-676179</v>
      </c>
      <c r="M718" s="51">
        <v>0</v>
      </c>
      <c r="N718" s="51">
        <v>0</v>
      </c>
    </row>
    <row r="719" spans="1:14" ht="15.75" x14ac:dyDescent="0.25">
      <c r="A719" s="49" t="s">
        <v>178</v>
      </c>
      <c r="B719" s="50" t="s">
        <v>64</v>
      </c>
      <c r="C719" s="51">
        <v>28919316</v>
      </c>
      <c r="D719" s="51">
        <v>3750010</v>
      </c>
      <c r="E719" s="51">
        <v>0</v>
      </c>
      <c r="F719" s="51">
        <v>0</v>
      </c>
      <c r="G719" s="51">
        <v>0</v>
      </c>
      <c r="H719" s="51">
        <v>32669326</v>
      </c>
      <c r="I719" s="51">
        <v>-32669326</v>
      </c>
      <c r="J719" s="51">
        <v>0</v>
      </c>
      <c r="K719" s="51">
        <v>668033</v>
      </c>
      <c r="L719" s="51">
        <v>-668033</v>
      </c>
      <c r="M719" s="51">
        <v>0</v>
      </c>
      <c r="N719" s="51">
        <v>0</v>
      </c>
    </row>
    <row r="720" spans="1:14" ht="15.75" x14ac:dyDescent="0.25">
      <c r="A720" s="49" t="s">
        <v>178</v>
      </c>
      <c r="B720" s="50" t="s">
        <v>65</v>
      </c>
      <c r="C720" s="51">
        <v>33804401</v>
      </c>
      <c r="D720" s="51">
        <v>-5040977</v>
      </c>
      <c r="E720" s="51">
        <v>0</v>
      </c>
      <c r="F720" s="51">
        <v>0</v>
      </c>
      <c r="G720" s="51">
        <v>0</v>
      </c>
      <c r="H720" s="51">
        <v>28763424</v>
      </c>
      <c r="I720" s="51">
        <v>-28763424</v>
      </c>
      <c r="J720" s="51">
        <v>0</v>
      </c>
      <c r="K720" s="51">
        <v>1367503</v>
      </c>
      <c r="L720" s="51">
        <v>-1367503</v>
      </c>
      <c r="M720" s="51">
        <v>0</v>
      </c>
      <c r="N720" s="51">
        <v>0</v>
      </c>
    </row>
    <row r="721" spans="1:14" ht="15.75" x14ac:dyDescent="0.25">
      <c r="A721" s="49" t="s">
        <v>178</v>
      </c>
      <c r="B721" s="50" t="s">
        <v>66</v>
      </c>
      <c r="C721" s="51">
        <v>28751523</v>
      </c>
      <c r="D721" s="51">
        <v>-3725736</v>
      </c>
      <c r="E721" s="51">
        <v>0</v>
      </c>
      <c r="F721" s="51">
        <v>0</v>
      </c>
      <c r="G721" s="51">
        <v>0</v>
      </c>
      <c r="H721" s="51">
        <v>25025787</v>
      </c>
      <c r="I721" s="51">
        <v>-25025787</v>
      </c>
      <c r="J721" s="51">
        <v>0</v>
      </c>
      <c r="K721" s="51">
        <v>199172</v>
      </c>
      <c r="L721" s="51">
        <v>-199172</v>
      </c>
      <c r="M721" s="51">
        <v>0</v>
      </c>
      <c r="N721" s="51">
        <v>0</v>
      </c>
    </row>
    <row r="722" spans="1:14" ht="15.75" x14ac:dyDescent="0.25">
      <c r="A722" s="49" t="s">
        <v>178</v>
      </c>
      <c r="B722" s="50" t="s">
        <v>67</v>
      </c>
      <c r="C722" s="51">
        <v>30568026</v>
      </c>
      <c r="D722" s="51">
        <v>-3981248</v>
      </c>
      <c r="E722" s="51">
        <v>0</v>
      </c>
      <c r="F722" s="51">
        <v>0</v>
      </c>
      <c r="G722" s="51">
        <v>0</v>
      </c>
      <c r="H722" s="51">
        <v>26586778</v>
      </c>
      <c r="I722" s="51">
        <v>-26586778</v>
      </c>
      <c r="J722" s="51">
        <v>0</v>
      </c>
      <c r="K722" s="51">
        <v>202340</v>
      </c>
      <c r="L722" s="51">
        <v>-202340</v>
      </c>
      <c r="M722" s="51">
        <v>0</v>
      </c>
      <c r="N722" s="51">
        <v>0</v>
      </c>
    </row>
    <row r="723" spans="1:14" ht="15.75" x14ac:dyDescent="0.25">
      <c r="A723" s="49" t="s">
        <v>178</v>
      </c>
      <c r="B723" s="50" t="s">
        <v>68</v>
      </c>
      <c r="C723" s="51">
        <v>20649819</v>
      </c>
      <c r="D723" s="51">
        <v>-5697133</v>
      </c>
      <c r="E723" s="51">
        <v>0</v>
      </c>
      <c r="F723" s="51">
        <v>0</v>
      </c>
      <c r="G723" s="51">
        <v>0</v>
      </c>
      <c r="H723" s="51">
        <v>14952686</v>
      </c>
      <c r="I723" s="51">
        <v>-14952686</v>
      </c>
      <c r="J723" s="51">
        <v>0</v>
      </c>
      <c r="K723" s="51">
        <v>3649063</v>
      </c>
      <c r="L723" s="51">
        <v>-3649063</v>
      </c>
      <c r="M723" s="51">
        <v>0</v>
      </c>
      <c r="N723" s="51">
        <v>0</v>
      </c>
    </row>
    <row r="724" spans="1:14" ht="15.75" x14ac:dyDescent="0.25">
      <c r="A724" s="49" t="s">
        <v>178</v>
      </c>
      <c r="B724" s="50" t="s">
        <v>69</v>
      </c>
      <c r="C724" s="51">
        <v>13635322</v>
      </c>
      <c r="D724" s="51">
        <v>-4783488</v>
      </c>
      <c r="E724" s="51">
        <v>0</v>
      </c>
      <c r="F724" s="51">
        <v>0</v>
      </c>
      <c r="G724" s="51">
        <v>0</v>
      </c>
      <c r="H724" s="51">
        <v>8851834</v>
      </c>
      <c r="I724" s="51">
        <v>-8851834</v>
      </c>
      <c r="J724" s="51">
        <v>0</v>
      </c>
      <c r="K724" s="51">
        <v>3233713</v>
      </c>
      <c r="L724" s="51">
        <v>-3233713</v>
      </c>
      <c r="M724" s="51">
        <v>0</v>
      </c>
      <c r="N724" s="51">
        <v>0</v>
      </c>
    </row>
    <row r="725" spans="1:14" ht="15.75" x14ac:dyDescent="0.25">
      <c r="A725" s="49" t="s">
        <v>178</v>
      </c>
      <c r="B725" s="50" t="s">
        <v>115</v>
      </c>
      <c r="C725" s="51">
        <v>11993713</v>
      </c>
      <c r="D725" s="51">
        <v>-2949320</v>
      </c>
      <c r="E725" s="51">
        <v>0</v>
      </c>
      <c r="F725" s="51">
        <v>0</v>
      </c>
      <c r="G725" s="51">
        <v>0</v>
      </c>
      <c r="H725" s="51">
        <v>9044393</v>
      </c>
      <c r="I725" s="51">
        <v>-9044393</v>
      </c>
      <c r="J725" s="51">
        <v>0</v>
      </c>
      <c r="K725" s="51">
        <v>1639255</v>
      </c>
      <c r="L725" s="51">
        <v>-1639255</v>
      </c>
      <c r="M725" s="51">
        <v>0</v>
      </c>
      <c r="N725" s="51">
        <v>0</v>
      </c>
    </row>
    <row r="726" spans="1:14" ht="15.75" x14ac:dyDescent="0.25">
      <c r="A726" s="49" t="s">
        <v>178</v>
      </c>
      <c r="B726" s="50" t="s">
        <v>99</v>
      </c>
      <c r="C726" s="51">
        <v>5592284</v>
      </c>
      <c r="D726" s="51">
        <v>-1502349</v>
      </c>
      <c r="E726" s="51">
        <v>0</v>
      </c>
      <c r="F726" s="51">
        <v>0</v>
      </c>
      <c r="G726" s="51">
        <v>0</v>
      </c>
      <c r="H726" s="51">
        <v>4089935</v>
      </c>
      <c r="I726" s="51">
        <v>-4089935</v>
      </c>
      <c r="J726" s="51">
        <v>0</v>
      </c>
      <c r="K726" s="51">
        <v>758582</v>
      </c>
      <c r="L726" s="51">
        <v>-758582</v>
      </c>
      <c r="M726" s="51">
        <v>0</v>
      </c>
      <c r="N726" s="51">
        <v>0</v>
      </c>
    </row>
    <row r="727" spans="1:14" ht="15.75" x14ac:dyDescent="0.25">
      <c r="A727" s="49" t="s">
        <v>178</v>
      </c>
      <c r="B727" s="50" t="s">
        <v>100</v>
      </c>
      <c r="C727" s="51">
        <v>4097735</v>
      </c>
      <c r="D727" s="51">
        <v>-787522</v>
      </c>
      <c r="E727" s="51">
        <v>0</v>
      </c>
      <c r="F727" s="51">
        <v>0</v>
      </c>
      <c r="G727" s="51">
        <v>0</v>
      </c>
      <c r="H727" s="51">
        <v>3310213</v>
      </c>
      <c r="I727" s="51">
        <v>-3310213</v>
      </c>
      <c r="J727" s="51">
        <v>0</v>
      </c>
      <c r="K727" s="51">
        <v>476537</v>
      </c>
      <c r="L727" s="51">
        <v>-476537</v>
      </c>
      <c r="M727" s="51">
        <v>0</v>
      </c>
      <c r="N727" s="51">
        <v>0</v>
      </c>
    </row>
    <row r="728" spans="1:14" ht="15.75" x14ac:dyDescent="0.25">
      <c r="A728" s="52" t="s">
        <v>179</v>
      </c>
      <c r="B728" s="53" t="s">
        <v>8</v>
      </c>
      <c r="C728" s="19">
        <f>SUBTOTAL(109,Program111[(C)
Program
Costs])</f>
        <v>931431718</v>
      </c>
      <c r="D728" s="19">
        <f>SUBTOTAL(109,Program111[(D)
Prior Period Adjustments])</f>
        <v>-126668951</v>
      </c>
      <c r="E728" s="19">
        <f>SUBTOTAL(109,Program111[(E)
Current Period Desk 
Reviews])</f>
        <v>0</v>
      </c>
      <c r="F728" s="19">
        <f>SUBTOTAL(109,Program111[(F)
Current Period 
Final 
Audits])</f>
        <v>0</v>
      </c>
      <c r="G728" s="19">
        <f>SUBTOTAL(109,Program111[(G)
Current Period 
Other Adjustments])</f>
        <v>0</v>
      </c>
      <c r="H728" s="19">
        <f>SUBTOTAL(109,Program111[(H)
Net Program Costs
Sum (C through G)])</f>
        <v>804762767</v>
      </c>
      <c r="I728" s="19">
        <f>SUBTOTAL(109,Program111[(I)
Payments
 and Offsets])</f>
        <v>-804762767</v>
      </c>
      <c r="J728" s="19">
        <f>SUBTOTAL(109,Program111[(J)
Accounts Payable Balance
(H + I)])</f>
        <v>0</v>
      </c>
      <c r="K728" s="19">
        <f>SUBTOTAL(109,Program111[(K)
Established 
Accounts Receivable])</f>
        <v>80396495</v>
      </c>
      <c r="L728" s="19">
        <f>SUBTOTAL(109,Program111[(L)
Recovered
 Accounts Receivable])</f>
        <v>-80396495</v>
      </c>
      <c r="M728" s="19">
        <f>SUBTOTAL(109,Program111[(M)
Accounts Receivable Balance
(K + L)])</f>
        <v>0</v>
      </c>
      <c r="N728" s="19">
        <f>SUBTOTAL(109,Program111[(N)
Net Balance
(J minus M)])</f>
        <v>0</v>
      </c>
    </row>
    <row r="729" spans="1:14" ht="15.75" x14ac:dyDescent="0.25">
      <c r="A729" s="17" t="s">
        <v>13</v>
      </c>
      <c r="B729" s="54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</row>
    <row r="730" spans="1:14" ht="78.75" x14ac:dyDescent="0.25">
      <c r="A730" s="39" t="s">
        <v>32</v>
      </c>
      <c r="B730" s="40" t="s">
        <v>33</v>
      </c>
      <c r="C730" s="41" t="s">
        <v>34</v>
      </c>
      <c r="D730" s="41" t="s">
        <v>35</v>
      </c>
      <c r="E730" s="42" t="s">
        <v>36</v>
      </c>
      <c r="F730" s="42" t="s">
        <v>37</v>
      </c>
      <c r="G730" s="42" t="s">
        <v>38</v>
      </c>
      <c r="H730" s="43" t="s">
        <v>39</v>
      </c>
      <c r="I730" s="44" t="s">
        <v>40</v>
      </c>
      <c r="J730" s="44" t="s">
        <v>41</v>
      </c>
      <c r="K730" s="42" t="s">
        <v>42</v>
      </c>
      <c r="L730" s="44" t="s">
        <v>43</v>
      </c>
      <c r="M730" s="44" t="s">
        <v>44</v>
      </c>
      <c r="N730" s="45" t="s">
        <v>45</v>
      </c>
    </row>
    <row r="731" spans="1:14" ht="15.75" x14ac:dyDescent="0.25">
      <c r="A731" s="46" t="s">
        <v>180</v>
      </c>
      <c r="B731" s="47" t="s">
        <v>53</v>
      </c>
      <c r="C731" s="48">
        <v>1436252</v>
      </c>
      <c r="D731" s="48">
        <v>-22940</v>
      </c>
      <c r="E731" s="48">
        <v>0</v>
      </c>
      <c r="F731" s="48">
        <v>0</v>
      </c>
      <c r="G731" s="48">
        <v>0</v>
      </c>
      <c r="H731" s="48">
        <v>1413312</v>
      </c>
      <c r="I731" s="48">
        <v>-1413312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</row>
    <row r="732" spans="1:14" ht="15.75" x14ac:dyDescent="0.25">
      <c r="A732" s="49" t="s">
        <v>180</v>
      </c>
      <c r="B732" s="50" t="s">
        <v>54</v>
      </c>
      <c r="C732" s="51">
        <v>2027657</v>
      </c>
      <c r="D732" s="51">
        <v>-1905004</v>
      </c>
      <c r="E732" s="51">
        <v>0</v>
      </c>
      <c r="F732" s="51">
        <v>0</v>
      </c>
      <c r="G732" s="51">
        <v>0</v>
      </c>
      <c r="H732" s="51">
        <v>122653</v>
      </c>
      <c r="I732" s="51">
        <v>-122653</v>
      </c>
      <c r="J732" s="51">
        <v>0</v>
      </c>
      <c r="K732" s="51">
        <v>0</v>
      </c>
      <c r="L732" s="51">
        <v>0</v>
      </c>
      <c r="M732" s="51">
        <v>0</v>
      </c>
      <c r="N732" s="51">
        <v>0</v>
      </c>
    </row>
    <row r="733" spans="1:14" ht="15.75" x14ac:dyDescent="0.25">
      <c r="A733" s="49" t="s">
        <v>180</v>
      </c>
      <c r="B733" s="50" t="s">
        <v>55</v>
      </c>
      <c r="C733" s="51">
        <v>2504848</v>
      </c>
      <c r="D733" s="51">
        <v>-1321153</v>
      </c>
      <c r="E733" s="51">
        <v>0</v>
      </c>
      <c r="F733" s="51">
        <v>0</v>
      </c>
      <c r="G733" s="51">
        <v>0</v>
      </c>
      <c r="H733" s="51">
        <v>1183695</v>
      </c>
      <c r="I733" s="51">
        <v>-1183695</v>
      </c>
      <c r="J733" s="51">
        <v>0</v>
      </c>
      <c r="K733" s="51">
        <v>0</v>
      </c>
      <c r="L733" s="51">
        <v>0</v>
      </c>
      <c r="M733" s="51">
        <v>0</v>
      </c>
      <c r="N733" s="51">
        <v>0</v>
      </c>
    </row>
    <row r="734" spans="1:14" ht="15.75" x14ac:dyDescent="0.25">
      <c r="A734" s="49" t="s">
        <v>180</v>
      </c>
      <c r="B734" s="50" t="s">
        <v>56</v>
      </c>
      <c r="C734" s="51">
        <v>4619233</v>
      </c>
      <c r="D734" s="51">
        <v>-1660556</v>
      </c>
      <c r="E734" s="51">
        <v>0</v>
      </c>
      <c r="F734" s="51">
        <v>0</v>
      </c>
      <c r="G734" s="51">
        <v>0</v>
      </c>
      <c r="H734" s="51">
        <v>2958677</v>
      </c>
      <c r="I734" s="51">
        <v>-2958677</v>
      </c>
      <c r="J734" s="51">
        <v>0</v>
      </c>
      <c r="K734" s="51">
        <v>0</v>
      </c>
      <c r="L734" s="51">
        <v>0</v>
      </c>
      <c r="M734" s="51">
        <v>0</v>
      </c>
      <c r="N734" s="51">
        <v>0</v>
      </c>
    </row>
    <row r="735" spans="1:14" ht="15.75" x14ac:dyDescent="0.25">
      <c r="A735" s="49" t="s">
        <v>180</v>
      </c>
      <c r="B735" s="50" t="s">
        <v>57</v>
      </c>
      <c r="C735" s="51">
        <v>3030306</v>
      </c>
      <c r="D735" s="51">
        <v>-686884</v>
      </c>
      <c r="E735" s="51">
        <v>0</v>
      </c>
      <c r="F735" s="51">
        <v>0</v>
      </c>
      <c r="G735" s="51">
        <v>0</v>
      </c>
      <c r="H735" s="51">
        <v>2343422</v>
      </c>
      <c r="I735" s="51">
        <v>-2343422</v>
      </c>
      <c r="J735" s="51">
        <v>0</v>
      </c>
      <c r="K735" s="51">
        <v>0</v>
      </c>
      <c r="L735" s="51">
        <v>0</v>
      </c>
      <c r="M735" s="51">
        <v>0</v>
      </c>
      <c r="N735" s="51">
        <v>0</v>
      </c>
    </row>
    <row r="736" spans="1:14" ht="15.75" x14ac:dyDescent="0.25">
      <c r="A736" s="52" t="s">
        <v>181</v>
      </c>
      <c r="B736" s="53" t="s">
        <v>8</v>
      </c>
      <c r="C736" s="19">
        <f>SUBTOTAL(109,Program263[(C)
Program
Costs])</f>
        <v>13618296</v>
      </c>
      <c r="D736" s="19">
        <f>SUBTOTAL(109,Program263[(D)
Prior Period Adjustments])</f>
        <v>-5596537</v>
      </c>
      <c r="E736" s="19">
        <f>SUBTOTAL(109,Program263[(E)
Current Period Desk 
Reviews])</f>
        <v>0</v>
      </c>
      <c r="F736" s="19">
        <f>SUBTOTAL(109,Program263[(F)
Current Period 
Final 
Audits])</f>
        <v>0</v>
      </c>
      <c r="G736" s="19">
        <f>SUBTOTAL(109,Program263[(G)
Current Period 
Other Adjustments])</f>
        <v>0</v>
      </c>
      <c r="H736" s="19">
        <f>SUBTOTAL(109,Program263[(H)
Net Program Costs
Sum (C through G)])</f>
        <v>8021759</v>
      </c>
      <c r="I736" s="19">
        <f>SUBTOTAL(109,Program263[(I)
Payments
 and Offsets])</f>
        <v>-8021759</v>
      </c>
      <c r="J736" s="19">
        <f>SUBTOTAL(109,Program263[(J)
Accounts Payable Balance
(H + I)])</f>
        <v>0</v>
      </c>
      <c r="K736" s="19">
        <f>SUBTOTAL(109,Program263[(K)
Established 
Accounts Receivable])</f>
        <v>0</v>
      </c>
      <c r="L736" s="19">
        <f>SUBTOTAL(109,Program263[(L)
Recovered
 Accounts Receivable])</f>
        <v>0</v>
      </c>
      <c r="M736" s="19">
        <f>SUBTOTAL(109,Program263[(M)
Accounts Receivable Balance
(K + L)])</f>
        <v>0</v>
      </c>
      <c r="N736" s="19">
        <f>SUBTOTAL(109,Program263[(N)
Net Balance
(J minus M)])</f>
        <v>0</v>
      </c>
    </row>
    <row r="737" spans="1:14" ht="15.75" x14ac:dyDescent="0.25">
      <c r="A737" s="17" t="s">
        <v>13</v>
      </c>
      <c r="B737" s="54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</row>
    <row r="738" spans="1:14" ht="78.75" x14ac:dyDescent="0.25">
      <c r="A738" s="39" t="s">
        <v>32</v>
      </c>
      <c r="B738" s="40" t="s">
        <v>33</v>
      </c>
      <c r="C738" s="41" t="s">
        <v>34</v>
      </c>
      <c r="D738" s="41" t="s">
        <v>35</v>
      </c>
      <c r="E738" s="42" t="s">
        <v>36</v>
      </c>
      <c r="F738" s="42" t="s">
        <v>37</v>
      </c>
      <c r="G738" s="42" t="s">
        <v>38</v>
      </c>
      <c r="H738" s="43" t="s">
        <v>39</v>
      </c>
      <c r="I738" s="44" t="s">
        <v>40</v>
      </c>
      <c r="J738" s="44" t="s">
        <v>41</v>
      </c>
      <c r="K738" s="42" t="s">
        <v>42</v>
      </c>
      <c r="L738" s="44" t="s">
        <v>43</v>
      </c>
      <c r="M738" s="44" t="s">
        <v>44</v>
      </c>
      <c r="N738" s="45" t="s">
        <v>45</v>
      </c>
    </row>
    <row r="739" spans="1:14" ht="60" x14ac:dyDescent="0.25">
      <c r="A739" s="67" t="s">
        <v>182</v>
      </c>
      <c r="B739" s="57" t="s">
        <v>48</v>
      </c>
      <c r="C739" s="58">
        <v>36734731</v>
      </c>
      <c r="D739" s="58">
        <v>-20000</v>
      </c>
      <c r="E739" s="58">
        <v>0</v>
      </c>
      <c r="F739" s="58">
        <v>0</v>
      </c>
      <c r="G739" s="58">
        <v>0</v>
      </c>
      <c r="H739" s="58">
        <v>36714731</v>
      </c>
      <c r="I739" s="58">
        <v>-36714731</v>
      </c>
      <c r="J739" s="58">
        <v>0</v>
      </c>
      <c r="K739" s="58">
        <v>0</v>
      </c>
      <c r="L739" s="58">
        <v>0</v>
      </c>
      <c r="M739" s="58">
        <v>0</v>
      </c>
      <c r="N739" s="58">
        <v>0</v>
      </c>
    </row>
    <row r="740" spans="1:14" ht="60" x14ac:dyDescent="0.25">
      <c r="A740" s="68" t="s">
        <v>182</v>
      </c>
      <c r="B740" s="60" t="s">
        <v>49</v>
      </c>
      <c r="C740" s="61">
        <v>134538785</v>
      </c>
      <c r="D740" s="61">
        <v>-17414209</v>
      </c>
      <c r="E740" s="61">
        <v>0</v>
      </c>
      <c r="F740" s="61">
        <v>0</v>
      </c>
      <c r="G740" s="61">
        <v>0</v>
      </c>
      <c r="H740" s="61">
        <v>117124576</v>
      </c>
      <c r="I740" s="61">
        <v>-117124576</v>
      </c>
      <c r="J740" s="61">
        <v>0</v>
      </c>
      <c r="K740" s="61">
        <v>2030971</v>
      </c>
      <c r="L740" s="61">
        <v>-2030971</v>
      </c>
      <c r="M740" s="61">
        <v>0</v>
      </c>
      <c r="N740" s="61">
        <v>0</v>
      </c>
    </row>
    <row r="741" spans="1:14" ht="60" x14ac:dyDescent="0.25">
      <c r="A741" s="68" t="s">
        <v>182</v>
      </c>
      <c r="B741" s="60" t="s">
        <v>50</v>
      </c>
      <c r="C741" s="61">
        <v>45838892</v>
      </c>
      <c r="D741" s="61">
        <v>-19877572</v>
      </c>
      <c r="E741" s="61">
        <v>0</v>
      </c>
      <c r="F741" s="61">
        <v>0</v>
      </c>
      <c r="G741" s="61">
        <v>0</v>
      </c>
      <c r="H741" s="61">
        <v>25961320</v>
      </c>
      <c r="I741" s="61">
        <v>-25961320</v>
      </c>
      <c r="J741" s="61">
        <v>0</v>
      </c>
      <c r="K741" s="61">
        <v>1157294</v>
      </c>
      <c r="L741" s="61">
        <v>-1157294</v>
      </c>
      <c r="M741" s="61">
        <v>0</v>
      </c>
      <c r="N741" s="61">
        <v>0</v>
      </c>
    </row>
    <row r="742" spans="1:14" ht="60" x14ac:dyDescent="0.25">
      <c r="A742" s="68" t="s">
        <v>182</v>
      </c>
      <c r="B742" s="60" t="s">
        <v>51</v>
      </c>
      <c r="C742" s="61">
        <v>83722137</v>
      </c>
      <c r="D742" s="61">
        <v>-26274457</v>
      </c>
      <c r="E742" s="61">
        <v>0</v>
      </c>
      <c r="F742" s="61">
        <v>0</v>
      </c>
      <c r="G742" s="61">
        <v>0</v>
      </c>
      <c r="H742" s="61">
        <v>57447680</v>
      </c>
      <c r="I742" s="61">
        <v>-57447680</v>
      </c>
      <c r="J742" s="61">
        <v>0</v>
      </c>
      <c r="K742" s="61">
        <v>1348669</v>
      </c>
      <c r="L742" s="61">
        <v>-1348669</v>
      </c>
      <c r="M742" s="61">
        <v>0</v>
      </c>
      <c r="N742" s="61">
        <v>0</v>
      </c>
    </row>
    <row r="743" spans="1:14" ht="60" x14ac:dyDescent="0.25">
      <c r="A743" s="68" t="s">
        <v>182</v>
      </c>
      <c r="B743" s="60" t="s">
        <v>52</v>
      </c>
      <c r="C743" s="61">
        <v>61029832</v>
      </c>
      <c r="D743" s="61">
        <v>-25320479</v>
      </c>
      <c r="E743" s="61">
        <v>0</v>
      </c>
      <c r="F743" s="61">
        <v>0</v>
      </c>
      <c r="G743" s="61">
        <v>0</v>
      </c>
      <c r="H743" s="61">
        <v>35709353</v>
      </c>
      <c r="I743" s="61">
        <v>-35709353</v>
      </c>
      <c r="J743" s="61">
        <v>0</v>
      </c>
      <c r="K743" s="61">
        <v>16800367</v>
      </c>
      <c r="L743" s="61">
        <v>-16800367</v>
      </c>
      <c r="M743" s="61">
        <v>0</v>
      </c>
      <c r="N743" s="61">
        <v>0</v>
      </c>
    </row>
    <row r="744" spans="1:14" ht="15.75" x14ac:dyDescent="0.25">
      <c r="A744" s="52" t="s">
        <v>183</v>
      </c>
      <c r="B744" s="53" t="s">
        <v>8</v>
      </c>
      <c r="C744" s="19">
        <f>SUBTOTAL(109,Program273[(C)
Program
Costs])</f>
        <v>361864377</v>
      </c>
      <c r="D744" s="19">
        <f>SUBTOTAL(109,Program273[(D)
Prior Period Adjustments])</f>
        <v>-88906717</v>
      </c>
      <c r="E744" s="19">
        <f>SUBTOTAL(109,Program273[(E)
Current Period Desk 
Reviews])</f>
        <v>0</v>
      </c>
      <c r="F744" s="19">
        <f>SUBTOTAL(109,Program273[(F)
Current Period 
Final 
Audits])</f>
        <v>0</v>
      </c>
      <c r="G744" s="19">
        <f>SUBTOTAL(109,Program273[(G)
Current Period 
Other Adjustments])</f>
        <v>0</v>
      </c>
      <c r="H744" s="19">
        <f>SUBTOTAL(109,Program273[(H)
Net Program Costs
Sum (C through G)])</f>
        <v>272957660</v>
      </c>
      <c r="I744" s="19">
        <f>SUBTOTAL(109,Program273[(I)
Payments
 and Offsets])</f>
        <v>-272957660</v>
      </c>
      <c r="J744" s="19">
        <f>SUBTOTAL(109,Program273[(J)
Accounts Payable Balance
(H + I)])</f>
        <v>0</v>
      </c>
      <c r="K744" s="19">
        <f>SUBTOTAL(109,Program273[(K)
Established 
Accounts Receivable])</f>
        <v>21337301</v>
      </c>
      <c r="L744" s="19">
        <f>SUBTOTAL(109,Program273[(L)
Recovered
 Accounts Receivable])</f>
        <v>-21337301</v>
      </c>
      <c r="M744" s="19">
        <f>SUBTOTAL(109,Program273[(M)
Accounts Receivable Balance
(K + L)])</f>
        <v>0</v>
      </c>
      <c r="N744" s="19">
        <f>SUBTOTAL(109,Program273[(N)
Net Balance
(J minus M)])</f>
        <v>0</v>
      </c>
    </row>
    <row r="745" spans="1:14" ht="15.75" x14ac:dyDescent="0.25">
      <c r="A745" s="17" t="s">
        <v>13</v>
      </c>
      <c r="B745" s="54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</row>
    <row r="746" spans="1:14" ht="78.75" x14ac:dyDescent="0.25">
      <c r="A746" s="39" t="s">
        <v>32</v>
      </c>
      <c r="B746" s="40" t="s">
        <v>33</v>
      </c>
      <c r="C746" s="41" t="s">
        <v>34</v>
      </c>
      <c r="D746" s="41" t="s">
        <v>35</v>
      </c>
      <c r="E746" s="42" t="s">
        <v>36</v>
      </c>
      <c r="F746" s="42" t="s">
        <v>37</v>
      </c>
      <c r="G746" s="42" t="s">
        <v>38</v>
      </c>
      <c r="H746" s="43" t="s">
        <v>39</v>
      </c>
      <c r="I746" s="44" t="s">
        <v>40</v>
      </c>
      <c r="J746" s="44" t="s">
        <v>41</v>
      </c>
      <c r="K746" s="42" t="s">
        <v>42</v>
      </c>
      <c r="L746" s="44" t="s">
        <v>43</v>
      </c>
      <c r="M746" s="44" t="s">
        <v>44</v>
      </c>
      <c r="N746" s="45" t="s">
        <v>45</v>
      </c>
    </row>
    <row r="747" spans="1:14" ht="30" x14ac:dyDescent="0.25">
      <c r="A747" s="67" t="s">
        <v>184</v>
      </c>
      <c r="B747" s="57" t="s">
        <v>76</v>
      </c>
      <c r="C747" s="58">
        <v>2511671</v>
      </c>
      <c r="D747" s="58">
        <v>0</v>
      </c>
      <c r="E747" s="58">
        <v>0</v>
      </c>
      <c r="F747" s="58">
        <v>0</v>
      </c>
      <c r="G747" s="58">
        <v>0</v>
      </c>
      <c r="H747" s="58">
        <v>2511671</v>
      </c>
      <c r="I747" s="58">
        <v>0</v>
      </c>
      <c r="J747" s="58">
        <v>2511671</v>
      </c>
      <c r="K747" s="58">
        <v>0</v>
      </c>
      <c r="L747" s="58">
        <v>0</v>
      </c>
      <c r="M747" s="58">
        <v>0</v>
      </c>
      <c r="N747" s="58">
        <v>2511671</v>
      </c>
    </row>
    <row r="748" spans="1:14" ht="30" x14ac:dyDescent="0.25">
      <c r="A748" s="68" t="s">
        <v>184</v>
      </c>
      <c r="B748" s="60" t="s">
        <v>77</v>
      </c>
      <c r="C748" s="61">
        <v>2655833</v>
      </c>
      <c r="D748" s="61">
        <v>0</v>
      </c>
      <c r="E748" s="61">
        <v>-44879</v>
      </c>
      <c r="F748" s="61">
        <v>0</v>
      </c>
      <c r="G748" s="61">
        <v>0</v>
      </c>
      <c r="H748" s="61">
        <v>2610954</v>
      </c>
      <c r="I748" s="61">
        <v>-2610954</v>
      </c>
      <c r="J748" s="61">
        <v>0</v>
      </c>
      <c r="K748" s="61">
        <v>5269</v>
      </c>
      <c r="L748" s="61">
        <v>0</v>
      </c>
      <c r="M748" s="61">
        <v>5269</v>
      </c>
      <c r="N748" s="61">
        <v>-5269</v>
      </c>
    </row>
    <row r="749" spans="1:14" ht="30" x14ac:dyDescent="0.25">
      <c r="A749" s="68" t="s">
        <v>184</v>
      </c>
      <c r="B749" s="60" t="s">
        <v>78</v>
      </c>
      <c r="C749" s="61">
        <v>2656125</v>
      </c>
      <c r="D749" s="61">
        <v>-25039</v>
      </c>
      <c r="E749" s="61">
        <v>0</v>
      </c>
      <c r="F749" s="61">
        <v>0</v>
      </c>
      <c r="G749" s="61">
        <v>0</v>
      </c>
      <c r="H749" s="61">
        <v>2631086</v>
      </c>
      <c r="I749" s="61">
        <v>-2631086</v>
      </c>
      <c r="J749" s="61">
        <v>0</v>
      </c>
      <c r="K749" s="61">
        <v>2026</v>
      </c>
      <c r="L749" s="61">
        <v>0</v>
      </c>
      <c r="M749" s="61">
        <v>2026</v>
      </c>
      <c r="N749" s="61">
        <v>-2026</v>
      </c>
    </row>
    <row r="750" spans="1:14" ht="30" x14ac:dyDescent="0.25">
      <c r="A750" s="68" t="s">
        <v>184</v>
      </c>
      <c r="B750" s="60" t="s">
        <v>47</v>
      </c>
      <c r="C750" s="61">
        <v>2574794</v>
      </c>
      <c r="D750" s="61">
        <v>-19603</v>
      </c>
      <c r="E750" s="61">
        <v>0</v>
      </c>
      <c r="F750" s="61">
        <v>0</v>
      </c>
      <c r="G750" s="61">
        <v>0</v>
      </c>
      <c r="H750" s="61">
        <v>2555191</v>
      </c>
      <c r="I750" s="61">
        <v>-2555191</v>
      </c>
      <c r="J750" s="61">
        <v>0</v>
      </c>
      <c r="K750" s="61">
        <v>12315</v>
      </c>
      <c r="L750" s="61">
        <v>-12315</v>
      </c>
      <c r="M750" s="61">
        <v>0</v>
      </c>
      <c r="N750" s="61">
        <v>0</v>
      </c>
    </row>
    <row r="751" spans="1:14" ht="30" x14ac:dyDescent="0.25">
      <c r="A751" s="68" t="s">
        <v>184</v>
      </c>
      <c r="B751" s="60" t="s">
        <v>79</v>
      </c>
      <c r="C751" s="61">
        <v>2438704</v>
      </c>
      <c r="D751" s="61">
        <v>-20665</v>
      </c>
      <c r="E751" s="61">
        <v>0</v>
      </c>
      <c r="F751" s="61">
        <v>0</v>
      </c>
      <c r="G751" s="61">
        <v>0</v>
      </c>
      <c r="H751" s="61">
        <v>2418039</v>
      </c>
      <c r="I751" s="61">
        <v>-2418039</v>
      </c>
      <c r="J751" s="61">
        <v>0</v>
      </c>
      <c r="K751" s="61">
        <v>12275</v>
      </c>
      <c r="L751" s="61">
        <v>-12275</v>
      </c>
      <c r="M751" s="61">
        <v>0</v>
      </c>
      <c r="N751" s="61">
        <v>0</v>
      </c>
    </row>
    <row r="752" spans="1:14" ht="30" x14ac:dyDescent="0.25">
      <c r="A752" s="68" t="s">
        <v>184</v>
      </c>
      <c r="B752" s="60" t="s">
        <v>80</v>
      </c>
      <c r="C752" s="61">
        <v>2506369</v>
      </c>
      <c r="D752" s="61">
        <v>14093</v>
      </c>
      <c r="E752" s="61">
        <v>0</v>
      </c>
      <c r="F752" s="61">
        <v>0</v>
      </c>
      <c r="G752" s="61">
        <v>0</v>
      </c>
      <c r="H752" s="61">
        <v>2520462</v>
      </c>
      <c r="I752" s="61">
        <v>-2520462</v>
      </c>
      <c r="J752" s="61">
        <v>0</v>
      </c>
      <c r="K752" s="61">
        <v>8435</v>
      </c>
      <c r="L752" s="61">
        <v>-8435</v>
      </c>
      <c r="M752" s="61">
        <v>0</v>
      </c>
      <c r="N752" s="61">
        <v>0</v>
      </c>
    </row>
    <row r="753" spans="1:14" ht="30" x14ac:dyDescent="0.25">
      <c r="A753" s="68" t="s">
        <v>184</v>
      </c>
      <c r="B753" s="60" t="s">
        <v>81</v>
      </c>
      <c r="C753" s="61">
        <v>2379614</v>
      </c>
      <c r="D753" s="61">
        <v>-10352</v>
      </c>
      <c r="E753" s="61">
        <v>0</v>
      </c>
      <c r="F753" s="61">
        <v>0</v>
      </c>
      <c r="G753" s="61">
        <v>0</v>
      </c>
      <c r="H753" s="61">
        <v>2369262</v>
      </c>
      <c r="I753" s="61">
        <v>-2369262</v>
      </c>
      <c r="J753" s="61">
        <v>0</v>
      </c>
      <c r="K753" s="61">
        <v>5055</v>
      </c>
      <c r="L753" s="61">
        <v>-5055</v>
      </c>
      <c r="M753" s="61">
        <v>0</v>
      </c>
      <c r="N753" s="61">
        <v>0</v>
      </c>
    </row>
    <row r="754" spans="1:14" ht="30" x14ac:dyDescent="0.25">
      <c r="A754" s="68" t="s">
        <v>184</v>
      </c>
      <c r="B754" s="60" t="s">
        <v>82</v>
      </c>
      <c r="C754" s="61">
        <v>2074483</v>
      </c>
      <c r="D754" s="61">
        <v>-37</v>
      </c>
      <c r="E754" s="61">
        <v>0</v>
      </c>
      <c r="F754" s="61">
        <v>0</v>
      </c>
      <c r="G754" s="61">
        <v>0</v>
      </c>
      <c r="H754" s="61">
        <v>2074446</v>
      </c>
      <c r="I754" s="61">
        <v>-2074446</v>
      </c>
      <c r="J754" s="61">
        <v>0</v>
      </c>
      <c r="K754" s="61">
        <v>0</v>
      </c>
      <c r="L754" s="61">
        <v>0</v>
      </c>
      <c r="M754" s="61">
        <v>0</v>
      </c>
      <c r="N754" s="61">
        <v>0</v>
      </c>
    </row>
    <row r="755" spans="1:14" ht="30" x14ac:dyDescent="0.25">
      <c r="A755" s="68" t="s">
        <v>184</v>
      </c>
      <c r="B755" s="60" t="s">
        <v>83</v>
      </c>
      <c r="C755" s="61">
        <v>2136569</v>
      </c>
      <c r="D755" s="61">
        <v>-15012</v>
      </c>
      <c r="E755" s="61">
        <v>0</v>
      </c>
      <c r="F755" s="61">
        <v>0</v>
      </c>
      <c r="G755" s="61">
        <v>0</v>
      </c>
      <c r="H755" s="61">
        <v>2121557</v>
      </c>
      <c r="I755" s="61">
        <v>-2121557</v>
      </c>
      <c r="J755" s="61">
        <v>0</v>
      </c>
      <c r="K755" s="61">
        <v>0</v>
      </c>
      <c r="L755" s="61">
        <v>0</v>
      </c>
      <c r="M755" s="61">
        <v>0</v>
      </c>
      <c r="N755" s="61">
        <v>0</v>
      </c>
    </row>
    <row r="756" spans="1:14" ht="30" x14ac:dyDescent="0.25">
      <c r="A756" s="68" t="s">
        <v>184</v>
      </c>
      <c r="B756" s="60" t="s">
        <v>48</v>
      </c>
      <c r="C756" s="61">
        <v>1782981</v>
      </c>
      <c r="D756" s="61">
        <v>-3167</v>
      </c>
      <c r="E756" s="61">
        <v>0</v>
      </c>
      <c r="F756" s="61">
        <v>0</v>
      </c>
      <c r="G756" s="61">
        <v>0</v>
      </c>
      <c r="H756" s="61">
        <v>1779814</v>
      </c>
      <c r="I756" s="61">
        <v>-1779814</v>
      </c>
      <c r="J756" s="61">
        <v>0</v>
      </c>
      <c r="K756" s="61">
        <v>0</v>
      </c>
      <c r="L756" s="61">
        <v>0</v>
      </c>
      <c r="M756" s="61">
        <v>0</v>
      </c>
      <c r="N756" s="61">
        <v>0</v>
      </c>
    </row>
    <row r="757" spans="1:14" ht="30" x14ac:dyDescent="0.25">
      <c r="A757" s="68" t="s">
        <v>184</v>
      </c>
      <c r="B757" s="60" t="s">
        <v>49</v>
      </c>
      <c r="C757" s="61">
        <v>1666081</v>
      </c>
      <c r="D757" s="61">
        <v>-33672</v>
      </c>
      <c r="E757" s="61">
        <v>0</v>
      </c>
      <c r="F757" s="61">
        <v>0</v>
      </c>
      <c r="G757" s="61">
        <v>0</v>
      </c>
      <c r="H757" s="61">
        <v>1632409</v>
      </c>
      <c r="I757" s="61">
        <v>-1632409</v>
      </c>
      <c r="J757" s="61">
        <v>0</v>
      </c>
      <c r="K757" s="61">
        <v>5216</v>
      </c>
      <c r="L757" s="61">
        <v>-5216</v>
      </c>
      <c r="M757" s="61">
        <v>0</v>
      </c>
      <c r="N757" s="61">
        <v>0</v>
      </c>
    </row>
    <row r="758" spans="1:14" ht="30" x14ac:dyDescent="0.25">
      <c r="A758" s="68" t="s">
        <v>184</v>
      </c>
      <c r="B758" s="60" t="s">
        <v>50</v>
      </c>
      <c r="C758" s="61">
        <v>1540338</v>
      </c>
      <c r="D758" s="61">
        <v>-7150</v>
      </c>
      <c r="E758" s="61">
        <v>0</v>
      </c>
      <c r="F758" s="61">
        <v>0</v>
      </c>
      <c r="G758" s="61">
        <v>0</v>
      </c>
      <c r="H758" s="61">
        <v>1533188</v>
      </c>
      <c r="I758" s="61">
        <v>-1533188</v>
      </c>
      <c r="J758" s="61">
        <v>0</v>
      </c>
      <c r="K758" s="61">
        <v>0</v>
      </c>
      <c r="L758" s="61">
        <v>0</v>
      </c>
      <c r="M758" s="61">
        <v>0</v>
      </c>
      <c r="N758" s="61">
        <v>0</v>
      </c>
    </row>
    <row r="759" spans="1:14" ht="30" x14ac:dyDescent="0.25">
      <c r="A759" s="68" t="s">
        <v>184</v>
      </c>
      <c r="B759" s="60" t="s">
        <v>51</v>
      </c>
      <c r="C759" s="61">
        <v>1028250</v>
      </c>
      <c r="D759" s="61">
        <v>-13246</v>
      </c>
      <c r="E759" s="61">
        <v>0</v>
      </c>
      <c r="F759" s="61">
        <v>0</v>
      </c>
      <c r="G759" s="61">
        <v>0</v>
      </c>
      <c r="H759" s="61">
        <v>1015004</v>
      </c>
      <c r="I759" s="61">
        <v>-1015004</v>
      </c>
      <c r="J759" s="61">
        <v>0</v>
      </c>
      <c r="K759" s="61">
        <v>10115</v>
      </c>
      <c r="L759" s="61">
        <v>-10115</v>
      </c>
      <c r="M759" s="61">
        <v>0</v>
      </c>
      <c r="N759" s="61">
        <v>0</v>
      </c>
    </row>
    <row r="760" spans="1:14" ht="30" x14ac:dyDescent="0.25">
      <c r="A760" s="68" t="s">
        <v>184</v>
      </c>
      <c r="B760" s="60" t="s">
        <v>52</v>
      </c>
      <c r="C760" s="61">
        <v>921366</v>
      </c>
      <c r="D760" s="61">
        <v>-10168</v>
      </c>
      <c r="E760" s="61">
        <v>0</v>
      </c>
      <c r="F760" s="61">
        <v>0</v>
      </c>
      <c r="G760" s="61">
        <v>0</v>
      </c>
      <c r="H760" s="61">
        <v>911198</v>
      </c>
      <c r="I760" s="61">
        <v>-911198</v>
      </c>
      <c r="J760" s="61">
        <v>0</v>
      </c>
      <c r="K760" s="61">
        <v>63389</v>
      </c>
      <c r="L760" s="61">
        <v>-63389</v>
      </c>
      <c r="M760" s="61">
        <v>0</v>
      </c>
      <c r="N760" s="61">
        <v>0</v>
      </c>
    </row>
    <row r="761" spans="1:14" ht="30" x14ac:dyDescent="0.25">
      <c r="A761" s="68" t="s">
        <v>184</v>
      </c>
      <c r="B761" s="60" t="s">
        <v>53</v>
      </c>
      <c r="C761" s="61">
        <v>706887</v>
      </c>
      <c r="D761" s="61">
        <v>-1147</v>
      </c>
      <c r="E761" s="61">
        <v>0</v>
      </c>
      <c r="F761" s="61">
        <v>0</v>
      </c>
      <c r="G761" s="61">
        <v>0</v>
      </c>
      <c r="H761" s="61">
        <v>705740</v>
      </c>
      <c r="I761" s="61">
        <v>-705740</v>
      </c>
      <c r="J761" s="61">
        <v>0</v>
      </c>
      <c r="K761" s="61">
        <v>10364</v>
      </c>
      <c r="L761" s="61">
        <v>-10364</v>
      </c>
      <c r="M761" s="61">
        <v>0</v>
      </c>
      <c r="N761" s="61">
        <v>0</v>
      </c>
    </row>
    <row r="762" spans="1:14" ht="30" x14ac:dyDescent="0.25">
      <c r="A762" s="68" t="s">
        <v>184</v>
      </c>
      <c r="B762" s="60" t="s">
        <v>54</v>
      </c>
      <c r="C762" s="61">
        <v>578955</v>
      </c>
      <c r="D762" s="61">
        <v>-4665</v>
      </c>
      <c r="E762" s="61">
        <v>0</v>
      </c>
      <c r="F762" s="61">
        <v>0</v>
      </c>
      <c r="G762" s="61">
        <v>0</v>
      </c>
      <c r="H762" s="61">
        <v>574290</v>
      </c>
      <c r="I762" s="61">
        <v>-574290</v>
      </c>
      <c r="J762" s="61">
        <v>0</v>
      </c>
      <c r="K762" s="61">
        <v>15134</v>
      </c>
      <c r="L762" s="61">
        <v>-15134</v>
      </c>
      <c r="M762" s="61">
        <v>0</v>
      </c>
      <c r="N762" s="61">
        <v>0</v>
      </c>
    </row>
    <row r="763" spans="1:14" ht="30" x14ac:dyDescent="0.25">
      <c r="A763" s="68" t="s">
        <v>184</v>
      </c>
      <c r="B763" s="60" t="s">
        <v>55</v>
      </c>
      <c r="C763" s="61">
        <v>387944</v>
      </c>
      <c r="D763" s="61">
        <v>-3170</v>
      </c>
      <c r="E763" s="61">
        <v>0</v>
      </c>
      <c r="F763" s="61">
        <v>0</v>
      </c>
      <c r="G763" s="61">
        <v>0</v>
      </c>
      <c r="H763" s="61">
        <v>384774</v>
      </c>
      <c r="I763" s="61">
        <v>-384774</v>
      </c>
      <c r="J763" s="61">
        <v>0</v>
      </c>
      <c r="K763" s="61">
        <v>0</v>
      </c>
      <c r="L763" s="61">
        <v>0</v>
      </c>
      <c r="M763" s="61">
        <v>0</v>
      </c>
      <c r="N763" s="61">
        <v>0</v>
      </c>
    </row>
    <row r="764" spans="1:14" ht="30" x14ac:dyDescent="0.25">
      <c r="A764" s="68" t="s">
        <v>184</v>
      </c>
      <c r="B764" s="60" t="s">
        <v>56</v>
      </c>
      <c r="C764" s="61">
        <v>323124</v>
      </c>
      <c r="D764" s="61">
        <v>0</v>
      </c>
      <c r="E764" s="61">
        <v>0</v>
      </c>
      <c r="F764" s="61">
        <v>0</v>
      </c>
      <c r="G764" s="61">
        <v>0</v>
      </c>
      <c r="H764" s="61">
        <v>323124</v>
      </c>
      <c r="I764" s="61">
        <v>-323124</v>
      </c>
      <c r="J764" s="61">
        <v>0</v>
      </c>
      <c r="K764" s="61">
        <v>0</v>
      </c>
      <c r="L764" s="61">
        <v>0</v>
      </c>
      <c r="M764" s="61">
        <v>0</v>
      </c>
      <c r="N764" s="61">
        <v>0</v>
      </c>
    </row>
    <row r="765" spans="1:14" ht="30" x14ac:dyDescent="0.25">
      <c r="A765" s="68" t="s">
        <v>184</v>
      </c>
      <c r="B765" s="60" t="s">
        <v>57</v>
      </c>
      <c r="C765" s="61">
        <v>361009</v>
      </c>
      <c r="D765" s="61">
        <v>-195</v>
      </c>
      <c r="E765" s="61">
        <v>0</v>
      </c>
      <c r="F765" s="61">
        <v>0</v>
      </c>
      <c r="G765" s="61">
        <v>0</v>
      </c>
      <c r="H765" s="61">
        <v>360814</v>
      </c>
      <c r="I765" s="61">
        <v>-360814</v>
      </c>
      <c r="J765" s="61">
        <v>0</v>
      </c>
      <c r="K765" s="61">
        <v>0</v>
      </c>
      <c r="L765" s="61">
        <v>0</v>
      </c>
      <c r="M765" s="61">
        <v>0</v>
      </c>
      <c r="N765" s="61">
        <v>0</v>
      </c>
    </row>
    <row r="766" spans="1:14" ht="30" x14ac:dyDescent="0.25">
      <c r="A766" s="68" t="s">
        <v>184</v>
      </c>
      <c r="B766" s="60" t="s">
        <v>58</v>
      </c>
      <c r="C766" s="61">
        <v>251766</v>
      </c>
      <c r="D766" s="61">
        <v>-6546</v>
      </c>
      <c r="E766" s="61">
        <v>0</v>
      </c>
      <c r="F766" s="61">
        <v>0</v>
      </c>
      <c r="G766" s="61">
        <v>0</v>
      </c>
      <c r="H766" s="61">
        <v>245220</v>
      </c>
      <c r="I766" s="61">
        <v>-245220</v>
      </c>
      <c r="J766" s="61">
        <v>0</v>
      </c>
      <c r="K766" s="61">
        <v>0</v>
      </c>
      <c r="L766" s="61">
        <v>0</v>
      </c>
      <c r="M766" s="61">
        <v>0</v>
      </c>
      <c r="N766" s="61">
        <v>0</v>
      </c>
    </row>
    <row r="767" spans="1:14" ht="30" x14ac:dyDescent="0.25">
      <c r="A767" s="68" t="s">
        <v>184</v>
      </c>
      <c r="B767" s="60" t="s">
        <v>59</v>
      </c>
      <c r="C767" s="61">
        <v>173026</v>
      </c>
      <c r="D767" s="61">
        <v>-3052</v>
      </c>
      <c r="E767" s="61">
        <v>0</v>
      </c>
      <c r="F767" s="61">
        <v>0</v>
      </c>
      <c r="G767" s="61">
        <v>0</v>
      </c>
      <c r="H767" s="61">
        <v>169974</v>
      </c>
      <c r="I767" s="61">
        <v>-169974</v>
      </c>
      <c r="J767" s="61">
        <v>0</v>
      </c>
      <c r="K767" s="61">
        <v>0</v>
      </c>
      <c r="L767" s="61">
        <v>0</v>
      </c>
      <c r="M767" s="61">
        <v>0</v>
      </c>
      <c r="N767" s="61">
        <v>0</v>
      </c>
    </row>
    <row r="768" spans="1:14" ht="30" x14ac:dyDescent="0.25">
      <c r="A768" s="68" t="s">
        <v>184</v>
      </c>
      <c r="B768" s="60" t="s">
        <v>60</v>
      </c>
      <c r="C768" s="61">
        <v>153932</v>
      </c>
      <c r="D768" s="61">
        <v>-2750</v>
      </c>
      <c r="E768" s="61">
        <v>0</v>
      </c>
      <c r="F768" s="61">
        <v>0</v>
      </c>
      <c r="G768" s="61">
        <v>0</v>
      </c>
      <c r="H768" s="61">
        <v>151182</v>
      </c>
      <c r="I768" s="61">
        <v>-151182</v>
      </c>
      <c r="J768" s="61">
        <v>0</v>
      </c>
      <c r="K768" s="61">
        <v>0</v>
      </c>
      <c r="L768" s="61">
        <v>0</v>
      </c>
      <c r="M768" s="61">
        <v>0</v>
      </c>
      <c r="N768" s="61">
        <v>0</v>
      </c>
    </row>
    <row r="769" spans="1:14" ht="30" x14ac:dyDescent="0.25">
      <c r="A769" s="68" t="s">
        <v>184</v>
      </c>
      <c r="B769" s="60" t="s">
        <v>61</v>
      </c>
      <c r="C769" s="61">
        <v>69089</v>
      </c>
      <c r="D769" s="61">
        <v>-1151</v>
      </c>
      <c r="E769" s="61">
        <v>0</v>
      </c>
      <c r="F769" s="61">
        <v>0</v>
      </c>
      <c r="G769" s="61">
        <v>0</v>
      </c>
      <c r="H769" s="61">
        <v>67938</v>
      </c>
      <c r="I769" s="61">
        <v>-67938</v>
      </c>
      <c r="J769" s="61">
        <v>0</v>
      </c>
      <c r="K769" s="61">
        <v>0</v>
      </c>
      <c r="L769" s="61">
        <v>0</v>
      </c>
      <c r="M769" s="61">
        <v>0</v>
      </c>
      <c r="N769" s="61">
        <v>0</v>
      </c>
    </row>
    <row r="770" spans="1:14" ht="15.75" x14ac:dyDescent="0.25">
      <c r="A770" s="52" t="s">
        <v>185</v>
      </c>
      <c r="B770" s="53" t="s">
        <v>8</v>
      </c>
      <c r="C770" s="19">
        <f>SUBTOTAL(109,Program197[(C)
Program
Costs])</f>
        <v>31878910</v>
      </c>
      <c r="D770" s="19">
        <f>SUBTOTAL(109,Program197[(D)
Prior Period Adjustments])</f>
        <v>-166694</v>
      </c>
      <c r="E770" s="19">
        <f>SUBTOTAL(109,Program197[(E)
Current Period Desk 
Reviews])</f>
        <v>-44879</v>
      </c>
      <c r="F770" s="19">
        <f>SUBTOTAL(109,Program197[(F)
Current Period 
Final 
Audits])</f>
        <v>0</v>
      </c>
      <c r="G770" s="19">
        <f>SUBTOTAL(109,Program197[(G)
Current Period 
Other Adjustments])</f>
        <v>0</v>
      </c>
      <c r="H770" s="19">
        <f>SUBTOTAL(109,Program197[(H)
Net Program Costs
Sum (C through G)])</f>
        <v>31667337</v>
      </c>
      <c r="I770" s="19">
        <f>SUBTOTAL(109,Program197[(I)
Payments
 and Offsets])</f>
        <v>-29155666</v>
      </c>
      <c r="J770" s="19">
        <f>SUBTOTAL(109,Program197[(J)
Accounts Payable Balance
(H + I)])</f>
        <v>2511671</v>
      </c>
      <c r="K770" s="19">
        <f>SUBTOTAL(109,Program197[(K)
Established 
Accounts Receivable])</f>
        <v>149593</v>
      </c>
      <c r="L770" s="19">
        <f>SUBTOTAL(109,Program197[(L)
Recovered
 Accounts Receivable])</f>
        <v>-142298</v>
      </c>
      <c r="M770" s="19">
        <f>SUBTOTAL(109,Program197[(M)
Accounts Receivable Balance
(K + L)])</f>
        <v>7295</v>
      </c>
      <c r="N770" s="19">
        <f>SUBTOTAL(109,Program197[(N)
Net Balance
(J minus M)])</f>
        <v>2504376</v>
      </c>
    </row>
    <row r="771" spans="1:14" ht="15.75" x14ac:dyDescent="0.25">
      <c r="A771" s="17" t="s">
        <v>13</v>
      </c>
      <c r="B771" s="54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</row>
    <row r="772" spans="1:14" ht="78.75" x14ac:dyDescent="0.25">
      <c r="A772" s="39" t="s">
        <v>32</v>
      </c>
      <c r="B772" s="40" t="s">
        <v>33</v>
      </c>
      <c r="C772" s="41" t="s">
        <v>34</v>
      </c>
      <c r="D772" s="41" t="s">
        <v>35</v>
      </c>
      <c r="E772" s="42" t="s">
        <v>36</v>
      </c>
      <c r="F772" s="42" t="s">
        <v>37</v>
      </c>
      <c r="G772" s="42" t="s">
        <v>38</v>
      </c>
      <c r="H772" s="43" t="s">
        <v>39</v>
      </c>
      <c r="I772" s="44" t="s">
        <v>40</v>
      </c>
      <c r="J772" s="44" t="s">
        <v>41</v>
      </c>
      <c r="K772" s="42" t="s">
        <v>42</v>
      </c>
      <c r="L772" s="44" t="s">
        <v>43</v>
      </c>
      <c r="M772" s="44" t="s">
        <v>44</v>
      </c>
      <c r="N772" s="45" t="s">
        <v>45</v>
      </c>
    </row>
    <row r="773" spans="1:14" ht="15.75" x14ac:dyDescent="0.25">
      <c r="A773" s="46" t="s">
        <v>186</v>
      </c>
      <c r="B773" s="47" t="s">
        <v>82</v>
      </c>
      <c r="C773" s="48">
        <v>10435329</v>
      </c>
      <c r="D773" s="48">
        <v>-992251</v>
      </c>
      <c r="E773" s="48">
        <v>0</v>
      </c>
      <c r="F773" s="48">
        <v>-146390</v>
      </c>
      <c r="G773" s="48">
        <v>0</v>
      </c>
      <c r="H773" s="48">
        <v>9296688</v>
      </c>
      <c r="I773" s="48">
        <v>0</v>
      </c>
      <c r="J773" s="48">
        <v>9296688</v>
      </c>
      <c r="K773" s="48">
        <v>0</v>
      </c>
      <c r="L773" s="48">
        <v>0</v>
      </c>
      <c r="M773" s="48">
        <v>0</v>
      </c>
      <c r="N773" s="48">
        <v>9296688</v>
      </c>
    </row>
    <row r="774" spans="1:14" ht="15.75" x14ac:dyDescent="0.25">
      <c r="A774" s="49" t="s">
        <v>186</v>
      </c>
      <c r="B774" s="50" t="s">
        <v>83</v>
      </c>
      <c r="C774" s="51">
        <v>9393422</v>
      </c>
      <c r="D774" s="51">
        <v>-725314</v>
      </c>
      <c r="E774" s="51">
        <v>0</v>
      </c>
      <c r="F774" s="51">
        <v>-214071</v>
      </c>
      <c r="G774" s="51">
        <v>0</v>
      </c>
      <c r="H774" s="51">
        <v>8454037</v>
      </c>
      <c r="I774" s="51">
        <v>0</v>
      </c>
      <c r="J774" s="51">
        <v>8454037</v>
      </c>
      <c r="K774" s="51">
        <v>0</v>
      </c>
      <c r="L774" s="51">
        <v>0</v>
      </c>
      <c r="M774" s="51">
        <v>0</v>
      </c>
      <c r="N774" s="51">
        <v>8454037</v>
      </c>
    </row>
    <row r="775" spans="1:14" ht="15.75" x14ac:dyDescent="0.25">
      <c r="A775" s="49" t="s">
        <v>186</v>
      </c>
      <c r="B775" s="50" t="s">
        <v>48</v>
      </c>
      <c r="C775" s="51">
        <v>10395108</v>
      </c>
      <c r="D775" s="51">
        <v>-539852</v>
      </c>
      <c r="E775" s="51">
        <v>0</v>
      </c>
      <c r="F775" s="51">
        <v>-306185</v>
      </c>
      <c r="G775" s="51">
        <v>0</v>
      </c>
      <c r="H775" s="51">
        <v>9549071</v>
      </c>
      <c r="I775" s="51">
        <v>0</v>
      </c>
      <c r="J775" s="51">
        <v>9549071</v>
      </c>
      <c r="K775" s="51">
        <v>0</v>
      </c>
      <c r="L775" s="51">
        <v>0</v>
      </c>
      <c r="M775" s="51">
        <v>0</v>
      </c>
      <c r="N775" s="51">
        <v>9549071</v>
      </c>
    </row>
    <row r="776" spans="1:14" ht="15.75" x14ac:dyDescent="0.25">
      <c r="A776" s="49" t="s">
        <v>186</v>
      </c>
      <c r="B776" s="50" t="s">
        <v>49</v>
      </c>
      <c r="C776" s="51">
        <v>10042991</v>
      </c>
      <c r="D776" s="51">
        <v>-607318</v>
      </c>
      <c r="E776" s="51">
        <v>0</v>
      </c>
      <c r="F776" s="51">
        <v>-300970</v>
      </c>
      <c r="G776" s="51">
        <v>0</v>
      </c>
      <c r="H776" s="51">
        <v>9134703</v>
      </c>
      <c r="I776" s="51">
        <v>0</v>
      </c>
      <c r="J776" s="51">
        <v>9134703</v>
      </c>
      <c r="K776" s="51">
        <v>0</v>
      </c>
      <c r="L776" s="51">
        <v>0</v>
      </c>
      <c r="M776" s="51">
        <v>0</v>
      </c>
      <c r="N776" s="51">
        <v>9134703</v>
      </c>
    </row>
    <row r="777" spans="1:14" ht="15.75" x14ac:dyDescent="0.25">
      <c r="A777" s="49" t="s">
        <v>186</v>
      </c>
      <c r="B777" s="50" t="s">
        <v>50</v>
      </c>
      <c r="C777" s="51">
        <v>10906453</v>
      </c>
      <c r="D777" s="51">
        <v>-643783</v>
      </c>
      <c r="E777" s="51">
        <v>0</v>
      </c>
      <c r="F777" s="51">
        <v>-340067</v>
      </c>
      <c r="G777" s="51">
        <v>0</v>
      </c>
      <c r="H777" s="51">
        <v>9922603</v>
      </c>
      <c r="I777" s="51">
        <v>0</v>
      </c>
      <c r="J777" s="51">
        <v>9922603</v>
      </c>
      <c r="K777" s="51">
        <v>0</v>
      </c>
      <c r="L777" s="51">
        <v>0</v>
      </c>
      <c r="M777" s="51">
        <v>0</v>
      </c>
      <c r="N777" s="51">
        <v>9922603</v>
      </c>
    </row>
    <row r="778" spans="1:14" ht="15.75" x14ac:dyDescent="0.25">
      <c r="A778" s="49" t="s">
        <v>186</v>
      </c>
      <c r="B778" s="50" t="s">
        <v>51</v>
      </c>
      <c r="C778" s="51">
        <v>10527433</v>
      </c>
      <c r="D778" s="51">
        <v>-733048</v>
      </c>
      <c r="E778" s="51">
        <v>0</v>
      </c>
      <c r="F778" s="51">
        <v>-252626</v>
      </c>
      <c r="G778" s="51">
        <v>0</v>
      </c>
      <c r="H778" s="51">
        <v>9541759</v>
      </c>
      <c r="I778" s="51">
        <v>0</v>
      </c>
      <c r="J778" s="51">
        <v>9541759</v>
      </c>
      <c r="K778" s="51">
        <v>0</v>
      </c>
      <c r="L778" s="51">
        <v>0</v>
      </c>
      <c r="M778" s="51">
        <v>0</v>
      </c>
      <c r="N778" s="51">
        <v>9541759</v>
      </c>
    </row>
    <row r="779" spans="1:14" ht="15.75" x14ac:dyDescent="0.25">
      <c r="A779" s="49" t="s">
        <v>186</v>
      </c>
      <c r="B779" s="50" t="s">
        <v>52</v>
      </c>
      <c r="C779" s="51">
        <v>9092725</v>
      </c>
      <c r="D779" s="51">
        <v>-816044</v>
      </c>
      <c r="E779" s="51">
        <v>0</v>
      </c>
      <c r="F779" s="51">
        <v>-198555</v>
      </c>
      <c r="G779" s="51">
        <v>0</v>
      </c>
      <c r="H779" s="51">
        <v>8078126</v>
      </c>
      <c r="I779" s="51">
        <v>0</v>
      </c>
      <c r="J779" s="51">
        <v>8078126</v>
      </c>
      <c r="K779" s="51">
        <v>0</v>
      </c>
      <c r="L779" s="51">
        <v>0</v>
      </c>
      <c r="M779" s="51">
        <v>0</v>
      </c>
      <c r="N779" s="51">
        <v>8078126</v>
      </c>
    </row>
    <row r="780" spans="1:14" ht="15.75" x14ac:dyDescent="0.25">
      <c r="A780" s="49" t="s">
        <v>186</v>
      </c>
      <c r="B780" s="50" t="s">
        <v>53</v>
      </c>
      <c r="C780" s="51">
        <v>7282199</v>
      </c>
      <c r="D780" s="51">
        <v>-513446</v>
      </c>
      <c r="E780" s="51">
        <v>0</v>
      </c>
      <c r="F780" s="51">
        <v>-143471</v>
      </c>
      <c r="G780" s="51">
        <v>0</v>
      </c>
      <c r="H780" s="51">
        <v>6625282</v>
      </c>
      <c r="I780" s="51">
        <v>0</v>
      </c>
      <c r="J780" s="51">
        <v>6625282</v>
      </c>
      <c r="K780" s="51">
        <v>0</v>
      </c>
      <c r="L780" s="51">
        <v>0</v>
      </c>
      <c r="M780" s="51">
        <v>0</v>
      </c>
      <c r="N780" s="51">
        <v>6625282</v>
      </c>
    </row>
    <row r="781" spans="1:14" ht="15.75" x14ac:dyDescent="0.25">
      <c r="A781" s="49" t="s">
        <v>186</v>
      </c>
      <c r="B781" s="50" t="s">
        <v>54</v>
      </c>
      <c r="C781" s="51">
        <v>6663248</v>
      </c>
      <c r="D781" s="51">
        <v>-426219</v>
      </c>
      <c r="E781" s="51">
        <v>0</v>
      </c>
      <c r="F781" s="51">
        <v>-99942</v>
      </c>
      <c r="G781" s="51">
        <v>0</v>
      </c>
      <c r="H781" s="51">
        <v>6137087</v>
      </c>
      <c r="I781" s="51">
        <v>0</v>
      </c>
      <c r="J781" s="51">
        <v>6137087</v>
      </c>
      <c r="K781" s="51">
        <v>0</v>
      </c>
      <c r="L781" s="51">
        <v>0</v>
      </c>
      <c r="M781" s="51">
        <v>0</v>
      </c>
      <c r="N781" s="51">
        <v>6137087</v>
      </c>
    </row>
    <row r="782" spans="1:14" ht="15.75" x14ac:dyDescent="0.25">
      <c r="A782" s="49" t="s">
        <v>186</v>
      </c>
      <c r="B782" s="50" t="s">
        <v>55</v>
      </c>
      <c r="C782" s="51">
        <v>5362382</v>
      </c>
      <c r="D782" s="51">
        <v>-309487</v>
      </c>
      <c r="E782" s="51">
        <v>0</v>
      </c>
      <c r="F782" s="51">
        <v>-93295</v>
      </c>
      <c r="G782" s="51">
        <v>0</v>
      </c>
      <c r="H782" s="51">
        <v>4959600</v>
      </c>
      <c r="I782" s="51">
        <v>0</v>
      </c>
      <c r="J782" s="51">
        <v>4959600</v>
      </c>
      <c r="K782" s="51">
        <v>0</v>
      </c>
      <c r="L782" s="51">
        <v>0</v>
      </c>
      <c r="M782" s="51">
        <v>0</v>
      </c>
      <c r="N782" s="51">
        <v>4959600</v>
      </c>
    </row>
    <row r="783" spans="1:14" ht="15.75" x14ac:dyDescent="0.25">
      <c r="A783" s="49" t="s">
        <v>186</v>
      </c>
      <c r="B783" s="50" t="s">
        <v>56</v>
      </c>
      <c r="C783" s="51">
        <v>4753281</v>
      </c>
      <c r="D783" s="51">
        <v>-364880</v>
      </c>
      <c r="E783" s="51">
        <v>0</v>
      </c>
      <c r="F783" s="51">
        <v>-98066</v>
      </c>
      <c r="G783" s="51">
        <v>0</v>
      </c>
      <c r="H783" s="51">
        <v>4290335</v>
      </c>
      <c r="I783" s="51">
        <v>0</v>
      </c>
      <c r="J783" s="51">
        <v>4290335</v>
      </c>
      <c r="K783" s="51">
        <v>0</v>
      </c>
      <c r="L783" s="51">
        <v>0</v>
      </c>
      <c r="M783" s="51">
        <v>0</v>
      </c>
      <c r="N783" s="51">
        <v>4290335</v>
      </c>
    </row>
    <row r="784" spans="1:14" ht="15.75" x14ac:dyDescent="0.25">
      <c r="A784" s="52" t="s">
        <v>187</v>
      </c>
      <c r="B784" s="53" t="s">
        <v>8</v>
      </c>
      <c r="C784" s="19">
        <f>SUBTOTAL(109,Program321[(C)
Program
Costs])</f>
        <v>94854571</v>
      </c>
      <c r="D784" s="19">
        <f>SUBTOTAL(109,Program321[(D)
Prior Period Adjustments])</f>
        <v>-6671642</v>
      </c>
      <c r="E784" s="19">
        <f>SUBTOTAL(109,Program321[(E)
Current Period Desk 
Reviews])</f>
        <v>0</v>
      </c>
      <c r="F784" s="19">
        <f>SUBTOTAL(109,Program321[(F)
Current Period 
Final 
Audits])</f>
        <v>-2193638</v>
      </c>
      <c r="G784" s="19">
        <f>SUBTOTAL(109,Program321[(G)
Current Period 
Other Adjustments])</f>
        <v>0</v>
      </c>
      <c r="H784" s="19">
        <f>SUBTOTAL(109,Program321[(H)
Net Program Costs
Sum (C through G)])</f>
        <v>85989291</v>
      </c>
      <c r="I784" s="19">
        <f>SUBTOTAL(109,Program321[(I)
Payments
 and Offsets])</f>
        <v>0</v>
      </c>
      <c r="J784" s="19">
        <f>SUBTOTAL(109,Program321[(J)
Accounts Payable Balance
(H + I)])</f>
        <v>85989291</v>
      </c>
      <c r="K784" s="19">
        <f>SUBTOTAL(109,Program321[(K)
Established 
Accounts Receivable])</f>
        <v>0</v>
      </c>
      <c r="L784" s="19">
        <f>SUBTOTAL(109,Program321[(L)
Recovered
 Accounts Receivable])</f>
        <v>0</v>
      </c>
      <c r="M784" s="19">
        <f>SUBTOTAL(109,Program321[(M)
Accounts Receivable Balance
(K + L)])</f>
        <v>0</v>
      </c>
      <c r="N784" s="19">
        <f>SUBTOTAL(109,Program321[(N)
Net Balance
(J minus M)])</f>
        <v>85989291</v>
      </c>
    </row>
    <row r="785" spans="1:14" ht="15.75" x14ac:dyDescent="0.25">
      <c r="A785" s="17" t="s">
        <v>13</v>
      </c>
      <c r="B785" s="54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</row>
    <row r="786" spans="1:14" ht="78.75" x14ac:dyDescent="0.25">
      <c r="A786" s="39" t="s">
        <v>32</v>
      </c>
      <c r="B786" s="40" t="s">
        <v>33</v>
      </c>
      <c r="C786" s="41" t="s">
        <v>34</v>
      </c>
      <c r="D786" s="41" t="s">
        <v>35</v>
      </c>
      <c r="E786" s="42" t="s">
        <v>36</v>
      </c>
      <c r="F786" s="42" t="s">
        <v>37</v>
      </c>
      <c r="G786" s="42" t="s">
        <v>38</v>
      </c>
      <c r="H786" s="43" t="s">
        <v>39</v>
      </c>
      <c r="I786" s="44" t="s">
        <v>40</v>
      </c>
      <c r="J786" s="44" t="s">
        <v>41</v>
      </c>
      <c r="K786" s="42" t="s">
        <v>42</v>
      </c>
      <c r="L786" s="44" t="s">
        <v>43</v>
      </c>
      <c r="M786" s="44" t="s">
        <v>44</v>
      </c>
      <c r="N786" s="45" t="s">
        <v>45</v>
      </c>
    </row>
    <row r="787" spans="1:14" ht="15.75" x14ac:dyDescent="0.25">
      <c r="A787" s="46" t="s">
        <v>188</v>
      </c>
      <c r="B787" s="47" t="s">
        <v>48</v>
      </c>
      <c r="C787" s="48">
        <v>15567</v>
      </c>
      <c r="D787" s="48">
        <v>0</v>
      </c>
      <c r="E787" s="48">
        <v>0</v>
      </c>
      <c r="F787" s="48">
        <v>0</v>
      </c>
      <c r="G787" s="48">
        <v>0</v>
      </c>
      <c r="H787" s="48">
        <v>15567</v>
      </c>
      <c r="I787" s="48">
        <v>0</v>
      </c>
      <c r="J787" s="48">
        <v>15567</v>
      </c>
      <c r="K787" s="48">
        <v>0</v>
      </c>
      <c r="L787" s="48">
        <v>0</v>
      </c>
      <c r="M787" s="48">
        <v>0</v>
      </c>
      <c r="N787" s="48">
        <v>15567</v>
      </c>
    </row>
    <row r="788" spans="1:14" ht="15.75" x14ac:dyDescent="0.25">
      <c r="A788" s="49" t="s">
        <v>188</v>
      </c>
      <c r="B788" s="50" t="s">
        <v>49</v>
      </c>
      <c r="C788" s="51">
        <v>20569</v>
      </c>
      <c r="D788" s="51">
        <v>0</v>
      </c>
      <c r="E788" s="51">
        <v>0</v>
      </c>
      <c r="F788" s="51">
        <v>0</v>
      </c>
      <c r="G788" s="51">
        <v>0</v>
      </c>
      <c r="H788" s="51">
        <v>20569</v>
      </c>
      <c r="I788" s="51">
        <v>0</v>
      </c>
      <c r="J788" s="51">
        <v>20569</v>
      </c>
      <c r="K788" s="51">
        <v>0</v>
      </c>
      <c r="L788" s="51">
        <v>0</v>
      </c>
      <c r="M788" s="51">
        <v>0</v>
      </c>
      <c r="N788" s="51">
        <v>20569</v>
      </c>
    </row>
    <row r="789" spans="1:14" ht="15.75" x14ac:dyDescent="0.25">
      <c r="A789" s="49" t="s">
        <v>188</v>
      </c>
      <c r="B789" s="50" t="s">
        <v>50</v>
      </c>
      <c r="C789" s="51">
        <v>15069</v>
      </c>
      <c r="D789" s="51">
        <v>0</v>
      </c>
      <c r="E789" s="51">
        <v>0</v>
      </c>
      <c r="F789" s="51">
        <v>0</v>
      </c>
      <c r="G789" s="51">
        <v>0</v>
      </c>
      <c r="H789" s="51">
        <v>15069</v>
      </c>
      <c r="I789" s="51">
        <v>-15069</v>
      </c>
      <c r="J789" s="51">
        <v>0</v>
      </c>
      <c r="K789" s="51">
        <v>0</v>
      </c>
      <c r="L789" s="51">
        <v>0</v>
      </c>
      <c r="M789" s="51">
        <v>0</v>
      </c>
      <c r="N789" s="51">
        <v>0</v>
      </c>
    </row>
    <row r="790" spans="1:14" ht="15.75" x14ac:dyDescent="0.25">
      <c r="A790" s="49" t="s">
        <v>188</v>
      </c>
      <c r="B790" s="50" t="s">
        <v>51</v>
      </c>
      <c r="C790" s="51">
        <v>18939</v>
      </c>
      <c r="D790" s="51">
        <v>0</v>
      </c>
      <c r="E790" s="51">
        <v>0</v>
      </c>
      <c r="F790" s="51">
        <v>0</v>
      </c>
      <c r="G790" s="51">
        <v>0</v>
      </c>
      <c r="H790" s="51">
        <v>18939</v>
      </c>
      <c r="I790" s="51">
        <v>-18939</v>
      </c>
      <c r="J790" s="51">
        <v>0</v>
      </c>
      <c r="K790" s="51">
        <v>0</v>
      </c>
      <c r="L790" s="51">
        <v>0</v>
      </c>
      <c r="M790" s="51">
        <v>0</v>
      </c>
      <c r="N790" s="51">
        <v>0</v>
      </c>
    </row>
    <row r="791" spans="1:14" ht="15.75" x14ac:dyDescent="0.25">
      <c r="A791" s="49" t="s">
        <v>188</v>
      </c>
      <c r="B791" s="50" t="s">
        <v>52</v>
      </c>
      <c r="C791" s="51">
        <v>15378</v>
      </c>
      <c r="D791" s="51">
        <v>0</v>
      </c>
      <c r="E791" s="51">
        <v>0</v>
      </c>
      <c r="F791" s="51">
        <v>0</v>
      </c>
      <c r="G791" s="51">
        <v>0</v>
      </c>
      <c r="H791" s="51">
        <v>15378</v>
      </c>
      <c r="I791" s="51">
        <v>-15378</v>
      </c>
      <c r="J791" s="51">
        <v>0</v>
      </c>
      <c r="K791" s="51">
        <v>0</v>
      </c>
      <c r="L791" s="51">
        <v>0</v>
      </c>
      <c r="M791" s="51">
        <v>0</v>
      </c>
      <c r="N791" s="51">
        <v>0</v>
      </c>
    </row>
    <row r="792" spans="1:14" ht="15.75" x14ac:dyDescent="0.25">
      <c r="A792" s="49" t="s">
        <v>188</v>
      </c>
      <c r="B792" s="50" t="s">
        <v>53</v>
      </c>
      <c r="C792" s="51">
        <v>16040</v>
      </c>
      <c r="D792" s="51">
        <v>0</v>
      </c>
      <c r="E792" s="51">
        <v>0</v>
      </c>
      <c r="F792" s="51">
        <v>0</v>
      </c>
      <c r="G792" s="51">
        <v>0</v>
      </c>
      <c r="H792" s="51">
        <v>16040</v>
      </c>
      <c r="I792" s="51">
        <v>-16040</v>
      </c>
      <c r="J792" s="51">
        <v>0</v>
      </c>
      <c r="K792" s="51">
        <v>0</v>
      </c>
      <c r="L792" s="51">
        <v>0</v>
      </c>
      <c r="M792" s="51">
        <v>0</v>
      </c>
      <c r="N792" s="51">
        <v>0</v>
      </c>
    </row>
    <row r="793" spans="1:14" ht="15.75" x14ac:dyDescent="0.25">
      <c r="A793" s="49" t="s">
        <v>188</v>
      </c>
      <c r="B793" s="50" t="s">
        <v>54</v>
      </c>
      <c r="C793" s="51">
        <v>17837</v>
      </c>
      <c r="D793" s="51">
        <v>0</v>
      </c>
      <c r="E793" s="51">
        <v>0</v>
      </c>
      <c r="F793" s="51">
        <v>0</v>
      </c>
      <c r="G793" s="51">
        <v>0</v>
      </c>
      <c r="H793" s="51">
        <v>17837</v>
      </c>
      <c r="I793" s="51">
        <v>-17837</v>
      </c>
      <c r="J793" s="51">
        <v>0</v>
      </c>
      <c r="K793" s="51">
        <v>0</v>
      </c>
      <c r="L793" s="51">
        <v>0</v>
      </c>
      <c r="M793" s="51">
        <v>0</v>
      </c>
      <c r="N793" s="51">
        <v>0</v>
      </c>
    </row>
    <row r="794" spans="1:14" ht="15.75" x14ac:dyDescent="0.25">
      <c r="A794" s="49" t="s">
        <v>188</v>
      </c>
      <c r="B794" s="50" t="s">
        <v>55</v>
      </c>
      <c r="C794" s="51">
        <v>11904</v>
      </c>
      <c r="D794" s="51">
        <v>0</v>
      </c>
      <c r="E794" s="51">
        <v>0</v>
      </c>
      <c r="F794" s="51">
        <v>0</v>
      </c>
      <c r="G794" s="51">
        <v>0</v>
      </c>
      <c r="H794" s="51">
        <v>11904</v>
      </c>
      <c r="I794" s="51">
        <v>0</v>
      </c>
      <c r="J794" s="51">
        <v>11904</v>
      </c>
      <c r="K794" s="51">
        <v>0</v>
      </c>
      <c r="L794" s="51">
        <v>0</v>
      </c>
      <c r="M794" s="51">
        <v>0</v>
      </c>
      <c r="N794" s="51">
        <v>11904</v>
      </c>
    </row>
    <row r="795" spans="1:14" ht="15.75" x14ac:dyDescent="0.25">
      <c r="A795" s="49" t="s">
        <v>188</v>
      </c>
      <c r="B795" s="50" t="s">
        <v>56</v>
      </c>
      <c r="C795" s="51">
        <v>132994</v>
      </c>
      <c r="D795" s="51">
        <v>0</v>
      </c>
      <c r="E795" s="51">
        <v>0</v>
      </c>
      <c r="F795" s="51">
        <v>0</v>
      </c>
      <c r="G795" s="51">
        <v>0</v>
      </c>
      <c r="H795" s="51">
        <v>132994</v>
      </c>
      <c r="I795" s="51">
        <v>0</v>
      </c>
      <c r="J795" s="51">
        <v>132994</v>
      </c>
      <c r="K795" s="51">
        <v>0</v>
      </c>
      <c r="L795" s="51">
        <v>0</v>
      </c>
      <c r="M795" s="51">
        <v>0</v>
      </c>
      <c r="N795" s="51">
        <v>132994</v>
      </c>
    </row>
    <row r="796" spans="1:14" ht="15.75" x14ac:dyDescent="0.25">
      <c r="A796" s="49" t="s">
        <v>188</v>
      </c>
      <c r="B796" s="50" t="s">
        <v>57</v>
      </c>
      <c r="C796" s="51">
        <v>116534</v>
      </c>
      <c r="D796" s="51">
        <v>0</v>
      </c>
      <c r="E796" s="51">
        <v>0</v>
      </c>
      <c r="F796" s="51">
        <v>0</v>
      </c>
      <c r="G796" s="51">
        <v>0</v>
      </c>
      <c r="H796" s="51">
        <v>116534</v>
      </c>
      <c r="I796" s="51">
        <v>0</v>
      </c>
      <c r="J796" s="51">
        <v>116534</v>
      </c>
      <c r="K796" s="51">
        <v>0</v>
      </c>
      <c r="L796" s="51">
        <v>0</v>
      </c>
      <c r="M796" s="51">
        <v>0</v>
      </c>
      <c r="N796" s="51">
        <v>116534</v>
      </c>
    </row>
    <row r="797" spans="1:14" ht="15.75" x14ac:dyDescent="0.25">
      <c r="A797" s="49" t="s">
        <v>188</v>
      </c>
      <c r="B797" s="50" t="s">
        <v>58</v>
      </c>
      <c r="C797" s="51">
        <v>112301</v>
      </c>
      <c r="D797" s="51">
        <v>0</v>
      </c>
      <c r="E797" s="51">
        <v>0</v>
      </c>
      <c r="F797" s="51">
        <v>0</v>
      </c>
      <c r="G797" s="51">
        <v>0</v>
      </c>
      <c r="H797" s="51">
        <v>112301</v>
      </c>
      <c r="I797" s="51">
        <v>0</v>
      </c>
      <c r="J797" s="51">
        <v>112301</v>
      </c>
      <c r="K797" s="51">
        <v>0</v>
      </c>
      <c r="L797" s="51">
        <v>0</v>
      </c>
      <c r="M797" s="51">
        <v>0</v>
      </c>
      <c r="N797" s="51">
        <v>112301</v>
      </c>
    </row>
    <row r="798" spans="1:14" ht="15.75" x14ac:dyDescent="0.25">
      <c r="A798" s="49" t="s">
        <v>188</v>
      </c>
      <c r="B798" s="50" t="s">
        <v>59</v>
      </c>
      <c r="C798" s="51">
        <v>32985</v>
      </c>
      <c r="D798" s="51">
        <v>0</v>
      </c>
      <c r="E798" s="51">
        <v>0</v>
      </c>
      <c r="F798" s="51">
        <v>0</v>
      </c>
      <c r="G798" s="51">
        <v>0</v>
      </c>
      <c r="H798" s="51">
        <v>32985</v>
      </c>
      <c r="I798" s="51">
        <v>0</v>
      </c>
      <c r="J798" s="51">
        <v>32985</v>
      </c>
      <c r="K798" s="51">
        <v>0</v>
      </c>
      <c r="L798" s="51">
        <v>0</v>
      </c>
      <c r="M798" s="51">
        <v>0</v>
      </c>
      <c r="N798" s="51">
        <v>32985</v>
      </c>
    </row>
    <row r="799" spans="1:14" ht="15.75" x14ac:dyDescent="0.25">
      <c r="A799" s="52" t="s">
        <v>189</v>
      </c>
      <c r="B799" s="53" t="s">
        <v>8</v>
      </c>
      <c r="C799" s="19">
        <f>SUBTOTAL(109,Program289[(C)
Program
Costs])</f>
        <v>526117</v>
      </c>
      <c r="D799" s="19">
        <f>SUBTOTAL(109,Program289[(D)
Prior Period Adjustments])</f>
        <v>0</v>
      </c>
      <c r="E799" s="19">
        <f>SUBTOTAL(109,Program289[(E)
Current Period Desk 
Reviews])</f>
        <v>0</v>
      </c>
      <c r="F799" s="19">
        <f>SUBTOTAL(109,Program289[(F)
Current Period 
Final 
Audits])</f>
        <v>0</v>
      </c>
      <c r="G799" s="19">
        <f>SUBTOTAL(109,Program289[(G)
Current Period 
Other Adjustments])</f>
        <v>0</v>
      </c>
      <c r="H799" s="19">
        <f>SUBTOTAL(109,Program289[(H)
Net Program Costs
Sum (C through G)])</f>
        <v>526117</v>
      </c>
      <c r="I799" s="19">
        <f>SUBTOTAL(109,Program289[(I)
Payments
 and Offsets])</f>
        <v>-83263</v>
      </c>
      <c r="J799" s="19">
        <f>SUBTOTAL(109,Program289[(J)
Accounts Payable Balance
(H + I)])</f>
        <v>442854</v>
      </c>
      <c r="K799" s="19">
        <f>SUBTOTAL(109,Program289[(K)
Established 
Accounts Receivable])</f>
        <v>0</v>
      </c>
      <c r="L799" s="19">
        <f>SUBTOTAL(109,Program289[(L)
Recovered
 Accounts Receivable])</f>
        <v>0</v>
      </c>
      <c r="M799" s="19">
        <f>SUBTOTAL(109,Program289[(M)
Accounts Receivable Balance
(K + L)])</f>
        <v>0</v>
      </c>
      <c r="N799" s="19">
        <f>SUBTOTAL(109,Program289[(N)
Net Balance
(J minus M)])</f>
        <v>442854</v>
      </c>
    </row>
    <row r="800" spans="1:14" ht="15.75" x14ac:dyDescent="0.25">
      <c r="A800" s="17" t="s">
        <v>13</v>
      </c>
      <c r="B800" s="54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</row>
    <row r="801" spans="1:14" ht="78.75" x14ac:dyDescent="0.25">
      <c r="A801" s="39" t="s">
        <v>32</v>
      </c>
      <c r="B801" s="40" t="s">
        <v>33</v>
      </c>
      <c r="C801" s="41" t="s">
        <v>34</v>
      </c>
      <c r="D801" s="41" t="s">
        <v>35</v>
      </c>
      <c r="E801" s="42" t="s">
        <v>36</v>
      </c>
      <c r="F801" s="42" t="s">
        <v>37</v>
      </c>
      <c r="G801" s="42" t="s">
        <v>38</v>
      </c>
      <c r="H801" s="43" t="s">
        <v>39</v>
      </c>
      <c r="I801" s="44" t="s">
        <v>40</v>
      </c>
      <c r="J801" s="44" t="s">
        <v>41</v>
      </c>
      <c r="K801" s="42" t="s">
        <v>42</v>
      </c>
      <c r="L801" s="44" t="s">
        <v>43</v>
      </c>
      <c r="M801" s="44" t="s">
        <v>44</v>
      </c>
      <c r="N801" s="45" t="s">
        <v>45</v>
      </c>
    </row>
    <row r="802" spans="1:14" ht="15.75" x14ac:dyDescent="0.25">
      <c r="A802" s="46" t="s">
        <v>190</v>
      </c>
      <c r="B802" s="47" t="s">
        <v>65</v>
      </c>
      <c r="C802" s="48">
        <v>900483</v>
      </c>
      <c r="D802" s="48">
        <v>-20873</v>
      </c>
      <c r="E802" s="48">
        <v>0</v>
      </c>
      <c r="F802" s="48">
        <v>0</v>
      </c>
      <c r="G802" s="48">
        <v>0</v>
      </c>
      <c r="H802" s="48">
        <v>879610</v>
      </c>
      <c r="I802" s="48">
        <v>-879610</v>
      </c>
      <c r="J802" s="48">
        <v>0</v>
      </c>
      <c r="K802" s="48">
        <v>5809</v>
      </c>
      <c r="L802" s="48">
        <v>-5809</v>
      </c>
      <c r="M802" s="48">
        <v>0</v>
      </c>
      <c r="N802" s="48">
        <v>0</v>
      </c>
    </row>
    <row r="803" spans="1:14" ht="15.75" x14ac:dyDescent="0.25">
      <c r="A803" s="49" t="s">
        <v>190</v>
      </c>
      <c r="B803" s="50" t="s">
        <v>66</v>
      </c>
      <c r="C803" s="51">
        <v>628574</v>
      </c>
      <c r="D803" s="51">
        <v>-24303</v>
      </c>
      <c r="E803" s="51">
        <v>0</v>
      </c>
      <c r="F803" s="51">
        <v>0</v>
      </c>
      <c r="G803" s="51">
        <v>0</v>
      </c>
      <c r="H803" s="51">
        <v>604271</v>
      </c>
      <c r="I803" s="51">
        <v>-604271</v>
      </c>
      <c r="J803" s="51">
        <v>0</v>
      </c>
      <c r="K803" s="51">
        <v>4761</v>
      </c>
      <c r="L803" s="51">
        <v>-4761</v>
      </c>
      <c r="M803" s="51">
        <v>0</v>
      </c>
      <c r="N803" s="51">
        <v>0</v>
      </c>
    </row>
    <row r="804" spans="1:14" ht="15.75" x14ac:dyDescent="0.25">
      <c r="A804" s="49" t="s">
        <v>190</v>
      </c>
      <c r="B804" s="50" t="s">
        <v>67</v>
      </c>
      <c r="C804" s="51">
        <v>380998</v>
      </c>
      <c r="D804" s="51">
        <v>-8660</v>
      </c>
      <c r="E804" s="51">
        <v>0</v>
      </c>
      <c r="F804" s="51">
        <v>0</v>
      </c>
      <c r="G804" s="51">
        <v>0</v>
      </c>
      <c r="H804" s="51">
        <v>372338</v>
      </c>
      <c r="I804" s="51">
        <v>-372338</v>
      </c>
      <c r="J804" s="51">
        <v>0</v>
      </c>
      <c r="K804" s="51">
        <v>2115</v>
      </c>
      <c r="L804" s="51">
        <v>-2115</v>
      </c>
      <c r="M804" s="51">
        <v>0</v>
      </c>
      <c r="N804" s="51">
        <v>0</v>
      </c>
    </row>
    <row r="805" spans="1:14" ht="15.75" x14ac:dyDescent="0.25">
      <c r="A805" s="49" t="s">
        <v>190</v>
      </c>
      <c r="B805" s="50" t="s">
        <v>68</v>
      </c>
      <c r="C805" s="51">
        <v>219579</v>
      </c>
      <c r="D805" s="51">
        <v>-3046</v>
      </c>
      <c r="E805" s="51">
        <v>0</v>
      </c>
      <c r="F805" s="51">
        <v>0</v>
      </c>
      <c r="G805" s="51">
        <v>0</v>
      </c>
      <c r="H805" s="51">
        <v>216533</v>
      </c>
      <c r="I805" s="51">
        <v>-216533</v>
      </c>
      <c r="J805" s="51">
        <v>0</v>
      </c>
      <c r="K805" s="51">
        <v>522</v>
      </c>
      <c r="L805" s="51">
        <v>-522</v>
      </c>
      <c r="M805" s="51">
        <v>0</v>
      </c>
      <c r="N805" s="51">
        <v>0</v>
      </c>
    </row>
    <row r="806" spans="1:14" ht="15.75" x14ac:dyDescent="0.25">
      <c r="A806" s="49" t="s">
        <v>190</v>
      </c>
      <c r="B806" s="50" t="s">
        <v>69</v>
      </c>
      <c r="C806" s="51">
        <v>188696</v>
      </c>
      <c r="D806" s="51">
        <v>-29827</v>
      </c>
      <c r="E806" s="51">
        <v>0</v>
      </c>
      <c r="F806" s="51">
        <v>0</v>
      </c>
      <c r="G806" s="51">
        <v>0</v>
      </c>
      <c r="H806" s="51">
        <v>158869</v>
      </c>
      <c r="I806" s="51">
        <v>-158869</v>
      </c>
      <c r="J806" s="51">
        <v>0</v>
      </c>
      <c r="K806" s="51">
        <v>144</v>
      </c>
      <c r="L806" s="51">
        <v>-144</v>
      </c>
      <c r="M806" s="51">
        <v>0</v>
      </c>
      <c r="N806" s="51">
        <v>0</v>
      </c>
    </row>
    <row r="807" spans="1:14" ht="15.75" x14ac:dyDescent="0.25">
      <c r="A807" s="49" t="s">
        <v>190</v>
      </c>
      <c r="B807" s="50" t="s">
        <v>115</v>
      </c>
      <c r="C807" s="51">
        <v>71581</v>
      </c>
      <c r="D807" s="51">
        <v>-11321</v>
      </c>
      <c r="E807" s="51">
        <v>0</v>
      </c>
      <c r="F807" s="51">
        <v>0</v>
      </c>
      <c r="G807" s="51">
        <v>0</v>
      </c>
      <c r="H807" s="51">
        <v>60260</v>
      </c>
      <c r="I807" s="51">
        <v>-60260</v>
      </c>
      <c r="J807" s="51">
        <v>0</v>
      </c>
      <c r="K807" s="51">
        <v>0</v>
      </c>
      <c r="L807" s="51">
        <v>0</v>
      </c>
      <c r="M807" s="51">
        <v>0</v>
      </c>
      <c r="N807" s="51">
        <v>0</v>
      </c>
    </row>
    <row r="808" spans="1:14" ht="15.75" x14ac:dyDescent="0.25">
      <c r="A808" s="52" t="s">
        <v>191</v>
      </c>
      <c r="B808" s="53" t="s">
        <v>8</v>
      </c>
      <c r="C808" s="19">
        <f>SUBTOTAL(109,Program126[(C)
Program
Costs])</f>
        <v>2389911</v>
      </c>
      <c r="D808" s="19">
        <f>SUBTOTAL(109,Program126[(D)
Prior Period Adjustments])</f>
        <v>-98030</v>
      </c>
      <c r="E808" s="19">
        <f>SUBTOTAL(109,Program126[(E)
Current Period Desk 
Reviews])</f>
        <v>0</v>
      </c>
      <c r="F808" s="19">
        <f>SUBTOTAL(109,Program126[(F)
Current Period 
Final 
Audits])</f>
        <v>0</v>
      </c>
      <c r="G808" s="19">
        <f>SUBTOTAL(109,Program126[(G)
Current Period 
Other Adjustments])</f>
        <v>0</v>
      </c>
      <c r="H808" s="19">
        <f>SUBTOTAL(109,Program126[(H)
Net Program Costs
Sum (C through G)])</f>
        <v>2291881</v>
      </c>
      <c r="I808" s="19">
        <f>SUBTOTAL(109,Program126[(I)
Payments
 and Offsets])</f>
        <v>-2291881</v>
      </c>
      <c r="J808" s="19">
        <f>SUBTOTAL(109,Program126[(J)
Accounts Payable Balance
(H + I)])</f>
        <v>0</v>
      </c>
      <c r="K808" s="19">
        <f>SUBTOTAL(109,Program126[(K)
Established 
Accounts Receivable])</f>
        <v>13351</v>
      </c>
      <c r="L808" s="19">
        <f>SUBTOTAL(109,Program126[(L)
Recovered
 Accounts Receivable])</f>
        <v>-13351</v>
      </c>
      <c r="M808" s="19">
        <f>SUBTOTAL(109,Program126[(M)
Accounts Receivable Balance
(K + L)])</f>
        <v>0</v>
      </c>
      <c r="N808" s="19">
        <f>SUBTOTAL(109,Program126[(N)
Net Balance
(J minus M)])</f>
        <v>0</v>
      </c>
    </row>
    <row r="809" spans="1:14" ht="15.75" x14ac:dyDescent="0.25">
      <c r="A809" s="17" t="s">
        <v>13</v>
      </c>
      <c r="B809" s="54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</row>
    <row r="810" spans="1:14" ht="78.75" x14ac:dyDescent="0.25">
      <c r="A810" s="39" t="s">
        <v>32</v>
      </c>
      <c r="B810" s="40" t="s">
        <v>33</v>
      </c>
      <c r="C810" s="41" t="s">
        <v>34</v>
      </c>
      <c r="D810" s="41" t="s">
        <v>35</v>
      </c>
      <c r="E810" s="42" t="s">
        <v>36</v>
      </c>
      <c r="F810" s="42" t="s">
        <v>37</v>
      </c>
      <c r="G810" s="42" t="s">
        <v>38</v>
      </c>
      <c r="H810" s="43" t="s">
        <v>39</v>
      </c>
      <c r="I810" s="44" t="s">
        <v>40</v>
      </c>
      <c r="J810" s="44" t="s">
        <v>41</v>
      </c>
      <c r="K810" s="42" t="s">
        <v>42</v>
      </c>
      <c r="L810" s="44" t="s">
        <v>43</v>
      </c>
      <c r="M810" s="44" t="s">
        <v>44</v>
      </c>
      <c r="N810" s="45" t="s">
        <v>45</v>
      </c>
    </row>
    <row r="811" spans="1:14" ht="30" x14ac:dyDescent="0.25">
      <c r="A811" s="67" t="s">
        <v>192</v>
      </c>
      <c r="B811" s="57" t="s">
        <v>80</v>
      </c>
      <c r="C811" s="58">
        <v>1305066</v>
      </c>
      <c r="D811" s="58">
        <v>-27393</v>
      </c>
      <c r="E811" s="58">
        <v>0</v>
      </c>
      <c r="F811" s="58">
        <v>-88894</v>
      </c>
      <c r="G811" s="58">
        <v>0</v>
      </c>
      <c r="H811" s="58">
        <v>1188779</v>
      </c>
      <c r="I811" s="58">
        <v>0</v>
      </c>
      <c r="J811" s="58">
        <v>1188779</v>
      </c>
      <c r="K811" s="58">
        <v>0</v>
      </c>
      <c r="L811" s="58">
        <v>0</v>
      </c>
      <c r="M811" s="58">
        <v>0</v>
      </c>
      <c r="N811" s="58">
        <v>1188779</v>
      </c>
    </row>
    <row r="812" spans="1:14" ht="30" x14ac:dyDescent="0.25">
      <c r="A812" s="68" t="s">
        <v>192</v>
      </c>
      <c r="B812" s="60" t="s">
        <v>81</v>
      </c>
      <c r="C812" s="61">
        <v>3335963</v>
      </c>
      <c r="D812" s="61">
        <v>-459447</v>
      </c>
      <c r="E812" s="61">
        <v>0</v>
      </c>
      <c r="F812" s="61">
        <v>-158900</v>
      </c>
      <c r="G812" s="61">
        <v>0</v>
      </c>
      <c r="H812" s="61">
        <v>2717616</v>
      </c>
      <c r="I812" s="61">
        <v>0</v>
      </c>
      <c r="J812" s="61">
        <v>2717616</v>
      </c>
      <c r="K812" s="61">
        <v>0</v>
      </c>
      <c r="L812" s="61">
        <v>0</v>
      </c>
      <c r="M812" s="61">
        <v>0</v>
      </c>
      <c r="N812" s="61">
        <v>2717616</v>
      </c>
    </row>
    <row r="813" spans="1:14" ht="30" x14ac:dyDescent="0.25">
      <c r="A813" s="68" t="s">
        <v>192</v>
      </c>
      <c r="B813" s="60" t="s">
        <v>82</v>
      </c>
      <c r="C813" s="61">
        <v>3071559</v>
      </c>
      <c r="D813" s="61">
        <v>-1487406</v>
      </c>
      <c r="E813" s="61">
        <v>0</v>
      </c>
      <c r="F813" s="61">
        <v>-214524</v>
      </c>
      <c r="G813" s="61">
        <v>0</v>
      </c>
      <c r="H813" s="61">
        <v>1369629</v>
      </c>
      <c r="I813" s="61">
        <v>0</v>
      </c>
      <c r="J813" s="61">
        <v>1369629</v>
      </c>
      <c r="K813" s="61">
        <v>0</v>
      </c>
      <c r="L813" s="61">
        <v>0</v>
      </c>
      <c r="M813" s="61">
        <v>0</v>
      </c>
      <c r="N813" s="61">
        <v>1369629</v>
      </c>
    </row>
    <row r="814" spans="1:14" ht="30" x14ac:dyDescent="0.25">
      <c r="A814" s="68" t="s">
        <v>192</v>
      </c>
      <c r="B814" s="60" t="s">
        <v>83</v>
      </c>
      <c r="C814" s="61">
        <v>7344066</v>
      </c>
      <c r="D814" s="61">
        <v>-2922601</v>
      </c>
      <c r="E814" s="61">
        <v>0</v>
      </c>
      <c r="F814" s="61">
        <v>-195599</v>
      </c>
      <c r="G814" s="61">
        <v>0</v>
      </c>
      <c r="H814" s="61">
        <v>4225866</v>
      </c>
      <c r="I814" s="61">
        <v>0</v>
      </c>
      <c r="J814" s="61">
        <v>4225866</v>
      </c>
      <c r="K814" s="61">
        <v>0</v>
      </c>
      <c r="L814" s="61">
        <v>0</v>
      </c>
      <c r="M814" s="61">
        <v>0</v>
      </c>
      <c r="N814" s="61">
        <v>4225866</v>
      </c>
    </row>
    <row r="815" spans="1:14" ht="30" x14ac:dyDescent="0.25">
      <c r="A815" s="68" t="s">
        <v>192</v>
      </c>
      <c r="B815" s="60" t="s">
        <v>48</v>
      </c>
      <c r="C815" s="61">
        <v>12322074</v>
      </c>
      <c r="D815" s="61">
        <v>-4655724</v>
      </c>
      <c r="E815" s="61">
        <v>0</v>
      </c>
      <c r="F815" s="61">
        <v>0</v>
      </c>
      <c r="G815" s="61">
        <v>0</v>
      </c>
      <c r="H815" s="61">
        <v>7666350</v>
      </c>
      <c r="I815" s="61">
        <v>0</v>
      </c>
      <c r="J815" s="61">
        <v>7666350</v>
      </c>
      <c r="K815" s="61">
        <v>0</v>
      </c>
      <c r="L815" s="61">
        <v>0</v>
      </c>
      <c r="M815" s="61">
        <v>0</v>
      </c>
      <c r="N815" s="61">
        <v>7666350</v>
      </c>
    </row>
    <row r="816" spans="1:14" ht="30" x14ac:dyDescent="0.25">
      <c r="A816" s="68" t="s">
        <v>192</v>
      </c>
      <c r="B816" s="60" t="s">
        <v>49</v>
      </c>
      <c r="C816" s="61">
        <v>11928439</v>
      </c>
      <c r="D816" s="61">
        <v>-4543133</v>
      </c>
      <c r="E816" s="61">
        <v>0</v>
      </c>
      <c r="F816" s="61">
        <v>0</v>
      </c>
      <c r="G816" s="61">
        <v>0</v>
      </c>
      <c r="H816" s="61">
        <v>7385306</v>
      </c>
      <c r="I816" s="61">
        <v>0</v>
      </c>
      <c r="J816" s="61">
        <v>7385306</v>
      </c>
      <c r="K816" s="61">
        <v>0</v>
      </c>
      <c r="L816" s="61">
        <v>0</v>
      </c>
      <c r="M816" s="61">
        <v>0</v>
      </c>
      <c r="N816" s="61">
        <v>7385306</v>
      </c>
    </row>
    <row r="817" spans="1:14" ht="30" x14ac:dyDescent="0.25">
      <c r="A817" s="68" t="s">
        <v>192</v>
      </c>
      <c r="B817" s="60" t="s">
        <v>50</v>
      </c>
      <c r="C817" s="61">
        <v>11247017</v>
      </c>
      <c r="D817" s="61">
        <v>-5196165</v>
      </c>
      <c r="E817" s="61">
        <v>0</v>
      </c>
      <c r="F817" s="61">
        <v>0</v>
      </c>
      <c r="G817" s="61">
        <v>0</v>
      </c>
      <c r="H817" s="61">
        <v>6050852</v>
      </c>
      <c r="I817" s="61">
        <v>0</v>
      </c>
      <c r="J817" s="61">
        <v>6050852</v>
      </c>
      <c r="K817" s="61">
        <v>0</v>
      </c>
      <c r="L817" s="61">
        <v>0</v>
      </c>
      <c r="M817" s="61">
        <v>0</v>
      </c>
      <c r="N817" s="61">
        <v>6050852</v>
      </c>
    </row>
    <row r="818" spans="1:14" ht="30" x14ac:dyDescent="0.25">
      <c r="A818" s="68" t="s">
        <v>192</v>
      </c>
      <c r="B818" s="60" t="s">
        <v>51</v>
      </c>
      <c r="C818" s="61">
        <v>10561677</v>
      </c>
      <c r="D818" s="61">
        <v>-5110620</v>
      </c>
      <c r="E818" s="61">
        <v>0</v>
      </c>
      <c r="F818" s="61">
        <v>0</v>
      </c>
      <c r="G818" s="61">
        <v>0</v>
      </c>
      <c r="H818" s="61">
        <v>5451057</v>
      </c>
      <c r="I818" s="61">
        <v>0</v>
      </c>
      <c r="J818" s="61">
        <v>5451057</v>
      </c>
      <c r="K818" s="61">
        <v>0</v>
      </c>
      <c r="L818" s="61">
        <v>0</v>
      </c>
      <c r="M818" s="61">
        <v>0</v>
      </c>
      <c r="N818" s="61">
        <v>5451057</v>
      </c>
    </row>
    <row r="819" spans="1:14" ht="30" x14ac:dyDescent="0.25">
      <c r="A819" s="68" t="s">
        <v>192</v>
      </c>
      <c r="B819" s="60" t="s">
        <v>52</v>
      </c>
      <c r="C819" s="61">
        <v>8399919</v>
      </c>
      <c r="D819" s="61">
        <v>-3523546</v>
      </c>
      <c r="E819" s="61">
        <v>0</v>
      </c>
      <c r="F819" s="61">
        <v>0</v>
      </c>
      <c r="G819" s="61">
        <v>0</v>
      </c>
      <c r="H819" s="61">
        <v>4876373</v>
      </c>
      <c r="I819" s="61">
        <v>0</v>
      </c>
      <c r="J819" s="61">
        <v>4876373</v>
      </c>
      <c r="K819" s="61">
        <v>0</v>
      </c>
      <c r="L819" s="61">
        <v>0</v>
      </c>
      <c r="M819" s="61">
        <v>0</v>
      </c>
      <c r="N819" s="61">
        <v>4876373</v>
      </c>
    </row>
    <row r="820" spans="1:14" ht="30" x14ac:dyDescent="0.25">
      <c r="A820" s="68" t="s">
        <v>192</v>
      </c>
      <c r="B820" s="60" t="s">
        <v>53</v>
      </c>
      <c r="C820" s="61">
        <v>7827514</v>
      </c>
      <c r="D820" s="61">
        <v>-3261902</v>
      </c>
      <c r="E820" s="61">
        <v>0</v>
      </c>
      <c r="F820" s="61">
        <v>0</v>
      </c>
      <c r="G820" s="61">
        <v>0</v>
      </c>
      <c r="H820" s="61">
        <v>4565612</v>
      </c>
      <c r="I820" s="61">
        <v>0</v>
      </c>
      <c r="J820" s="61">
        <v>4565612</v>
      </c>
      <c r="K820" s="61">
        <v>0</v>
      </c>
      <c r="L820" s="61">
        <v>0</v>
      </c>
      <c r="M820" s="61">
        <v>0</v>
      </c>
      <c r="N820" s="61">
        <v>4565612</v>
      </c>
    </row>
    <row r="821" spans="1:14" ht="30" x14ac:dyDescent="0.25">
      <c r="A821" s="68" t="s">
        <v>192</v>
      </c>
      <c r="B821" s="60" t="s">
        <v>54</v>
      </c>
      <c r="C821" s="61">
        <v>7443960</v>
      </c>
      <c r="D821" s="61">
        <v>-3195590</v>
      </c>
      <c r="E821" s="61">
        <v>0</v>
      </c>
      <c r="F821" s="61">
        <v>0</v>
      </c>
      <c r="G821" s="61">
        <v>0</v>
      </c>
      <c r="H821" s="61">
        <v>4248370</v>
      </c>
      <c r="I821" s="61">
        <v>0</v>
      </c>
      <c r="J821" s="61">
        <v>4248370</v>
      </c>
      <c r="K821" s="61">
        <v>0</v>
      </c>
      <c r="L821" s="61">
        <v>0</v>
      </c>
      <c r="M821" s="61">
        <v>0</v>
      </c>
      <c r="N821" s="61">
        <v>4248370</v>
      </c>
    </row>
    <row r="822" spans="1:14" ht="30" x14ac:dyDescent="0.25">
      <c r="A822" s="68" t="s">
        <v>192</v>
      </c>
      <c r="B822" s="60" t="s">
        <v>55</v>
      </c>
      <c r="C822" s="61">
        <v>6718465</v>
      </c>
      <c r="D822" s="61">
        <v>-2777737</v>
      </c>
      <c r="E822" s="61">
        <v>0</v>
      </c>
      <c r="F822" s="61">
        <v>0</v>
      </c>
      <c r="G822" s="61">
        <v>0</v>
      </c>
      <c r="H822" s="61">
        <v>3940728</v>
      </c>
      <c r="I822" s="61">
        <v>0</v>
      </c>
      <c r="J822" s="61">
        <v>3940728</v>
      </c>
      <c r="K822" s="61">
        <v>0</v>
      </c>
      <c r="L822" s="61">
        <v>0</v>
      </c>
      <c r="M822" s="61">
        <v>0</v>
      </c>
      <c r="N822" s="61">
        <v>3940728</v>
      </c>
    </row>
    <row r="823" spans="1:14" ht="30" x14ac:dyDescent="0.25">
      <c r="A823" s="68" t="s">
        <v>192</v>
      </c>
      <c r="B823" s="60" t="s">
        <v>56</v>
      </c>
      <c r="C823" s="61">
        <v>6188544</v>
      </c>
      <c r="D823" s="61">
        <v>-2577694</v>
      </c>
      <c r="E823" s="61">
        <v>0</v>
      </c>
      <c r="F823" s="61">
        <v>0</v>
      </c>
      <c r="G823" s="61">
        <v>0</v>
      </c>
      <c r="H823" s="61">
        <v>3610850</v>
      </c>
      <c r="I823" s="61">
        <v>0</v>
      </c>
      <c r="J823" s="61">
        <v>3610850</v>
      </c>
      <c r="K823" s="61">
        <v>0</v>
      </c>
      <c r="L823" s="61">
        <v>0</v>
      </c>
      <c r="M823" s="61">
        <v>0</v>
      </c>
      <c r="N823" s="61">
        <v>3610850</v>
      </c>
    </row>
    <row r="824" spans="1:14" ht="30" x14ac:dyDescent="0.25">
      <c r="A824" s="68" t="s">
        <v>192</v>
      </c>
      <c r="B824" s="60" t="s">
        <v>57</v>
      </c>
      <c r="C824" s="61">
        <v>5616519</v>
      </c>
      <c r="D824" s="61">
        <v>-2372267</v>
      </c>
      <c r="E824" s="61">
        <v>0</v>
      </c>
      <c r="F824" s="61">
        <v>0</v>
      </c>
      <c r="G824" s="61">
        <v>0</v>
      </c>
      <c r="H824" s="61">
        <v>3244252</v>
      </c>
      <c r="I824" s="61">
        <v>0</v>
      </c>
      <c r="J824" s="61">
        <v>3244252</v>
      </c>
      <c r="K824" s="61">
        <v>0</v>
      </c>
      <c r="L824" s="61">
        <v>0</v>
      </c>
      <c r="M824" s="61">
        <v>0</v>
      </c>
      <c r="N824" s="61">
        <v>3244252</v>
      </c>
    </row>
    <row r="825" spans="1:14" ht="30" x14ac:dyDescent="0.25">
      <c r="A825" s="68" t="s">
        <v>192</v>
      </c>
      <c r="B825" s="60" t="s">
        <v>58</v>
      </c>
      <c r="C825" s="61">
        <v>4924380</v>
      </c>
      <c r="D825" s="61">
        <v>-1854222</v>
      </c>
      <c r="E825" s="61">
        <v>0</v>
      </c>
      <c r="F825" s="61">
        <v>0</v>
      </c>
      <c r="G825" s="61">
        <v>0</v>
      </c>
      <c r="H825" s="61">
        <v>3070158</v>
      </c>
      <c r="I825" s="61">
        <v>0</v>
      </c>
      <c r="J825" s="61">
        <v>3070158</v>
      </c>
      <c r="K825" s="61">
        <v>0</v>
      </c>
      <c r="L825" s="61">
        <v>0</v>
      </c>
      <c r="M825" s="61">
        <v>0</v>
      </c>
      <c r="N825" s="61">
        <v>3070158</v>
      </c>
    </row>
    <row r="826" spans="1:14" ht="30" x14ac:dyDescent="0.25">
      <c r="A826" s="68" t="s">
        <v>192</v>
      </c>
      <c r="B826" s="60" t="s">
        <v>59</v>
      </c>
      <c r="C826" s="61">
        <v>5401258</v>
      </c>
      <c r="D826" s="61">
        <v>-2570818</v>
      </c>
      <c r="E826" s="61">
        <v>0</v>
      </c>
      <c r="F826" s="61">
        <v>0</v>
      </c>
      <c r="G826" s="61">
        <v>0</v>
      </c>
      <c r="H826" s="61">
        <v>2830440</v>
      </c>
      <c r="I826" s="61">
        <v>0</v>
      </c>
      <c r="J826" s="61">
        <v>2830440</v>
      </c>
      <c r="K826" s="61">
        <v>0</v>
      </c>
      <c r="L826" s="61">
        <v>0</v>
      </c>
      <c r="M826" s="61">
        <v>0</v>
      </c>
      <c r="N826" s="61">
        <v>2830440</v>
      </c>
    </row>
    <row r="827" spans="1:14" ht="15.75" x14ac:dyDescent="0.25">
      <c r="A827" s="52" t="s">
        <v>193</v>
      </c>
      <c r="B827" s="53" t="s">
        <v>8</v>
      </c>
      <c r="C827" s="19">
        <f>SUBTOTAL(109,Program358[(C)
Program
Costs])</f>
        <v>113636420</v>
      </c>
      <c r="D827" s="19">
        <f>SUBTOTAL(109,Program358[(D)
Prior Period Adjustments])</f>
        <v>-46536265</v>
      </c>
      <c r="E827" s="19">
        <f>SUBTOTAL(109,Program358[(E)
Current Period Desk 
Reviews])</f>
        <v>0</v>
      </c>
      <c r="F827" s="19">
        <f>SUBTOTAL(109,Program358[(F)
Current Period 
Final 
Audits])</f>
        <v>-657917</v>
      </c>
      <c r="G827" s="19">
        <f>SUBTOTAL(109,Program358[(G)
Current Period 
Other Adjustments])</f>
        <v>0</v>
      </c>
      <c r="H827" s="19">
        <f>SUBTOTAL(109,Program358[(H)
Net Program Costs
Sum (C through G)])</f>
        <v>66442238</v>
      </c>
      <c r="I827" s="19">
        <f>SUBTOTAL(109,Program358[(I)
Payments
 and Offsets])</f>
        <v>0</v>
      </c>
      <c r="J827" s="19">
        <f>SUBTOTAL(109,Program358[(J)
Accounts Payable Balance
(H + I)])</f>
        <v>66442238</v>
      </c>
      <c r="K827" s="19">
        <f>SUBTOTAL(109,Program358[(K)
Established 
Accounts Receivable])</f>
        <v>0</v>
      </c>
      <c r="L827" s="19">
        <f>SUBTOTAL(109,Program358[(L)
Recovered
 Accounts Receivable])</f>
        <v>0</v>
      </c>
      <c r="M827" s="19">
        <f>SUBTOTAL(109,Program358[(M)
Accounts Receivable Balance
(K + L)])</f>
        <v>0</v>
      </c>
      <c r="N827" s="19">
        <f>SUBTOTAL(109,Program358[(N)
Net Balance
(J minus M)])</f>
        <v>66442238</v>
      </c>
    </row>
    <row r="828" spans="1:14" ht="15.75" x14ac:dyDescent="0.25">
      <c r="A828" s="17" t="s">
        <v>13</v>
      </c>
      <c r="B828" s="54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</row>
    <row r="829" spans="1:14" ht="78.75" x14ac:dyDescent="0.25">
      <c r="A829" s="39" t="s">
        <v>32</v>
      </c>
      <c r="B829" s="40" t="s">
        <v>33</v>
      </c>
      <c r="C829" s="41" t="s">
        <v>34</v>
      </c>
      <c r="D829" s="41" t="s">
        <v>35</v>
      </c>
      <c r="E829" s="42" t="s">
        <v>36</v>
      </c>
      <c r="F829" s="42" t="s">
        <v>37</v>
      </c>
      <c r="G829" s="42" t="s">
        <v>38</v>
      </c>
      <c r="H829" s="43" t="s">
        <v>39</v>
      </c>
      <c r="I829" s="44" t="s">
        <v>40</v>
      </c>
      <c r="J829" s="44" t="s">
        <v>41</v>
      </c>
      <c r="K829" s="42" t="s">
        <v>42</v>
      </c>
      <c r="L829" s="44" t="s">
        <v>43</v>
      </c>
      <c r="M829" s="44" t="s">
        <v>44</v>
      </c>
      <c r="N829" s="45" t="s">
        <v>45</v>
      </c>
    </row>
    <row r="830" spans="1:14" ht="15.75" x14ac:dyDescent="0.25">
      <c r="A830" s="46" t="s">
        <v>194</v>
      </c>
      <c r="B830" s="47" t="s">
        <v>56</v>
      </c>
      <c r="C830" s="48">
        <v>5361077</v>
      </c>
      <c r="D830" s="48">
        <v>-63972</v>
      </c>
      <c r="E830" s="48">
        <v>0</v>
      </c>
      <c r="F830" s="48">
        <v>0</v>
      </c>
      <c r="G830" s="48">
        <v>0</v>
      </c>
      <c r="H830" s="48">
        <v>5297105</v>
      </c>
      <c r="I830" s="48">
        <v>-5297105</v>
      </c>
      <c r="J830" s="48">
        <v>0</v>
      </c>
      <c r="K830" s="48">
        <v>138</v>
      </c>
      <c r="L830" s="48">
        <v>-138</v>
      </c>
      <c r="M830" s="48">
        <v>0</v>
      </c>
      <c r="N830" s="48">
        <v>0</v>
      </c>
    </row>
    <row r="831" spans="1:14" ht="15.75" x14ac:dyDescent="0.25">
      <c r="A831" s="49" t="s">
        <v>194</v>
      </c>
      <c r="B831" s="50" t="s">
        <v>57</v>
      </c>
      <c r="C831" s="51">
        <v>6181584</v>
      </c>
      <c r="D831" s="51">
        <v>-98362</v>
      </c>
      <c r="E831" s="51">
        <v>0</v>
      </c>
      <c r="F831" s="51">
        <v>0</v>
      </c>
      <c r="G831" s="51">
        <v>0</v>
      </c>
      <c r="H831" s="51">
        <v>6083222</v>
      </c>
      <c r="I831" s="51">
        <v>-6083222</v>
      </c>
      <c r="J831" s="51">
        <v>0</v>
      </c>
      <c r="K831" s="51">
        <v>214181</v>
      </c>
      <c r="L831" s="51">
        <v>-212019</v>
      </c>
      <c r="M831" s="51">
        <v>2162</v>
      </c>
      <c r="N831" s="51">
        <v>-2162</v>
      </c>
    </row>
    <row r="832" spans="1:14" ht="15.75" x14ac:dyDescent="0.25">
      <c r="A832" s="49" t="s">
        <v>194</v>
      </c>
      <c r="B832" s="50" t="s">
        <v>58</v>
      </c>
      <c r="C832" s="51">
        <v>5900973</v>
      </c>
      <c r="D832" s="51">
        <v>-17980</v>
      </c>
      <c r="E832" s="51">
        <v>0</v>
      </c>
      <c r="F832" s="51">
        <v>0</v>
      </c>
      <c r="G832" s="51">
        <v>0</v>
      </c>
      <c r="H832" s="51">
        <v>5882993</v>
      </c>
      <c r="I832" s="51">
        <v>-5882993</v>
      </c>
      <c r="J832" s="51">
        <v>0</v>
      </c>
      <c r="K832" s="51">
        <v>216034</v>
      </c>
      <c r="L832" s="51">
        <v>-216034</v>
      </c>
      <c r="M832" s="51">
        <v>0</v>
      </c>
      <c r="N832" s="51">
        <v>0</v>
      </c>
    </row>
    <row r="833" spans="1:14" ht="15.75" x14ac:dyDescent="0.25">
      <c r="A833" s="49" t="s">
        <v>194</v>
      </c>
      <c r="B833" s="50" t="s">
        <v>59</v>
      </c>
      <c r="C833" s="51">
        <v>5035560</v>
      </c>
      <c r="D833" s="51">
        <v>-16548</v>
      </c>
      <c r="E833" s="51">
        <v>0</v>
      </c>
      <c r="F833" s="51">
        <v>0</v>
      </c>
      <c r="G833" s="51">
        <v>0</v>
      </c>
      <c r="H833" s="51">
        <v>5019012</v>
      </c>
      <c r="I833" s="51">
        <v>-5019012</v>
      </c>
      <c r="J833" s="51">
        <v>0</v>
      </c>
      <c r="K833" s="51">
        <v>189342</v>
      </c>
      <c r="L833" s="51">
        <v>-189342</v>
      </c>
      <c r="M833" s="51">
        <v>0</v>
      </c>
      <c r="N833" s="51">
        <v>0</v>
      </c>
    </row>
    <row r="834" spans="1:14" ht="15.75" x14ac:dyDescent="0.25">
      <c r="A834" s="49" t="s">
        <v>194</v>
      </c>
      <c r="B834" s="50" t="s">
        <v>60</v>
      </c>
      <c r="C834" s="51">
        <v>4020648</v>
      </c>
      <c r="D834" s="51">
        <v>-15860</v>
      </c>
      <c r="E834" s="51">
        <v>0</v>
      </c>
      <c r="F834" s="51">
        <v>0</v>
      </c>
      <c r="G834" s="51">
        <v>0</v>
      </c>
      <c r="H834" s="51">
        <v>4004788</v>
      </c>
      <c r="I834" s="51">
        <v>-4004788</v>
      </c>
      <c r="J834" s="51">
        <v>0</v>
      </c>
      <c r="K834" s="51">
        <v>38458</v>
      </c>
      <c r="L834" s="51">
        <v>-38458</v>
      </c>
      <c r="M834" s="51">
        <v>0</v>
      </c>
      <c r="N834" s="51">
        <v>0</v>
      </c>
    </row>
    <row r="835" spans="1:14" ht="15.75" x14ac:dyDescent="0.25">
      <c r="A835" s="49" t="s">
        <v>194</v>
      </c>
      <c r="B835" s="50" t="s">
        <v>61</v>
      </c>
      <c r="C835" s="51">
        <v>3846598</v>
      </c>
      <c r="D835" s="51">
        <v>-680141</v>
      </c>
      <c r="E835" s="51">
        <v>0</v>
      </c>
      <c r="F835" s="51">
        <v>0</v>
      </c>
      <c r="G835" s="51">
        <v>0</v>
      </c>
      <c r="H835" s="51">
        <v>3166457</v>
      </c>
      <c r="I835" s="51">
        <v>-3166457</v>
      </c>
      <c r="J835" s="51">
        <v>0</v>
      </c>
      <c r="K835" s="51">
        <v>51089</v>
      </c>
      <c r="L835" s="51">
        <v>-51089</v>
      </c>
      <c r="M835" s="51">
        <v>0</v>
      </c>
      <c r="N835" s="51">
        <v>0</v>
      </c>
    </row>
    <row r="836" spans="1:14" ht="15.75" x14ac:dyDescent="0.25">
      <c r="A836" s="49" t="s">
        <v>194</v>
      </c>
      <c r="B836" s="50" t="s">
        <v>62</v>
      </c>
      <c r="C836" s="51">
        <v>3101513</v>
      </c>
      <c r="D836" s="51">
        <v>-2062160</v>
      </c>
      <c r="E836" s="51">
        <v>0</v>
      </c>
      <c r="F836" s="51">
        <v>0</v>
      </c>
      <c r="G836" s="51">
        <v>0</v>
      </c>
      <c r="H836" s="51">
        <v>1039353</v>
      </c>
      <c r="I836" s="51">
        <v>-1039353</v>
      </c>
      <c r="J836" s="51">
        <v>0</v>
      </c>
      <c r="K836" s="51">
        <v>9532</v>
      </c>
      <c r="L836" s="51">
        <v>-9532</v>
      </c>
      <c r="M836" s="51">
        <v>0</v>
      </c>
      <c r="N836" s="51">
        <v>0</v>
      </c>
    </row>
    <row r="837" spans="1:14" ht="15.75" x14ac:dyDescent="0.25">
      <c r="A837" s="49" t="s">
        <v>194</v>
      </c>
      <c r="B837" s="50" t="s">
        <v>63</v>
      </c>
      <c r="C837" s="51">
        <v>1632084</v>
      </c>
      <c r="D837" s="51">
        <v>-1004303</v>
      </c>
      <c r="E837" s="51">
        <v>0</v>
      </c>
      <c r="F837" s="51">
        <v>0</v>
      </c>
      <c r="G837" s="51">
        <v>0</v>
      </c>
      <c r="H837" s="51">
        <v>627781</v>
      </c>
      <c r="I837" s="51">
        <v>-627781</v>
      </c>
      <c r="J837" s="51">
        <v>0</v>
      </c>
      <c r="K837" s="51">
        <v>5046</v>
      </c>
      <c r="L837" s="51">
        <v>-5046</v>
      </c>
      <c r="M837" s="51">
        <v>0</v>
      </c>
      <c r="N837" s="51">
        <v>0</v>
      </c>
    </row>
    <row r="838" spans="1:14" ht="15.75" x14ac:dyDescent="0.25">
      <c r="A838" s="52" t="s">
        <v>195</v>
      </c>
      <c r="B838" s="53" t="s">
        <v>8</v>
      </c>
      <c r="C838" s="19">
        <f>SUBTOTAL(109,Program161[(C)
Program
Costs])</f>
        <v>35080037</v>
      </c>
      <c r="D838" s="19">
        <f>SUBTOTAL(109,Program161[(D)
Prior Period Adjustments])</f>
        <v>-3959326</v>
      </c>
      <c r="E838" s="19">
        <f>SUBTOTAL(109,Program161[(E)
Current Period Desk 
Reviews])</f>
        <v>0</v>
      </c>
      <c r="F838" s="19">
        <f>SUBTOTAL(109,Program161[(F)
Current Period 
Final 
Audits])</f>
        <v>0</v>
      </c>
      <c r="G838" s="19">
        <f>SUBTOTAL(109,Program161[(G)
Current Period 
Other Adjustments])</f>
        <v>0</v>
      </c>
      <c r="H838" s="19">
        <f>SUBTOTAL(109,Program161[(H)
Net Program Costs
Sum (C through G)])</f>
        <v>31120711</v>
      </c>
      <c r="I838" s="19">
        <f>SUBTOTAL(109,Program161[(I)
Payments
 and Offsets])</f>
        <v>-31120711</v>
      </c>
      <c r="J838" s="19">
        <f>SUBTOTAL(109,Program161[(J)
Accounts Payable Balance
(H + I)])</f>
        <v>0</v>
      </c>
      <c r="K838" s="19">
        <f>SUBTOTAL(109,Program161[(K)
Established 
Accounts Receivable])</f>
        <v>723820</v>
      </c>
      <c r="L838" s="19">
        <f>SUBTOTAL(109,Program161[(L)
Recovered
 Accounts Receivable])</f>
        <v>-721658</v>
      </c>
      <c r="M838" s="19">
        <f>SUBTOTAL(109,Program161[(M)
Accounts Receivable Balance
(K + L)])</f>
        <v>2162</v>
      </c>
      <c r="N838" s="19">
        <f>SUBTOTAL(109,Program161[(N)
Net Balance
(J minus M)])</f>
        <v>-2162</v>
      </c>
    </row>
    <row r="839" spans="1:14" ht="15.75" x14ac:dyDescent="0.25">
      <c r="A839" s="17" t="s">
        <v>13</v>
      </c>
      <c r="B839" s="54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</row>
    <row r="840" spans="1:14" ht="78.75" x14ac:dyDescent="0.25">
      <c r="A840" s="39" t="s">
        <v>32</v>
      </c>
      <c r="B840" s="40" t="s">
        <v>33</v>
      </c>
      <c r="C840" s="41" t="s">
        <v>34</v>
      </c>
      <c r="D840" s="41" t="s">
        <v>35</v>
      </c>
      <c r="E840" s="42" t="s">
        <v>36</v>
      </c>
      <c r="F840" s="42" t="s">
        <v>37</v>
      </c>
      <c r="G840" s="42" t="s">
        <v>38</v>
      </c>
      <c r="H840" s="43" t="s">
        <v>39</v>
      </c>
      <c r="I840" s="44" t="s">
        <v>40</v>
      </c>
      <c r="J840" s="44" t="s">
        <v>41</v>
      </c>
      <c r="K840" s="42" t="s">
        <v>42</v>
      </c>
      <c r="L840" s="44" t="s">
        <v>43</v>
      </c>
      <c r="M840" s="44" t="s">
        <v>44</v>
      </c>
      <c r="N840" s="45" t="s">
        <v>45</v>
      </c>
    </row>
    <row r="841" spans="1:14" ht="15.75" x14ac:dyDescent="0.25">
      <c r="A841" s="46" t="s">
        <v>196</v>
      </c>
      <c r="B841" s="47" t="s">
        <v>60</v>
      </c>
      <c r="C841" s="48">
        <v>65093</v>
      </c>
      <c r="D841" s="48">
        <v>0</v>
      </c>
      <c r="E841" s="48">
        <v>0</v>
      </c>
      <c r="F841" s="48">
        <v>0</v>
      </c>
      <c r="G841" s="48">
        <v>0</v>
      </c>
      <c r="H841" s="48">
        <v>65093</v>
      </c>
      <c r="I841" s="48">
        <v>-65093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</row>
    <row r="842" spans="1:14" ht="15.75" x14ac:dyDescent="0.25">
      <c r="A842" s="49" t="s">
        <v>196</v>
      </c>
      <c r="B842" s="50" t="s">
        <v>61</v>
      </c>
      <c r="C842" s="51">
        <v>58479</v>
      </c>
      <c r="D842" s="51">
        <v>-19707</v>
      </c>
      <c r="E842" s="51">
        <v>0</v>
      </c>
      <c r="F842" s="51">
        <v>0</v>
      </c>
      <c r="G842" s="51">
        <v>0</v>
      </c>
      <c r="H842" s="51">
        <v>38772</v>
      </c>
      <c r="I842" s="51">
        <v>-38772</v>
      </c>
      <c r="J842" s="51">
        <v>0</v>
      </c>
      <c r="K842" s="51">
        <v>0</v>
      </c>
      <c r="L842" s="51">
        <v>0</v>
      </c>
      <c r="M842" s="51">
        <v>0</v>
      </c>
      <c r="N842" s="51">
        <v>0</v>
      </c>
    </row>
    <row r="843" spans="1:14" ht="15.75" x14ac:dyDescent="0.25">
      <c r="A843" s="49" t="s">
        <v>196</v>
      </c>
      <c r="B843" s="50" t="s">
        <v>66</v>
      </c>
      <c r="C843" s="51">
        <v>41022</v>
      </c>
      <c r="D843" s="51">
        <v>-890</v>
      </c>
      <c r="E843" s="51">
        <v>0</v>
      </c>
      <c r="F843" s="51">
        <v>0</v>
      </c>
      <c r="G843" s="51">
        <v>0</v>
      </c>
      <c r="H843" s="51">
        <v>40132</v>
      </c>
      <c r="I843" s="51">
        <v>-40132</v>
      </c>
      <c r="J843" s="51">
        <v>0</v>
      </c>
      <c r="K843" s="51">
        <v>0</v>
      </c>
      <c r="L843" s="51">
        <v>0</v>
      </c>
      <c r="M843" s="51">
        <v>0</v>
      </c>
      <c r="N843" s="51">
        <v>0</v>
      </c>
    </row>
    <row r="844" spans="1:14" ht="15.75" x14ac:dyDescent="0.25">
      <c r="A844" s="52" t="s">
        <v>197</v>
      </c>
      <c r="B844" s="53" t="s">
        <v>8</v>
      </c>
      <c r="C844" s="19">
        <f>SUBTOTAL(109,Program132[(C)
Program
Costs])</f>
        <v>164594</v>
      </c>
      <c r="D844" s="19">
        <f>SUBTOTAL(109,Program132[(D)
Prior Period Adjustments])</f>
        <v>-20597</v>
      </c>
      <c r="E844" s="19">
        <f>SUBTOTAL(109,Program132[(E)
Current Period Desk 
Reviews])</f>
        <v>0</v>
      </c>
      <c r="F844" s="19">
        <f>SUBTOTAL(109,Program132[(F)
Current Period 
Final 
Audits])</f>
        <v>0</v>
      </c>
      <c r="G844" s="19">
        <f>SUBTOTAL(109,Program132[(G)
Current Period 
Other Adjustments])</f>
        <v>0</v>
      </c>
      <c r="H844" s="19">
        <f>SUBTOTAL(109,Program132[(H)
Net Program Costs
Sum (C through G)])</f>
        <v>143997</v>
      </c>
      <c r="I844" s="19">
        <f>SUBTOTAL(109,Program132[(I)
Payments
 and Offsets])</f>
        <v>-143997</v>
      </c>
      <c r="J844" s="19">
        <f>SUBTOTAL(109,Program132[(J)
Accounts Payable Balance
(H + I)])</f>
        <v>0</v>
      </c>
      <c r="K844" s="19">
        <f>SUBTOTAL(109,Program132[(K)
Established 
Accounts Receivable])</f>
        <v>0</v>
      </c>
      <c r="L844" s="19">
        <f>SUBTOTAL(109,Program132[(L)
Recovered
 Accounts Receivable])</f>
        <v>0</v>
      </c>
      <c r="M844" s="19">
        <f>SUBTOTAL(109,Program132[(M)
Accounts Receivable Balance
(K + L)])</f>
        <v>0</v>
      </c>
      <c r="N844" s="19">
        <f>SUBTOTAL(109,Program132[(N)
Net Balance
(J minus M)])</f>
        <v>0</v>
      </c>
    </row>
    <row r="845" spans="1:14" ht="15.75" x14ac:dyDescent="0.25">
      <c r="A845" s="17" t="s">
        <v>13</v>
      </c>
      <c r="B845" s="54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</row>
    <row r="846" spans="1:14" ht="78.75" x14ac:dyDescent="0.25">
      <c r="A846" s="39" t="s">
        <v>32</v>
      </c>
      <c r="B846" s="40" t="s">
        <v>33</v>
      </c>
      <c r="C846" s="41" t="s">
        <v>34</v>
      </c>
      <c r="D846" s="41" t="s">
        <v>35</v>
      </c>
      <c r="E846" s="42" t="s">
        <v>36</v>
      </c>
      <c r="F846" s="42" t="s">
        <v>37</v>
      </c>
      <c r="G846" s="42" t="s">
        <v>38</v>
      </c>
      <c r="H846" s="43" t="s">
        <v>39</v>
      </c>
      <c r="I846" s="44" t="s">
        <v>40</v>
      </c>
      <c r="J846" s="44" t="s">
        <v>41</v>
      </c>
      <c r="K846" s="42" t="s">
        <v>42</v>
      </c>
      <c r="L846" s="44" t="s">
        <v>43</v>
      </c>
      <c r="M846" s="44" t="s">
        <v>44</v>
      </c>
      <c r="N846" s="45" t="s">
        <v>45</v>
      </c>
    </row>
    <row r="847" spans="1:14" ht="30" x14ac:dyDescent="0.25">
      <c r="A847" s="67" t="s">
        <v>198</v>
      </c>
      <c r="B847" s="57" t="s">
        <v>50</v>
      </c>
      <c r="C847" s="58">
        <v>139227</v>
      </c>
      <c r="D847" s="58">
        <v>0</v>
      </c>
      <c r="E847" s="58">
        <v>0</v>
      </c>
      <c r="F847" s="58">
        <v>0</v>
      </c>
      <c r="G847" s="58">
        <v>0</v>
      </c>
      <c r="H847" s="58">
        <v>139227</v>
      </c>
      <c r="I847" s="58">
        <v>0</v>
      </c>
      <c r="J847" s="58">
        <v>139227</v>
      </c>
      <c r="K847" s="58">
        <v>0</v>
      </c>
      <c r="L847" s="58">
        <v>0</v>
      </c>
      <c r="M847" s="58">
        <v>0</v>
      </c>
      <c r="N847" s="58">
        <v>139227</v>
      </c>
    </row>
    <row r="848" spans="1:14" ht="30" x14ac:dyDescent="0.25">
      <c r="A848" s="68" t="s">
        <v>198</v>
      </c>
      <c r="B848" s="60" t="s">
        <v>51</v>
      </c>
      <c r="C848" s="61">
        <v>134655</v>
      </c>
      <c r="D848" s="61">
        <v>0</v>
      </c>
      <c r="E848" s="61">
        <v>0</v>
      </c>
      <c r="F848" s="61">
        <v>0</v>
      </c>
      <c r="G848" s="61">
        <v>0</v>
      </c>
      <c r="H848" s="61">
        <v>134655</v>
      </c>
      <c r="I848" s="61">
        <v>0</v>
      </c>
      <c r="J848" s="61">
        <v>134655</v>
      </c>
      <c r="K848" s="61">
        <v>0</v>
      </c>
      <c r="L848" s="61">
        <v>0</v>
      </c>
      <c r="M848" s="61">
        <v>0</v>
      </c>
      <c r="N848" s="61">
        <v>134655</v>
      </c>
    </row>
    <row r="849" spans="1:14" ht="30" x14ac:dyDescent="0.25">
      <c r="A849" s="68" t="s">
        <v>198</v>
      </c>
      <c r="B849" s="60" t="s">
        <v>52</v>
      </c>
      <c r="C849" s="61">
        <v>118831</v>
      </c>
      <c r="D849" s="61">
        <v>0</v>
      </c>
      <c r="E849" s="61">
        <v>0</v>
      </c>
      <c r="F849" s="61">
        <v>0</v>
      </c>
      <c r="G849" s="61">
        <v>0</v>
      </c>
      <c r="H849" s="61">
        <v>118831</v>
      </c>
      <c r="I849" s="61">
        <v>-118831</v>
      </c>
      <c r="J849" s="61">
        <v>0</v>
      </c>
      <c r="K849" s="61">
        <v>0</v>
      </c>
      <c r="L849" s="61">
        <v>0</v>
      </c>
      <c r="M849" s="61">
        <v>0</v>
      </c>
      <c r="N849" s="61">
        <v>0</v>
      </c>
    </row>
    <row r="850" spans="1:14" ht="30" x14ac:dyDescent="0.25">
      <c r="A850" s="68" t="s">
        <v>198</v>
      </c>
      <c r="B850" s="60" t="s">
        <v>53</v>
      </c>
      <c r="C850" s="61">
        <v>66780</v>
      </c>
      <c r="D850" s="61">
        <v>0</v>
      </c>
      <c r="E850" s="61">
        <v>0</v>
      </c>
      <c r="F850" s="61">
        <v>0</v>
      </c>
      <c r="G850" s="61">
        <v>0</v>
      </c>
      <c r="H850" s="61">
        <v>66780</v>
      </c>
      <c r="I850" s="61">
        <v>-66780</v>
      </c>
      <c r="J850" s="61">
        <v>0</v>
      </c>
      <c r="K850" s="61">
        <v>0</v>
      </c>
      <c r="L850" s="61">
        <v>0</v>
      </c>
      <c r="M850" s="61">
        <v>0</v>
      </c>
      <c r="N850" s="61">
        <v>0</v>
      </c>
    </row>
    <row r="851" spans="1:14" ht="30" x14ac:dyDescent="0.25">
      <c r="A851" s="68" t="s">
        <v>198</v>
      </c>
      <c r="B851" s="60" t="s">
        <v>54</v>
      </c>
      <c r="C851" s="61">
        <v>64431</v>
      </c>
      <c r="D851" s="61">
        <v>0</v>
      </c>
      <c r="E851" s="61">
        <v>0</v>
      </c>
      <c r="F851" s="61">
        <v>0</v>
      </c>
      <c r="G851" s="61">
        <v>0</v>
      </c>
      <c r="H851" s="61">
        <v>64431</v>
      </c>
      <c r="I851" s="61">
        <v>-64431</v>
      </c>
      <c r="J851" s="61">
        <v>0</v>
      </c>
      <c r="K851" s="61">
        <v>0</v>
      </c>
      <c r="L851" s="61">
        <v>0</v>
      </c>
      <c r="M851" s="61">
        <v>0</v>
      </c>
      <c r="N851" s="61">
        <v>0</v>
      </c>
    </row>
    <row r="852" spans="1:14" ht="30" x14ac:dyDescent="0.25">
      <c r="A852" s="68" t="s">
        <v>198</v>
      </c>
      <c r="B852" s="60" t="s">
        <v>55</v>
      </c>
      <c r="C852" s="61">
        <v>137059</v>
      </c>
      <c r="D852" s="61">
        <v>0</v>
      </c>
      <c r="E852" s="61">
        <v>0</v>
      </c>
      <c r="F852" s="61">
        <v>0</v>
      </c>
      <c r="G852" s="61">
        <v>0</v>
      </c>
      <c r="H852" s="61">
        <v>137059</v>
      </c>
      <c r="I852" s="61">
        <v>-137059</v>
      </c>
      <c r="J852" s="61">
        <v>0</v>
      </c>
      <c r="K852" s="61">
        <v>0</v>
      </c>
      <c r="L852" s="61">
        <v>0</v>
      </c>
      <c r="M852" s="61">
        <v>0</v>
      </c>
      <c r="N852" s="61">
        <v>0</v>
      </c>
    </row>
    <row r="853" spans="1:14" ht="30" x14ac:dyDescent="0.25">
      <c r="A853" s="68" t="s">
        <v>198</v>
      </c>
      <c r="B853" s="60" t="s">
        <v>56</v>
      </c>
      <c r="C853" s="61">
        <v>66009</v>
      </c>
      <c r="D853" s="61">
        <v>0</v>
      </c>
      <c r="E853" s="61">
        <v>0</v>
      </c>
      <c r="F853" s="61">
        <v>0</v>
      </c>
      <c r="G853" s="61">
        <v>0</v>
      </c>
      <c r="H853" s="61">
        <v>66009</v>
      </c>
      <c r="I853" s="61">
        <v>-66009</v>
      </c>
      <c r="J853" s="61">
        <v>0</v>
      </c>
      <c r="K853" s="61">
        <v>0</v>
      </c>
      <c r="L853" s="61">
        <v>0</v>
      </c>
      <c r="M853" s="61">
        <v>0</v>
      </c>
      <c r="N853" s="61">
        <v>0</v>
      </c>
    </row>
    <row r="854" spans="1:14" ht="30" x14ac:dyDescent="0.25">
      <c r="A854" s="68" t="s">
        <v>198</v>
      </c>
      <c r="B854" s="60" t="s">
        <v>57</v>
      </c>
      <c r="C854" s="61">
        <v>95047</v>
      </c>
      <c r="D854" s="61">
        <v>0</v>
      </c>
      <c r="E854" s="61">
        <v>0</v>
      </c>
      <c r="F854" s="61">
        <v>0</v>
      </c>
      <c r="G854" s="61">
        <v>0</v>
      </c>
      <c r="H854" s="61">
        <v>95047</v>
      </c>
      <c r="I854" s="61">
        <v>-95047</v>
      </c>
      <c r="J854" s="61">
        <v>0</v>
      </c>
      <c r="K854" s="61">
        <v>0</v>
      </c>
      <c r="L854" s="61">
        <v>0</v>
      </c>
      <c r="M854" s="61">
        <v>0</v>
      </c>
      <c r="N854" s="61">
        <v>0</v>
      </c>
    </row>
    <row r="855" spans="1:14" ht="30" x14ac:dyDescent="0.25">
      <c r="A855" s="68" t="s">
        <v>198</v>
      </c>
      <c r="B855" s="60" t="s">
        <v>58</v>
      </c>
      <c r="C855" s="61">
        <v>70500</v>
      </c>
      <c r="D855" s="61">
        <v>0</v>
      </c>
      <c r="E855" s="61">
        <v>0</v>
      </c>
      <c r="F855" s="61">
        <v>0</v>
      </c>
      <c r="G855" s="61">
        <v>0</v>
      </c>
      <c r="H855" s="61">
        <v>70500</v>
      </c>
      <c r="I855" s="61">
        <v>-70500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</row>
    <row r="856" spans="1:14" ht="30" x14ac:dyDescent="0.25">
      <c r="A856" s="68" t="s">
        <v>198</v>
      </c>
      <c r="B856" s="60" t="s">
        <v>59</v>
      </c>
      <c r="C856" s="61">
        <v>73413</v>
      </c>
      <c r="D856" s="61">
        <v>0</v>
      </c>
      <c r="E856" s="61">
        <v>0</v>
      </c>
      <c r="F856" s="61">
        <v>0</v>
      </c>
      <c r="G856" s="61">
        <v>0</v>
      </c>
      <c r="H856" s="61">
        <v>73413</v>
      </c>
      <c r="I856" s="61">
        <v>-73413</v>
      </c>
      <c r="J856" s="61">
        <v>0</v>
      </c>
      <c r="K856" s="61">
        <v>0</v>
      </c>
      <c r="L856" s="61">
        <v>0</v>
      </c>
      <c r="M856" s="61">
        <v>0</v>
      </c>
      <c r="N856" s="61">
        <v>0</v>
      </c>
    </row>
    <row r="857" spans="1:14" ht="30" x14ac:dyDescent="0.25">
      <c r="A857" s="68" t="s">
        <v>198</v>
      </c>
      <c r="B857" s="60" t="s">
        <v>60</v>
      </c>
      <c r="C857" s="61">
        <v>119112</v>
      </c>
      <c r="D857" s="61">
        <v>0</v>
      </c>
      <c r="E857" s="61">
        <v>0</v>
      </c>
      <c r="F857" s="61">
        <v>0</v>
      </c>
      <c r="G857" s="61">
        <v>0</v>
      </c>
      <c r="H857" s="61">
        <v>119112</v>
      </c>
      <c r="I857" s="61">
        <v>-119112</v>
      </c>
      <c r="J857" s="61">
        <v>0</v>
      </c>
      <c r="K857" s="61">
        <v>0</v>
      </c>
      <c r="L857" s="61">
        <v>0</v>
      </c>
      <c r="M857" s="61">
        <v>0</v>
      </c>
      <c r="N857" s="61">
        <v>0</v>
      </c>
    </row>
    <row r="858" spans="1:14" ht="30" x14ac:dyDescent="0.25">
      <c r="A858" s="68" t="s">
        <v>198</v>
      </c>
      <c r="B858" s="60" t="s">
        <v>61</v>
      </c>
      <c r="C858" s="61">
        <v>103654</v>
      </c>
      <c r="D858" s="61">
        <v>0</v>
      </c>
      <c r="E858" s="61">
        <v>0</v>
      </c>
      <c r="F858" s="61">
        <v>0</v>
      </c>
      <c r="G858" s="61">
        <v>0</v>
      </c>
      <c r="H858" s="61">
        <v>103654</v>
      </c>
      <c r="I858" s="61">
        <v>-103654</v>
      </c>
      <c r="J858" s="61">
        <v>0</v>
      </c>
      <c r="K858" s="61">
        <v>0</v>
      </c>
      <c r="L858" s="61">
        <v>0</v>
      </c>
      <c r="M858" s="61">
        <v>0</v>
      </c>
      <c r="N858" s="61">
        <v>0</v>
      </c>
    </row>
    <row r="859" spans="1:14" ht="30" x14ac:dyDescent="0.25">
      <c r="A859" s="68" t="s">
        <v>198</v>
      </c>
      <c r="B859" s="60" t="s">
        <v>62</v>
      </c>
      <c r="C859" s="61">
        <v>148077</v>
      </c>
      <c r="D859" s="61">
        <v>0</v>
      </c>
      <c r="E859" s="61">
        <v>0</v>
      </c>
      <c r="F859" s="61">
        <v>0</v>
      </c>
      <c r="G859" s="61">
        <v>0</v>
      </c>
      <c r="H859" s="61">
        <v>148077</v>
      </c>
      <c r="I859" s="61">
        <v>-148077</v>
      </c>
      <c r="J859" s="61">
        <v>0</v>
      </c>
      <c r="K859" s="61">
        <v>0</v>
      </c>
      <c r="L859" s="61">
        <v>0</v>
      </c>
      <c r="M859" s="61">
        <v>0</v>
      </c>
      <c r="N859" s="61">
        <v>0</v>
      </c>
    </row>
    <row r="860" spans="1:14" ht="30" x14ac:dyDescent="0.25">
      <c r="A860" s="68" t="s">
        <v>198</v>
      </c>
      <c r="B860" s="60" t="s">
        <v>63</v>
      </c>
      <c r="C860" s="61">
        <v>116724</v>
      </c>
      <c r="D860" s="61">
        <v>0</v>
      </c>
      <c r="E860" s="61">
        <v>0</v>
      </c>
      <c r="F860" s="61">
        <v>0</v>
      </c>
      <c r="G860" s="61">
        <v>0</v>
      </c>
      <c r="H860" s="61">
        <v>116724</v>
      </c>
      <c r="I860" s="61">
        <v>-116724</v>
      </c>
      <c r="J860" s="61">
        <v>0</v>
      </c>
      <c r="K860" s="61">
        <v>25882</v>
      </c>
      <c r="L860" s="61">
        <v>-25882</v>
      </c>
      <c r="M860" s="61">
        <v>0</v>
      </c>
      <c r="N860" s="61">
        <v>0</v>
      </c>
    </row>
    <row r="861" spans="1:14" ht="30" x14ac:dyDescent="0.25">
      <c r="A861" s="68" t="s">
        <v>198</v>
      </c>
      <c r="B861" s="60" t="s">
        <v>64</v>
      </c>
      <c r="C861" s="61">
        <v>12458</v>
      </c>
      <c r="D861" s="61">
        <v>0</v>
      </c>
      <c r="E861" s="61">
        <v>0</v>
      </c>
      <c r="F861" s="61">
        <v>0</v>
      </c>
      <c r="G861" s="61">
        <v>0</v>
      </c>
      <c r="H861" s="61">
        <v>12458</v>
      </c>
      <c r="I861" s="61">
        <v>-12458</v>
      </c>
      <c r="J861" s="61">
        <v>0</v>
      </c>
      <c r="K861" s="61">
        <v>46199</v>
      </c>
      <c r="L861" s="61">
        <v>-46199</v>
      </c>
      <c r="M861" s="61">
        <v>0</v>
      </c>
      <c r="N861" s="61">
        <v>0</v>
      </c>
    </row>
    <row r="862" spans="1:14" ht="30" x14ac:dyDescent="0.25">
      <c r="A862" s="68" t="s">
        <v>198</v>
      </c>
      <c r="B862" s="60" t="s">
        <v>65</v>
      </c>
      <c r="C862" s="61">
        <v>16460</v>
      </c>
      <c r="D862" s="61">
        <v>0</v>
      </c>
      <c r="E862" s="61">
        <v>0</v>
      </c>
      <c r="F862" s="61">
        <v>0</v>
      </c>
      <c r="G862" s="61">
        <v>0</v>
      </c>
      <c r="H862" s="61">
        <v>16460</v>
      </c>
      <c r="I862" s="61">
        <v>-16460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</row>
    <row r="863" spans="1:14" ht="30" x14ac:dyDescent="0.25">
      <c r="A863" s="68" t="s">
        <v>198</v>
      </c>
      <c r="B863" s="60" t="s">
        <v>66</v>
      </c>
      <c r="C863" s="61">
        <v>29371.63</v>
      </c>
      <c r="D863" s="61">
        <v>0</v>
      </c>
      <c r="E863" s="61">
        <v>0</v>
      </c>
      <c r="F863" s="61">
        <v>0</v>
      </c>
      <c r="G863" s="61">
        <v>0</v>
      </c>
      <c r="H863" s="61">
        <v>29371.63</v>
      </c>
      <c r="I863" s="61">
        <v>-29371.63</v>
      </c>
      <c r="J863" s="61">
        <v>0</v>
      </c>
      <c r="K863" s="61">
        <v>0</v>
      </c>
      <c r="L863" s="61">
        <v>0</v>
      </c>
      <c r="M863" s="61">
        <v>0</v>
      </c>
      <c r="N863" s="61">
        <v>0</v>
      </c>
    </row>
    <row r="864" spans="1:14" ht="30" x14ac:dyDescent="0.25">
      <c r="A864" s="68" t="s">
        <v>198</v>
      </c>
      <c r="B864" s="60" t="s">
        <v>67</v>
      </c>
      <c r="C864" s="61">
        <v>2082</v>
      </c>
      <c r="D864" s="61">
        <v>0</v>
      </c>
      <c r="E864" s="61">
        <v>0</v>
      </c>
      <c r="F864" s="61">
        <v>0</v>
      </c>
      <c r="G864" s="61">
        <v>0</v>
      </c>
      <c r="H864" s="61">
        <v>2082</v>
      </c>
      <c r="I864" s="61">
        <v>-2082</v>
      </c>
      <c r="J864" s="61">
        <v>0</v>
      </c>
      <c r="K864" s="61">
        <v>0</v>
      </c>
      <c r="L864" s="61">
        <v>0</v>
      </c>
      <c r="M864" s="61">
        <v>0</v>
      </c>
      <c r="N864" s="61">
        <v>0</v>
      </c>
    </row>
    <row r="865" spans="1:14" ht="15.75" x14ac:dyDescent="0.25">
      <c r="A865" s="52" t="s">
        <v>199</v>
      </c>
      <c r="B865" s="53" t="s">
        <v>8</v>
      </c>
      <c r="C865" s="19">
        <f>SUBTOTAL(109,Program035[(C)
Program
Costs])</f>
        <v>1513890.63</v>
      </c>
      <c r="D865" s="19">
        <f>SUBTOTAL(109,Program035[(D)
Prior Period Adjustments])</f>
        <v>0</v>
      </c>
      <c r="E865" s="19">
        <f>SUBTOTAL(109,Program035[(E)
Current Period Desk 
Reviews])</f>
        <v>0</v>
      </c>
      <c r="F865" s="19">
        <f>SUBTOTAL(109,Program035[(F)
Current Period 
Final 
Audits])</f>
        <v>0</v>
      </c>
      <c r="G865" s="19">
        <f>SUBTOTAL(109,Program035[(G)
Current Period 
Other Adjustments])</f>
        <v>0</v>
      </c>
      <c r="H865" s="19">
        <f>SUBTOTAL(109,Program035[(H)
Net Program Costs
Sum (C through G)])</f>
        <v>1513890.63</v>
      </c>
      <c r="I865" s="19">
        <f>SUBTOTAL(109,Program035[(I)
Payments
 and Offsets])</f>
        <v>-1240008.6299999999</v>
      </c>
      <c r="J865" s="19">
        <f>SUBTOTAL(109,Program035[(J)
Accounts Payable Balance
(H + I)])</f>
        <v>273882</v>
      </c>
      <c r="K865" s="19">
        <f>SUBTOTAL(109,Program035[(K)
Established 
Accounts Receivable])</f>
        <v>72081</v>
      </c>
      <c r="L865" s="19">
        <f>SUBTOTAL(109,Program035[(L)
Recovered
 Accounts Receivable])</f>
        <v>-72081</v>
      </c>
      <c r="M865" s="19">
        <f>SUBTOTAL(109,Program035[(M)
Accounts Receivable Balance
(K + L)])</f>
        <v>0</v>
      </c>
      <c r="N865" s="19">
        <f>SUBTOTAL(109,Program035[(N)
Net Balance
(J minus M)])</f>
        <v>273882</v>
      </c>
    </row>
    <row r="866" spans="1:14" ht="15.75" x14ac:dyDescent="0.25">
      <c r="A866" s="17" t="s">
        <v>13</v>
      </c>
      <c r="B866" s="54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</row>
    <row r="867" spans="1:14" ht="78.75" x14ac:dyDescent="0.25">
      <c r="A867" s="39" t="s">
        <v>32</v>
      </c>
      <c r="B867" s="40" t="s">
        <v>33</v>
      </c>
      <c r="C867" s="41" t="s">
        <v>34</v>
      </c>
      <c r="D867" s="41" t="s">
        <v>35</v>
      </c>
      <c r="E867" s="42" t="s">
        <v>36</v>
      </c>
      <c r="F867" s="42" t="s">
        <v>37</v>
      </c>
      <c r="G867" s="42" t="s">
        <v>38</v>
      </c>
      <c r="H867" s="43" t="s">
        <v>39</v>
      </c>
      <c r="I867" s="44" t="s">
        <v>40</v>
      </c>
      <c r="J867" s="44" t="s">
        <v>41</v>
      </c>
      <c r="K867" s="42" t="s">
        <v>42</v>
      </c>
      <c r="L867" s="44" t="s">
        <v>43</v>
      </c>
      <c r="M867" s="44" t="s">
        <v>44</v>
      </c>
      <c r="N867" s="45" t="s">
        <v>45</v>
      </c>
    </row>
    <row r="868" spans="1:14" ht="30" x14ac:dyDescent="0.25">
      <c r="A868" s="67" t="s">
        <v>200</v>
      </c>
      <c r="B868" s="57" t="s">
        <v>56</v>
      </c>
      <c r="C868" s="58">
        <v>141208</v>
      </c>
      <c r="D868" s="58">
        <v>-5545</v>
      </c>
      <c r="E868" s="58">
        <v>0</v>
      </c>
      <c r="F868" s="58">
        <v>0</v>
      </c>
      <c r="G868" s="58">
        <v>0</v>
      </c>
      <c r="H868" s="58">
        <v>135663</v>
      </c>
      <c r="I868" s="58">
        <v>-135663</v>
      </c>
      <c r="J868" s="58">
        <v>0</v>
      </c>
      <c r="K868" s="58">
        <v>0</v>
      </c>
      <c r="L868" s="58">
        <v>0</v>
      </c>
      <c r="M868" s="58">
        <v>0</v>
      </c>
      <c r="N868" s="58">
        <v>0</v>
      </c>
    </row>
    <row r="869" spans="1:14" ht="30" x14ac:dyDescent="0.25">
      <c r="A869" s="68" t="s">
        <v>200</v>
      </c>
      <c r="B869" s="60" t="s">
        <v>57</v>
      </c>
      <c r="C869" s="61">
        <v>33156</v>
      </c>
      <c r="D869" s="61">
        <v>0</v>
      </c>
      <c r="E869" s="61">
        <v>0</v>
      </c>
      <c r="F869" s="61">
        <v>0</v>
      </c>
      <c r="G869" s="61">
        <v>0</v>
      </c>
      <c r="H869" s="61">
        <v>33156</v>
      </c>
      <c r="I869" s="61">
        <v>-33156</v>
      </c>
      <c r="J869" s="61">
        <v>0</v>
      </c>
      <c r="K869" s="61">
        <v>0</v>
      </c>
      <c r="L869" s="61">
        <v>0</v>
      </c>
      <c r="M869" s="61">
        <v>0</v>
      </c>
      <c r="N869" s="61">
        <v>0</v>
      </c>
    </row>
    <row r="870" spans="1:14" ht="30" x14ac:dyDescent="0.25">
      <c r="A870" s="68" t="s">
        <v>200</v>
      </c>
      <c r="B870" s="60" t="s">
        <v>58</v>
      </c>
      <c r="C870" s="61">
        <v>146421</v>
      </c>
      <c r="D870" s="61">
        <v>-2688</v>
      </c>
      <c r="E870" s="61">
        <v>0</v>
      </c>
      <c r="F870" s="61">
        <v>0</v>
      </c>
      <c r="G870" s="61">
        <v>0</v>
      </c>
      <c r="H870" s="61">
        <v>143733</v>
      </c>
      <c r="I870" s="61">
        <v>-143733</v>
      </c>
      <c r="J870" s="61">
        <v>0</v>
      </c>
      <c r="K870" s="61">
        <v>0</v>
      </c>
      <c r="L870" s="61">
        <v>0</v>
      </c>
      <c r="M870" s="61">
        <v>0</v>
      </c>
      <c r="N870" s="61">
        <v>0</v>
      </c>
    </row>
    <row r="871" spans="1:14" ht="30" x14ac:dyDescent="0.25">
      <c r="A871" s="68" t="s">
        <v>200</v>
      </c>
      <c r="B871" s="60" t="s">
        <v>59</v>
      </c>
      <c r="C871" s="61">
        <v>256387</v>
      </c>
      <c r="D871" s="61">
        <v>-1259</v>
      </c>
      <c r="E871" s="61">
        <v>0</v>
      </c>
      <c r="F871" s="61">
        <v>0</v>
      </c>
      <c r="G871" s="61">
        <v>0</v>
      </c>
      <c r="H871" s="61">
        <v>255128</v>
      </c>
      <c r="I871" s="61">
        <v>-255128</v>
      </c>
      <c r="J871" s="61">
        <v>0</v>
      </c>
      <c r="K871" s="61">
        <v>0</v>
      </c>
      <c r="L871" s="61">
        <v>0</v>
      </c>
      <c r="M871" s="61">
        <v>0</v>
      </c>
      <c r="N871" s="61">
        <v>0</v>
      </c>
    </row>
    <row r="872" spans="1:14" ht="30" x14ac:dyDescent="0.25">
      <c r="A872" s="68" t="s">
        <v>200</v>
      </c>
      <c r="B872" s="60" t="s">
        <v>60</v>
      </c>
      <c r="C872" s="61">
        <v>233074</v>
      </c>
      <c r="D872" s="61">
        <v>-2419</v>
      </c>
      <c r="E872" s="61">
        <v>0</v>
      </c>
      <c r="F872" s="61">
        <v>0</v>
      </c>
      <c r="G872" s="61">
        <v>0</v>
      </c>
      <c r="H872" s="61">
        <v>230655</v>
      </c>
      <c r="I872" s="61">
        <v>-230655</v>
      </c>
      <c r="J872" s="61">
        <v>0</v>
      </c>
      <c r="K872" s="61">
        <v>0</v>
      </c>
      <c r="L872" s="61">
        <v>0</v>
      </c>
      <c r="M872" s="61">
        <v>0</v>
      </c>
      <c r="N872" s="61">
        <v>0</v>
      </c>
    </row>
    <row r="873" spans="1:14" ht="30" x14ac:dyDescent="0.25">
      <c r="A873" s="68" t="s">
        <v>200</v>
      </c>
      <c r="B873" s="60" t="s">
        <v>61</v>
      </c>
      <c r="C873" s="61">
        <v>582579</v>
      </c>
      <c r="D873" s="61">
        <v>-2699</v>
      </c>
      <c r="E873" s="61">
        <v>0</v>
      </c>
      <c r="F873" s="61">
        <v>0</v>
      </c>
      <c r="G873" s="61">
        <v>0</v>
      </c>
      <c r="H873" s="61">
        <v>579880</v>
      </c>
      <c r="I873" s="61">
        <v>-579880</v>
      </c>
      <c r="J873" s="61">
        <v>0</v>
      </c>
      <c r="K873" s="61">
        <v>0</v>
      </c>
      <c r="L873" s="61">
        <v>0</v>
      </c>
      <c r="M873" s="61">
        <v>0</v>
      </c>
      <c r="N873" s="61">
        <v>0</v>
      </c>
    </row>
    <row r="874" spans="1:14" ht="30" x14ac:dyDescent="0.25">
      <c r="A874" s="68" t="s">
        <v>200</v>
      </c>
      <c r="B874" s="60" t="s">
        <v>62</v>
      </c>
      <c r="C874" s="61">
        <v>1406450</v>
      </c>
      <c r="D874" s="61">
        <v>-6273</v>
      </c>
      <c r="E874" s="61">
        <v>0</v>
      </c>
      <c r="F874" s="61">
        <v>0</v>
      </c>
      <c r="G874" s="61">
        <v>0</v>
      </c>
      <c r="H874" s="61">
        <v>1400177</v>
      </c>
      <c r="I874" s="61">
        <v>-1400177</v>
      </c>
      <c r="J874" s="61">
        <v>0</v>
      </c>
      <c r="K874" s="61">
        <v>0</v>
      </c>
      <c r="L874" s="61">
        <v>0</v>
      </c>
      <c r="M874" s="61">
        <v>0</v>
      </c>
      <c r="N874" s="61">
        <v>0</v>
      </c>
    </row>
    <row r="875" spans="1:14" ht="30" x14ac:dyDescent="0.25">
      <c r="A875" s="68" t="s">
        <v>200</v>
      </c>
      <c r="B875" s="60" t="s">
        <v>63</v>
      </c>
      <c r="C875" s="61">
        <v>506</v>
      </c>
      <c r="D875" s="61">
        <v>-506</v>
      </c>
      <c r="E875" s="61">
        <v>0</v>
      </c>
      <c r="F875" s="61">
        <v>0</v>
      </c>
      <c r="G875" s="61">
        <v>0</v>
      </c>
      <c r="H875" s="61">
        <v>0</v>
      </c>
      <c r="I875" s="61">
        <v>0</v>
      </c>
      <c r="J875" s="61">
        <v>0</v>
      </c>
      <c r="K875" s="61">
        <v>0</v>
      </c>
      <c r="L875" s="61">
        <v>0</v>
      </c>
      <c r="M875" s="61">
        <v>0</v>
      </c>
      <c r="N875" s="61">
        <v>0</v>
      </c>
    </row>
    <row r="876" spans="1:14" ht="15.75" x14ac:dyDescent="0.25">
      <c r="A876" s="52" t="s">
        <v>201</v>
      </c>
      <c r="B876" s="53" t="s">
        <v>8</v>
      </c>
      <c r="C876" s="19">
        <f>SUBTOTAL(109,Program193[(C)
Program
Costs])</f>
        <v>2799781</v>
      </c>
      <c r="D876" s="19">
        <f>SUBTOTAL(109,Program193[(D)
Prior Period Adjustments])</f>
        <v>-21389</v>
      </c>
      <c r="E876" s="19">
        <f>SUBTOTAL(109,Program193[(E)
Current Period Desk 
Reviews])</f>
        <v>0</v>
      </c>
      <c r="F876" s="19">
        <f>SUBTOTAL(109,Program193[(F)
Current Period 
Final 
Audits])</f>
        <v>0</v>
      </c>
      <c r="G876" s="19">
        <f>SUBTOTAL(109,Program193[(G)
Current Period 
Other Adjustments])</f>
        <v>0</v>
      </c>
      <c r="H876" s="19">
        <f>SUBTOTAL(109,Program193[(H)
Net Program Costs
Sum (C through G)])</f>
        <v>2778392</v>
      </c>
      <c r="I876" s="19">
        <f>SUBTOTAL(109,Program193[(I)
Payments
 and Offsets])</f>
        <v>-2778392</v>
      </c>
      <c r="J876" s="19">
        <f>SUBTOTAL(109,Program193[(J)
Accounts Payable Balance
(H + I)])</f>
        <v>0</v>
      </c>
      <c r="K876" s="19">
        <f>SUBTOTAL(109,Program193[(K)
Established 
Accounts Receivable])</f>
        <v>0</v>
      </c>
      <c r="L876" s="19">
        <f>SUBTOTAL(109,Program193[(L)
Recovered
 Accounts Receivable])</f>
        <v>0</v>
      </c>
      <c r="M876" s="19">
        <f>SUBTOTAL(109,Program193[(M)
Accounts Receivable Balance
(K + L)])</f>
        <v>0</v>
      </c>
      <c r="N876" s="19">
        <f>SUBTOTAL(109,Program193[(N)
Net Balance
(J minus M)])</f>
        <v>0</v>
      </c>
    </row>
    <row r="877" spans="1:14" ht="15.75" x14ac:dyDescent="0.25">
      <c r="A877" s="17" t="s">
        <v>13</v>
      </c>
      <c r="B877" s="54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</row>
    <row r="878" spans="1:14" ht="78.75" x14ac:dyDescent="0.25">
      <c r="A878" s="39" t="s">
        <v>32</v>
      </c>
      <c r="B878" s="40" t="s">
        <v>33</v>
      </c>
      <c r="C878" s="41" t="s">
        <v>34</v>
      </c>
      <c r="D878" s="41" t="s">
        <v>35</v>
      </c>
      <c r="E878" s="42" t="s">
        <v>36</v>
      </c>
      <c r="F878" s="42" t="s">
        <v>37</v>
      </c>
      <c r="G878" s="42" t="s">
        <v>38</v>
      </c>
      <c r="H878" s="43" t="s">
        <v>39</v>
      </c>
      <c r="I878" s="44" t="s">
        <v>40</v>
      </c>
      <c r="J878" s="44" t="s">
        <v>41</v>
      </c>
      <c r="K878" s="42" t="s">
        <v>42</v>
      </c>
      <c r="L878" s="44" t="s">
        <v>43</v>
      </c>
      <c r="M878" s="44" t="s">
        <v>44</v>
      </c>
      <c r="N878" s="45" t="s">
        <v>45</v>
      </c>
    </row>
    <row r="879" spans="1:14" ht="30" x14ac:dyDescent="0.25">
      <c r="A879" s="67" t="s">
        <v>202</v>
      </c>
      <c r="B879" s="57" t="s">
        <v>76</v>
      </c>
      <c r="C879" s="58">
        <v>260542</v>
      </c>
      <c r="D879" s="58">
        <v>0</v>
      </c>
      <c r="E879" s="58">
        <v>0</v>
      </c>
      <c r="F879" s="58">
        <v>0</v>
      </c>
      <c r="G879" s="58">
        <v>0</v>
      </c>
      <c r="H879" s="58">
        <v>260542</v>
      </c>
      <c r="I879" s="58">
        <v>0</v>
      </c>
      <c r="J879" s="58">
        <v>260542</v>
      </c>
      <c r="K879" s="58">
        <v>0</v>
      </c>
      <c r="L879" s="58">
        <v>0</v>
      </c>
      <c r="M879" s="58">
        <v>0</v>
      </c>
      <c r="N879" s="58">
        <v>260542</v>
      </c>
    </row>
    <row r="880" spans="1:14" ht="30" x14ac:dyDescent="0.25">
      <c r="A880" s="68" t="s">
        <v>202</v>
      </c>
      <c r="B880" s="60" t="s">
        <v>77</v>
      </c>
      <c r="C880" s="61">
        <v>204397</v>
      </c>
      <c r="D880" s="61">
        <v>0</v>
      </c>
      <c r="E880" s="61">
        <v>0</v>
      </c>
      <c r="F880" s="61">
        <v>0</v>
      </c>
      <c r="G880" s="61">
        <v>-282</v>
      </c>
      <c r="H880" s="61">
        <v>204115</v>
      </c>
      <c r="I880" s="61">
        <v>-201582</v>
      </c>
      <c r="J880" s="61">
        <v>2533</v>
      </c>
      <c r="K880" s="61">
        <v>0</v>
      </c>
      <c r="L880" s="61">
        <v>0</v>
      </c>
      <c r="M880" s="61">
        <v>0</v>
      </c>
      <c r="N880" s="61">
        <v>2533</v>
      </c>
    </row>
    <row r="881" spans="1:14" ht="30" x14ac:dyDescent="0.25">
      <c r="A881" s="68" t="s">
        <v>202</v>
      </c>
      <c r="B881" s="60" t="s">
        <v>78</v>
      </c>
      <c r="C881" s="61">
        <v>497500</v>
      </c>
      <c r="D881" s="61">
        <v>-12855</v>
      </c>
      <c r="E881" s="61">
        <v>0</v>
      </c>
      <c r="F881" s="61">
        <v>0</v>
      </c>
      <c r="G881" s="61">
        <v>0</v>
      </c>
      <c r="H881" s="61">
        <v>484645</v>
      </c>
      <c r="I881" s="61">
        <v>-326114</v>
      </c>
      <c r="J881" s="61">
        <v>158531</v>
      </c>
      <c r="K881" s="61">
        <v>0</v>
      </c>
      <c r="L881" s="61">
        <v>0</v>
      </c>
      <c r="M881" s="61">
        <v>0</v>
      </c>
      <c r="N881" s="61">
        <v>158531</v>
      </c>
    </row>
    <row r="882" spans="1:14" ht="30" x14ac:dyDescent="0.25">
      <c r="A882" s="68" t="s">
        <v>202</v>
      </c>
      <c r="B882" s="60" t="s">
        <v>47</v>
      </c>
      <c r="C882" s="61">
        <v>106277</v>
      </c>
      <c r="D882" s="61">
        <v>0</v>
      </c>
      <c r="E882" s="61">
        <v>0</v>
      </c>
      <c r="F882" s="61">
        <v>0</v>
      </c>
      <c r="G882" s="61">
        <v>0</v>
      </c>
      <c r="H882" s="61">
        <v>106277</v>
      </c>
      <c r="I882" s="61">
        <v>-106277</v>
      </c>
      <c r="J882" s="61">
        <v>0</v>
      </c>
      <c r="K882" s="61">
        <v>0</v>
      </c>
      <c r="L882" s="61">
        <v>0</v>
      </c>
      <c r="M882" s="61">
        <v>0</v>
      </c>
      <c r="N882" s="61">
        <v>0</v>
      </c>
    </row>
    <row r="883" spans="1:14" ht="30" x14ac:dyDescent="0.25">
      <c r="A883" s="68" t="s">
        <v>202</v>
      </c>
      <c r="B883" s="60" t="s">
        <v>79</v>
      </c>
      <c r="C883" s="61">
        <v>298477</v>
      </c>
      <c r="D883" s="61">
        <v>0</v>
      </c>
      <c r="E883" s="61">
        <v>0</v>
      </c>
      <c r="F883" s="61">
        <v>0</v>
      </c>
      <c r="G883" s="61">
        <v>0</v>
      </c>
      <c r="H883" s="61">
        <v>298477</v>
      </c>
      <c r="I883" s="61">
        <v>-298477</v>
      </c>
      <c r="J883" s="61">
        <v>0</v>
      </c>
      <c r="K883" s="61">
        <v>233747</v>
      </c>
      <c r="L883" s="61">
        <v>0</v>
      </c>
      <c r="M883" s="61">
        <v>233747</v>
      </c>
      <c r="N883" s="61">
        <v>-233747</v>
      </c>
    </row>
    <row r="884" spans="1:14" ht="15.75" x14ac:dyDescent="0.25">
      <c r="A884" s="52" t="s">
        <v>203</v>
      </c>
      <c r="B884" s="53" t="s">
        <v>8</v>
      </c>
      <c r="C884" s="19">
        <f>SUBTOTAL(109,Program371[(C)
Program
Costs])</f>
        <v>1367193</v>
      </c>
      <c r="D884" s="19">
        <f>SUBTOTAL(109,Program371[(D)
Prior Period Adjustments])</f>
        <v>-12855</v>
      </c>
      <c r="E884" s="19">
        <f>SUBTOTAL(109,Program371[(E)
Current Period Desk 
Reviews])</f>
        <v>0</v>
      </c>
      <c r="F884" s="19">
        <f>SUBTOTAL(109,Program371[(F)
Current Period 
Final 
Audits])</f>
        <v>0</v>
      </c>
      <c r="G884" s="19">
        <f>SUBTOTAL(109,Program371[(G)
Current Period 
Other Adjustments])</f>
        <v>-282</v>
      </c>
      <c r="H884" s="19">
        <f>SUBTOTAL(109,Program371[(H)
Net Program Costs
Sum (C through G)])</f>
        <v>1354056</v>
      </c>
      <c r="I884" s="19">
        <f>SUBTOTAL(109,Program371[(I)
Payments
 and Offsets])</f>
        <v>-932450</v>
      </c>
      <c r="J884" s="19">
        <f>SUBTOTAL(109,Program371[(J)
Accounts Payable Balance
(H + I)])</f>
        <v>421606</v>
      </c>
      <c r="K884" s="19">
        <f>SUBTOTAL(109,Program371[(K)
Established 
Accounts Receivable])</f>
        <v>233747</v>
      </c>
      <c r="L884" s="19">
        <f>SUBTOTAL(109,Program371[(L)
Recovered
 Accounts Receivable])</f>
        <v>0</v>
      </c>
      <c r="M884" s="19">
        <f>SUBTOTAL(109,Program371[(M)
Accounts Receivable Balance
(K + L)])</f>
        <v>233747</v>
      </c>
      <c r="N884" s="19">
        <f>SUBTOTAL(109,Program371[(N)
Net Balance
(J minus M)])</f>
        <v>187859</v>
      </c>
    </row>
    <row r="885" spans="1:14" ht="15.75" x14ac:dyDescent="0.25">
      <c r="A885" s="17" t="s">
        <v>13</v>
      </c>
      <c r="B885" s="54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</row>
    <row r="886" spans="1:14" ht="78.75" x14ac:dyDescent="0.25">
      <c r="A886" s="39" t="s">
        <v>32</v>
      </c>
      <c r="B886" s="40" t="s">
        <v>33</v>
      </c>
      <c r="C886" s="41" t="s">
        <v>34</v>
      </c>
      <c r="D886" s="41" t="s">
        <v>35</v>
      </c>
      <c r="E886" s="42" t="s">
        <v>36</v>
      </c>
      <c r="F886" s="42" t="s">
        <v>37</v>
      </c>
      <c r="G886" s="42" t="s">
        <v>38</v>
      </c>
      <c r="H886" s="43" t="s">
        <v>39</v>
      </c>
      <c r="I886" s="44" t="s">
        <v>40</v>
      </c>
      <c r="J886" s="44" t="s">
        <v>41</v>
      </c>
      <c r="K886" s="42" t="s">
        <v>42</v>
      </c>
      <c r="L886" s="44" t="s">
        <v>43</v>
      </c>
      <c r="M886" s="44" t="s">
        <v>44</v>
      </c>
      <c r="N886" s="45" t="s">
        <v>45</v>
      </c>
    </row>
    <row r="887" spans="1:14" ht="15.75" x14ac:dyDescent="0.25">
      <c r="A887" s="46" t="s">
        <v>204</v>
      </c>
      <c r="B887" s="47" t="s">
        <v>76</v>
      </c>
      <c r="C887" s="48">
        <v>14818</v>
      </c>
      <c r="D887" s="48">
        <v>0</v>
      </c>
      <c r="E887" s="48">
        <v>0</v>
      </c>
      <c r="F887" s="48">
        <v>0</v>
      </c>
      <c r="G887" s="48">
        <v>0</v>
      </c>
      <c r="H887" s="48">
        <v>14818</v>
      </c>
      <c r="I887" s="48">
        <v>0</v>
      </c>
      <c r="J887" s="48">
        <v>14818</v>
      </c>
      <c r="K887" s="48">
        <v>0</v>
      </c>
      <c r="L887" s="48">
        <v>0</v>
      </c>
      <c r="M887" s="48">
        <v>0</v>
      </c>
      <c r="N887" s="48">
        <v>14818</v>
      </c>
    </row>
    <row r="888" spans="1:14" ht="15.75" x14ac:dyDescent="0.25">
      <c r="A888" s="49" t="s">
        <v>204</v>
      </c>
      <c r="B888" s="50" t="s">
        <v>77</v>
      </c>
      <c r="C888" s="51">
        <v>16200</v>
      </c>
      <c r="D888" s="51">
        <v>0</v>
      </c>
      <c r="E888" s="51">
        <v>0</v>
      </c>
      <c r="F888" s="51">
        <v>0</v>
      </c>
      <c r="G888" s="51">
        <v>0</v>
      </c>
      <c r="H888" s="51">
        <v>16200</v>
      </c>
      <c r="I888" s="51">
        <v>-16200</v>
      </c>
      <c r="J888" s="51">
        <v>0</v>
      </c>
      <c r="K888" s="51">
        <v>0</v>
      </c>
      <c r="L888" s="51">
        <v>0</v>
      </c>
      <c r="M888" s="51">
        <v>0</v>
      </c>
      <c r="N888" s="51">
        <v>0</v>
      </c>
    </row>
    <row r="889" spans="1:14" ht="15.75" x14ac:dyDescent="0.25">
      <c r="A889" s="49" t="s">
        <v>204</v>
      </c>
      <c r="B889" s="50" t="s">
        <v>78</v>
      </c>
      <c r="C889" s="51">
        <v>22562</v>
      </c>
      <c r="D889" s="51">
        <v>0</v>
      </c>
      <c r="E889" s="51">
        <v>0</v>
      </c>
      <c r="F889" s="51">
        <v>0</v>
      </c>
      <c r="G889" s="51">
        <v>0</v>
      </c>
      <c r="H889" s="51">
        <v>22562</v>
      </c>
      <c r="I889" s="51">
        <v>-22562</v>
      </c>
      <c r="J889" s="51">
        <v>0</v>
      </c>
      <c r="K889" s="51">
        <v>0</v>
      </c>
      <c r="L889" s="51">
        <v>0</v>
      </c>
      <c r="M889" s="51">
        <v>0</v>
      </c>
      <c r="N889" s="51">
        <v>0</v>
      </c>
    </row>
    <row r="890" spans="1:14" ht="15.75" x14ac:dyDescent="0.25">
      <c r="A890" s="49" t="s">
        <v>204</v>
      </c>
      <c r="B890" s="50" t="s">
        <v>47</v>
      </c>
      <c r="C890" s="51">
        <v>5192</v>
      </c>
      <c r="D890" s="51">
        <v>0</v>
      </c>
      <c r="E890" s="51">
        <v>0</v>
      </c>
      <c r="F890" s="51">
        <v>0</v>
      </c>
      <c r="G890" s="51">
        <v>0</v>
      </c>
      <c r="H890" s="51">
        <v>5192</v>
      </c>
      <c r="I890" s="51">
        <v>-5192</v>
      </c>
      <c r="J890" s="51">
        <v>0</v>
      </c>
      <c r="K890" s="51">
        <v>0</v>
      </c>
      <c r="L890" s="51">
        <v>0</v>
      </c>
      <c r="M890" s="51">
        <v>0</v>
      </c>
      <c r="N890" s="51">
        <v>0</v>
      </c>
    </row>
    <row r="891" spans="1:14" ht="15.75" x14ac:dyDescent="0.25">
      <c r="A891" s="49" t="s">
        <v>204</v>
      </c>
      <c r="B891" s="50" t="s">
        <v>79</v>
      </c>
      <c r="C891" s="51">
        <v>1037</v>
      </c>
      <c r="D891" s="51">
        <v>0</v>
      </c>
      <c r="E891" s="51">
        <v>0</v>
      </c>
      <c r="F891" s="51">
        <v>0</v>
      </c>
      <c r="G891" s="51">
        <v>0</v>
      </c>
      <c r="H891" s="51">
        <v>1037</v>
      </c>
      <c r="I891" s="51">
        <v>-1037</v>
      </c>
      <c r="J891" s="51">
        <v>0</v>
      </c>
      <c r="K891" s="51">
        <v>0</v>
      </c>
      <c r="L891" s="51">
        <v>0</v>
      </c>
      <c r="M891" s="51">
        <v>0</v>
      </c>
      <c r="N891" s="51">
        <v>0</v>
      </c>
    </row>
    <row r="892" spans="1:14" ht="15.75" x14ac:dyDescent="0.25">
      <c r="A892" s="49" t="s">
        <v>204</v>
      </c>
      <c r="B892" s="50" t="s">
        <v>80</v>
      </c>
      <c r="C892" s="51">
        <v>4758</v>
      </c>
      <c r="D892" s="51">
        <v>0</v>
      </c>
      <c r="E892" s="51">
        <v>0</v>
      </c>
      <c r="F892" s="51">
        <v>0</v>
      </c>
      <c r="G892" s="51">
        <v>0</v>
      </c>
      <c r="H892" s="51">
        <v>4758</v>
      </c>
      <c r="I892" s="51">
        <v>-4758</v>
      </c>
      <c r="J892" s="51">
        <v>0</v>
      </c>
      <c r="K892" s="51">
        <v>0</v>
      </c>
      <c r="L892" s="51">
        <v>0</v>
      </c>
      <c r="M892" s="51">
        <v>0</v>
      </c>
      <c r="N892" s="51">
        <v>0</v>
      </c>
    </row>
    <row r="893" spans="1:14" ht="15.75" x14ac:dyDescent="0.25">
      <c r="A893" s="49" t="s">
        <v>204</v>
      </c>
      <c r="B893" s="50" t="s">
        <v>81</v>
      </c>
      <c r="C893" s="51">
        <v>2615</v>
      </c>
      <c r="D893" s="51">
        <v>-2615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0</v>
      </c>
    </row>
    <row r="894" spans="1:14" ht="15.75" x14ac:dyDescent="0.25">
      <c r="A894" s="49" t="s">
        <v>204</v>
      </c>
      <c r="B894" s="50" t="s">
        <v>82</v>
      </c>
      <c r="C894" s="51">
        <v>8868</v>
      </c>
      <c r="D894" s="51">
        <v>-8868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1">
        <v>0</v>
      </c>
    </row>
    <row r="895" spans="1:14" ht="15.75" x14ac:dyDescent="0.25">
      <c r="A895" s="49" t="s">
        <v>204</v>
      </c>
      <c r="B895" s="50" t="s">
        <v>83</v>
      </c>
      <c r="C895" s="51">
        <v>21195</v>
      </c>
      <c r="D895" s="51">
        <v>-21195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1">
        <v>0</v>
      </c>
    </row>
    <row r="896" spans="1:14" ht="15.75" x14ac:dyDescent="0.25">
      <c r="A896" s="49" t="s">
        <v>204</v>
      </c>
      <c r="B896" s="50" t="s">
        <v>48</v>
      </c>
      <c r="C896" s="51">
        <v>3698</v>
      </c>
      <c r="D896" s="51">
        <v>-3698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1">
        <v>0</v>
      </c>
    </row>
    <row r="897" spans="1:14" ht="15.75" x14ac:dyDescent="0.25">
      <c r="A897" s="49" t="s">
        <v>204</v>
      </c>
      <c r="B897" s="50" t="s">
        <v>52</v>
      </c>
      <c r="C897" s="51">
        <v>5337</v>
      </c>
      <c r="D897" s="51">
        <v>-5337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1">
        <v>0</v>
      </c>
    </row>
    <row r="898" spans="1:14" ht="15.75" x14ac:dyDescent="0.25">
      <c r="A898" s="52" t="s">
        <v>205</v>
      </c>
      <c r="B898" s="53" t="s">
        <v>8</v>
      </c>
      <c r="C898" s="19">
        <f>SUBTOTAL(109,Program334[(C)
Program
Costs])</f>
        <v>106280</v>
      </c>
      <c r="D898" s="19">
        <f>SUBTOTAL(109,Program334[(D)
Prior Period Adjustments])</f>
        <v>-41713</v>
      </c>
      <c r="E898" s="19">
        <f>SUBTOTAL(109,Program334[(E)
Current Period Desk 
Reviews])</f>
        <v>0</v>
      </c>
      <c r="F898" s="19">
        <f>SUBTOTAL(109,Program334[(F)
Current Period 
Final 
Audits])</f>
        <v>0</v>
      </c>
      <c r="G898" s="19">
        <f>SUBTOTAL(109,Program334[(G)
Current Period 
Other Adjustments])</f>
        <v>0</v>
      </c>
      <c r="H898" s="19">
        <f>SUBTOTAL(109,Program334[(H)
Net Program Costs
Sum (C through G)])</f>
        <v>64567</v>
      </c>
      <c r="I898" s="19">
        <f>SUBTOTAL(109,Program334[(I)
Payments
 and Offsets])</f>
        <v>-49749</v>
      </c>
      <c r="J898" s="19">
        <f>SUBTOTAL(109,Program334[(J)
Accounts Payable Balance
(H + I)])</f>
        <v>14818</v>
      </c>
      <c r="K898" s="19">
        <f>SUBTOTAL(109,Program334[(K)
Established 
Accounts Receivable])</f>
        <v>0</v>
      </c>
      <c r="L898" s="19">
        <f>SUBTOTAL(109,Program334[(L)
Recovered
 Accounts Receivable])</f>
        <v>0</v>
      </c>
      <c r="M898" s="19">
        <f>SUBTOTAL(109,Program334[(M)
Accounts Receivable Balance
(K + L)])</f>
        <v>0</v>
      </c>
      <c r="N898" s="19">
        <f>SUBTOTAL(109,Program334[(N)
Net Balance
(J minus M)])</f>
        <v>14818</v>
      </c>
    </row>
    <row r="899" spans="1:14" ht="15.75" x14ac:dyDescent="0.25">
      <c r="A899" s="17" t="s">
        <v>13</v>
      </c>
      <c r="B899" s="54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</row>
    <row r="900" spans="1:14" ht="78.75" x14ac:dyDescent="0.25">
      <c r="A900" s="39" t="s">
        <v>32</v>
      </c>
      <c r="B900" s="40" t="s">
        <v>33</v>
      </c>
      <c r="C900" s="41" t="s">
        <v>34</v>
      </c>
      <c r="D900" s="41" t="s">
        <v>35</v>
      </c>
      <c r="E900" s="42" t="s">
        <v>36</v>
      </c>
      <c r="F900" s="42" t="s">
        <v>37</v>
      </c>
      <c r="G900" s="42" t="s">
        <v>38</v>
      </c>
      <c r="H900" s="43" t="s">
        <v>39</v>
      </c>
      <c r="I900" s="44" t="s">
        <v>40</v>
      </c>
      <c r="J900" s="44" t="s">
        <v>41</v>
      </c>
      <c r="K900" s="42" t="s">
        <v>42</v>
      </c>
      <c r="L900" s="44" t="s">
        <v>43</v>
      </c>
      <c r="M900" s="44" t="s">
        <v>44</v>
      </c>
      <c r="N900" s="45" t="s">
        <v>45</v>
      </c>
    </row>
    <row r="901" spans="1:14" ht="30" x14ac:dyDescent="0.25">
      <c r="A901" s="67" t="s">
        <v>206</v>
      </c>
      <c r="B901" s="57" t="s">
        <v>49</v>
      </c>
      <c r="C901" s="58">
        <v>7017</v>
      </c>
      <c r="D901" s="58">
        <v>0</v>
      </c>
      <c r="E901" s="58">
        <v>0</v>
      </c>
      <c r="F901" s="58">
        <v>0</v>
      </c>
      <c r="G901" s="58">
        <v>0</v>
      </c>
      <c r="H901" s="58">
        <v>7017</v>
      </c>
      <c r="I901" s="58">
        <v>0</v>
      </c>
      <c r="J901" s="58">
        <v>7017</v>
      </c>
      <c r="K901" s="58">
        <v>0</v>
      </c>
      <c r="L901" s="58">
        <v>0</v>
      </c>
      <c r="M901" s="58">
        <v>0</v>
      </c>
      <c r="N901" s="58">
        <v>7017</v>
      </c>
    </row>
    <row r="902" spans="1:14" ht="30" x14ac:dyDescent="0.25">
      <c r="A902" s="68" t="s">
        <v>206</v>
      </c>
      <c r="B902" s="60" t="s">
        <v>50</v>
      </c>
      <c r="C902" s="61">
        <v>28431</v>
      </c>
      <c r="D902" s="61">
        <v>-2028</v>
      </c>
      <c r="E902" s="61">
        <v>0</v>
      </c>
      <c r="F902" s="61">
        <v>0</v>
      </c>
      <c r="G902" s="61">
        <v>0</v>
      </c>
      <c r="H902" s="61">
        <v>26403</v>
      </c>
      <c r="I902" s="61">
        <v>-26403</v>
      </c>
      <c r="J902" s="61">
        <v>0</v>
      </c>
      <c r="K902" s="61">
        <v>0</v>
      </c>
      <c r="L902" s="61">
        <v>0</v>
      </c>
      <c r="M902" s="61">
        <v>0</v>
      </c>
      <c r="N902" s="61">
        <v>0</v>
      </c>
    </row>
    <row r="903" spans="1:14" ht="30" x14ac:dyDescent="0.25">
      <c r="A903" s="68" t="s">
        <v>206</v>
      </c>
      <c r="B903" s="60" t="s">
        <v>51</v>
      </c>
      <c r="C903" s="61">
        <v>10927</v>
      </c>
      <c r="D903" s="61">
        <v>-1794</v>
      </c>
      <c r="E903" s="61">
        <v>0</v>
      </c>
      <c r="F903" s="61">
        <v>0</v>
      </c>
      <c r="G903" s="61">
        <v>0</v>
      </c>
      <c r="H903" s="61">
        <v>9133</v>
      </c>
      <c r="I903" s="61">
        <v>-5761</v>
      </c>
      <c r="J903" s="61">
        <v>3372</v>
      </c>
      <c r="K903" s="61">
        <v>0</v>
      </c>
      <c r="L903" s="61">
        <v>0</v>
      </c>
      <c r="M903" s="61">
        <v>0</v>
      </c>
      <c r="N903" s="61">
        <v>3372</v>
      </c>
    </row>
    <row r="904" spans="1:14" ht="30" x14ac:dyDescent="0.25">
      <c r="A904" s="68" t="s">
        <v>206</v>
      </c>
      <c r="B904" s="60" t="s">
        <v>52</v>
      </c>
      <c r="C904" s="61">
        <v>11039</v>
      </c>
      <c r="D904" s="61">
        <v>-1196</v>
      </c>
      <c r="E904" s="61">
        <v>0</v>
      </c>
      <c r="F904" s="61">
        <v>0</v>
      </c>
      <c r="G904" s="61">
        <v>0</v>
      </c>
      <c r="H904" s="61">
        <v>9843</v>
      </c>
      <c r="I904" s="61">
        <v>-9843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</row>
    <row r="905" spans="1:14" ht="30" x14ac:dyDescent="0.25">
      <c r="A905" s="68" t="s">
        <v>206</v>
      </c>
      <c r="B905" s="60" t="s">
        <v>53</v>
      </c>
      <c r="C905" s="61">
        <v>204248</v>
      </c>
      <c r="D905" s="61">
        <v>-8109</v>
      </c>
      <c r="E905" s="61">
        <v>0</v>
      </c>
      <c r="F905" s="61">
        <v>0</v>
      </c>
      <c r="G905" s="61">
        <v>0</v>
      </c>
      <c r="H905" s="61">
        <v>196139</v>
      </c>
      <c r="I905" s="61">
        <v>-192604</v>
      </c>
      <c r="J905" s="61">
        <v>3535</v>
      </c>
      <c r="K905" s="61">
        <v>0</v>
      </c>
      <c r="L905" s="61">
        <v>0</v>
      </c>
      <c r="M905" s="61">
        <v>0</v>
      </c>
      <c r="N905" s="61">
        <v>3535</v>
      </c>
    </row>
    <row r="906" spans="1:14" ht="30" x14ac:dyDescent="0.25">
      <c r="A906" s="68" t="s">
        <v>206</v>
      </c>
      <c r="B906" s="60" t="s">
        <v>54</v>
      </c>
      <c r="C906" s="61">
        <v>10128</v>
      </c>
      <c r="D906" s="61">
        <v>-5248</v>
      </c>
      <c r="E906" s="61">
        <v>0</v>
      </c>
      <c r="F906" s="61">
        <v>0</v>
      </c>
      <c r="G906" s="61">
        <v>0</v>
      </c>
      <c r="H906" s="61">
        <v>4880</v>
      </c>
      <c r="I906" s="61">
        <v>-4880</v>
      </c>
      <c r="J906" s="61">
        <v>0</v>
      </c>
      <c r="K906" s="61">
        <v>0</v>
      </c>
      <c r="L906" s="61">
        <v>0</v>
      </c>
      <c r="M906" s="61">
        <v>0</v>
      </c>
      <c r="N906" s="61">
        <v>0</v>
      </c>
    </row>
    <row r="907" spans="1:14" ht="30" x14ac:dyDescent="0.25">
      <c r="A907" s="68" t="s">
        <v>206</v>
      </c>
      <c r="B907" s="60" t="s">
        <v>55</v>
      </c>
      <c r="C907" s="61">
        <v>28625</v>
      </c>
      <c r="D907" s="61">
        <v>0</v>
      </c>
      <c r="E907" s="61">
        <v>0</v>
      </c>
      <c r="F907" s="61">
        <v>0</v>
      </c>
      <c r="G907" s="61">
        <v>0</v>
      </c>
      <c r="H907" s="61">
        <v>28625</v>
      </c>
      <c r="I907" s="61">
        <v>-28625</v>
      </c>
      <c r="J907" s="61">
        <v>0</v>
      </c>
      <c r="K907" s="61">
        <v>0</v>
      </c>
      <c r="L907" s="61">
        <v>0</v>
      </c>
      <c r="M907" s="61">
        <v>0</v>
      </c>
      <c r="N907" s="61">
        <v>0</v>
      </c>
    </row>
    <row r="908" spans="1:14" ht="30" x14ac:dyDescent="0.25">
      <c r="A908" s="68" t="s">
        <v>206</v>
      </c>
      <c r="B908" s="60" t="s">
        <v>56</v>
      </c>
      <c r="C908" s="61">
        <v>4871</v>
      </c>
      <c r="D908" s="61">
        <v>0</v>
      </c>
      <c r="E908" s="61">
        <v>0</v>
      </c>
      <c r="F908" s="61">
        <v>0</v>
      </c>
      <c r="G908" s="61">
        <v>0</v>
      </c>
      <c r="H908" s="61">
        <v>4871</v>
      </c>
      <c r="I908" s="61">
        <v>-4871</v>
      </c>
      <c r="J908" s="61">
        <v>0</v>
      </c>
      <c r="K908" s="61">
        <v>0</v>
      </c>
      <c r="L908" s="61">
        <v>0</v>
      </c>
      <c r="M908" s="61">
        <v>0</v>
      </c>
      <c r="N908" s="61">
        <v>0</v>
      </c>
    </row>
    <row r="909" spans="1:14" ht="15.75" x14ac:dyDescent="0.25">
      <c r="A909" s="52" t="s">
        <v>207</v>
      </c>
      <c r="B909" s="53" t="s">
        <v>8</v>
      </c>
      <c r="C909" s="19">
        <f>SUBTOTAL(109,Program300[(C)
Program
Costs])</f>
        <v>305286</v>
      </c>
      <c r="D909" s="19">
        <f>SUBTOTAL(109,Program300[(D)
Prior Period Adjustments])</f>
        <v>-18375</v>
      </c>
      <c r="E909" s="19">
        <f>SUBTOTAL(109,Program300[(E)
Current Period Desk 
Reviews])</f>
        <v>0</v>
      </c>
      <c r="F909" s="19">
        <f>SUBTOTAL(109,Program300[(F)
Current Period 
Final 
Audits])</f>
        <v>0</v>
      </c>
      <c r="G909" s="19">
        <f>SUBTOTAL(109,Program300[(G)
Current Period 
Other Adjustments])</f>
        <v>0</v>
      </c>
      <c r="H909" s="19">
        <f>SUBTOTAL(109,Program300[(H)
Net Program Costs
Sum (C through G)])</f>
        <v>286911</v>
      </c>
      <c r="I909" s="19">
        <f>SUBTOTAL(109,Program300[(I)
Payments
 and Offsets])</f>
        <v>-272987</v>
      </c>
      <c r="J909" s="19">
        <f>SUBTOTAL(109,Program300[(J)
Accounts Payable Balance
(H + I)])</f>
        <v>13924</v>
      </c>
      <c r="K909" s="19">
        <f>SUBTOTAL(109,Program300[(K)
Established 
Accounts Receivable])</f>
        <v>0</v>
      </c>
      <c r="L909" s="19">
        <f>SUBTOTAL(109,Program300[(L)
Recovered
 Accounts Receivable])</f>
        <v>0</v>
      </c>
      <c r="M909" s="19">
        <f>SUBTOTAL(109,Program300[(M)
Accounts Receivable Balance
(K + L)])</f>
        <v>0</v>
      </c>
      <c r="N909" s="19">
        <f>SUBTOTAL(109,Program300[(N)
Net Balance
(J minus M)])</f>
        <v>13924</v>
      </c>
    </row>
    <row r="910" spans="1:14" ht="15.75" x14ac:dyDescent="0.25">
      <c r="A910" s="17" t="s">
        <v>13</v>
      </c>
      <c r="B910" s="54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</row>
    <row r="911" spans="1:14" ht="78.75" x14ac:dyDescent="0.25">
      <c r="A911" s="39" t="s">
        <v>32</v>
      </c>
      <c r="B911" s="40" t="s">
        <v>33</v>
      </c>
      <c r="C911" s="41" t="s">
        <v>34</v>
      </c>
      <c r="D911" s="41" t="s">
        <v>35</v>
      </c>
      <c r="E911" s="42" t="s">
        <v>36</v>
      </c>
      <c r="F911" s="42" t="s">
        <v>37</v>
      </c>
      <c r="G911" s="42" t="s">
        <v>38</v>
      </c>
      <c r="H911" s="43" t="s">
        <v>39</v>
      </c>
      <c r="I911" s="44" t="s">
        <v>40</v>
      </c>
      <c r="J911" s="44" t="s">
        <v>41</v>
      </c>
      <c r="K911" s="42" t="s">
        <v>42</v>
      </c>
      <c r="L911" s="44" t="s">
        <v>43</v>
      </c>
      <c r="M911" s="44" t="s">
        <v>44</v>
      </c>
      <c r="N911" s="45" t="s">
        <v>45</v>
      </c>
    </row>
    <row r="912" spans="1:14" ht="15.75" x14ac:dyDescent="0.25">
      <c r="A912" s="46" t="s">
        <v>208</v>
      </c>
      <c r="B912" s="47" t="s">
        <v>60</v>
      </c>
      <c r="C912" s="48">
        <v>1260</v>
      </c>
      <c r="D912" s="48">
        <v>-247</v>
      </c>
      <c r="E912" s="48">
        <v>0</v>
      </c>
      <c r="F912" s="48">
        <v>0</v>
      </c>
      <c r="G912" s="48">
        <v>0</v>
      </c>
      <c r="H912" s="48">
        <v>1013</v>
      </c>
      <c r="I912" s="48">
        <v>-1013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</row>
    <row r="913" spans="1:14" ht="15.75" x14ac:dyDescent="0.25">
      <c r="A913" s="49" t="s">
        <v>208</v>
      </c>
      <c r="B913" s="50" t="s">
        <v>61</v>
      </c>
      <c r="C913" s="51">
        <v>434</v>
      </c>
      <c r="D913" s="51">
        <v>0</v>
      </c>
      <c r="E913" s="51">
        <v>0</v>
      </c>
      <c r="F913" s="51">
        <v>0</v>
      </c>
      <c r="G913" s="51">
        <v>0</v>
      </c>
      <c r="H913" s="51">
        <v>434</v>
      </c>
      <c r="I913" s="51">
        <v>-434</v>
      </c>
      <c r="J913" s="51">
        <v>0</v>
      </c>
      <c r="K913" s="51">
        <v>0</v>
      </c>
      <c r="L913" s="51">
        <v>0</v>
      </c>
      <c r="M913" s="51">
        <v>0</v>
      </c>
      <c r="N913" s="51">
        <v>0</v>
      </c>
    </row>
    <row r="914" spans="1:14" ht="15.75" x14ac:dyDescent="0.25">
      <c r="A914" s="49" t="s">
        <v>208</v>
      </c>
      <c r="B914" s="50" t="s">
        <v>66</v>
      </c>
      <c r="C914" s="51">
        <v>2716</v>
      </c>
      <c r="D914" s="51">
        <v>0</v>
      </c>
      <c r="E914" s="51">
        <v>0</v>
      </c>
      <c r="F914" s="51">
        <v>0</v>
      </c>
      <c r="G914" s="51">
        <v>0</v>
      </c>
      <c r="H914" s="51">
        <v>2716</v>
      </c>
      <c r="I914" s="51">
        <v>-2716</v>
      </c>
      <c r="J914" s="51">
        <v>0</v>
      </c>
      <c r="K914" s="51">
        <v>0</v>
      </c>
      <c r="L914" s="51">
        <v>0</v>
      </c>
      <c r="M914" s="51">
        <v>0</v>
      </c>
      <c r="N914" s="51">
        <v>0</v>
      </c>
    </row>
    <row r="915" spans="1:14" ht="15.75" x14ac:dyDescent="0.25">
      <c r="A915" s="49" t="s">
        <v>208</v>
      </c>
      <c r="B915" s="50" t="s">
        <v>67</v>
      </c>
      <c r="C915" s="51">
        <v>190824</v>
      </c>
      <c r="D915" s="51">
        <v>-7626</v>
      </c>
      <c r="E915" s="51">
        <v>0</v>
      </c>
      <c r="F915" s="51">
        <v>0</v>
      </c>
      <c r="G915" s="51">
        <v>0</v>
      </c>
      <c r="H915" s="51">
        <v>183198</v>
      </c>
      <c r="I915" s="51">
        <v>-183198</v>
      </c>
      <c r="J915" s="51">
        <v>0</v>
      </c>
      <c r="K915" s="51">
        <v>7496</v>
      </c>
      <c r="L915" s="51">
        <v>-7496</v>
      </c>
      <c r="M915" s="51">
        <v>0</v>
      </c>
      <c r="N915" s="51">
        <v>0</v>
      </c>
    </row>
    <row r="916" spans="1:14" ht="15.75" x14ac:dyDescent="0.25">
      <c r="A916" s="52" t="s">
        <v>209</v>
      </c>
      <c r="B916" s="53" t="s">
        <v>8</v>
      </c>
      <c r="C916" s="19">
        <f>SUBTOTAL(109,Program037[(C)
Program
Costs])</f>
        <v>195234</v>
      </c>
      <c r="D916" s="19">
        <f>SUBTOTAL(109,Program037[(D)
Prior Period Adjustments])</f>
        <v>-7873</v>
      </c>
      <c r="E916" s="19">
        <f>SUBTOTAL(109,Program037[(E)
Current Period Desk 
Reviews])</f>
        <v>0</v>
      </c>
      <c r="F916" s="19">
        <f>SUBTOTAL(109,Program037[(F)
Current Period 
Final 
Audits])</f>
        <v>0</v>
      </c>
      <c r="G916" s="19">
        <f>SUBTOTAL(109,Program037[(G)
Current Period 
Other Adjustments])</f>
        <v>0</v>
      </c>
      <c r="H916" s="19">
        <f>SUBTOTAL(109,Program037[(H)
Net Program Costs
Sum (C through G)])</f>
        <v>187361</v>
      </c>
      <c r="I916" s="19">
        <f>SUBTOTAL(109,Program037[(I)
Payments
 and Offsets])</f>
        <v>-187361</v>
      </c>
      <c r="J916" s="19">
        <f>SUBTOTAL(109,Program037[(J)
Accounts Payable Balance
(H + I)])</f>
        <v>0</v>
      </c>
      <c r="K916" s="19">
        <f>SUBTOTAL(109,Program037[(K)
Established 
Accounts Receivable])</f>
        <v>7496</v>
      </c>
      <c r="L916" s="19">
        <f>SUBTOTAL(109,Program037[(L)
Recovered
 Accounts Receivable])</f>
        <v>-7496</v>
      </c>
      <c r="M916" s="19">
        <f>SUBTOTAL(109,Program037[(M)
Accounts Receivable Balance
(K + L)])</f>
        <v>0</v>
      </c>
      <c r="N916" s="19">
        <f>SUBTOTAL(109,Program037[(N)
Net Balance
(J minus M)])</f>
        <v>0</v>
      </c>
    </row>
    <row r="917" spans="1:14" ht="15.75" x14ac:dyDescent="0.25">
      <c r="A917" s="17" t="s">
        <v>13</v>
      </c>
      <c r="B917" s="54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</row>
    <row r="918" spans="1:14" ht="78.75" x14ac:dyDescent="0.25">
      <c r="A918" s="39" t="s">
        <v>32</v>
      </c>
      <c r="B918" s="40" t="s">
        <v>33</v>
      </c>
      <c r="C918" s="41" t="s">
        <v>34</v>
      </c>
      <c r="D918" s="41" t="s">
        <v>35</v>
      </c>
      <c r="E918" s="42" t="s">
        <v>36</v>
      </c>
      <c r="F918" s="42" t="s">
        <v>37</v>
      </c>
      <c r="G918" s="42" t="s">
        <v>38</v>
      </c>
      <c r="H918" s="43" t="s">
        <v>39</v>
      </c>
      <c r="I918" s="44" t="s">
        <v>40</v>
      </c>
      <c r="J918" s="44" t="s">
        <v>41</v>
      </c>
      <c r="K918" s="42" t="s">
        <v>42</v>
      </c>
      <c r="L918" s="44" t="s">
        <v>43</v>
      </c>
      <c r="M918" s="44" t="s">
        <v>44</v>
      </c>
      <c r="N918" s="45" t="s">
        <v>45</v>
      </c>
    </row>
    <row r="919" spans="1:14" ht="15.75" x14ac:dyDescent="0.25">
      <c r="A919" s="46" t="s">
        <v>210</v>
      </c>
      <c r="B919" s="47" t="s">
        <v>80</v>
      </c>
      <c r="C919" s="48">
        <v>207021</v>
      </c>
      <c r="D919" s="48">
        <v>-207021</v>
      </c>
      <c r="E919" s="48">
        <v>0</v>
      </c>
      <c r="F919" s="48">
        <v>0</v>
      </c>
      <c r="G919" s="48">
        <v>0</v>
      </c>
      <c r="H919" s="48">
        <v>0</v>
      </c>
      <c r="I919" s="48">
        <v>0</v>
      </c>
      <c r="J919" s="48">
        <v>0</v>
      </c>
      <c r="K919" s="48">
        <v>0</v>
      </c>
      <c r="L919" s="48">
        <v>0</v>
      </c>
      <c r="M919" s="48">
        <v>0</v>
      </c>
      <c r="N919" s="48">
        <v>0</v>
      </c>
    </row>
    <row r="920" spans="1:14" ht="15.75" x14ac:dyDescent="0.25">
      <c r="A920" s="49" t="s">
        <v>210</v>
      </c>
      <c r="B920" s="50" t="s">
        <v>83</v>
      </c>
      <c r="C920" s="51">
        <v>1840</v>
      </c>
      <c r="D920" s="51">
        <v>0</v>
      </c>
      <c r="E920" s="51">
        <v>0</v>
      </c>
      <c r="F920" s="51">
        <v>0</v>
      </c>
      <c r="G920" s="51">
        <v>0</v>
      </c>
      <c r="H920" s="51">
        <v>1840</v>
      </c>
      <c r="I920" s="51">
        <v>0</v>
      </c>
      <c r="J920" s="51">
        <v>1840</v>
      </c>
      <c r="K920" s="51">
        <v>0</v>
      </c>
      <c r="L920" s="51">
        <v>0</v>
      </c>
      <c r="M920" s="51">
        <v>0</v>
      </c>
      <c r="N920" s="51">
        <v>1840</v>
      </c>
    </row>
    <row r="921" spans="1:14" ht="15.75" x14ac:dyDescent="0.25">
      <c r="A921" s="49" t="s">
        <v>210</v>
      </c>
      <c r="B921" s="50" t="s">
        <v>48</v>
      </c>
      <c r="C921" s="51">
        <v>3944</v>
      </c>
      <c r="D921" s="51">
        <v>-394</v>
      </c>
      <c r="E921" s="51">
        <v>0</v>
      </c>
      <c r="F921" s="51">
        <v>0</v>
      </c>
      <c r="G921" s="51">
        <v>0</v>
      </c>
      <c r="H921" s="51">
        <v>3550</v>
      </c>
      <c r="I921" s="51">
        <v>0</v>
      </c>
      <c r="J921" s="51">
        <v>3550</v>
      </c>
      <c r="K921" s="51">
        <v>0</v>
      </c>
      <c r="L921" s="51">
        <v>0</v>
      </c>
      <c r="M921" s="51">
        <v>0</v>
      </c>
      <c r="N921" s="51">
        <v>3550</v>
      </c>
    </row>
    <row r="922" spans="1:14" ht="15.75" x14ac:dyDescent="0.25">
      <c r="A922" s="52" t="s">
        <v>211</v>
      </c>
      <c r="B922" s="53" t="s">
        <v>8</v>
      </c>
      <c r="C922" s="19">
        <f>SUBTOTAL(109,Program259[(C)
Program
Costs])</f>
        <v>212805</v>
      </c>
      <c r="D922" s="19">
        <f>SUBTOTAL(109,Program259[(D)
Prior Period Adjustments])</f>
        <v>-207415</v>
      </c>
      <c r="E922" s="19">
        <f>SUBTOTAL(109,Program259[(E)
Current Period Desk 
Reviews])</f>
        <v>0</v>
      </c>
      <c r="F922" s="19">
        <f>SUBTOTAL(109,Program259[(F)
Current Period 
Final 
Audits])</f>
        <v>0</v>
      </c>
      <c r="G922" s="19">
        <f>SUBTOTAL(109,Program259[(G)
Current Period 
Other Adjustments])</f>
        <v>0</v>
      </c>
      <c r="H922" s="19">
        <f>SUBTOTAL(109,Program259[(H)
Net Program Costs
Sum (C through G)])</f>
        <v>5390</v>
      </c>
      <c r="I922" s="19">
        <f>SUBTOTAL(109,Program259[(I)
Payments
 and Offsets])</f>
        <v>0</v>
      </c>
      <c r="J922" s="19">
        <f>SUBTOTAL(109,Program259[(J)
Accounts Payable Balance
(H + I)])</f>
        <v>5390</v>
      </c>
      <c r="K922" s="19">
        <f>SUBTOTAL(109,Program259[(K)
Established 
Accounts Receivable])</f>
        <v>0</v>
      </c>
      <c r="L922" s="19">
        <f>SUBTOTAL(109,Program259[(L)
Recovered
 Accounts Receivable])</f>
        <v>0</v>
      </c>
      <c r="M922" s="19">
        <f>SUBTOTAL(109,Program259[(M)
Accounts Receivable Balance
(K + L)])</f>
        <v>0</v>
      </c>
      <c r="N922" s="19">
        <f>SUBTOTAL(109,Program259[(N)
Net Balance
(J minus M)])</f>
        <v>5390</v>
      </c>
    </row>
    <row r="923" spans="1:14" ht="15.75" x14ac:dyDescent="0.25">
      <c r="A923" s="17" t="s">
        <v>13</v>
      </c>
      <c r="B923" s="54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ht="78.75" x14ac:dyDescent="0.25">
      <c r="A924" s="39" t="s">
        <v>32</v>
      </c>
      <c r="B924" s="40" t="s">
        <v>33</v>
      </c>
      <c r="C924" s="41" t="s">
        <v>34</v>
      </c>
      <c r="D924" s="41" t="s">
        <v>35</v>
      </c>
      <c r="E924" s="42" t="s">
        <v>36</v>
      </c>
      <c r="F924" s="42" t="s">
        <v>37</v>
      </c>
      <c r="G924" s="42" t="s">
        <v>38</v>
      </c>
      <c r="H924" s="43" t="s">
        <v>39</v>
      </c>
      <c r="I924" s="44" t="s">
        <v>40</v>
      </c>
      <c r="J924" s="44" t="s">
        <v>41</v>
      </c>
      <c r="K924" s="42" t="s">
        <v>42</v>
      </c>
      <c r="L924" s="44" t="s">
        <v>43</v>
      </c>
      <c r="M924" s="44" t="s">
        <v>44</v>
      </c>
      <c r="N924" s="45" t="s">
        <v>45</v>
      </c>
    </row>
    <row r="925" spans="1:14" ht="15.75" x14ac:dyDescent="0.25">
      <c r="A925" s="46" t="s">
        <v>212</v>
      </c>
      <c r="B925" s="47" t="s">
        <v>76</v>
      </c>
      <c r="C925" s="48">
        <v>1384910</v>
      </c>
      <c r="D925" s="48">
        <v>0</v>
      </c>
      <c r="E925" s="48">
        <v>0</v>
      </c>
      <c r="F925" s="48">
        <v>0</v>
      </c>
      <c r="G925" s="48">
        <v>0</v>
      </c>
      <c r="H925" s="48">
        <v>1384910</v>
      </c>
      <c r="I925" s="48">
        <v>0</v>
      </c>
      <c r="J925" s="48">
        <v>1384910</v>
      </c>
      <c r="K925" s="48">
        <v>0</v>
      </c>
      <c r="L925" s="48">
        <v>0</v>
      </c>
      <c r="M925" s="48">
        <v>0</v>
      </c>
      <c r="N925" s="48">
        <v>1384910</v>
      </c>
    </row>
    <row r="926" spans="1:14" ht="15.75" x14ac:dyDescent="0.25">
      <c r="A926" s="49" t="s">
        <v>212</v>
      </c>
      <c r="B926" s="50" t="s">
        <v>77</v>
      </c>
      <c r="C926" s="51">
        <v>1725628</v>
      </c>
      <c r="D926" s="51">
        <v>0</v>
      </c>
      <c r="E926" s="51">
        <v>0</v>
      </c>
      <c r="F926" s="51">
        <v>0</v>
      </c>
      <c r="G926" s="51">
        <v>-6824</v>
      </c>
      <c r="H926" s="51">
        <v>1718804</v>
      </c>
      <c r="I926" s="51">
        <v>0</v>
      </c>
      <c r="J926" s="51">
        <v>1718804</v>
      </c>
      <c r="K926" s="51">
        <v>0</v>
      </c>
      <c r="L926" s="51">
        <v>0</v>
      </c>
      <c r="M926" s="51">
        <v>0</v>
      </c>
      <c r="N926" s="51">
        <v>1718804</v>
      </c>
    </row>
    <row r="927" spans="1:14" ht="15.75" x14ac:dyDescent="0.25">
      <c r="A927" s="49" t="s">
        <v>212</v>
      </c>
      <c r="B927" s="50" t="s">
        <v>78</v>
      </c>
      <c r="C927" s="51">
        <v>1500040</v>
      </c>
      <c r="D927" s="51">
        <v>-15254</v>
      </c>
      <c r="E927" s="51">
        <v>0</v>
      </c>
      <c r="F927" s="51">
        <v>0</v>
      </c>
      <c r="G927" s="51">
        <v>0</v>
      </c>
      <c r="H927" s="51">
        <v>1484786</v>
      </c>
      <c r="I927" s="51">
        <v>0</v>
      </c>
      <c r="J927" s="51">
        <v>1484786</v>
      </c>
      <c r="K927" s="51">
        <v>0</v>
      </c>
      <c r="L927" s="51">
        <v>0</v>
      </c>
      <c r="M927" s="51">
        <v>0</v>
      </c>
      <c r="N927" s="51">
        <v>1484786</v>
      </c>
    </row>
    <row r="928" spans="1:14" ht="15.75" x14ac:dyDescent="0.25">
      <c r="A928" s="49" t="s">
        <v>212</v>
      </c>
      <c r="B928" s="50" t="s">
        <v>47</v>
      </c>
      <c r="C928" s="51">
        <v>1534666</v>
      </c>
      <c r="D928" s="51">
        <v>-118247</v>
      </c>
      <c r="E928" s="51">
        <v>0</v>
      </c>
      <c r="F928" s="51">
        <v>0</v>
      </c>
      <c r="G928" s="51">
        <v>0</v>
      </c>
      <c r="H928" s="51">
        <v>1416419</v>
      </c>
      <c r="I928" s="51">
        <v>0</v>
      </c>
      <c r="J928" s="51">
        <v>1416419</v>
      </c>
      <c r="K928" s="51">
        <v>0</v>
      </c>
      <c r="L928" s="51">
        <v>0</v>
      </c>
      <c r="M928" s="51">
        <v>0</v>
      </c>
      <c r="N928" s="51">
        <v>1416419</v>
      </c>
    </row>
    <row r="929" spans="1:14" ht="15.75" x14ac:dyDescent="0.25">
      <c r="A929" s="49" t="s">
        <v>212</v>
      </c>
      <c r="B929" s="50" t="s">
        <v>79</v>
      </c>
      <c r="C929" s="51">
        <v>1820303</v>
      </c>
      <c r="D929" s="51">
        <v>-93308</v>
      </c>
      <c r="E929" s="51">
        <v>0</v>
      </c>
      <c r="F929" s="51">
        <v>0</v>
      </c>
      <c r="G929" s="51">
        <v>0</v>
      </c>
      <c r="H929" s="51">
        <v>1726995</v>
      </c>
      <c r="I929" s="51">
        <v>0</v>
      </c>
      <c r="J929" s="51">
        <v>1726995</v>
      </c>
      <c r="K929" s="51">
        <v>0</v>
      </c>
      <c r="L929" s="51">
        <v>0</v>
      </c>
      <c r="M929" s="51">
        <v>0</v>
      </c>
      <c r="N929" s="51">
        <v>1726995</v>
      </c>
    </row>
    <row r="930" spans="1:14" ht="15.75" x14ac:dyDescent="0.25">
      <c r="A930" s="49" t="s">
        <v>212</v>
      </c>
      <c r="B930" s="50" t="s">
        <v>80</v>
      </c>
      <c r="C930" s="51">
        <v>1677709</v>
      </c>
      <c r="D930" s="51">
        <v>-15022</v>
      </c>
      <c r="E930" s="51">
        <v>0</v>
      </c>
      <c r="F930" s="51">
        <v>0</v>
      </c>
      <c r="G930" s="51">
        <v>0</v>
      </c>
      <c r="H930" s="51">
        <v>1662687</v>
      </c>
      <c r="I930" s="51">
        <v>0</v>
      </c>
      <c r="J930" s="51">
        <v>1662687</v>
      </c>
      <c r="K930" s="51">
        <v>0</v>
      </c>
      <c r="L930" s="51">
        <v>0</v>
      </c>
      <c r="M930" s="51">
        <v>0</v>
      </c>
      <c r="N930" s="51">
        <v>1662687</v>
      </c>
    </row>
    <row r="931" spans="1:14" ht="15.75" x14ac:dyDescent="0.25">
      <c r="A931" s="49" t="s">
        <v>212</v>
      </c>
      <c r="B931" s="50" t="s">
        <v>81</v>
      </c>
      <c r="C931" s="51">
        <v>2349888</v>
      </c>
      <c r="D931" s="51">
        <v>-25876</v>
      </c>
      <c r="E931" s="51">
        <v>0</v>
      </c>
      <c r="F931" s="51">
        <v>0</v>
      </c>
      <c r="G931" s="51">
        <v>0</v>
      </c>
      <c r="H931" s="51">
        <v>2324012</v>
      </c>
      <c r="I931" s="51">
        <v>0</v>
      </c>
      <c r="J931" s="51">
        <v>2324012</v>
      </c>
      <c r="K931" s="51">
        <v>0</v>
      </c>
      <c r="L931" s="51">
        <v>0</v>
      </c>
      <c r="M931" s="51">
        <v>0</v>
      </c>
      <c r="N931" s="51">
        <v>2324012</v>
      </c>
    </row>
    <row r="932" spans="1:14" ht="15.75" x14ac:dyDescent="0.25">
      <c r="A932" s="49" t="s">
        <v>212</v>
      </c>
      <c r="B932" s="50" t="s">
        <v>82</v>
      </c>
      <c r="C932" s="51">
        <v>2023914</v>
      </c>
      <c r="D932" s="51">
        <v>-91886</v>
      </c>
      <c r="E932" s="51">
        <v>0</v>
      </c>
      <c r="F932" s="51">
        <v>0</v>
      </c>
      <c r="G932" s="51">
        <v>0</v>
      </c>
      <c r="H932" s="51">
        <v>1932028</v>
      </c>
      <c r="I932" s="51">
        <v>0</v>
      </c>
      <c r="J932" s="51">
        <v>1932028</v>
      </c>
      <c r="K932" s="51">
        <v>0</v>
      </c>
      <c r="L932" s="51">
        <v>0</v>
      </c>
      <c r="M932" s="51">
        <v>0</v>
      </c>
      <c r="N932" s="51">
        <v>1932028</v>
      </c>
    </row>
    <row r="933" spans="1:14" ht="15.75" x14ac:dyDescent="0.25">
      <c r="A933" s="49" t="s">
        <v>212</v>
      </c>
      <c r="B933" s="50" t="s">
        <v>83</v>
      </c>
      <c r="C933" s="51">
        <v>1445944</v>
      </c>
      <c r="D933" s="51">
        <v>-9729</v>
      </c>
      <c r="E933" s="51">
        <v>0</v>
      </c>
      <c r="F933" s="51">
        <v>0</v>
      </c>
      <c r="G933" s="51">
        <v>0</v>
      </c>
      <c r="H933" s="51">
        <v>1436215</v>
      </c>
      <c r="I933" s="51">
        <v>0</v>
      </c>
      <c r="J933" s="51">
        <v>1436215</v>
      </c>
      <c r="K933" s="51">
        <v>0</v>
      </c>
      <c r="L933" s="51">
        <v>0</v>
      </c>
      <c r="M933" s="51">
        <v>0</v>
      </c>
      <c r="N933" s="51">
        <v>1436215</v>
      </c>
    </row>
    <row r="934" spans="1:14" ht="15.75" x14ac:dyDescent="0.25">
      <c r="A934" s="49" t="s">
        <v>212</v>
      </c>
      <c r="B934" s="50" t="s">
        <v>48</v>
      </c>
      <c r="C934" s="51">
        <v>1244135</v>
      </c>
      <c r="D934" s="51">
        <v>-106049</v>
      </c>
      <c r="E934" s="51">
        <v>0</v>
      </c>
      <c r="F934" s="51">
        <v>0</v>
      </c>
      <c r="G934" s="51">
        <v>0</v>
      </c>
      <c r="H934" s="51">
        <v>1138086</v>
      </c>
      <c r="I934" s="51">
        <v>0</v>
      </c>
      <c r="J934" s="51">
        <v>1138086</v>
      </c>
      <c r="K934" s="51">
        <v>0</v>
      </c>
      <c r="L934" s="51">
        <v>0</v>
      </c>
      <c r="M934" s="51">
        <v>0</v>
      </c>
      <c r="N934" s="51">
        <v>1138086</v>
      </c>
    </row>
    <row r="935" spans="1:14" ht="15.75" x14ac:dyDescent="0.25">
      <c r="A935" s="49" t="s">
        <v>212</v>
      </c>
      <c r="B935" s="50" t="s">
        <v>49</v>
      </c>
      <c r="C935" s="51">
        <v>708394</v>
      </c>
      <c r="D935" s="51">
        <v>-12032</v>
      </c>
      <c r="E935" s="51">
        <v>0</v>
      </c>
      <c r="F935" s="51">
        <v>0</v>
      </c>
      <c r="G935" s="51">
        <v>0</v>
      </c>
      <c r="H935" s="51">
        <v>696362</v>
      </c>
      <c r="I935" s="51">
        <v>0</v>
      </c>
      <c r="J935" s="51">
        <v>696362</v>
      </c>
      <c r="K935" s="51">
        <v>0</v>
      </c>
      <c r="L935" s="51">
        <v>0</v>
      </c>
      <c r="M935" s="51">
        <v>0</v>
      </c>
      <c r="N935" s="51">
        <v>696362</v>
      </c>
    </row>
    <row r="936" spans="1:14" ht="15.75" x14ac:dyDescent="0.25">
      <c r="A936" s="49" t="s">
        <v>212</v>
      </c>
      <c r="B936" s="50" t="s">
        <v>50</v>
      </c>
      <c r="C936" s="51">
        <v>862068</v>
      </c>
      <c r="D936" s="51">
        <v>-35786</v>
      </c>
      <c r="E936" s="51">
        <v>0</v>
      </c>
      <c r="F936" s="51">
        <v>0</v>
      </c>
      <c r="G936" s="51">
        <v>0</v>
      </c>
      <c r="H936" s="51">
        <v>826282</v>
      </c>
      <c r="I936" s="51">
        <v>0</v>
      </c>
      <c r="J936" s="51">
        <v>826282</v>
      </c>
      <c r="K936" s="51">
        <v>0</v>
      </c>
      <c r="L936" s="51">
        <v>0</v>
      </c>
      <c r="M936" s="51">
        <v>0</v>
      </c>
      <c r="N936" s="51">
        <v>826282</v>
      </c>
    </row>
    <row r="937" spans="1:14" ht="15.75" x14ac:dyDescent="0.25">
      <c r="A937" s="49" t="s">
        <v>212</v>
      </c>
      <c r="B937" s="50" t="s">
        <v>51</v>
      </c>
      <c r="C937" s="51">
        <v>1660650</v>
      </c>
      <c r="D937" s="51">
        <v>-81636</v>
      </c>
      <c r="E937" s="51">
        <v>0</v>
      </c>
      <c r="F937" s="51">
        <v>0</v>
      </c>
      <c r="G937" s="51">
        <v>0</v>
      </c>
      <c r="H937" s="51">
        <v>1579014</v>
      </c>
      <c r="I937" s="51">
        <v>0</v>
      </c>
      <c r="J937" s="51">
        <v>1579014</v>
      </c>
      <c r="K937" s="51">
        <v>0</v>
      </c>
      <c r="L937" s="51">
        <v>0</v>
      </c>
      <c r="M937" s="51">
        <v>0</v>
      </c>
      <c r="N937" s="51">
        <v>1579014</v>
      </c>
    </row>
    <row r="938" spans="1:14" ht="15.75" x14ac:dyDescent="0.25">
      <c r="A938" s="49" t="s">
        <v>212</v>
      </c>
      <c r="B938" s="50" t="s">
        <v>52</v>
      </c>
      <c r="C938" s="51">
        <v>1535244</v>
      </c>
      <c r="D938" s="51">
        <v>-51880</v>
      </c>
      <c r="E938" s="51">
        <v>0</v>
      </c>
      <c r="F938" s="51">
        <v>0</v>
      </c>
      <c r="G938" s="51">
        <v>0</v>
      </c>
      <c r="H938" s="51">
        <v>1483364</v>
      </c>
      <c r="I938" s="51">
        <v>0</v>
      </c>
      <c r="J938" s="51">
        <v>1483364</v>
      </c>
      <c r="K938" s="51">
        <v>0</v>
      </c>
      <c r="L938" s="51">
        <v>0</v>
      </c>
      <c r="M938" s="51">
        <v>0</v>
      </c>
      <c r="N938" s="51">
        <v>1483364</v>
      </c>
    </row>
    <row r="939" spans="1:14" ht="15.75" x14ac:dyDescent="0.25">
      <c r="A939" s="49" t="s">
        <v>212</v>
      </c>
      <c r="B939" s="50" t="s">
        <v>53</v>
      </c>
      <c r="C939" s="51">
        <v>635449</v>
      </c>
      <c r="D939" s="51">
        <v>-32032</v>
      </c>
      <c r="E939" s="51">
        <v>0</v>
      </c>
      <c r="F939" s="51">
        <v>0</v>
      </c>
      <c r="G939" s="51">
        <v>0</v>
      </c>
      <c r="H939" s="51">
        <v>603417</v>
      </c>
      <c r="I939" s="51">
        <v>0</v>
      </c>
      <c r="J939" s="51">
        <v>603417</v>
      </c>
      <c r="K939" s="51">
        <v>0</v>
      </c>
      <c r="L939" s="51">
        <v>0</v>
      </c>
      <c r="M939" s="51">
        <v>0</v>
      </c>
      <c r="N939" s="51">
        <v>603417</v>
      </c>
    </row>
    <row r="940" spans="1:14" ht="15.75" x14ac:dyDescent="0.25">
      <c r="A940" s="49" t="s">
        <v>212</v>
      </c>
      <c r="B940" s="50" t="s">
        <v>54</v>
      </c>
      <c r="C940" s="51">
        <v>577852</v>
      </c>
      <c r="D940" s="51">
        <v>-10507</v>
      </c>
      <c r="E940" s="51">
        <v>0</v>
      </c>
      <c r="F940" s="51">
        <v>0</v>
      </c>
      <c r="G940" s="51">
        <v>0</v>
      </c>
      <c r="H940" s="51">
        <v>567345</v>
      </c>
      <c r="I940" s="51">
        <v>0</v>
      </c>
      <c r="J940" s="51">
        <v>567345</v>
      </c>
      <c r="K940" s="51">
        <v>0</v>
      </c>
      <c r="L940" s="51">
        <v>0</v>
      </c>
      <c r="M940" s="51">
        <v>0</v>
      </c>
      <c r="N940" s="51">
        <v>567345</v>
      </c>
    </row>
    <row r="941" spans="1:14" ht="15.75" x14ac:dyDescent="0.25">
      <c r="A941" s="49" t="s">
        <v>212</v>
      </c>
      <c r="B941" s="50" t="s">
        <v>55</v>
      </c>
      <c r="C941" s="51">
        <v>282788</v>
      </c>
      <c r="D941" s="51">
        <v>-4516</v>
      </c>
      <c r="E941" s="51">
        <v>0</v>
      </c>
      <c r="F941" s="51">
        <v>0</v>
      </c>
      <c r="G941" s="51">
        <v>0</v>
      </c>
      <c r="H941" s="51">
        <v>278272</v>
      </c>
      <c r="I941" s="51">
        <v>0</v>
      </c>
      <c r="J941" s="51">
        <v>278272</v>
      </c>
      <c r="K941" s="51">
        <v>0</v>
      </c>
      <c r="L941" s="51">
        <v>0</v>
      </c>
      <c r="M941" s="51">
        <v>0</v>
      </c>
      <c r="N941" s="51">
        <v>278272</v>
      </c>
    </row>
    <row r="942" spans="1:14" ht="15.75" x14ac:dyDescent="0.25">
      <c r="A942" s="49" t="s">
        <v>212</v>
      </c>
      <c r="B942" s="50" t="s">
        <v>56</v>
      </c>
      <c r="C942" s="51">
        <v>221580</v>
      </c>
      <c r="D942" s="51">
        <v>-9922</v>
      </c>
      <c r="E942" s="51">
        <v>0</v>
      </c>
      <c r="F942" s="51">
        <v>0</v>
      </c>
      <c r="G942" s="51">
        <v>0</v>
      </c>
      <c r="H942" s="51">
        <v>211658</v>
      </c>
      <c r="I942" s="51">
        <v>0</v>
      </c>
      <c r="J942" s="51">
        <v>211658</v>
      </c>
      <c r="K942" s="51">
        <v>0</v>
      </c>
      <c r="L942" s="51">
        <v>0</v>
      </c>
      <c r="M942" s="51">
        <v>0</v>
      </c>
      <c r="N942" s="51">
        <v>211658</v>
      </c>
    </row>
    <row r="943" spans="1:14" ht="15.75" x14ac:dyDescent="0.25">
      <c r="A943" s="49" t="s">
        <v>212</v>
      </c>
      <c r="B943" s="50" t="s">
        <v>57</v>
      </c>
      <c r="C943" s="51">
        <v>197289</v>
      </c>
      <c r="D943" s="51">
        <v>-8560</v>
      </c>
      <c r="E943" s="51">
        <v>0</v>
      </c>
      <c r="F943" s="51">
        <v>0</v>
      </c>
      <c r="G943" s="51">
        <v>0</v>
      </c>
      <c r="H943" s="51">
        <v>188729</v>
      </c>
      <c r="I943" s="51">
        <v>0</v>
      </c>
      <c r="J943" s="51">
        <v>188729</v>
      </c>
      <c r="K943" s="51">
        <v>0</v>
      </c>
      <c r="L943" s="51">
        <v>0</v>
      </c>
      <c r="M943" s="51">
        <v>0</v>
      </c>
      <c r="N943" s="51">
        <v>188729</v>
      </c>
    </row>
    <row r="944" spans="1:14" ht="15.75" x14ac:dyDescent="0.25">
      <c r="A944" s="52" t="s">
        <v>213</v>
      </c>
      <c r="B944" s="53" t="s">
        <v>8</v>
      </c>
      <c r="C944" s="19">
        <f>SUBTOTAL(109,Program298[(C)
Program
Costs])</f>
        <v>23388451</v>
      </c>
      <c r="D944" s="19">
        <f>SUBTOTAL(109,Program298[(D)
Prior Period Adjustments])</f>
        <v>-722242</v>
      </c>
      <c r="E944" s="19">
        <f>SUBTOTAL(109,Program298[(E)
Current Period Desk 
Reviews])</f>
        <v>0</v>
      </c>
      <c r="F944" s="19">
        <f>SUBTOTAL(109,Program298[(F)
Current Period 
Final 
Audits])</f>
        <v>0</v>
      </c>
      <c r="G944" s="19">
        <f>SUBTOTAL(109,Program298[(G)
Current Period 
Other Adjustments])</f>
        <v>-6824</v>
      </c>
      <c r="H944" s="19">
        <f>SUBTOTAL(109,Program298[(H)
Net Program Costs
Sum (C through G)])</f>
        <v>22659385</v>
      </c>
      <c r="I944" s="19">
        <f>SUBTOTAL(109,Program298[(I)
Payments
 and Offsets])</f>
        <v>0</v>
      </c>
      <c r="J944" s="19">
        <f>SUBTOTAL(109,Program298[(J)
Accounts Payable Balance
(H + I)])</f>
        <v>22659385</v>
      </c>
      <c r="K944" s="19">
        <f>SUBTOTAL(109,Program298[(K)
Established 
Accounts Receivable])</f>
        <v>0</v>
      </c>
      <c r="L944" s="19">
        <f>SUBTOTAL(109,Program298[(L)
Recovered
 Accounts Receivable])</f>
        <v>0</v>
      </c>
      <c r="M944" s="19">
        <f>SUBTOTAL(109,Program298[(M)
Accounts Receivable Balance
(K + L)])</f>
        <v>0</v>
      </c>
      <c r="N944" s="19">
        <f>SUBTOTAL(109,Program298[(N)
Net Balance
(J minus M)])</f>
        <v>22659385</v>
      </c>
    </row>
    <row r="945" spans="1:14" ht="15.75" x14ac:dyDescent="0.25">
      <c r="A945" s="17" t="s">
        <v>13</v>
      </c>
      <c r="B945" s="54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</row>
    <row r="946" spans="1:14" ht="78.75" x14ac:dyDescent="0.25">
      <c r="A946" s="39" t="s">
        <v>32</v>
      </c>
      <c r="B946" s="40" t="s">
        <v>33</v>
      </c>
      <c r="C946" s="41" t="s">
        <v>34</v>
      </c>
      <c r="D946" s="41" t="s">
        <v>35</v>
      </c>
      <c r="E946" s="42" t="s">
        <v>36</v>
      </c>
      <c r="F946" s="42" t="s">
        <v>37</v>
      </c>
      <c r="G946" s="42" t="s">
        <v>38</v>
      </c>
      <c r="H946" s="43" t="s">
        <v>39</v>
      </c>
      <c r="I946" s="44" t="s">
        <v>40</v>
      </c>
      <c r="J946" s="44" t="s">
        <v>41</v>
      </c>
      <c r="K946" s="42" t="s">
        <v>42</v>
      </c>
      <c r="L946" s="44" t="s">
        <v>43</v>
      </c>
      <c r="M946" s="44" t="s">
        <v>44</v>
      </c>
      <c r="N946" s="45" t="s">
        <v>45</v>
      </c>
    </row>
    <row r="947" spans="1:14" ht="30" x14ac:dyDescent="0.25">
      <c r="A947" s="67" t="s">
        <v>214</v>
      </c>
      <c r="B947" s="57" t="s">
        <v>48</v>
      </c>
      <c r="C947" s="58">
        <v>77349</v>
      </c>
      <c r="D947" s="58">
        <v>0</v>
      </c>
      <c r="E947" s="58">
        <v>0</v>
      </c>
      <c r="F947" s="58">
        <v>0</v>
      </c>
      <c r="G947" s="58">
        <v>0</v>
      </c>
      <c r="H947" s="58">
        <v>77349</v>
      </c>
      <c r="I947" s="58">
        <v>-77349</v>
      </c>
      <c r="J947" s="58">
        <v>0</v>
      </c>
      <c r="K947" s="58">
        <v>0</v>
      </c>
      <c r="L947" s="58">
        <v>0</v>
      </c>
      <c r="M947" s="58">
        <v>0</v>
      </c>
      <c r="N947" s="58">
        <v>0</v>
      </c>
    </row>
    <row r="948" spans="1:14" ht="30" x14ac:dyDescent="0.25">
      <c r="A948" s="68" t="s">
        <v>214</v>
      </c>
      <c r="B948" s="60" t="s">
        <v>49</v>
      </c>
      <c r="C948" s="61">
        <v>518899</v>
      </c>
      <c r="D948" s="61">
        <v>-214</v>
      </c>
      <c r="E948" s="61">
        <v>0</v>
      </c>
      <c r="F948" s="61">
        <v>0</v>
      </c>
      <c r="G948" s="61">
        <v>0</v>
      </c>
      <c r="H948" s="61">
        <v>518685</v>
      </c>
      <c r="I948" s="61">
        <v>-518685</v>
      </c>
      <c r="J948" s="61">
        <v>0</v>
      </c>
      <c r="K948" s="61">
        <v>0</v>
      </c>
      <c r="L948" s="61">
        <v>0</v>
      </c>
      <c r="M948" s="61">
        <v>0</v>
      </c>
      <c r="N948" s="61">
        <v>0</v>
      </c>
    </row>
    <row r="949" spans="1:14" ht="30" x14ac:dyDescent="0.25">
      <c r="A949" s="68" t="s">
        <v>214</v>
      </c>
      <c r="B949" s="60" t="s">
        <v>50</v>
      </c>
      <c r="C949" s="61">
        <v>670232</v>
      </c>
      <c r="D949" s="61">
        <v>-387</v>
      </c>
      <c r="E949" s="61">
        <v>0</v>
      </c>
      <c r="F949" s="61">
        <v>0</v>
      </c>
      <c r="G949" s="61">
        <v>0</v>
      </c>
      <c r="H949" s="61">
        <v>669845</v>
      </c>
      <c r="I949" s="61">
        <v>-669845</v>
      </c>
      <c r="J949" s="61">
        <v>0</v>
      </c>
      <c r="K949" s="61">
        <v>0</v>
      </c>
      <c r="L949" s="61">
        <v>0</v>
      </c>
      <c r="M949" s="61">
        <v>0</v>
      </c>
      <c r="N949" s="61">
        <v>0</v>
      </c>
    </row>
    <row r="950" spans="1:14" ht="30" x14ac:dyDescent="0.25">
      <c r="A950" s="68" t="s">
        <v>214</v>
      </c>
      <c r="B950" s="60" t="s">
        <v>51</v>
      </c>
      <c r="C950" s="61">
        <v>673547</v>
      </c>
      <c r="D950" s="61">
        <v>-12291</v>
      </c>
      <c r="E950" s="61">
        <v>0</v>
      </c>
      <c r="F950" s="61">
        <v>0</v>
      </c>
      <c r="G950" s="61">
        <v>0</v>
      </c>
      <c r="H950" s="61">
        <v>661256</v>
      </c>
      <c r="I950" s="61">
        <v>-661256</v>
      </c>
      <c r="J950" s="61">
        <v>0</v>
      </c>
      <c r="K950" s="61">
        <v>0</v>
      </c>
      <c r="L950" s="61">
        <v>0</v>
      </c>
      <c r="M950" s="61">
        <v>0</v>
      </c>
      <c r="N950" s="61">
        <v>0</v>
      </c>
    </row>
    <row r="951" spans="1:14" ht="30" x14ac:dyDescent="0.25">
      <c r="A951" s="68" t="s">
        <v>214</v>
      </c>
      <c r="B951" s="60" t="s">
        <v>52</v>
      </c>
      <c r="C951" s="61">
        <v>612272</v>
      </c>
      <c r="D951" s="61">
        <v>-3533</v>
      </c>
      <c r="E951" s="61">
        <v>0</v>
      </c>
      <c r="F951" s="61">
        <v>0</v>
      </c>
      <c r="G951" s="61">
        <v>0</v>
      </c>
      <c r="H951" s="61">
        <v>608739</v>
      </c>
      <c r="I951" s="61">
        <v>-608739</v>
      </c>
      <c r="J951" s="61">
        <v>0</v>
      </c>
      <c r="K951" s="61">
        <v>0</v>
      </c>
      <c r="L951" s="61">
        <v>0</v>
      </c>
      <c r="M951" s="61">
        <v>0</v>
      </c>
      <c r="N951" s="61">
        <v>0</v>
      </c>
    </row>
    <row r="952" spans="1:14" ht="30" x14ac:dyDescent="0.25">
      <c r="A952" s="68" t="s">
        <v>214</v>
      </c>
      <c r="B952" s="60" t="s">
        <v>53</v>
      </c>
      <c r="C952" s="61">
        <v>522749</v>
      </c>
      <c r="D952" s="61">
        <v>-2295</v>
      </c>
      <c r="E952" s="61">
        <v>0</v>
      </c>
      <c r="F952" s="61">
        <v>0</v>
      </c>
      <c r="G952" s="61">
        <v>0</v>
      </c>
      <c r="H952" s="61">
        <v>520454</v>
      </c>
      <c r="I952" s="61">
        <v>-520454</v>
      </c>
      <c r="J952" s="61">
        <v>0</v>
      </c>
      <c r="K952" s="61">
        <v>0</v>
      </c>
      <c r="L952" s="61">
        <v>0</v>
      </c>
      <c r="M952" s="61">
        <v>0</v>
      </c>
      <c r="N952" s="61">
        <v>0</v>
      </c>
    </row>
    <row r="953" spans="1:14" ht="30" x14ac:dyDescent="0.25">
      <c r="A953" s="68" t="s">
        <v>214</v>
      </c>
      <c r="B953" s="60" t="s">
        <v>54</v>
      </c>
      <c r="C953" s="61">
        <v>425493</v>
      </c>
      <c r="D953" s="61">
        <v>-2007</v>
      </c>
      <c r="E953" s="61">
        <v>0</v>
      </c>
      <c r="F953" s="61">
        <v>0</v>
      </c>
      <c r="G953" s="61">
        <v>0</v>
      </c>
      <c r="H953" s="61">
        <v>423486</v>
      </c>
      <c r="I953" s="61">
        <v>-423486</v>
      </c>
      <c r="J953" s="61">
        <v>0</v>
      </c>
      <c r="K953" s="61">
        <v>0</v>
      </c>
      <c r="L953" s="61">
        <v>0</v>
      </c>
      <c r="M953" s="61">
        <v>0</v>
      </c>
      <c r="N953" s="61">
        <v>0</v>
      </c>
    </row>
    <row r="954" spans="1:14" ht="30" x14ac:dyDescent="0.25">
      <c r="A954" s="68" t="s">
        <v>214</v>
      </c>
      <c r="B954" s="60" t="s">
        <v>55</v>
      </c>
      <c r="C954" s="61">
        <v>391602</v>
      </c>
      <c r="D954" s="61">
        <v>-1606</v>
      </c>
      <c r="E954" s="61">
        <v>0</v>
      </c>
      <c r="F954" s="61">
        <v>0</v>
      </c>
      <c r="G954" s="61">
        <v>0</v>
      </c>
      <c r="H954" s="61">
        <v>389996</v>
      </c>
      <c r="I954" s="61">
        <v>-389996</v>
      </c>
      <c r="J954" s="61">
        <v>0</v>
      </c>
      <c r="K954" s="61">
        <v>0</v>
      </c>
      <c r="L954" s="61">
        <v>0</v>
      </c>
      <c r="M954" s="61">
        <v>0</v>
      </c>
      <c r="N954" s="61">
        <v>0</v>
      </c>
    </row>
    <row r="955" spans="1:14" ht="30" x14ac:dyDescent="0.25">
      <c r="A955" s="68" t="s">
        <v>214</v>
      </c>
      <c r="B955" s="60" t="s">
        <v>56</v>
      </c>
      <c r="C955" s="61">
        <v>399367</v>
      </c>
      <c r="D955" s="61">
        <v>-1585</v>
      </c>
      <c r="E955" s="61">
        <v>0</v>
      </c>
      <c r="F955" s="61">
        <v>0</v>
      </c>
      <c r="G955" s="61">
        <v>0</v>
      </c>
      <c r="H955" s="61">
        <v>397782</v>
      </c>
      <c r="I955" s="61">
        <v>-397782</v>
      </c>
      <c r="J955" s="61">
        <v>0</v>
      </c>
      <c r="K955" s="61">
        <v>0</v>
      </c>
      <c r="L955" s="61">
        <v>0</v>
      </c>
      <c r="M955" s="61">
        <v>0</v>
      </c>
      <c r="N955" s="61">
        <v>0</v>
      </c>
    </row>
    <row r="956" spans="1:14" ht="30" x14ac:dyDescent="0.25">
      <c r="A956" s="68" t="s">
        <v>214</v>
      </c>
      <c r="B956" s="60" t="s">
        <v>57</v>
      </c>
      <c r="C956" s="61">
        <v>172255</v>
      </c>
      <c r="D956" s="61">
        <v>-794</v>
      </c>
      <c r="E956" s="61">
        <v>0</v>
      </c>
      <c r="F956" s="61">
        <v>0</v>
      </c>
      <c r="G956" s="61">
        <v>0</v>
      </c>
      <c r="H956" s="61">
        <v>171461</v>
      </c>
      <c r="I956" s="61">
        <v>-171461</v>
      </c>
      <c r="J956" s="61">
        <v>0</v>
      </c>
      <c r="K956" s="61">
        <v>0</v>
      </c>
      <c r="L956" s="61">
        <v>0</v>
      </c>
      <c r="M956" s="61">
        <v>0</v>
      </c>
      <c r="N956" s="61">
        <v>0</v>
      </c>
    </row>
    <row r="957" spans="1:14" ht="15.75" x14ac:dyDescent="0.25">
      <c r="A957" s="52" t="s">
        <v>215</v>
      </c>
      <c r="B957" s="53" t="s">
        <v>8</v>
      </c>
      <c r="C957" s="19">
        <f>SUBTOTAL(109,Program285[(C)
Program
Costs])</f>
        <v>4463765</v>
      </c>
      <c r="D957" s="19">
        <f>SUBTOTAL(109,Program285[(D)
Prior Period Adjustments])</f>
        <v>-24712</v>
      </c>
      <c r="E957" s="19">
        <f>SUBTOTAL(109,Program285[(E)
Current Period Desk 
Reviews])</f>
        <v>0</v>
      </c>
      <c r="F957" s="19">
        <f>SUBTOTAL(109,Program285[(F)
Current Period 
Final 
Audits])</f>
        <v>0</v>
      </c>
      <c r="G957" s="19">
        <f>SUBTOTAL(109,Program285[(G)
Current Period 
Other Adjustments])</f>
        <v>0</v>
      </c>
      <c r="H957" s="19">
        <f>SUBTOTAL(109,Program285[(H)
Net Program Costs
Sum (C through G)])</f>
        <v>4439053</v>
      </c>
      <c r="I957" s="19">
        <f>SUBTOTAL(109,Program285[(I)
Payments
 and Offsets])</f>
        <v>-4439053</v>
      </c>
      <c r="J957" s="19">
        <f>SUBTOTAL(109,Program285[(J)
Accounts Payable Balance
(H + I)])</f>
        <v>0</v>
      </c>
      <c r="K957" s="19">
        <f>SUBTOTAL(109,Program285[(K)
Established 
Accounts Receivable])</f>
        <v>0</v>
      </c>
      <c r="L957" s="19">
        <f>SUBTOTAL(109,Program285[(L)
Recovered
 Accounts Receivable])</f>
        <v>0</v>
      </c>
      <c r="M957" s="19">
        <f>SUBTOTAL(109,Program285[(M)
Accounts Receivable Balance
(K + L)])</f>
        <v>0</v>
      </c>
      <c r="N957" s="19">
        <f>SUBTOTAL(109,Program285[(N)
Net Balance
(J minus M)])</f>
        <v>0</v>
      </c>
    </row>
    <row r="958" spans="1:14" ht="15.75" x14ac:dyDescent="0.25">
      <c r="A958" s="17" t="s">
        <v>13</v>
      </c>
      <c r="B958" s="54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</row>
    <row r="959" spans="1:14" ht="78.75" x14ac:dyDescent="0.25">
      <c r="A959" s="39" t="s">
        <v>32</v>
      </c>
      <c r="B959" s="40" t="s">
        <v>33</v>
      </c>
      <c r="C959" s="41" t="s">
        <v>34</v>
      </c>
      <c r="D959" s="41" t="s">
        <v>35</v>
      </c>
      <c r="E959" s="42" t="s">
        <v>36</v>
      </c>
      <c r="F959" s="42" t="s">
        <v>37</v>
      </c>
      <c r="G959" s="42" t="s">
        <v>38</v>
      </c>
      <c r="H959" s="43" t="s">
        <v>39</v>
      </c>
      <c r="I959" s="44" t="s">
        <v>40</v>
      </c>
      <c r="J959" s="44" t="s">
        <v>41</v>
      </c>
      <c r="K959" s="42" t="s">
        <v>42</v>
      </c>
      <c r="L959" s="44" t="s">
        <v>43</v>
      </c>
      <c r="M959" s="44" t="s">
        <v>44</v>
      </c>
      <c r="N959" s="45" t="s">
        <v>45</v>
      </c>
    </row>
    <row r="960" spans="1:14" ht="15.75" x14ac:dyDescent="0.25">
      <c r="A960" s="46" t="s">
        <v>216</v>
      </c>
      <c r="B960" s="47" t="s">
        <v>48</v>
      </c>
      <c r="C960" s="48">
        <v>1439816</v>
      </c>
      <c r="D960" s="48">
        <v>-29007</v>
      </c>
      <c r="E960" s="48">
        <v>0</v>
      </c>
      <c r="F960" s="48">
        <v>0</v>
      </c>
      <c r="G960" s="48">
        <v>0</v>
      </c>
      <c r="H960" s="48">
        <v>1410809</v>
      </c>
      <c r="I960" s="48">
        <v>0</v>
      </c>
      <c r="J960" s="48">
        <v>1410809</v>
      </c>
      <c r="K960" s="48">
        <v>0</v>
      </c>
      <c r="L960" s="48">
        <v>0</v>
      </c>
      <c r="M960" s="48">
        <v>0</v>
      </c>
      <c r="N960" s="48">
        <v>1410809</v>
      </c>
    </row>
    <row r="961" spans="1:14" ht="15.75" x14ac:dyDescent="0.25">
      <c r="A961" s="49" t="s">
        <v>216</v>
      </c>
      <c r="B961" s="50" t="s">
        <v>49</v>
      </c>
      <c r="C961" s="51">
        <v>5520819</v>
      </c>
      <c r="D961" s="51">
        <v>-45401</v>
      </c>
      <c r="E961" s="51">
        <v>0</v>
      </c>
      <c r="F961" s="51">
        <v>0</v>
      </c>
      <c r="G961" s="51">
        <v>0</v>
      </c>
      <c r="H961" s="51">
        <v>5475418</v>
      </c>
      <c r="I961" s="51">
        <v>0</v>
      </c>
      <c r="J961" s="51">
        <v>5475418</v>
      </c>
      <c r="K961" s="51">
        <v>0</v>
      </c>
      <c r="L961" s="51">
        <v>0</v>
      </c>
      <c r="M961" s="51">
        <v>0</v>
      </c>
      <c r="N961" s="51">
        <v>5475418</v>
      </c>
    </row>
    <row r="962" spans="1:14" ht="15.75" x14ac:dyDescent="0.25">
      <c r="A962" s="49" t="s">
        <v>216</v>
      </c>
      <c r="B962" s="50" t="s">
        <v>54</v>
      </c>
      <c r="C962" s="51">
        <v>6851878</v>
      </c>
      <c r="D962" s="51">
        <v>-60063</v>
      </c>
      <c r="E962" s="51">
        <v>0</v>
      </c>
      <c r="F962" s="51">
        <v>0</v>
      </c>
      <c r="G962" s="51">
        <v>0</v>
      </c>
      <c r="H962" s="51">
        <v>6791815</v>
      </c>
      <c r="I962" s="51">
        <v>-6791815</v>
      </c>
      <c r="J962" s="51">
        <v>0</v>
      </c>
      <c r="K962" s="51">
        <v>23851</v>
      </c>
      <c r="L962" s="51">
        <v>-23851</v>
      </c>
      <c r="M962" s="51">
        <v>0</v>
      </c>
      <c r="N962" s="51">
        <v>0</v>
      </c>
    </row>
    <row r="963" spans="1:14" ht="15.75" x14ac:dyDescent="0.25">
      <c r="A963" s="49" t="s">
        <v>216</v>
      </c>
      <c r="B963" s="50" t="s">
        <v>55</v>
      </c>
      <c r="C963" s="51">
        <v>6015866</v>
      </c>
      <c r="D963" s="51">
        <v>-103563</v>
      </c>
      <c r="E963" s="51">
        <v>0</v>
      </c>
      <c r="F963" s="51">
        <v>0</v>
      </c>
      <c r="G963" s="51">
        <v>0</v>
      </c>
      <c r="H963" s="51">
        <v>5912303</v>
      </c>
      <c r="I963" s="51">
        <v>-5912303</v>
      </c>
      <c r="J963" s="51">
        <v>0</v>
      </c>
      <c r="K963" s="51">
        <v>0</v>
      </c>
      <c r="L963" s="51">
        <v>0</v>
      </c>
      <c r="M963" s="51">
        <v>0</v>
      </c>
      <c r="N963" s="51">
        <v>0</v>
      </c>
    </row>
    <row r="964" spans="1:14" ht="15.75" x14ac:dyDescent="0.25">
      <c r="A964" s="49" t="s">
        <v>216</v>
      </c>
      <c r="B964" s="50" t="s">
        <v>56</v>
      </c>
      <c r="C964" s="51">
        <v>6684069</v>
      </c>
      <c r="D964" s="51">
        <v>-44063</v>
      </c>
      <c r="E964" s="51">
        <v>0</v>
      </c>
      <c r="F964" s="51">
        <v>0</v>
      </c>
      <c r="G964" s="51">
        <v>0</v>
      </c>
      <c r="H964" s="51">
        <v>6640006</v>
      </c>
      <c r="I964" s="51">
        <v>-6640006</v>
      </c>
      <c r="J964" s="51">
        <v>0</v>
      </c>
      <c r="K964" s="51">
        <v>47</v>
      </c>
      <c r="L964" s="51">
        <v>-47</v>
      </c>
      <c r="M964" s="51">
        <v>0</v>
      </c>
      <c r="N964" s="51">
        <v>0</v>
      </c>
    </row>
    <row r="965" spans="1:14" ht="15.75" x14ac:dyDescent="0.25">
      <c r="A965" s="49" t="s">
        <v>216</v>
      </c>
      <c r="B965" s="50" t="s">
        <v>57</v>
      </c>
      <c r="C965" s="51">
        <v>7463365</v>
      </c>
      <c r="D965" s="51">
        <v>-51534</v>
      </c>
      <c r="E965" s="51">
        <v>0</v>
      </c>
      <c r="F965" s="51">
        <v>0</v>
      </c>
      <c r="G965" s="51">
        <v>0</v>
      </c>
      <c r="H965" s="51">
        <v>7411831</v>
      </c>
      <c r="I965" s="51">
        <v>-7411831</v>
      </c>
      <c r="J965" s="51">
        <v>0</v>
      </c>
      <c r="K965" s="51">
        <v>79707</v>
      </c>
      <c r="L965" s="51">
        <v>-79707</v>
      </c>
      <c r="M965" s="51">
        <v>0</v>
      </c>
      <c r="N965" s="51">
        <v>0</v>
      </c>
    </row>
    <row r="966" spans="1:14" ht="15.75" x14ac:dyDescent="0.25">
      <c r="A966" s="49" t="s">
        <v>216</v>
      </c>
      <c r="B966" s="50" t="s">
        <v>58</v>
      </c>
      <c r="C966" s="51">
        <v>6957752</v>
      </c>
      <c r="D966" s="51">
        <v>1086</v>
      </c>
      <c r="E966" s="51">
        <v>0</v>
      </c>
      <c r="F966" s="51">
        <v>0</v>
      </c>
      <c r="G966" s="51">
        <v>0</v>
      </c>
      <c r="H966" s="51">
        <v>6958838</v>
      </c>
      <c r="I966" s="51">
        <v>-6958838</v>
      </c>
      <c r="J966" s="51">
        <v>0</v>
      </c>
      <c r="K966" s="51">
        <v>62912</v>
      </c>
      <c r="L966" s="51">
        <v>-62912</v>
      </c>
      <c r="M966" s="51">
        <v>0</v>
      </c>
      <c r="N966" s="51">
        <v>0</v>
      </c>
    </row>
    <row r="967" spans="1:14" ht="15.75" x14ac:dyDescent="0.25">
      <c r="A967" s="49" t="s">
        <v>216</v>
      </c>
      <c r="B967" s="50" t="s">
        <v>59</v>
      </c>
      <c r="C967" s="51">
        <v>5252430</v>
      </c>
      <c r="D967" s="51">
        <v>-4396</v>
      </c>
      <c r="E967" s="51">
        <v>0</v>
      </c>
      <c r="F967" s="51">
        <v>0</v>
      </c>
      <c r="G967" s="51">
        <v>0</v>
      </c>
      <c r="H967" s="51">
        <v>5248034</v>
      </c>
      <c r="I967" s="51">
        <v>-5248034</v>
      </c>
      <c r="J967" s="51">
        <v>0</v>
      </c>
      <c r="K967" s="51">
        <v>115251</v>
      </c>
      <c r="L967" s="51">
        <v>-115251</v>
      </c>
      <c r="M967" s="51">
        <v>0</v>
      </c>
      <c r="N967" s="51">
        <v>0</v>
      </c>
    </row>
    <row r="968" spans="1:14" ht="15.75" x14ac:dyDescent="0.25">
      <c r="A968" s="49" t="s">
        <v>216</v>
      </c>
      <c r="B968" s="50" t="s">
        <v>60</v>
      </c>
      <c r="C968" s="51">
        <v>4261498</v>
      </c>
      <c r="D968" s="51">
        <v>-117646</v>
      </c>
      <c r="E968" s="51">
        <v>0</v>
      </c>
      <c r="F968" s="51">
        <v>0</v>
      </c>
      <c r="G968" s="51">
        <v>0</v>
      </c>
      <c r="H968" s="51">
        <v>4143852</v>
      </c>
      <c r="I968" s="51">
        <v>-4143852</v>
      </c>
      <c r="J968" s="51">
        <v>0</v>
      </c>
      <c r="K968" s="51">
        <v>322637</v>
      </c>
      <c r="L968" s="51">
        <v>-322637</v>
      </c>
      <c r="M968" s="51">
        <v>0</v>
      </c>
      <c r="N968" s="51">
        <v>0</v>
      </c>
    </row>
    <row r="969" spans="1:14" ht="15.75" x14ac:dyDescent="0.25">
      <c r="A969" s="49" t="s">
        <v>216</v>
      </c>
      <c r="B969" s="50" t="s">
        <v>61</v>
      </c>
      <c r="C969" s="51">
        <v>3983668</v>
      </c>
      <c r="D969" s="51">
        <v>-142274</v>
      </c>
      <c r="E969" s="51">
        <v>0</v>
      </c>
      <c r="F969" s="51">
        <v>0</v>
      </c>
      <c r="G969" s="51">
        <v>0</v>
      </c>
      <c r="H969" s="51">
        <v>3841394</v>
      </c>
      <c r="I969" s="51">
        <v>-3841394</v>
      </c>
      <c r="J969" s="51">
        <v>0</v>
      </c>
      <c r="K969" s="51">
        <v>230325</v>
      </c>
      <c r="L969" s="51">
        <v>-229212</v>
      </c>
      <c r="M969" s="51">
        <v>1113</v>
      </c>
      <c r="N969" s="51">
        <v>-1113</v>
      </c>
    </row>
    <row r="970" spans="1:14" ht="15.75" x14ac:dyDescent="0.25">
      <c r="A970" s="49" t="s">
        <v>216</v>
      </c>
      <c r="B970" s="50" t="s">
        <v>62</v>
      </c>
      <c r="C970" s="51">
        <v>3722350</v>
      </c>
      <c r="D970" s="51">
        <v>-161870</v>
      </c>
      <c r="E970" s="51">
        <v>0</v>
      </c>
      <c r="F970" s="51">
        <v>0</v>
      </c>
      <c r="G970" s="51">
        <v>0</v>
      </c>
      <c r="H970" s="51">
        <v>3560480</v>
      </c>
      <c r="I970" s="51">
        <v>-3560480</v>
      </c>
      <c r="J970" s="51">
        <v>0</v>
      </c>
      <c r="K970" s="51">
        <v>319940</v>
      </c>
      <c r="L970" s="51">
        <v>-319763</v>
      </c>
      <c r="M970" s="51">
        <v>177</v>
      </c>
      <c r="N970" s="51">
        <v>-177</v>
      </c>
    </row>
    <row r="971" spans="1:14" ht="15.75" x14ac:dyDescent="0.25">
      <c r="A971" s="49" t="s">
        <v>216</v>
      </c>
      <c r="B971" s="50" t="s">
        <v>63</v>
      </c>
      <c r="C971" s="51">
        <v>3007283</v>
      </c>
      <c r="D971" s="51">
        <v>-39139</v>
      </c>
      <c r="E971" s="51">
        <v>0</v>
      </c>
      <c r="F971" s="51">
        <v>0</v>
      </c>
      <c r="G971" s="51">
        <v>0</v>
      </c>
      <c r="H971" s="51">
        <v>2968144</v>
      </c>
      <c r="I971" s="51">
        <v>-2968144</v>
      </c>
      <c r="J971" s="51">
        <v>0</v>
      </c>
      <c r="K971" s="51">
        <v>661263</v>
      </c>
      <c r="L971" s="51">
        <v>-657646</v>
      </c>
      <c r="M971" s="51">
        <v>3617</v>
      </c>
      <c r="N971" s="51">
        <v>-3617</v>
      </c>
    </row>
    <row r="972" spans="1:14" ht="15.75" x14ac:dyDescent="0.25">
      <c r="A972" s="49" t="s">
        <v>216</v>
      </c>
      <c r="B972" s="50" t="s">
        <v>64</v>
      </c>
      <c r="C972" s="51">
        <v>3233966</v>
      </c>
      <c r="D972" s="51">
        <v>-136783</v>
      </c>
      <c r="E972" s="51">
        <v>0</v>
      </c>
      <c r="F972" s="51">
        <v>0</v>
      </c>
      <c r="G972" s="51">
        <v>0</v>
      </c>
      <c r="H972" s="51">
        <v>3097183</v>
      </c>
      <c r="I972" s="51">
        <v>-3097183</v>
      </c>
      <c r="J972" s="51">
        <v>0</v>
      </c>
      <c r="K972" s="51">
        <v>201105</v>
      </c>
      <c r="L972" s="51">
        <v>-200520</v>
      </c>
      <c r="M972" s="51">
        <v>585</v>
      </c>
      <c r="N972" s="51">
        <v>-585</v>
      </c>
    </row>
    <row r="973" spans="1:14" ht="15.75" x14ac:dyDescent="0.25">
      <c r="A973" s="49" t="s">
        <v>216</v>
      </c>
      <c r="B973" s="50" t="s">
        <v>65</v>
      </c>
      <c r="C973" s="51">
        <v>2930350</v>
      </c>
      <c r="D973" s="51">
        <v>108220</v>
      </c>
      <c r="E973" s="51">
        <v>0</v>
      </c>
      <c r="F973" s="51">
        <v>0</v>
      </c>
      <c r="G973" s="51">
        <v>0</v>
      </c>
      <c r="H973" s="51">
        <v>3038570</v>
      </c>
      <c r="I973" s="51">
        <v>-3038570</v>
      </c>
      <c r="J973" s="51">
        <v>0</v>
      </c>
      <c r="K973" s="51">
        <v>215053</v>
      </c>
      <c r="L973" s="51">
        <v>-215053</v>
      </c>
      <c r="M973" s="51">
        <v>0</v>
      </c>
      <c r="N973" s="51">
        <v>0</v>
      </c>
    </row>
    <row r="974" spans="1:14" ht="15.75" x14ac:dyDescent="0.25">
      <c r="A974" s="49" t="s">
        <v>216</v>
      </c>
      <c r="B974" s="50" t="s">
        <v>66</v>
      </c>
      <c r="C974" s="51">
        <v>2505190.67</v>
      </c>
      <c r="D974" s="51">
        <v>-178064</v>
      </c>
      <c r="E974" s="51">
        <v>0</v>
      </c>
      <c r="F974" s="51">
        <v>0</v>
      </c>
      <c r="G974" s="51">
        <v>0</v>
      </c>
      <c r="H974" s="51">
        <v>2327126.67</v>
      </c>
      <c r="I974" s="51">
        <v>-2327127</v>
      </c>
      <c r="J974" s="51">
        <v>0.32999999999998397</v>
      </c>
      <c r="K974" s="51">
        <v>126202</v>
      </c>
      <c r="L974" s="51">
        <v>-126202</v>
      </c>
      <c r="M974" s="51">
        <v>0</v>
      </c>
      <c r="N974" s="51">
        <v>0.32999999999998397</v>
      </c>
    </row>
    <row r="975" spans="1:14" ht="15.75" x14ac:dyDescent="0.25">
      <c r="A975" s="49" t="s">
        <v>216</v>
      </c>
      <c r="B975" s="50" t="s">
        <v>67</v>
      </c>
      <c r="C975" s="51">
        <v>2339370</v>
      </c>
      <c r="D975" s="51">
        <v>-237227</v>
      </c>
      <c r="E975" s="51">
        <v>0</v>
      </c>
      <c r="F975" s="51">
        <v>0</v>
      </c>
      <c r="G975" s="51">
        <v>0</v>
      </c>
      <c r="H975" s="51">
        <v>2102143</v>
      </c>
      <c r="I975" s="51">
        <v>-2102143</v>
      </c>
      <c r="J975" s="51">
        <v>0</v>
      </c>
      <c r="K975" s="51">
        <v>153432</v>
      </c>
      <c r="L975" s="51">
        <v>-114504</v>
      </c>
      <c r="M975" s="51">
        <v>38928</v>
      </c>
      <c r="N975" s="51">
        <v>-38928</v>
      </c>
    </row>
    <row r="976" spans="1:14" ht="15.75" x14ac:dyDescent="0.25">
      <c r="A976" s="49" t="s">
        <v>216</v>
      </c>
      <c r="B976" s="50" t="s">
        <v>68</v>
      </c>
      <c r="C976" s="51">
        <v>0</v>
      </c>
      <c r="D976" s="51">
        <v>0</v>
      </c>
      <c r="E976" s="51">
        <v>0</v>
      </c>
      <c r="F976" s="51">
        <v>0</v>
      </c>
      <c r="G976" s="51">
        <v>0</v>
      </c>
      <c r="H976" s="51">
        <v>0</v>
      </c>
      <c r="I976" s="51">
        <v>0</v>
      </c>
      <c r="J976" s="51">
        <v>0</v>
      </c>
      <c r="K976" s="51">
        <v>437488</v>
      </c>
      <c r="L976" s="51">
        <v>-437488</v>
      </c>
      <c r="M976" s="51">
        <v>0</v>
      </c>
      <c r="N976" s="51">
        <v>0</v>
      </c>
    </row>
    <row r="977" spans="1:14" ht="15.75" x14ac:dyDescent="0.25">
      <c r="A977" s="49" t="s">
        <v>216</v>
      </c>
      <c r="B977" s="50" t="s">
        <v>69</v>
      </c>
      <c r="C977" s="51">
        <v>0</v>
      </c>
      <c r="D977" s="51">
        <v>0</v>
      </c>
      <c r="E977" s="51">
        <v>0</v>
      </c>
      <c r="F977" s="51">
        <v>0</v>
      </c>
      <c r="G977" s="51">
        <v>0</v>
      </c>
      <c r="H977" s="51">
        <v>0</v>
      </c>
      <c r="I977" s="51">
        <v>0</v>
      </c>
      <c r="J977" s="51">
        <v>0</v>
      </c>
      <c r="K977" s="51">
        <v>561</v>
      </c>
      <c r="L977" s="51">
        <v>-561</v>
      </c>
      <c r="M977" s="51">
        <v>0</v>
      </c>
      <c r="N977" s="51">
        <v>0</v>
      </c>
    </row>
    <row r="978" spans="1:14" ht="15.75" x14ac:dyDescent="0.25">
      <c r="A978" s="49" t="s">
        <v>216</v>
      </c>
      <c r="B978" s="50" t="s">
        <v>115</v>
      </c>
      <c r="C978" s="51">
        <v>0</v>
      </c>
      <c r="D978" s="51">
        <v>0</v>
      </c>
      <c r="E978" s="51">
        <v>0</v>
      </c>
      <c r="F978" s="51">
        <v>0</v>
      </c>
      <c r="G978" s="51">
        <v>0</v>
      </c>
      <c r="H978" s="51">
        <v>0</v>
      </c>
      <c r="I978" s="51">
        <v>0</v>
      </c>
      <c r="J978" s="51">
        <v>0</v>
      </c>
      <c r="K978" s="51">
        <v>2456</v>
      </c>
      <c r="L978" s="51">
        <v>-2456</v>
      </c>
      <c r="M978" s="51">
        <v>0</v>
      </c>
      <c r="N978" s="51">
        <v>0</v>
      </c>
    </row>
    <row r="979" spans="1:14" ht="15.75" x14ac:dyDescent="0.25">
      <c r="A979" s="52" t="s">
        <v>217</v>
      </c>
      <c r="B979" s="53" t="s">
        <v>8</v>
      </c>
      <c r="C979" s="19">
        <f>SUBTOTAL(109,Program041[(C)
Program
Costs])</f>
        <v>72169670.670000002</v>
      </c>
      <c r="D979" s="19">
        <f>SUBTOTAL(109,Program041[(D)
Prior Period Adjustments])</f>
        <v>-1241724</v>
      </c>
      <c r="E979" s="19">
        <f>SUBTOTAL(109,Program041[(E)
Current Period Desk 
Reviews])</f>
        <v>0</v>
      </c>
      <c r="F979" s="19">
        <f>SUBTOTAL(109,Program041[(F)
Current Period 
Final 
Audits])</f>
        <v>0</v>
      </c>
      <c r="G979" s="19">
        <f>SUBTOTAL(109,Program041[(G)
Current Period 
Other Adjustments])</f>
        <v>0</v>
      </c>
      <c r="H979" s="19">
        <f>SUBTOTAL(109,Program041[(H)
Net Program Costs
Sum (C through G)])</f>
        <v>70927946.670000002</v>
      </c>
      <c r="I979" s="19">
        <f>SUBTOTAL(109,Program041[(I)
Payments
 and Offsets])</f>
        <v>-64041720</v>
      </c>
      <c r="J979" s="19">
        <f>SUBTOTAL(109,Program041[(J)
Accounts Payable Balance
(H + I)])</f>
        <v>6886227.3300000001</v>
      </c>
      <c r="K979" s="19">
        <f>SUBTOTAL(109,Program041[(K)
Established 
Accounts Receivable])</f>
        <v>2952230</v>
      </c>
      <c r="L979" s="19">
        <f>SUBTOTAL(109,Program041[(L)
Recovered
 Accounts Receivable])</f>
        <v>-2907810</v>
      </c>
      <c r="M979" s="19">
        <f>SUBTOTAL(109,Program041[(M)
Accounts Receivable Balance
(K + L)])</f>
        <v>44420</v>
      </c>
      <c r="N979" s="19">
        <f>SUBTOTAL(109,Program041[(N)
Net Balance
(J minus M)])</f>
        <v>6841807.3300000001</v>
      </c>
    </row>
    <row r="980" spans="1:14" ht="15.75" x14ac:dyDescent="0.25">
      <c r="A980" s="17" t="s">
        <v>13</v>
      </c>
      <c r="B980" s="54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</row>
    <row r="981" spans="1:14" ht="78.75" x14ac:dyDescent="0.25">
      <c r="A981" s="39" t="s">
        <v>32</v>
      </c>
      <c r="B981" s="40" t="s">
        <v>33</v>
      </c>
      <c r="C981" s="41" t="s">
        <v>34</v>
      </c>
      <c r="D981" s="41" t="s">
        <v>35</v>
      </c>
      <c r="E981" s="42" t="s">
        <v>36</v>
      </c>
      <c r="F981" s="42" t="s">
        <v>37</v>
      </c>
      <c r="G981" s="42" t="s">
        <v>38</v>
      </c>
      <c r="H981" s="43" t="s">
        <v>39</v>
      </c>
      <c r="I981" s="44" t="s">
        <v>40</v>
      </c>
      <c r="J981" s="44" t="s">
        <v>41</v>
      </c>
      <c r="K981" s="42" t="s">
        <v>42</v>
      </c>
      <c r="L981" s="44" t="s">
        <v>43</v>
      </c>
      <c r="M981" s="44" t="s">
        <v>44</v>
      </c>
      <c r="N981" s="45" t="s">
        <v>45</v>
      </c>
    </row>
    <row r="982" spans="1:14" ht="15.75" x14ac:dyDescent="0.25">
      <c r="A982" s="46" t="s">
        <v>218</v>
      </c>
      <c r="B982" s="47" t="s">
        <v>48</v>
      </c>
      <c r="C982" s="48">
        <v>39154</v>
      </c>
      <c r="D982" s="48">
        <v>-39154</v>
      </c>
      <c r="E982" s="48">
        <v>0</v>
      </c>
      <c r="F982" s="48">
        <v>0</v>
      </c>
      <c r="G982" s="48">
        <v>0</v>
      </c>
      <c r="H982" s="48">
        <v>0</v>
      </c>
      <c r="I982" s="48">
        <v>0</v>
      </c>
      <c r="J982" s="48">
        <v>0</v>
      </c>
      <c r="K982" s="48">
        <v>0</v>
      </c>
      <c r="L982" s="48">
        <v>0</v>
      </c>
      <c r="M982" s="48">
        <v>0</v>
      </c>
      <c r="N982" s="48">
        <v>0</v>
      </c>
    </row>
    <row r="983" spans="1:14" ht="15.75" x14ac:dyDescent="0.25">
      <c r="A983" s="49" t="s">
        <v>218</v>
      </c>
      <c r="B983" s="50" t="s">
        <v>52</v>
      </c>
      <c r="C983" s="51">
        <v>33872</v>
      </c>
      <c r="D983" s="51">
        <v>-33872</v>
      </c>
      <c r="E983" s="51">
        <v>0</v>
      </c>
      <c r="F983" s="51">
        <v>0</v>
      </c>
      <c r="G983" s="51">
        <v>0</v>
      </c>
      <c r="H983" s="51">
        <v>0</v>
      </c>
      <c r="I983" s="51">
        <v>0</v>
      </c>
      <c r="J983" s="51">
        <v>0</v>
      </c>
      <c r="K983" s="51">
        <v>0</v>
      </c>
      <c r="L983" s="51">
        <v>0</v>
      </c>
      <c r="M983" s="51">
        <v>0</v>
      </c>
      <c r="N983" s="51">
        <v>0</v>
      </c>
    </row>
    <row r="984" spans="1:14" ht="15.75" x14ac:dyDescent="0.25">
      <c r="A984" s="49" t="s">
        <v>218</v>
      </c>
      <c r="B984" s="50" t="s">
        <v>53</v>
      </c>
      <c r="C984" s="51">
        <v>24984</v>
      </c>
      <c r="D984" s="51">
        <v>-24984</v>
      </c>
      <c r="E984" s="51">
        <v>0</v>
      </c>
      <c r="F984" s="51">
        <v>0</v>
      </c>
      <c r="G984" s="51">
        <v>0</v>
      </c>
      <c r="H984" s="51">
        <v>0</v>
      </c>
      <c r="I984" s="51">
        <v>0</v>
      </c>
      <c r="J984" s="51">
        <v>0</v>
      </c>
      <c r="K984" s="51">
        <v>0</v>
      </c>
      <c r="L984" s="51">
        <v>0</v>
      </c>
      <c r="M984" s="51">
        <v>0</v>
      </c>
      <c r="N984" s="51">
        <v>0</v>
      </c>
    </row>
    <row r="985" spans="1:14" ht="15.75" x14ac:dyDescent="0.25">
      <c r="A985" s="49" t="s">
        <v>218</v>
      </c>
      <c r="B985" s="50" t="s">
        <v>54</v>
      </c>
      <c r="C985" s="51">
        <v>35500</v>
      </c>
      <c r="D985" s="51">
        <v>-35500</v>
      </c>
      <c r="E985" s="51">
        <v>0</v>
      </c>
      <c r="F985" s="51">
        <v>0</v>
      </c>
      <c r="G985" s="51">
        <v>0</v>
      </c>
      <c r="H985" s="51">
        <v>0</v>
      </c>
      <c r="I985" s="51">
        <v>0</v>
      </c>
      <c r="J985" s="51">
        <v>0</v>
      </c>
      <c r="K985" s="51">
        <v>0</v>
      </c>
      <c r="L985" s="51">
        <v>0</v>
      </c>
      <c r="M985" s="51">
        <v>0</v>
      </c>
      <c r="N985" s="51">
        <v>0</v>
      </c>
    </row>
    <row r="986" spans="1:14" ht="15.75" x14ac:dyDescent="0.25">
      <c r="A986" s="52" t="s">
        <v>219</v>
      </c>
      <c r="B986" s="53" t="s">
        <v>8</v>
      </c>
      <c r="C986" s="19">
        <f>SUBTOTAL(109,Program315[(C)
Program
Costs])</f>
        <v>133510</v>
      </c>
      <c r="D986" s="19">
        <f>SUBTOTAL(109,Program315[(D)
Prior Period Adjustments])</f>
        <v>-133510</v>
      </c>
      <c r="E986" s="19">
        <f>SUBTOTAL(109,Program315[(E)
Current Period Desk 
Reviews])</f>
        <v>0</v>
      </c>
      <c r="F986" s="19">
        <f>SUBTOTAL(109,Program315[(F)
Current Period 
Final 
Audits])</f>
        <v>0</v>
      </c>
      <c r="G986" s="19">
        <f>SUBTOTAL(109,Program315[(G)
Current Period 
Other Adjustments])</f>
        <v>0</v>
      </c>
      <c r="H986" s="19">
        <f>SUBTOTAL(109,Program315[(H)
Net Program Costs
Sum (C through G)])</f>
        <v>0</v>
      </c>
      <c r="I986" s="19">
        <f>SUBTOTAL(109,Program315[(I)
Payments
 and Offsets])</f>
        <v>0</v>
      </c>
      <c r="J986" s="19">
        <f>SUBTOTAL(109,Program315[(J)
Accounts Payable Balance
(H + I)])</f>
        <v>0</v>
      </c>
      <c r="K986" s="19">
        <f>SUBTOTAL(109,Program315[(K)
Established 
Accounts Receivable])</f>
        <v>0</v>
      </c>
      <c r="L986" s="19">
        <f>SUBTOTAL(109,Program315[(L)
Recovered
 Accounts Receivable])</f>
        <v>0</v>
      </c>
      <c r="M986" s="19">
        <f>SUBTOTAL(109,Program315[(M)
Accounts Receivable Balance
(K + L)])</f>
        <v>0</v>
      </c>
      <c r="N986" s="19">
        <f>SUBTOTAL(109,Program315[(N)
Net Balance
(J minus M)])</f>
        <v>0</v>
      </c>
    </row>
    <row r="987" spans="1:14" ht="15.75" x14ac:dyDescent="0.25">
      <c r="A987" s="17" t="s">
        <v>13</v>
      </c>
      <c r="B987" s="54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</row>
    <row r="988" spans="1:14" ht="78.75" x14ac:dyDescent="0.25">
      <c r="A988" s="39" t="s">
        <v>32</v>
      </c>
      <c r="B988" s="40" t="s">
        <v>33</v>
      </c>
      <c r="C988" s="41" t="s">
        <v>34</v>
      </c>
      <c r="D988" s="41" t="s">
        <v>35</v>
      </c>
      <c r="E988" s="42" t="s">
        <v>36</v>
      </c>
      <c r="F988" s="42" t="s">
        <v>37</v>
      </c>
      <c r="G988" s="42" t="s">
        <v>38</v>
      </c>
      <c r="H988" s="43" t="s">
        <v>39</v>
      </c>
      <c r="I988" s="44" t="s">
        <v>40</v>
      </c>
      <c r="J988" s="44" t="s">
        <v>41</v>
      </c>
      <c r="K988" s="42" t="s">
        <v>42</v>
      </c>
      <c r="L988" s="44" t="s">
        <v>43</v>
      </c>
      <c r="M988" s="44" t="s">
        <v>44</v>
      </c>
      <c r="N988" s="45" t="s">
        <v>45</v>
      </c>
    </row>
    <row r="989" spans="1:14" ht="15.75" x14ac:dyDescent="0.25">
      <c r="A989" s="46" t="s">
        <v>220</v>
      </c>
      <c r="B989" s="47" t="s">
        <v>76</v>
      </c>
      <c r="C989" s="48">
        <v>12012</v>
      </c>
      <c r="D989" s="48">
        <v>0</v>
      </c>
      <c r="E989" s="48">
        <v>0</v>
      </c>
      <c r="F989" s="48">
        <v>0</v>
      </c>
      <c r="G989" s="48">
        <v>0</v>
      </c>
      <c r="H989" s="48">
        <v>12012</v>
      </c>
      <c r="I989" s="48">
        <v>0</v>
      </c>
      <c r="J989" s="48">
        <v>12012</v>
      </c>
      <c r="K989" s="48">
        <v>0</v>
      </c>
      <c r="L989" s="48">
        <v>0</v>
      </c>
      <c r="M989" s="48">
        <v>0</v>
      </c>
      <c r="N989" s="48">
        <v>12012</v>
      </c>
    </row>
    <row r="990" spans="1:14" ht="15.75" x14ac:dyDescent="0.25">
      <c r="A990" s="49" t="s">
        <v>220</v>
      </c>
      <c r="B990" s="50" t="s">
        <v>77</v>
      </c>
      <c r="C990" s="51">
        <v>8146</v>
      </c>
      <c r="D990" s="51">
        <v>0</v>
      </c>
      <c r="E990" s="51">
        <v>0</v>
      </c>
      <c r="F990" s="51">
        <v>0</v>
      </c>
      <c r="G990" s="51">
        <v>0</v>
      </c>
      <c r="H990" s="51">
        <v>8146</v>
      </c>
      <c r="I990" s="51">
        <v>-8146</v>
      </c>
      <c r="J990" s="51">
        <v>0</v>
      </c>
      <c r="K990" s="51">
        <v>0</v>
      </c>
      <c r="L990" s="51">
        <v>0</v>
      </c>
      <c r="M990" s="51">
        <v>0</v>
      </c>
      <c r="N990" s="51">
        <v>0</v>
      </c>
    </row>
    <row r="991" spans="1:14" ht="15.75" x14ac:dyDescent="0.25">
      <c r="A991" s="49" t="s">
        <v>220</v>
      </c>
      <c r="B991" s="50" t="s">
        <v>78</v>
      </c>
      <c r="C991" s="51">
        <v>14847</v>
      </c>
      <c r="D991" s="51">
        <v>0</v>
      </c>
      <c r="E991" s="51">
        <v>0</v>
      </c>
      <c r="F991" s="51">
        <v>0</v>
      </c>
      <c r="G991" s="51">
        <v>0</v>
      </c>
      <c r="H991" s="51">
        <v>14847</v>
      </c>
      <c r="I991" s="51">
        <v>-14847</v>
      </c>
      <c r="J991" s="51">
        <v>0</v>
      </c>
      <c r="K991" s="51">
        <v>0</v>
      </c>
      <c r="L991" s="51">
        <v>0</v>
      </c>
      <c r="M991" s="51">
        <v>0</v>
      </c>
      <c r="N991" s="51">
        <v>0</v>
      </c>
    </row>
    <row r="992" spans="1:14" ht="15.75" x14ac:dyDescent="0.25">
      <c r="A992" s="49" t="s">
        <v>220</v>
      </c>
      <c r="B992" s="50" t="s">
        <v>47</v>
      </c>
      <c r="C992" s="51">
        <v>7327</v>
      </c>
      <c r="D992" s="51">
        <v>0</v>
      </c>
      <c r="E992" s="51">
        <v>0</v>
      </c>
      <c r="F992" s="51">
        <v>0</v>
      </c>
      <c r="G992" s="51">
        <v>0</v>
      </c>
      <c r="H992" s="51">
        <v>7327</v>
      </c>
      <c r="I992" s="51">
        <v>-7327</v>
      </c>
      <c r="J992" s="51">
        <v>0</v>
      </c>
      <c r="K992" s="51">
        <v>0</v>
      </c>
      <c r="L992" s="51">
        <v>0</v>
      </c>
      <c r="M992" s="51">
        <v>0</v>
      </c>
      <c r="N992" s="51">
        <v>0</v>
      </c>
    </row>
    <row r="993" spans="1:14" ht="15.75" x14ac:dyDescent="0.25">
      <c r="A993" s="49" t="s">
        <v>220</v>
      </c>
      <c r="B993" s="50" t="s">
        <v>79</v>
      </c>
      <c r="C993" s="51">
        <v>19792</v>
      </c>
      <c r="D993" s="51">
        <v>0</v>
      </c>
      <c r="E993" s="51">
        <v>0</v>
      </c>
      <c r="F993" s="51">
        <v>0</v>
      </c>
      <c r="G993" s="51">
        <v>0</v>
      </c>
      <c r="H993" s="51">
        <v>19792</v>
      </c>
      <c r="I993" s="51">
        <v>-19792</v>
      </c>
      <c r="J993" s="51">
        <v>0</v>
      </c>
      <c r="K993" s="51">
        <v>0</v>
      </c>
      <c r="L993" s="51">
        <v>0</v>
      </c>
      <c r="M993" s="51">
        <v>0</v>
      </c>
      <c r="N993" s="51">
        <v>0</v>
      </c>
    </row>
    <row r="994" spans="1:14" ht="15.75" x14ac:dyDescent="0.25">
      <c r="A994" s="49" t="s">
        <v>220</v>
      </c>
      <c r="B994" s="50" t="s">
        <v>80</v>
      </c>
      <c r="C994" s="51">
        <v>15343</v>
      </c>
      <c r="D994" s="51">
        <v>1163</v>
      </c>
      <c r="E994" s="51">
        <v>0</v>
      </c>
      <c r="F994" s="51">
        <v>0</v>
      </c>
      <c r="G994" s="51">
        <v>0</v>
      </c>
      <c r="H994" s="51">
        <v>16506</v>
      </c>
      <c r="I994" s="51">
        <v>-16506</v>
      </c>
      <c r="J994" s="51">
        <v>0</v>
      </c>
      <c r="K994" s="51">
        <v>0</v>
      </c>
      <c r="L994" s="51">
        <v>0</v>
      </c>
      <c r="M994" s="51">
        <v>0</v>
      </c>
      <c r="N994" s="51">
        <v>0</v>
      </c>
    </row>
    <row r="995" spans="1:14" ht="15.75" x14ac:dyDescent="0.25">
      <c r="A995" s="49" t="s">
        <v>220</v>
      </c>
      <c r="B995" s="50" t="s">
        <v>81</v>
      </c>
      <c r="C995" s="51">
        <v>13277</v>
      </c>
      <c r="D995" s="51">
        <v>0</v>
      </c>
      <c r="E995" s="51">
        <v>0</v>
      </c>
      <c r="F995" s="51">
        <v>0</v>
      </c>
      <c r="G995" s="51">
        <v>0</v>
      </c>
      <c r="H995" s="51">
        <v>13277</v>
      </c>
      <c r="I995" s="51">
        <v>-13277</v>
      </c>
      <c r="J995" s="51">
        <v>0</v>
      </c>
      <c r="K995" s="51">
        <v>0</v>
      </c>
      <c r="L995" s="51">
        <v>0</v>
      </c>
      <c r="M995" s="51">
        <v>0</v>
      </c>
      <c r="N995" s="51">
        <v>0</v>
      </c>
    </row>
    <row r="996" spans="1:14" ht="15.75" x14ac:dyDescent="0.25">
      <c r="A996" s="49" t="s">
        <v>220</v>
      </c>
      <c r="B996" s="50" t="s">
        <v>82</v>
      </c>
      <c r="C996" s="51">
        <v>11363</v>
      </c>
      <c r="D996" s="51">
        <v>-931</v>
      </c>
      <c r="E996" s="51">
        <v>0</v>
      </c>
      <c r="F996" s="51">
        <v>0</v>
      </c>
      <c r="G996" s="51">
        <v>0</v>
      </c>
      <c r="H996" s="51">
        <v>10432</v>
      </c>
      <c r="I996" s="51">
        <v>-10432</v>
      </c>
      <c r="J996" s="51">
        <v>0</v>
      </c>
      <c r="K996" s="51">
        <v>0</v>
      </c>
      <c r="L996" s="51">
        <v>0</v>
      </c>
      <c r="M996" s="51">
        <v>0</v>
      </c>
      <c r="N996" s="51">
        <v>0</v>
      </c>
    </row>
    <row r="997" spans="1:14" ht="15.75" x14ac:dyDescent="0.25">
      <c r="A997" s="49" t="s">
        <v>220</v>
      </c>
      <c r="B997" s="50" t="s">
        <v>83</v>
      </c>
      <c r="C997" s="51">
        <v>9047</v>
      </c>
      <c r="D997" s="51">
        <v>0</v>
      </c>
      <c r="E997" s="51">
        <v>0</v>
      </c>
      <c r="F997" s="51">
        <v>0</v>
      </c>
      <c r="G997" s="51">
        <v>0</v>
      </c>
      <c r="H997" s="51">
        <v>9047</v>
      </c>
      <c r="I997" s="51">
        <v>-9047</v>
      </c>
      <c r="J997" s="51">
        <v>0</v>
      </c>
      <c r="K997" s="51">
        <v>0</v>
      </c>
      <c r="L997" s="51">
        <v>0</v>
      </c>
      <c r="M997" s="51">
        <v>0</v>
      </c>
      <c r="N997" s="51">
        <v>0</v>
      </c>
    </row>
    <row r="998" spans="1:14" ht="15.75" x14ac:dyDescent="0.25">
      <c r="A998" s="49" t="s">
        <v>220</v>
      </c>
      <c r="B998" s="50" t="s">
        <v>48</v>
      </c>
      <c r="C998" s="51">
        <v>9436</v>
      </c>
      <c r="D998" s="51">
        <v>0</v>
      </c>
      <c r="E998" s="51">
        <v>0</v>
      </c>
      <c r="F998" s="51">
        <v>0</v>
      </c>
      <c r="G998" s="51">
        <v>0</v>
      </c>
      <c r="H998" s="51">
        <v>9436</v>
      </c>
      <c r="I998" s="51">
        <v>-9436</v>
      </c>
      <c r="J998" s="51">
        <v>0</v>
      </c>
      <c r="K998" s="51">
        <v>0</v>
      </c>
      <c r="L998" s="51">
        <v>0</v>
      </c>
      <c r="M998" s="51">
        <v>0</v>
      </c>
      <c r="N998" s="51">
        <v>0</v>
      </c>
    </row>
    <row r="999" spans="1:14" ht="15.75" x14ac:dyDescent="0.25">
      <c r="A999" s="49" t="s">
        <v>220</v>
      </c>
      <c r="B999" s="50" t="s">
        <v>49</v>
      </c>
      <c r="C999" s="51">
        <v>9850</v>
      </c>
      <c r="D999" s="51">
        <v>0</v>
      </c>
      <c r="E999" s="51">
        <v>0</v>
      </c>
      <c r="F999" s="51">
        <v>0</v>
      </c>
      <c r="G999" s="51">
        <v>0</v>
      </c>
      <c r="H999" s="51">
        <v>9850</v>
      </c>
      <c r="I999" s="51">
        <v>-9850</v>
      </c>
      <c r="J999" s="51">
        <v>0</v>
      </c>
      <c r="K999" s="51">
        <v>0</v>
      </c>
      <c r="L999" s="51">
        <v>0</v>
      </c>
      <c r="M999" s="51">
        <v>0</v>
      </c>
      <c r="N999" s="51">
        <v>0</v>
      </c>
    </row>
    <row r="1000" spans="1:14" ht="15.75" x14ac:dyDescent="0.25">
      <c r="A1000" s="49" t="s">
        <v>220</v>
      </c>
      <c r="B1000" s="50" t="s">
        <v>50</v>
      </c>
      <c r="C1000" s="51">
        <v>19275</v>
      </c>
      <c r="D1000" s="51">
        <v>0</v>
      </c>
      <c r="E1000" s="51">
        <v>0</v>
      </c>
      <c r="F1000" s="51">
        <v>0</v>
      </c>
      <c r="G1000" s="51">
        <v>0</v>
      </c>
      <c r="H1000" s="51">
        <v>19275</v>
      </c>
      <c r="I1000" s="51">
        <v>-19275</v>
      </c>
      <c r="J1000" s="51">
        <v>0</v>
      </c>
      <c r="K1000" s="51">
        <v>0</v>
      </c>
      <c r="L1000" s="51">
        <v>0</v>
      </c>
      <c r="M1000" s="51">
        <v>0</v>
      </c>
      <c r="N1000" s="51">
        <v>0</v>
      </c>
    </row>
    <row r="1001" spans="1:14" ht="15.75" x14ac:dyDescent="0.25">
      <c r="A1001" s="49" t="s">
        <v>220</v>
      </c>
      <c r="B1001" s="50" t="s">
        <v>51</v>
      </c>
      <c r="C1001" s="51">
        <v>17371</v>
      </c>
      <c r="D1001" s="51">
        <v>-456</v>
      </c>
      <c r="E1001" s="51">
        <v>0</v>
      </c>
      <c r="F1001" s="51">
        <v>0</v>
      </c>
      <c r="G1001" s="51">
        <v>0</v>
      </c>
      <c r="H1001" s="51">
        <v>16915</v>
      </c>
      <c r="I1001" s="51">
        <v>-16915</v>
      </c>
      <c r="J1001" s="51">
        <v>0</v>
      </c>
      <c r="K1001" s="51">
        <v>0</v>
      </c>
      <c r="L1001" s="51">
        <v>0</v>
      </c>
      <c r="M1001" s="51">
        <v>0</v>
      </c>
      <c r="N1001" s="51">
        <v>0</v>
      </c>
    </row>
    <row r="1002" spans="1:14" ht="15.75" x14ac:dyDescent="0.25">
      <c r="A1002" s="49" t="s">
        <v>220</v>
      </c>
      <c r="B1002" s="50" t="s">
        <v>52</v>
      </c>
      <c r="C1002" s="51">
        <v>16975</v>
      </c>
      <c r="D1002" s="51">
        <v>-371</v>
      </c>
      <c r="E1002" s="51">
        <v>0</v>
      </c>
      <c r="F1002" s="51">
        <v>0</v>
      </c>
      <c r="G1002" s="51">
        <v>0</v>
      </c>
      <c r="H1002" s="51">
        <v>16604</v>
      </c>
      <c r="I1002" s="51">
        <v>-16604</v>
      </c>
      <c r="J1002" s="51">
        <v>0</v>
      </c>
      <c r="K1002" s="51">
        <v>2137</v>
      </c>
      <c r="L1002" s="51">
        <v>-2137</v>
      </c>
      <c r="M1002" s="51">
        <v>0</v>
      </c>
      <c r="N1002" s="51">
        <v>0</v>
      </c>
    </row>
    <row r="1003" spans="1:14" ht="15.75" x14ac:dyDescent="0.25">
      <c r="A1003" s="49" t="s">
        <v>220</v>
      </c>
      <c r="B1003" s="50" t="s">
        <v>53</v>
      </c>
      <c r="C1003" s="51">
        <v>18025</v>
      </c>
      <c r="D1003" s="51">
        <v>-473</v>
      </c>
      <c r="E1003" s="51">
        <v>0</v>
      </c>
      <c r="F1003" s="51">
        <v>0</v>
      </c>
      <c r="G1003" s="51">
        <v>0</v>
      </c>
      <c r="H1003" s="51">
        <v>17552</v>
      </c>
      <c r="I1003" s="51">
        <v>-17552</v>
      </c>
      <c r="J1003" s="51">
        <v>0</v>
      </c>
      <c r="K1003" s="51">
        <v>235</v>
      </c>
      <c r="L1003" s="51">
        <v>-235</v>
      </c>
      <c r="M1003" s="51">
        <v>0</v>
      </c>
      <c r="N1003" s="51">
        <v>0</v>
      </c>
    </row>
    <row r="1004" spans="1:14" ht="15.75" x14ac:dyDescent="0.25">
      <c r="A1004" s="49" t="s">
        <v>220</v>
      </c>
      <c r="B1004" s="50" t="s">
        <v>54</v>
      </c>
      <c r="C1004" s="51">
        <v>18202</v>
      </c>
      <c r="D1004" s="51">
        <v>0</v>
      </c>
      <c r="E1004" s="51">
        <v>0</v>
      </c>
      <c r="F1004" s="51">
        <v>0</v>
      </c>
      <c r="G1004" s="51">
        <v>0</v>
      </c>
      <c r="H1004" s="51">
        <v>18202</v>
      </c>
      <c r="I1004" s="51">
        <v>-18202</v>
      </c>
      <c r="J1004" s="51">
        <v>0</v>
      </c>
      <c r="K1004" s="51">
        <v>4820</v>
      </c>
      <c r="L1004" s="51">
        <v>-4820</v>
      </c>
      <c r="M1004" s="51">
        <v>0</v>
      </c>
      <c r="N1004" s="51">
        <v>0</v>
      </c>
    </row>
    <row r="1005" spans="1:14" ht="15.75" x14ac:dyDescent="0.25">
      <c r="A1005" s="49" t="s">
        <v>220</v>
      </c>
      <c r="B1005" s="50" t="s">
        <v>55</v>
      </c>
      <c r="C1005" s="51">
        <v>19422</v>
      </c>
      <c r="D1005" s="51">
        <v>0</v>
      </c>
      <c r="E1005" s="51">
        <v>0</v>
      </c>
      <c r="F1005" s="51">
        <v>0</v>
      </c>
      <c r="G1005" s="51">
        <v>0</v>
      </c>
      <c r="H1005" s="51">
        <v>19422</v>
      </c>
      <c r="I1005" s="51">
        <v>-19422</v>
      </c>
      <c r="J1005" s="51">
        <v>0</v>
      </c>
      <c r="K1005" s="51">
        <v>0</v>
      </c>
      <c r="L1005" s="51">
        <v>0</v>
      </c>
      <c r="M1005" s="51">
        <v>0</v>
      </c>
      <c r="N1005" s="51">
        <v>0</v>
      </c>
    </row>
    <row r="1006" spans="1:14" ht="15.75" x14ac:dyDescent="0.25">
      <c r="A1006" s="49" t="s">
        <v>220</v>
      </c>
      <c r="B1006" s="50" t="s">
        <v>56</v>
      </c>
      <c r="C1006" s="51">
        <v>21253</v>
      </c>
      <c r="D1006" s="51">
        <v>0</v>
      </c>
      <c r="E1006" s="51">
        <v>0</v>
      </c>
      <c r="F1006" s="51">
        <v>0</v>
      </c>
      <c r="G1006" s="51">
        <v>0</v>
      </c>
      <c r="H1006" s="51">
        <v>21253</v>
      </c>
      <c r="I1006" s="51">
        <v>-21253</v>
      </c>
      <c r="J1006" s="51">
        <v>0</v>
      </c>
      <c r="K1006" s="51">
        <v>0</v>
      </c>
      <c r="L1006" s="51">
        <v>0</v>
      </c>
      <c r="M1006" s="51">
        <v>0</v>
      </c>
      <c r="N1006" s="51">
        <v>0</v>
      </c>
    </row>
    <row r="1007" spans="1:14" ht="15.75" x14ac:dyDescent="0.25">
      <c r="A1007" s="49" t="s">
        <v>220</v>
      </c>
      <c r="B1007" s="50" t="s">
        <v>57</v>
      </c>
      <c r="C1007" s="51">
        <v>17162</v>
      </c>
      <c r="D1007" s="51">
        <v>-867</v>
      </c>
      <c r="E1007" s="51">
        <v>0</v>
      </c>
      <c r="F1007" s="51">
        <v>0</v>
      </c>
      <c r="G1007" s="51">
        <v>0</v>
      </c>
      <c r="H1007" s="51">
        <v>16295</v>
      </c>
      <c r="I1007" s="51">
        <v>-16295</v>
      </c>
      <c r="J1007" s="51">
        <v>0</v>
      </c>
      <c r="K1007" s="51">
        <v>2176</v>
      </c>
      <c r="L1007" s="51">
        <v>-2176</v>
      </c>
      <c r="M1007" s="51">
        <v>0</v>
      </c>
      <c r="N1007" s="51">
        <v>0</v>
      </c>
    </row>
    <row r="1008" spans="1:14" ht="15.75" x14ac:dyDescent="0.25">
      <c r="A1008" s="49" t="s">
        <v>220</v>
      </c>
      <c r="B1008" s="50" t="s">
        <v>58</v>
      </c>
      <c r="C1008" s="51">
        <v>15468</v>
      </c>
      <c r="D1008" s="51">
        <v>0</v>
      </c>
      <c r="E1008" s="51">
        <v>0</v>
      </c>
      <c r="F1008" s="51">
        <v>0</v>
      </c>
      <c r="G1008" s="51">
        <v>0</v>
      </c>
      <c r="H1008" s="51">
        <v>15468</v>
      </c>
      <c r="I1008" s="51">
        <v>-15468</v>
      </c>
      <c r="J1008" s="51">
        <v>0</v>
      </c>
      <c r="K1008" s="51">
        <v>2943</v>
      </c>
      <c r="L1008" s="51">
        <v>-2943</v>
      </c>
      <c r="M1008" s="51">
        <v>0</v>
      </c>
      <c r="N1008" s="51">
        <v>0</v>
      </c>
    </row>
    <row r="1009" spans="1:14" ht="15.75" x14ac:dyDescent="0.25">
      <c r="A1009" s="49" t="s">
        <v>220</v>
      </c>
      <c r="B1009" s="50" t="s">
        <v>59</v>
      </c>
      <c r="C1009" s="51">
        <v>19898</v>
      </c>
      <c r="D1009" s="51">
        <v>-381</v>
      </c>
      <c r="E1009" s="51">
        <v>0</v>
      </c>
      <c r="F1009" s="51">
        <v>0</v>
      </c>
      <c r="G1009" s="51">
        <v>0</v>
      </c>
      <c r="H1009" s="51">
        <v>19517</v>
      </c>
      <c r="I1009" s="51">
        <v>-19517</v>
      </c>
      <c r="J1009" s="51">
        <v>0</v>
      </c>
      <c r="K1009" s="51">
        <v>153</v>
      </c>
      <c r="L1009" s="51">
        <v>-153</v>
      </c>
      <c r="M1009" s="51">
        <v>0</v>
      </c>
      <c r="N1009" s="51">
        <v>0</v>
      </c>
    </row>
    <row r="1010" spans="1:14" ht="15.75" x14ac:dyDescent="0.25">
      <c r="A1010" s="49" t="s">
        <v>220</v>
      </c>
      <c r="B1010" s="50" t="s">
        <v>60</v>
      </c>
      <c r="C1010" s="51">
        <v>16658</v>
      </c>
      <c r="D1010" s="51">
        <v>0</v>
      </c>
      <c r="E1010" s="51">
        <v>0</v>
      </c>
      <c r="F1010" s="51">
        <v>0</v>
      </c>
      <c r="G1010" s="51">
        <v>0</v>
      </c>
      <c r="H1010" s="51">
        <v>16658</v>
      </c>
      <c r="I1010" s="51">
        <v>-16658</v>
      </c>
      <c r="J1010" s="51">
        <v>0</v>
      </c>
      <c r="K1010" s="51">
        <v>64</v>
      </c>
      <c r="L1010" s="51">
        <v>-64</v>
      </c>
      <c r="M1010" s="51">
        <v>0</v>
      </c>
      <c r="N1010" s="51">
        <v>0</v>
      </c>
    </row>
    <row r="1011" spans="1:14" ht="15.75" x14ac:dyDescent="0.25">
      <c r="A1011" s="49" t="s">
        <v>220</v>
      </c>
      <c r="B1011" s="50" t="s">
        <v>61</v>
      </c>
      <c r="C1011" s="51">
        <v>15437</v>
      </c>
      <c r="D1011" s="51">
        <v>0</v>
      </c>
      <c r="E1011" s="51">
        <v>0</v>
      </c>
      <c r="F1011" s="51">
        <v>0</v>
      </c>
      <c r="G1011" s="51">
        <v>0</v>
      </c>
      <c r="H1011" s="51">
        <v>15437</v>
      </c>
      <c r="I1011" s="51">
        <v>-15437</v>
      </c>
      <c r="J1011" s="51">
        <v>0</v>
      </c>
      <c r="K1011" s="51">
        <v>1352</v>
      </c>
      <c r="L1011" s="51">
        <v>-1352</v>
      </c>
      <c r="M1011" s="51">
        <v>0</v>
      </c>
      <c r="N1011" s="51">
        <v>0</v>
      </c>
    </row>
    <row r="1012" spans="1:14" ht="15.75" x14ac:dyDescent="0.25">
      <c r="A1012" s="49" t="s">
        <v>220</v>
      </c>
      <c r="B1012" s="50" t="s">
        <v>62</v>
      </c>
      <c r="C1012" s="51">
        <v>15453</v>
      </c>
      <c r="D1012" s="51">
        <v>0</v>
      </c>
      <c r="E1012" s="51">
        <v>0</v>
      </c>
      <c r="F1012" s="51">
        <v>0</v>
      </c>
      <c r="G1012" s="51">
        <v>0</v>
      </c>
      <c r="H1012" s="51">
        <v>15453</v>
      </c>
      <c r="I1012" s="51">
        <v>-15453</v>
      </c>
      <c r="J1012" s="51">
        <v>0</v>
      </c>
      <c r="K1012" s="51">
        <v>8351</v>
      </c>
      <c r="L1012" s="51">
        <v>-8351</v>
      </c>
      <c r="M1012" s="51">
        <v>0</v>
      </c>
      <c r="N1012" s="51">
        <v>0</v>
      </c>
    </row>
    <row r="1013" spans="1:14" ht="15.75" x14ac:dyDescent="0.25">
      <c r="A1013" s="49" t="s">
        <v>220</v>
      </c>
      <c r="B1013" s="50" t="s">
        <v>63</v>
      </c>
      <c r="C1013" s="51">
        <v>18597</v>
      </c>
      <c r="D1013" s="51">
        <v>-57</v>
      </c>
      <c r="E1013" s="51">
        <v>0</v>
      </c>
      <c r="F1013" s="51">
        <v>0</v>
      </c>
      <c r="G1013" s="51">
        <v>0</v>
      </c>
      <c r="H1013" s="51">
        <v>18540</v>
      </c>
      <c r="I1013" s="51">
        <v>-18540</v>
      </c>
      <c r="J1013" s="51">
        <v>0</v>
      </c>
      <c r="K1013" s="51">
        <v>57</v>
      </c>
      <c r="L1013" s="51">
        <v>-57</v>
      </c>
      <c r="M1013" s="51">
        <v>0</v>
      </c>
      <c r="N1013" s="51">
        <v>0</v>
      </c>
    </row>
    <row r="1014" spans="1:14" ht="15.75" x14ac:dyDescent="0.25">
      <c r="A1014" s="49" t="s">
        <v>220</v>
      </c>
      <c r="B1014" s="50" t="s">
        <v>64</v>
      </c>
      <c r="C1014" s="51">
        <v>15706</v>
      </c>
      <c r="D1014" s="51">
        <v>0</v>
      </c>
      <c r="E1014" s="51">
        <v>0</v>
      </c>
      <c r="F1014" s="51">
        <v>0</v>
      </c>
      <c r="G1014" s="51">
        <v>0</v>
      </c>
      <c r="H1014" s="51">
        <v>15706</v>
      </c>
      <c r="I1014" s="51">
        <v>-15706</v>
      </c>
      <c r="J1014" s="51">
        <v>0</v>
      </c>
      <c r="K1014" s="51">
        <v>2000</v>
      </c>
      <c r="L1014" s="51">
        <v>-2000</v>
      </c>
      <c r="M1014" s="51">
        <v>0</v>
      </c>
      <c r="N1014" s="51">
        <v>0</v>
      </c>
    </row>
    <row r="1015" spans="1:14" ht="15.75" x14ac:dyDescent="0.25">
      <c r="A1015" s="49" t="s">
        <v>220</v>
      </c>
      <c r="B1015" s="50" t="s">
        <v>65</v>
      </c>
      <c r="C1015" s="51">
        <v>14928</v>
      </c>
      <c r="D1015" s="51">
        <v>0</v>
      </c>
      <c r="E1015" s="51">
        <v>0</v>
      </c>
      <c r="F1015" s="51">
        <v>0</v>
      </c>
      <c r="G1015" s="51">
        <v>0</v>
      </c>
      <c r="H1015" s="51">
        <v>14928</v>
      </c>
      <c r="I1015" s="51">
        <v>-14928</v>
      </c>
      <c r="J1015" s="51">
        <v>0</v>
      </c>
      <c r="K1015" s="51">
        <v>5519</v>
      </c>
      <c r="L1015" s="51">
        <v>-5519</v>
      </c>
      <c r="M1015" s="51">
        <v>0</v>
      </c>
      <c r="N1015" s="51">
        <v>0</v>
      </c>
    </row>
    <row r="1016" spans="1:14" ht="15.75" x14ac:dyDescent="0.25">
      <c r="A1016" s="49" t="s">
        <v>220</v>
      </c>
      <c r="B1016" s="50" t="s">
        <v>66</v>
      </c>
      <c r="C1016" s="51">
        <v>15753</v>
      </c>
      <c r="D1016" s="51">
        <v>0</v>
      </c>
      <c r="E1016" s="51">
        <v>0</v>
      </c>
      <c r="F1016" s="51">
        <v>0</v>
      </c>
      <c r="G1016" s="51">
        <v>0</v>
      </c>
      <c r="H1016" s="51">
        <v>15753</v>
      </c>
      <c r="I1016" s="51">
        <v>-15753</v>
      </c>
      <c r="J1016" s="51">
        <v>0</v>
      </c>
      <c r="K1016" s="51">
        <v>1300</v>
      </c>
      <c r="L1016" s="51">
        <v>-1300</v>
      </c>
      <c r="M1016" s="51">
        <v>0</v>
      </c>
      <c r="N1016" s="51">
        <v>0</v>
      </c>
    </row>
    <row r="1017" spans="1:14" ht="15.75" x14ac:dyDescent="0.25">
      <c r="A1017" s="49" t="s">
        <v>220</v>
      </c>
      <c r="B1017" s="50" t="s">
        <v>67</v>
      </c>
      <c r="C1017" s="51">
        <v>12509</v>
      </c>
      <c r="D1017" s="51">
        <v>0</v>
      </c>
      <c r="E1017" s="51">
        <v>0</v>
      </c>
      <c r="F1017" s="51">
        <v>0</v>
      </c>
      <c r="G1017" s="51">
        <v>0</v>
      </c>
      <c r="H1017" s="51">
        <v>12509</v>
      </c>
      <c r="I1017" s="51">
        <v>-12509</v>
      </c>
      <c r="J1017" s="51">
        <v>0</v>
      </c>
      <c r="K1017" s="51">
        <v>3673</v>
      </c>
      <c r="L1017" s="51">
        <v>-3673</v>
      </c>
      <c r="M1017" s="51">
        <v>0</v>
      </c>
      <c r="N1017" s="51">
        <v>0</v>
      </c>
    </row>
    <row r="1018" spans="1:14" ht="15.75" x14ac:dyDescent="0.25">
      <c r="A1018" s="52" t="s">
        <v>221</v>
      </c>
      <c r="B1018" s="53" t="s">
        <v>8</v>
      </c>
      <c r="C1018" s="19">
        <f>SUBTOTAL(109,Program043[(C)
Program
Costs])</f>
        <v>438532</v>
      </c>
      <c r="D1018" s="19">
        <f>SUBTOTAL(109,Program043[(D)
Prior Period Adjustments])</f>
        <v>-2373</v>
      </c>
      <c r="E1018" s="19">
        <f>SUBTOTAL(109,Program043[(E)
Current Period Desk 
Reviews])</f>
        <v>0</v>
      </c>
      <c r="F1018" s="19">
        <f>SUBTOTAL(109,Program043[(F)
Current Period 
Final 
Audits])</f>
        <v>0</v>
      </c>
      <c r="G1018" s="19">
        <f>SUBTOTAL(109,Program043[(G)
Current Period 
Other Adjustments])</f>
        <v>0</v>
      </c>
      <c r="H1018" s="19">
        <f>SUBTOTAL(109,Program043[(H)
Net Program Costs
Sum (C through G)])</f>
        <v>436159</v>
      </c>
      <c r="I1018" s="19">
        <f>SUBTOTAL(109,Program043[(I)
Payments
 and Offsets])</f>
        <v>-424147</v>
      </c>
      <c r="J1018" s="19">
        <f>SUBTOTAL(109,Program043[(J)
Accounts Payable Balance
(H + I)])</f>
        <v>12012</v>
      </c>
      <c r="K1018" s="19">
        <f>SUBTOTAL(109,Program043[(K)
Established 
Accounts Receivable])</f>
        <v>34780</v>
      </c>
      <c r="L1018" s="19">
        <f>SUBTOTAL(109,Program043[(L)
Recovered
 Accounts Receivable])</f>
        <v>-34780</v>
      </c>
      <c r="M1018" s="19">
        <f>SUBTOTAL(109,Program043[(M)
Accounts Receivable Balance
(K + L)])</f>
        <v>0</v>
      </c>
      <c r="N1018" s="19">
        <f>SUBTOTAL(109,Program043[(N)
Net Balance
(J minus M)])</f>
        <v>12012</v>
      </c>
    </row>
    <row r="1019" spans="1:14" ht="15.75" x14ac:dyDescent="0.25">
      <c r="A1019" s="17" t="s">
        <v>13</v>
      </c>
      <c r="B1019" s="54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</row>
    <row r="1020" spans="1:14" ht="78.75" x14ac:dyDescent="0.25">
      <c r="A1020" s="39" t="s">
        <v>32</v>
      </c>
      <c r="B1020" s="40" t="s">
        <v>33</v>
      </c>
      <c r="C1020" s="41" t="s">
        <v>34</v>
      </c>
      <c r="D1020" s="41" t="s">
        <v>35</v>
      </c>
      <c r="E1020" s="42" t="s">
        <v>36</v>
      </c>
      <c r="F1020" s="42" t="s">
        <v>37</v>
      </c>
      <c r="G1020" s="42" t="s">
        <v>38</v>
      </c>
      <c r="H1020" s="43" t="s">
        <v>39</v>
      </c>
      <c r="I1020" s="44" t="s">
        <v>40</v>
      </c>
      <c r="J1020" s="44" t="s">
        <v>41</v>
      </c>
      <c r="K1020" s="42" t="s">
        <v>42</v>
      </c>
      <c r="L1020" s="44" t="s">
        <v>43</v>
      </c>
      <c r="M1020" s="44" t="s">
        <v>44</v>
      </c>
      <c r="N1020" s="45" t="s">
        <v>45</v>
      </c>
    </row>
    <row r="1021" spans="1:14" ht="15.75" x14ac:dyDescent="0.25">
      <c r="A1021" s="46" t="s">
        <v>222</v>
      </c>
      <c r="B1021" s="47" t="s">
        <v>76</v>
      </c>
      <c r="C1021" s="48">
        <v>4262</v>
      </c>
      <c r="D1021" s="48">
        <v>0</v>
      </c>
      <c r="E1021" s="48">
        <v>0</v>
      </c>
      <c r="F1021" s="48">
        <v>0</v>
      </c>
      <c r="G1021" s="48">
        <v>0</v>
      </c>
      <c r="H1021" s="48">
        <v>4262</v>
      </c>
      <c r="I1021" s="48">
        <v>0</v>
      </c>
      <c r="J1021" s="48">
        <v>4262</v>
      </c>
      <c r="K1021" s="48">
        <v>0</v>
      </c>
      <c r="L1021" s="48">
        <v>0</v>
      </c>
      <c r="M1021" s="48">
        <v>0</v>
      </c>
      <c r="N1021" s="48">
        <v>4262</v>
      </c>
    </row>
    <row r="1022" spans="1:14" ht="15.75" x14ac:dyDescent="0.25">
      <c r="A1022" s="49" t="s">
        <v>222</v>
      </c>
      <c r="B1022" s="50" t="s">
        <v>77</v>
      </c>
      <c r="C1022" s="51">
        <v>2819</v>
      </c>
      <c r="D1022" s="51">
        <v>0</v>
      </c>
      <c r="E1022" s="51">
        <v>0</v>
      </c>
      <c r="F1022" s="51">
        <v>0</v>
      </c>
      <c r="G1022" s="51">
        <v>-119</v>
      </c>
      <c r="H1022" s="51">
        <v>2700</v>
      </c>
      <c r="I1022" s="51">
        <v>-1628</v>
      </c>
      <c r="J1022" s="51">
        <v>1072</v>
      </c>
      <c r="K1022" s="51">
        <v>0</v>
      </c>
      <c r="L1022" s="51">
        <v>0</v>
      </c>
      <c r="M1022" s="51">
        <v>0</v>
      </c>
      <c r="N1022" s="51">
        <v>1072</v>
      </c>
    </row>
    <row r="1023" spans="1:14" ht="15.75" x14ac:dyDescent="0.25">
      <c r="A1023" s="49" t="s">
        <v>222</v>
      </c>
      <c r="B1023" s="50" t="s">
        <v>78</v>
      </c>
      <c r="C1023" s="51">
        <v>4050</v>
      </c>
      <c r="D1023" s="51">
        <v>0</v>
      </c>
      <c r="E1023" s="51">
        <v>0</v>
      </c>
      <c r="F1023" s="51">
        <v>0</v>
      </c>
      <c r="G1023" s="51">
        <v>0</v>
      </c>
      <c r="H1023" s="51">
        <v>4050</v>
      </c>
      <c r="I1023" s="51">
        <v>-4050</v>
      </c>
      <c r="J1023" s="51">
        <v>0</v>
      </c>
      <c r="K1023" s="51">
        <v>0</v>
      </c>
      <c r="L1023" s="51">
        <v>0</v>
      </c>
      <c r="M1023" s="51">
        <v>0</v>
      </c>
      <c r="N1023" s="51">
        <v>0</v>
      </c>
    </row>
    <row r="1024" spans="1:14" ht="15.75" x14ac:dyDescent="0.25">
      <c r="A1024" s="49" t="s">
        <v>222</v>
      </c>
      <c r="B1024" s="50" t="s">
        <v>47</v>
      </c>
      <c r="C1024" s="51">
        <v>3707</v>
      </c>
      <c r="D1024" s="51">
        <v>0</v>
      </c>
      <c r="E1024" s="51">
        <v>0</v>
      </c>
      <c r="F1024" s="51">
        <v>0</v>
      </c>
      <c r="G1024" s="51">
        <v>0</v>
      </c>
      <c r="H1024" s="51">
        <v>3707</v>
      </c>
      <c r="I1024" s="51">
        <v>-3707</v>
      </c>
      <c r="J1024" s="51">
        <v>0</v>
      </c>
      <c r="K1024" s="51">
        <v>0</v>
      </c>
      <c r="L1024" s="51">
        <v>0</v>
      </c>
      <c r="M1024" s="51">
        <v>0</v>
      </c>
      <c r="N1024" s="51">
        <v>0</v>
      </c>
    </row>
    <row r="1025" spans="1:14" ht="15.75" x14ac:dyDescent="0.25">
      <c r="A1025" s="49" t="s">
        <v>222</v>
      </c>
      <c r="B1025" s="50" t="s">
        <v>79</v>
      </c>
      <c r="C1025" s="51">
        <v>3912</v>
      </c>
      <c r="D1025" s="51">
        <v>0</v>
      </c>
      <c r="E1025" s="51">
        <v>0</v>
      </c>
      <c r="F1025" s="51">
        <v>0</v>
      </c>
      <c r="G1025" s="51">
        <v>0</v>
      </c>
      <c r="H1025" s="51">
        <v>3912</v>
      </c>
      <c r="I1025" s="51">
        <v>-3912</v>
      </c>
      <c r="J1025" s="51">
        <v>0</v>
      </c>
      <c r="K1025" s="51">
        <v>0</v>
      </c>
      <c r="L1025" s="51">
        <v>0</v>
      </c>
      <c r="M1025" s="51">
        <v>0</v>
      </c>
      <c r="N1025" s="51">
        <v>0</v>
      </c>
    </row>
    <row r="1026" spans="1:14" ht="15.75" x14ac:dyDescent="0.25">
      <c r="A1026" s="49" t="s">
        <v>222</v>
      </c>
      <c r="B1026" s="50" t="s">
        <v>80</v>
      </c>
      <c r="C1026" s="51">
        <v>2930</v>
      </c>
      <c r="D1026" s="51">
        <v>0</v>
      </c>
      <c r="E1026" s="51">
        <v>0</v>
      </c>
      <c r="F1026" s="51">
        <v>0</v>
      </c>
      <c r="G1026" s="51">
        <v>0</v>
      </c>
      <c r="H1026" s="51">
        <v>2930</v>
      </c>
      <c r="I1026" s="51">
        <v>-2930</v>
      </c>
      <c r="J1026" s="51">
        <v>0</v>
      </c>
      <c r="K1026" s="51">
        <v>0</v>
      </c>
      <c r="L1026" s="51">
        <v>0</v>
      </c>
      <c r="M1026" s="51">
        <v>0</v>
      </c>
      <c r="N1026" s="51">
        <v>0</v>
      </c>
    </row>
    <row r="1027" spans="1:14" ht="15.75" x14ac:dyDescent="0.25">
      <c r="A1027" s="49" t="s">
        <v>222</v>
      </c>
      <c r="B1027" s="50" t="s">
        <v>81</v>
      </c>
      <c r="C1027" s="51">
        <v>5378</v>
      </c>
      <c r="D1027" s="51">
        <v>0</v>
      </c>
      <c r="E1027" s="51">
        <v>0</v>
      </c>
      <c r="F1027" s="51">
        <v>0</v>
      </c>
      <c r="G1027" s="51">
        <v>0</v>
      </c>
      <c r="H1027" s="51">
        <v>5378</v>
      </c>
      <c r="I1027" s="51">
        <v>-5378</v>
      </c>
      <c r="J1027" s="51">
        <v>0</v>
      </c>
      <c r="K1027" s="51">
        <v>0</v>
      </c>
      <c r="L1027" s="51">
        <v>0</v>
      </c>
      <c r="M1027" s="51">
        <v>0</v>
      </c>
      <c r="N1027" s="51">
        <v>0</v>
      </c>
    </row>
    <row r="1028" spans="1:14" ht="15.75" x14ac:dyDescent="0.25">
      <c r="A1028" s="49" t="s">
        <v>222</v>
      </c>
      <c r="B1028" s="50" t="s">
        <v>82</v>
      </c>
      <c r="C1028" s="51">
        <v>4604</v>
      </c>
      <c r="D1028" s="51">
        <v>0</v>
      </c>
      <c r="E1028" s="51">
        <v>0</v>
      </c>
      <c r="F1028" s="51">
        <v>0</v>
      </c>
      <c r="G1028" s="51">
        <v>0</v>
      </c>
      <c r="H1028" s="51">
        <v>4604</v>
      </c>
      <c r="I1028" s="51">
        <v>-4604</v>
      </c>
      <c r="J1028" s="51">
        <v>0</v>
      </c>
      <c r="K1028" s="51">
        <v>0</v>
      </c>
      <c r="L1028" s="51">
        <v>0</v>
      </c>
      <c r="M1028" s="51">
        <v>0</v>
      </c>
      <c r="N1028" s="51">
        <v>0</v>
      </c>
    </row>
    <row r="1029" spans="1:14" ht="15.75" x14ac:dyDescent="0.25">
      <c r="A1029" s="49" t="s">
        <v>222</v>
      </c>
      <c r="B1029" s="50" t="s">
        <v>83</v>
      </c>
      <c r="C1029" s="51">
        <v>5519</v>
      </c>
      <c r="D1029" s="51">
        <v>0</v>
      </c>
      <c r="E1029" s="51">
        <v>0</v>
      </c>
      <c r="F1029" s="51">
        <v>0</v>
      </c>
      <c r="G1029" s="51">
        <v>0</v>
      </c>
      <c r="H1029" s="51">
        <v>5519</v>
      </c>
      <c r="I1029" s="51">
        <v>-5519</v>
      </c>
      <c r="J1029" s="51">
        <v>0</v>
      </c>
      <c r="K1029" s="51">
        <v>0</v>
      </c>
      <c r="L1029" s="51">
        <v>0</v>
      </c>
      <c r="M1029" s="51">
        <v>0</v>
      </c>
      <c r="N1029" s="51">
        <v>0</v>
      </c>
    </row>
    <row r="1030" spans="1:14" ht="15.75" x14ac:dyDescent="0.25">
      <c r="A1030" s="49" t="s">
        <v>222</v>
      </c>
      <c r="B1030" s="50" t="s">
        <v>48</v>
      </c>
      <c r="C1030" s="51">
        <v>6160</v>
      </c>
      <c r="D1030" s="51">
        <v>0</v>
      </c>
      <c r="E1030" s="51">
        <v>0</v>
      </c>
      <c r="F1030" s="51">
        <v>0</v>
      </c>
      <c r="G1030" s="51">
        <v>0</v>
      </c>
      <c r="H1030" s="51">
        <v>6160</v>
      </c>
      <c r="I1030" s="51">
        <v>-6160</v>
      </c>
      <c r="J1030" s="51">
        <v>0</v>
      </c>
      <c r="K1030" s="51">
        <v>0</v>
      </c>
      <c r="L1030" s="51">
        <v>0</v>
      </c>
      <c r="M1030" s="51">
        <v>0</v>
      </c>
      <c r="N1030" s="51">
        <v>0</v>
      </c>
    </row>
    <row r="1031" spans="1:14" ht="15.75" x14ac:dyDescent="0.25">
      <c r="A1031" s="49" t="s">
        <v>222</v>
      </c>
      <c r="B1031" s="50" t="s">
        <v>49</v>
      </c>
      <c r="C1031" s="51">
        <v>5273</v>
      </c>
      <c r="D1031" s="51">
        <v>0</v>
      </c>
      <c r="E1031" s="51">
        <v>0</v>
      </c>
      <c r="F1031" s="51">
        <v>0</v>
      </c>
      <c r="G1031" s="51">
        <v>0</v>
      </c>
      <c r="H1031" s="51">
        <v>5273</v>
      </c>
      <c r="I1031" s="51">
        <v>-5273</v>
      </c>
      <c r="J1031" s="51">
        <v>0</v>
      </c>
      <c r="K1031" s="51">
        <v>0</v>
      </c>
      <c r="L1031" s="51">
        <v>0</v>
      </c>
      <c r="M1031" s="51">
        <v>0</v>
      </c>
      <c r="N1031" s="51">
        <v>0</v>
      </c>
    </row>
    <row r="1032" spans="1:14" ht="15.75" x14ac:dyDescent="0.25">
      <c r="A1032" s="49" t="s">
        <v>222</v>
      </c>
      <c r="B1032" s="50" t="s">
        <v>50</v>
      </c>
      <c r="C1032" s="51">
        <v>3758</v>
      </c>
      <c r="D1032" s="51">
        <v>0</v>
      </c>
      <c r="E1032" s="51">
        <v>0</v>
      </c>
      <c r="F1032" s="51">
        <v>0</v>
      </c>
      <c r="G1032" s="51">
        <v>0</v>
      </c>
      <c r="H1032" s="51">
        <v>3758</v>
      </c>
      <c r="I1032" s="51">
        <v>-3758</v>
      </c>
      <c r="J1032" s="51">
        <v>0</v>
      </c>
      <c r="K1032" s="51">
        <v>0</v>
      </c>
      <c r="L1032" s="51">
        <v>0</v>
      </c>
      <c r="M1032" s="51">
        <v>0</v>
      </c>
      <c r="N1032" s="51">
        <v>0</v>
      </c>
    </row>
    <row r="1033" spans="1:14" ht="15.75" x14ac:dyDescent="0.25">
      <c r="A1033" s="49" t="s">
        <v>222</v>
      </c>
      <c r="B1033" s="50" t="s">
        <v>51</v>
      </c>
      <c r="C1033" s="51">
        <v>2155</v>
      </c>
      <c r="D1033" s="51">
        <v>0</v>
      </c>
      <c r="E1033" s="51">
        <v>0</v>
      </c>
      <c r="F1033" s="51">
        <v>0</v>
      </c>
      <c r="G1033" s="51">
        <v>0</v>
      </c>
      <c r="H1033" s="51">
        <v>2155</v>
      </c>
      <c r="I1033" s="51">
        <v>-2155</v>
      </c>
      <c r="J1033" s="51">
        <v>0</v>
      </c>
      <c r="K1033" s="51">
        <v>0</v>
      </c>
      <c r="L1033" s="51">
        <v>0</v>
      </c>
      <c r="M1033" s="51">
        <v>0</v>
      </c>
      <c r="N1033" s="51">
        <v>0</v>
      </c>
    </row>
    <row r="1034" spans="1:14" ht="15.75" x14ac:dyDescent="0.25">
      <c r="A1034" s="52" t="s">
        <v>223</v>
      </c>
      <c r="B1034" s="53" t="s">
        <v>8</v>
      </c>
      <c r="C1034" s="19">
        <f>SUBTOTAL(109,Program361[(C)
Program
Costs])</f>
        <v>54527</v>
      </c>
      <c r="D1034" s="19">
        <f>SUBTOTAL(109,Program361[(D)
Prior Period Adjustments])</f>
        <v>0</v>
      </c>
      <c r="E1034" s="19">
        <f>SUBTOTAL(109,Program361[(E)
Current Period Desk 
Reviews])</f>
        <v>0</v>
      </c>
      <c r="F1034" s="19">
        <f>SUBTOTAL(109,Program361[(F)
Current Period 
Final 
Audits])</f>
        <v>0</v>
      </c>
      <c r="G1034" s="19">
        <f>SUBTOTAL(109,Program361[(G)
Current Period 
Other Adjustments])</f>
        <v>-119</v>
      </c>
      <c r="H1034" s="19">
        <f>SUBTOTAL(109,Program361[(H)
Net Program Costs
Sum (C through G)])</f>
        <v>54408</v>
      </c>
      <c r="I1034" s="19">
        <f>SUBTOTAL(109,Program361[(I)
Payments
 and Offsets])</f>
        <v>-49074</v>
      </c>
      <c r="J1034" s="19">
        <f>SUBTOTAL(109,Program361[(J)
Accounts Payable Balance
(H + I)])</f>
        <v>5334</v>
      </c>
      <c r="K1034" s="19">
        <f>SUBTOTAL(109,Program361[(K)
Established 
Accounts Receivable])</f>
        <v>0</v>
      </c>
      <c r="L1034" s="19">
        <f>SUBTOTAL(109,Program361[(L)
Recovered
 Accounts Receivable])</f>
        <v>0</v>
      </c>
      <c r="M1034" s="19">
        <f>SUBTOTAL(109,Program361[(M)
Accounts Receivable Balance
(K + L)])</f>
        <v>0</v>
      </c>
      <c r="N1034" s="19">
        <f>SUBTOTAL(109,Program361[(N)
Net Balance
(J minus M)])</f>
        <v>5334</v>
      </c>
    </row>
    <row r="1035" spans="1:14" ht="15.75" x14ac:dyDescent="0.25">
      <c r="A1035" s="17" t="s">
        <v>13</v>
      </c>
      <c r="B1035" s="54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</row>
    <row r="1036" spans="1:14" ht="78.75" x14ac:dyDescent="0.25">
      <c r="A1036" s="39" t="s">
        <v>32</v>
      </c>
      <c r="B1036" s="40" t="s">
        <v>33</v>
      </c>
      <c r="C1036" s="41" t="s">
        <v>34</v>
      </c>
      <c r="D1036" s="41" t="s">
        <v>35</v>
      </c>
      <c r="E1036" s="42" t="s">
        <v>36</v>
      </c>
      <c r="F1036" s="42" t="s">
        <v>37</v>
      </c>
      <c r="G1036" s="42" t="s">
        <v>38</v>
      </c>
      <c r="H1036" s="43" t="s">
        <v>39</v>
      </c>
      <c r="I1036" s="44" t="s">
        <v>40</v>
      </c>
      <c r="J1036" s="44" t="s">
        <v>41</v>
      </c>
      <c r="K1036" s="42" t="s">
        <v>42</v>
      </c>
      <c r="L1036" s="44" t="s">
        <v>43</v>
      </c>
      <c r="M1036" s="44" t="s">
        <v>44</v>
      </c>
      <c r="N1036" s="45" t="s">
        <v>45</v>
      </c>
    </row>
    <row r="1037" spans="1:14" ht="30" x14ac:dyDescent="0.25">
      <c r="A1037" s="67" t="s">
        <v>224</v>
      </c>
      <c r="B1037" s="57" t="s">
        <v>49</v>
      </c>
      <c r="C1037" s="58">
        <v>219819</v>
      </c>
      <c r="D1037" s="58">
        <v>0</v>
      </c>
      <c r="E1037" s="58">
        <v>0</v>
      </c>
      <c r="F1037" s="58">
        <v>0</v>
      </c>
      <c r="G1037" s="58">
        <v>0</v>
      </c>
      <c r="H1037" s="58">
        <v>219819</v>
      </c>
      <c r="I1037" s="58">
        <v>0</v>
      </c>
      <c r="J1037" s="58">
        <v>219819</v>
      </c>
      <c r="K1037" s="58">
        <v>0</v>
      </c>
      <c r="L1037" s="58">
        <v>0</v>
      </c>
      <c r="M1037" s="58">
        <v>0</v>
      </c>
      <c r="N1037" s="58">
        <v>219819</v>
      </c>
    </row>
    <row r="1038" spans="1:14" ht="30" x14ac:dyDescent="0.25">
      <c r="A1038" s="68" t="s">
        <v>224</v>
      </c>
      <c r="B1038" s="60" t="s">
        <v>50</v>
      </c>
      <c r="C1038" s="61">
        <v>3814067</v>
      </c>
      <c r="D1038" s="61">
        <v>-11643</v>
      </c>
      <c r="E1038" s="61">
        <v>0</v>
      </c>
      <c r="F1038" s="61">
        <v>0</v>
      </c>
      <c r="G1038" s="61">
        <v>0</v>
      </c>
      <c r="H1038" s="61">
        <v>3802424</v>
      </c>
      <c r="I1038" s="61">
        <v>0</v>
      </c>
      <c r="J1038" s="61">
        <v>3802424</v>
      </c>
      <c r="K1038" s="61">
        <v>0</v>
      </c>
      <c r="L1038" s="61">
        <v>0</v>
      </c>
      <c r="M1038" s="61">
        <v>0</v>
      </c>
      <c r="N1038" s="61">
        <v>3802424</v>
      </c>
    </row>
    <row r="1039" spans="1:14" ht="30" x14ac:dyDescent="0.25">
      <c r="A1039" s="68" t="s">
        <v>224</v>
      </c>
      <c r="B1039" s="60" t="s">
        <v>51</v>
      </c>
      <c r="C1039" s="61">
        <v>3159330</v>
      </c>
      <c r="D1039" s="61">
        <v>-12817</v>
      </c>
      <c r="E1039" s="61">
        <v>0</v>
      </c>
      <c r="F1039" s="61">
        <v>0</v>
      </c>
      <c r="G1039" s="61">
        <v>0</v>
      </c>
      <c r="H1039" s="61">
        <v>3146513</v>
      </c>
      <c r="I1039" s="61">
        <v>0</v>
      </c>
      <c r="J1039" s="61">
        <v>3146513</v>
      </c>
      <c r="K1039" s="61">
        <v>0</v>
      </c>
      <c r="L1039" s="61">
        <v>0</v>
      </c>
      <c r="M1039" s="61">
        <v>0</v>
      </c>
      <c r="N1039" s="61">
        <v>3146513</v>
      </c>
    </row>
    <row r="1040" spans="1:14" ht="30" x14ac:dyDescent="0.25">
      <c r="A1040" s="68" t="s">
        <v>224</v>
      </c>
      <c r="B1040" s="60" t="s">
        <v>52</v>
      </c>
      <c r="C1040" s="61">
        <v>3132065</v>
      </c>
      <c r="D1040" s="61">
        <v>-128327</v>
      </c>
      <c r="E1040" s="61">
        <v>0</v>
      </c>
      <c r="F1040" s="61">
        <v>0</v>
      </c>
      <c r="G1040" s="61">
        <v>0</v>
      </c>
      <c r="H1040" s="61">
        <v>3003738</v>
      </c>
      <c r="I1040" s="61">
        <v>-2950498</v>
      </c>
      <c r="J1040" s="61">
        <v>53240</v>
      </c>
      <c r="K1040" s="61">
        <v>341376</v>
      </c>
      <c r="L1040" s="61">
        <v>-341376</v>
      </c>
      <c r="M1040" s="61">
        <v>0</v>
      </c>
      <c r="N1040" s="61">
        <v>53240</v>
      </c>
    </row>
    <row r="1041" spans="1:14" ht="30" x14ac:dyDescent="0.25">
      <c r="A1041" s="68" t="s">
        <v>224</v>
      </c>
      <c r="B1041" s="60" t="s">
        <v>53</v>
      </c>
      <c r="C1041" s="61">
        <v>2382605</v>
      </c>
      <c r="D1041" s="61">
        <v>-84550</v>
      </c>
      <c r="E1041" s="61">
        <v>0</v>
      </c>
      <c r="F1041" s="61">
        <v>0</v>
      </c>
      <c r="G1041" s="61">
        <v>0</v>
      </c>
      <c r="H1041" s="61">
        <v>2298055</v>
      </c>
      <c r="I1041" s="61">
        <v>-2298055</v>
      </c>
      <c r="J1041" s="61">
        <v>0</v>
      </c>
      <c r="K1041" s="61">
        <v>92221</v>
      </c>
      <c r="L1041" s="61">
        <v>-92221</v>
      </c>
      <c r="M1041" s="61">
        <v>0</v>
      </c>
      <c r="N1041" s="61">
        <v>0</v>
      </c>
    </row>
    <row r="1042" spans="1:14" ht="30" x14ac:dyDescent="0.25">
      <c r="A1042" s="68" t="s">
        <v>224</v>
      </c>
      <c r="B1042" s="60" t="s">
        <v>54</v>
      </c>
      <c r="C1042" s="61">
        <v>2310436</v>
      </c>
      <c r="D1042" s="61">
        <v>-79219</v>
      </c>
      <c r="E1042" s="61">
        <v>0</v>
      </c>
      <c r="F1042" s="61">
        <v>0</v>
      </c>
      <c r="G1042" s="61">
        <v>0</v>
      </c>
      <c r="H1042" s="61">
        <v>2231217</v>
      </c>
      <c r="I1042" s="61">
        <v>-2231217</v>
      </c>
      <c r="J1042" s="61">
        <v>0</v>
      </c>
      <c r="K1042" s="61">
        <v>254164</v>
      </c>
      <c r="L1042" s="61">
        <v>-254164</v>
      </c>
      <c r="M1042" s="61">
        <v>0</v>
      </c>
      <c r="N1042" s="61">
        <v>0</v>
      </c>
    </row>
    <row r="1043" spans="1:14" ht="30" x14ac:dyDescent="0.25">
      <c r="A1043" s="68" t="s">
        <v>224</v>
      </c>
      <c r="B1043" s="60" t="s">
        <v>55</v>
      </c>
      <c r="C1043" s="61">
        <v>2098301</v>
      </c>
      <c r="D1043" s="61">
        <v>-121566</v>
      </c>
      <c r="E1043" s="61">
        <v>0</v>
      </c>
      <c r="F1043" s="61">
        <v>0</v>
      </c>
      <c r="G1043" s="61">
        <v>0</v>
      </c>
      <c r="H1043" s="61">
        <v>1976735</v>
      </c>
      <c r="I1043" s="61">
        <v>-1976735</v>
      </c>
      <c r="J1043" s="61">
        <v>0</v>
      </c>
      <c r="K1043" s="61">
        <v>0</v>
      </c>
      <c r="L1043" s="61">
        <v>0</v>
      </c>
      <c r="M1043" s="61">
        <v>0</v>
      </c>
      <c r="N1043" s="61">
        <v>0</v>
      </c>
    </row>
    <row r="1044" spans="1:14" ht="30" x14ac:dyDescent="0.25">
      <c r="A1044" s="68" t="s">
        <v>224</v>
      </c>
      <c r="B1044" s="60" t="s">
        <v>56</v>
      </c>
      <c r="C1044" s="61">
        <v>2019788</v>
      </c>
      <c r="D1044" s="61">
        <v>-110264</v>
      </c>
      <c r="E1044" s="61">
        <v>0</v>
      </c>
      <c r="F1044" s="61">
        <v>0</v>
      </c>
      <c r="G1044" s="61">
        <v>0</v>
      </c>
      <c r="H1044" s="61">
        <v>1909524</v>
      </c>
      <c r="I1044" s="61">
        <v>-1909524</v>
      </c>
      <c r="J1044" s="61">
        <v>0</v>
      </c>
      <c r="K1044" s="61">
        <v>0</v>
      </c>
      <c r="L1044" s="61">
        <v>0</v>
      </c>
      <c r="M1044" s="61">
        <v>0</v>
      </c>
      <c r="N1044" s="61">
        <v>0</v>
      </c>
    </row>
    <row r="1045" spans="1:14" ht="30" x14ac:dyDescent="0.25">
      <c r="A1045" s="68" t="s">
        <v>224</v>
      </c>
      <c r="B1045" s="60" t="s">
        <v>57</v>
      </c>
      <c r="C1045" s="61">
        <v>1696215</v>
      </c>
      <c r="D1045" s="61">
        <v>-9868</v>
      </c>
      <c r="E1045" s="61">
        <v>0</v>
      </c>
      <c r="F1045" s="61">
        <v>0</v>
      </c>
      <c r="G1045" s="61">
        <v>0</v>
      </c>
      <c r="H1045" s="61">
        <v>1686347</v>
      </c>
      <c r="I1045" s="61">
        <v>-1686347</v>
      </c>
      <c r="J1045" s="61">
        <v>0</v>
      </c>
      <c r="K1045" s="61">
        <v>0</v>
      </c>
      <c r="L1045" s="61">
        <v>0</v>
      </c>
      <c r="M1045" s="61">
        <v>0</v>
      </c>
      <c r="N1045" s="61">
        <v>0</v>
      </c>
    </row>
    <row r="1046" spans="1:14" ht="30" x14ac:dyDescent="0.25">
      <c r="A1046" s="68" t="s">
        <v>224</v>
      </c>
      <c r="B1046" s="60" t="s">
        <v>58</v>
      </c>
      <c r="C1046" s="61">
        <v>2949117</v>
      </c>
      <c r="D1046" s="61">
        <v>-17398</v>
      </c>
      <c r="E1046" s="61">
        <v>0</v>
      </c>
      <c r="F1046" s="61">
        <v>0</v>
      </c>
      <c r="G1046" s="61">
        <v>0</v>
      </c>
      <c r="H1046" s="61">
        <v>2931719</v>
      </c>
      <c r="I1046" s="61">
        <v>-2931719</v>
      </c>
      <c r="J1046" s="61">
        <v>0</v>
      </c>
      <c r="K1046" s="61">
        <v>0</v>
      </c>
      <c r="L1046" s="61">
        <v>0</v>
      </c>
      <c r="M1046" s="61">
        <v>0</v>
      </c>
      <c r="N1046" s="61">
        <v>0</v>
      </c>
    </row>
    <row r="1047" spans="1:14" ht="30" x14ac:dyDescent="0.25">
      <c r="A1047" s="68" t="s">
        <v>224</v>
      </c>
      <c r="B1047" s="60" t="s">
        <v>59</v>
      </c>
      <c r="C1047" s="61">
        <v>2174418</v>
      </c>
      <c r="D1047" s="61">
        <v>-3000</v>
      </c>
      <c r="E1047" s="61">
        <v>0</v>
      </c>
      <c r="F1047" s="61">
        <v>0</v>
      </c>
      <c r="G1047" s="61">
        <v>0</v>
      </c>
      <c r="H1047" s="61">
        <v>2171418</v>
      </c>
      <c r="I1047" s="61">
        <v>-2171418</v>
      </c>
      <c r="J1047" s="61">
        <v>0</v>
      </c>
      <c r="K1047" s="61">
        <v>0</v>
      </c>
      <c r="L1047" s="61">
        <v>0</v>
      </c>
      <c r="M1047" s="61">
        <v>0</v>
      </c>
      <c r="N1047" s="61">
        <v>0</v>
      </c>
    </row>
    <row r="1048" spans="1:14" ht="30" x14ac:dyDescent="0.25">
      <c r="A1048" s="68" t="s">
        <v>224</v>
      </c>
      <c r="B1048" s="60" t="s">
        <v>60</v>
      </c>
      <c r="C1048" s="61">
        <v>1613538</v>
      </c>
      <c r="D1048" s="61">
        <v>-312</v>
      </c>
      <c r="E1048" s="61">
        <v>0</v>
      </c>
      <c r="F1048" s="61">
        <v>0</v>
      </c>
      <c r="G1048" s="61">
        <v>0</v>
      </c>
      <c r="H1048" s="61">
        <v>1613226</v>
      </c>
      <c r="I1048" s="61">
        <v>-1613226</v>
      </c>
      <c r="J1048" s="61">
        <v>0</v>
      </c>
      <c r="K1048" s="61">
        <v>0</v>
      </c>
      <c r="L1048" s="61">
        <v>0</v>
      </c>
      <c r="M1048" s="61">
        <v>0</v>
      </c>
      <c r="N1048" s="61">
        <v>0</v>
      </c>
    </row>
    <row r="1049" spans="1:14" ht="30" x14ac:dyDescent="0.25">
      <c r="A1049" s="68" t="s">
        <v>224</v>
      </c>
      <c r="B1049" s="60" t="s">
        <v>61</v>
      </c>
      <c r="C1049" s="61">
        <v>1343914</v>
      </c>
      <c r="D1049" s="61">
        <v>-1206</v>
      </c>
      <c r="E1049" s="61">
        <v>0</v>
      </c>
      <c r="F1049" s="61">
        <v>0</v>
      </c>
      <c r="G1049" s="61">
        <v>0</v>
      </c>
      <c r="H1049" s="61">
        <v>1342708</v>
      </c>
      <c r="I1049" s="61">
        <v>-1342708</v>
      </c>
      <c r="J1049" s="61">
        <v>0</v>
      </c>
      <c r="K1049" s="61">
        <v>0</v>
      </c>
      <c r="L1049" s="61">
        <v>0</v>
      </c>
      <c r="M1049" s="61">
        <v>0</v>
      </c>
      <c r="N1049" s="61">
        <v>0</v>
      </c>
    </row>
    <row r="1050" spans="1:14" ht="15.75" x14ac:dyDescent="0.25">
      <c r="A1050" s="52" t="s">
        <v>225</v>
      </c>
      <c r="B1050" s="53" t="s">
        <v>8</v>
      </c>
      <c r="C1050" s="19">
        <f>SUBTOTAL(109,Program203[(C)
Program
Costs])</f>
        <v>28913613</v>
      </c>
      <c r="D1050" s="19">
        <f>SUBTOTAL(109,Program203[(D)
Prior Period Adjustments])</f>
        <v>-580170</v>
      </c>
      <c r="E1050" s="19">
        <f>SUBTOTAL(109,Program203[(E)
Current Period Desk 
Reviews])</f>
        <v>0</v>
      </c>
      <c r="F1050" s="19">
        <f>SUBTOTAL(109,Program203[(F)
Current Period 
Final 
Audits])</f>
        <v>0</v>
      </c>
      <c r="G1050" s="19">
        <f>SUBTOTAL(109,Program203[(G)
Current Period 
Other Adjustments])</f>
        <v>0</v>
      </c>
      <c r="H1050" s="19">
        <f>SUBTOTAL(109,Program203[(H)
Net Program Costs
Sum (C through G)])</f>
        <v>28333443</v>
      </c>
      <c r="I1050" s="19">
        <f>SUBTOTAL(109,Program203[(I)
Payments
 and Offsets])</f>
        <v>-21111447</v>
      </c>
      <c r="J1050" s="19">
        <f>SUBTOTAL(109,Program203[(J)
Accounts Payable Balance
(H + I)])</f>
        <v>7221996</v>
      </c>
      <c r="K1050" s="19">
        <f>SUBTOTAL(109,Program203[(K)
Established 
Accounts Receivable])</f>
        <v>687761</v>
      </c>
      <c r="L1050" s="19">
        <f>SUBTOTAL(109,Program203[(L)
Recovered
 Accounts Receivable])</f>
        <v>-687761</v>
      </c>
      <c r="M1050" s="19">
        <f>SUBTOTAL(109,Program203[(M)
Accounts Receivable Balance
(K + L)])</f>
        <v>0</v>
      </c>
      <c r="N1050" s="19">
        <f>SUBTOTAL(109,Program203[(N)
Net Balance
(J minus M)])</f>
        <v>7221996</v>
      </c>
    </row>
    <row r="1051" spans="1:14" ht="15.75" x14ac:dyDescent="0.25">
      <c r="A1051" s="17" t="s">
        <v>13</v>
      </c>
      <c r="B1051" s="54"/>
      <c r="C1051" s="55"/>
      <c r="D1051" s="55"/>
      <c r="E1051" s="55"/>
      <c r="F1051" s="55"/>
      <c r="G1051" s="55"/>
      <c r="H1051" s="55"/>
      <c r="I1051" s="55"/>
      <c r="J1051" s="55"/>
      <c r="K1051" s="55"/>
      <c r="L1051" s="55"/>
      <c r="M1051" s="55"/>
      <c r="N1051" s="55"/>
    </row>
    <row r="1052" spans="1:14" ht="78.75" x14ac:dyDescent="0.25">
      <c r="A1052" s="39" t="s">
        <v>32</v>
      </c>
      <c r="B1052" s="40" t="s">
        <v>33</v>
      </c>
      <c r="C1052" s="41" t="s">
        <v>34</v>
      </c>
      <c r="D1052" s="41" t="s">
        <v>35</v>
      </c>
      <c r="E1052" s="42" t="s">
        <v>36</v>
      </c>
      <c r="F1052" s="42" t="s">
        <v>37</v>
      </c>
      <c r="G1052" s="42" t="s">
        <v>38</v>
      </c>
      <c r="H1052" s="43" t="s">
        <v>39</v>
      </c>
      <c r="I1052" s="44" t="s">
        <v>40</v>
      </c>
      <c r="J1052" s="44" t="s">
        <v>41</v>
      </c>
      <c r="K1052" s="42" t="s">
        <v>42</v>
      </c>
      <c r="L1052" s="44" t="s">
        <v>43</v>
      </c>
      <c r="M1052" s="44" t="s">
        <v>44</v>
      </c>
      <c r="N1052" s="45" t="s">
        <v>45</v>
      </c>
    </row>
    <row r="1053" spans="1:14" ht="30" x14ac:dyDescent="0.25">
      <c r="A1053" s="67" t="s">
        <v>226</v>
      </c>
      <c r="B1053" s="57" t="s">
        <v>49</v>
      </c>
      <c r="C1053" s="58">
        <v>17935</v>
      </c>
      <c r="D1053" s="58">
        <v>0</v>
      </c>
      <c r="E1053" s="58">
        <v>0</v>
      </c>
      <c r="F1053" s="58">
        <v>0</v>
      </c>
      <c r="G1053" s="58">
        <v>0</v>
      </c>
      <c r="H1053" s="58">
        <v>17935</v>
      </c>
      <c r="I1053" s="58">
        <v>0</v>
      </c>
      <c r="J1053" s="58">
        <v>17935</v>
      </c>
      <c r="K1053" s="58">
        <v>0</v>
      </c>
      <c r="L1053" s="58">
        <v>0</v>
      </c>
      <c r="M1053" s="58">
        <v>0</v>
      </c>
      <c r="N1053" s="58">
        <v>17935</v>
      </c>
    </row>
    <row r="1054" spans="1:14" ht="30" x14ac:dyDescent="0.25">
      <c r="A1054" s="68" t="s">
        <v>226</v>
      </c>
      <c r="B1054" s="60" t="s">
        <v>50</v>
      </c>
      <c r="C1054" s="61">
        <v>383293</v>
      </c>
      <c r="D1054" s="61">
        <v>0</v>
      </c>
      <c r="E1054" s="61">
        <v>0</v>
      </c>
      <c r="F1054" s="61">
        <v>0</v>
      </c>
      <c r="G1054" s="61">
        <v>0</v>
      </c>
      <c r="H1054" s="61">
        <v>383293</v>
      </c>
      <c r="I1054" s="61">
        <v>0</v>
      </c>
      <c r="J1054" s="61">
        <v>383293</v>
      </c>
      <c r="K1054" s="61">
        <v>0</v>
      </c>
      <c r="L1054" s="61">
        <v>0</v>
      </c>
      <c r="M1054" s="61">
        <v>0</v>
      </c>
      <c r="N1054" s="61">
        <v>383293</v>
      </c>
    </row>
    <row r="1055" spans="1:14" ht="30" x14ac:dyDescent="0.25">
      <c r="A1055" s="68" t="s">
        <v>226</v>
      </c>
      <c r="B1055" s="60" t="s">
        <v>51</v>
      </c>
      <c r="C1055" s="61">
        <v>681608</v>
      </c>
      <c r="D1055" s="61">
        <v>0</v>
      </c>
      <c r="E1055" s="61">
        <v>0</v>
      </c>
      <c r="F1055" s="61">
        <v>0</v>
      </c>
      <c r="G1055" s="61">
        <v>0</v>
      </c>
      <c r="H1055" s="61">
        <v>681608</v>
      </c>
      <c r="I1055" s="61">
        <v>0</v>
      </c>
      <c r="J1055" s="61">
        <v>681608</v>
      </c>
      <c r="K1055" s="61">
        <v>0</v>
      </c>
      <c r="L1055" s="61">
        <v>0</v>
      </c>
      <c r="M1055" s="61">
        <v>0</v>
      </c>
      <c r="N1055" s="61">
        <v>681608</v>
      </c>
    </row>
    <row r="1056" spans="1:14" ht="30" x14ac:dyDescent="0.25">
      <c r="A1056" s="68" t="s">
        <v>226</v>
      </c>
      <c r="B1056" s="60" t="s">
        <v>52</v>
      </c>
      <c r="C1056" s="61">
        <v>649974</v>
      </c>
      <c r="D1056" s="61">
        <v>0</v>
      </c>
      <c r="E1056" s="61">
        <v>0</v>
      </c>
      <c r="F1056" s="61">
        <v>0</v>
      </c>
      <c r="G1056" s="61">
        <v>0</v>
      </c>
      <c r="H1056" s="61">
        <v>649974</v>
      </c>
      <c r="I1056" s="61">
        <v>0</v>
      </c>
      <c r="J1056" s="61">
        <v>649974</v>
      </c>
      <c r="K1056" s="61">
        <v>0</v>
      </c>
      <c r="L1056" s="61">
        <v>0</v>
      </c>
      <c r="M1056" s="61">
        <v>0</v>
      </c>
      <c r="N1056" s="61">
        <v>649974</v>
      </c>
    </row>
    <row r="1057" spans="1:14" ht="30" x14ac:dyDescent="0.25">
      <c r="A1057" s="68" t="s">
        <v>226</v>
      </c>
      <c r="B1057" s="60" t="s">
        <v>53</v>
      </c>
      <c r="C1057" s="61">
        <v>680286</v>
      </c>
      <c r="D1057" s="61">
        <v>0</v>
      </c>
      <c r="E1057" s="61">
        <v>0</v>
      </c>
      <c r="F1057" s="61">
        <v>0</v>
      </c>
      <c r="G1057" s="61">
        <v>0</v>
      </c>
      <c r="H1057" s="61">
        <v>680286</v>
      </c>
      <c r="I1057" s="61">
        <v>0</v>
      </c>
      <c r="J1057" s="61">
        <v>680286</v>
      </c>
      <c r="K1057" s="61">
        <v>0</v>
      </c>
      <c r="L1057" s="61">
        <v>0</v>
      </c>
      <c r="M1057" s="61">
        <v>0</v>
      </c>
      <c r="N1057" s="61">
        <v>680286</v>
      </c>
    </row>
    <row r="1058" spans="1:14" ht="30" x14ac:dyDescent="0.25">
      <c r="A1058" s="68" t="s">
        <v>226</v>
      </c>
      <c r="B1058" s="60" t="s">
        <v>54</v>
      </c>
      <c r="C1058" s="61">
        <v>427477</v>
      </c>
      <c r="D1058" s="61">
        <v>0</v>
      </c>
      <c r="E1058" s="61">
        <v>0</v>
      </c>
      <c r="F1058" s="61">
        <v>0</v>
      </c>
      <c r="G1058" s="61">
        <v>0</v>
      </c>
      <c r="H1058" s="61">
        <v>427477</v>
      </c>
      <c r="I1058" s="61">
        <v>0</v>
      </c>
      <c r="J1058" s="61">
        <v>427477</v>
      </c>
      <c r="K1058" s="61">
        <v>0</v>
      </c>
      <c r="L1058" s="61">
        <v>0</v>
      </c>
      <c r="M1058" s="61">
        <v>0</v>
      </c>
      <c r="N1058" s="61">
        <v>427477</v>
      </c>
    </row>
    <row r="1059" spans="1:14" ht="30" x14ac:dyDescent="0.25">
      <c r="A1059" s="68" t="s">
        <v>226</v>
      </c>
      <c r="B1059" s="60" t="s">
        <v>55</v>
      </c>
      <c r="C1059" s="61">
        <v>446868</v>
      </c>
      <c r="D1059" s="61">
        <v>0</v>
      </c>
      <c r="E1059" s="61">
        <v>0</v>
      </c>
      <c r="F1059" s="61">
        <v>0</v>
      </c>
      <c r="G1059" s="61">
        <v>0</v>
      </c>
      <c r="H1059" s="61">
        <v>446868</v>
      </c>
      <c r="I1059" s="61">
        <v>0</v>
      </c>
      <c r="J1059" s="61">
        <v>446868</v>
      </c>
      <c r="K1059" s="61">
        <v>0</v>
      </c>
      <c r="L1059" s="61">
        <v>0</v>
      </c>
      <c r="M1059" s="61">
        <v>0</v>
      </c>
      <c r="N1059" s="61">
        <v>446868</v>
      </c>
    </row>
    <row r="1060" spans="1:14" ht="30" x14ac:dyDescent="0.25">
      <c r="A1060" s="68" t="s">
        <v>226</v>
      </c>
      <c r="B1060" s="60" t="s">
        <v>56</v>
      </c>
      <c r="C1060" s="61">
        <v>821319</v>
      </c>
      <c r="D1060" s="61">
        <v>0</v>
      </c>
      <c r="E1060" s="61">
        <v>0</v>
      </c>
      <c r="F1060" s="61">
        <v>0</v>
      </c>
      <c r="G1060" s="61">
        <v>0</v>
      </c>
      <c r="H1060" s="61">
        <v>821319</v>
      </c>
      <c r="I1060" s="61">
        <v>0</v>
      </c>
      <c r="J1060" s="61">
        <v>821319</v>
      </c>
      <c r="K1060" s="61">
        <v>0</v>
      </c>
      <c r="L1060" s="61">
        <v>0</v>
      </c>
      <c r="M1060" s="61">
        <v>0</v>
      </c>
      <c r="N1060" s="61">
        <v>821319</v>
      </c>
    </row>
    <row r="1061" spans="1:14" ht="30" x14ac:dyDescent="0.25">
      <c r="A1061" s="68" t="s">
        <v>226</v>
      </c>
      <c r="B1061" s="60" t="s">
        <v>57</v>
      </c>
      <c r="C1061" s="61">
        <v>565634</v>
      </c>
      <c r="D1061" s="61">
        <v>0</v>
      </c>
      <c r="E1061" s="61">
        <v>0</v>
      </c>
      <c r="F1061" s="61">
        <v>0</v>
      </c>
      <c r="G1061" s="61">
        <v>0</v>
      </c>
      <c r="H1061" s="61">
        <v>565634</v>
      </c>
      <c r="I1061" s="61">
        <v>0</v>
      </c>
      <c r="J1061" s="61">
        <v>565634</v>
      </c>
      <c r="K1061" s="61">
        <v>0</v>
      </c>
      <c r="L1061" s="61">
        <v>0</v>
      </c>
      <c r="M1061" s="61">
        <v>0</v>
      </c>
      <c r="N1061" s="61">
        <v>565634</v>
      </c>
    </row>
    <row r="1062" spans="1:14" ht="30" x14ac:dyDescent="0.25">
      <c r="A1062" s="68" t="s">
        <v>226</v>
      </c>
      <c r="B1062" s="60" t="s">
        <v>58</v>
      </c>
      <c r="C1062" s="61">
        <v>235446</v>
      </c>
      <c r="D1062" s="61">
        <v>0</v>
      </c>
      <c r="E1062" s="61">
        <v>0</v>
      </c>
      <c r="F1062" s="61">
        <v>0</v>
      </c>
      <c r="G1062" s="61">
        <v>0</v>
      </c>
      <c r="H1062" s="61">
        <v>235446</v>
      </c>
      <c r="I1062" s="61">
        <v>0</v>
      </c>
      <c r="J1062" s="61">
        <v>235446</v>
      </c>
      <c r="K1062" s="61">
        <v>0</v>
      </c>
      <c r="L1062" s="61">
        <v>0</v>
      </c>
      <c r="M1062" s="61">
        <v>0</v>
      </c>
      <c r="N1062" s="61">
        <v>235446</v>
      </c>
    </row>
    <row r="1063" spans="1:14" ht="15.75" x14ac:dyDescent="0.25">
      <c r="A1063" s="52" t="s">
        <v>227</v>
      </c>
      <c r="B1063" s="53" t="s">
        <v>8</v>
      </c>
      <c r="C1063" s="19">
        <f>SUBTOTAL(109,Program281[(C)
Program
Costs])</f>
        <v>4909840</v>
      </c>
      <c r="D1063" s="19">
        <f>SUBTOTAL(109,Program281[(D)
Prior Period Adjustments])</f>
        <v>0</v>
      </c>
      <c r="E1063" s="19">
        <f>SUBTOTAL(109,Program281[(E)
Current Period Desk 
Reviews])</f>
        <v>0</v>
      </c>
      <c r="F1063" s="19">
        <f>SUBTOTAL(109,Program281[(F)
Current Period 
Final 
Audits])</f>
        <v>0</v>
      </c>
      <c r="G1063" s="19">
        <f>SUBTOTAL(109,Program281[(G)
Current Period 
Other Adjustments])</f>
        <v>0</v>
      </c>
      <c r="H1063" s="19">
        <f>SUBTOTAL(109,Program281[(H)
Net Program Costs
Sum (C through G)])</f>
        <v>4909840</v>
      </c>
      <c r="I1063" s="19">
        <f>SUBTOTAL(109,Program281[(I)
Payments
 and Offsets])</f>
        <v>0</v>
      </c>
      <c r="J1063" s="19">
        <f>SUBTOTAL(109,Program281[(J)
Accounts Payable Balance
(H + I)])</f>
        <v>4909840</v>
      </c>
      <c r="K1063" s="19">
        <f>SUBTOTAL(109,Program281[(K)
Established 
Accounts Receivable])</f>
        <v>0</v>
      </c>
      <c r="L1063" s="19">
        <f>SUBTOTAL(109,Program281[(L)
Recovered
 Accounts Receivable])</f>
        <v>0</v>
      </c>
      <c r="M1063" s="19">
        <f>SUBTOTAL(109,Program281[(M)
Accounts Receivable Balance
(K + L)])</f>
        <v>0</v>
      </c>
      <c r="N1063" s="19">
        <f>SUBTOTAL(109,Program281[(N)
Net Balance
(J minus M)])</f>
        <v>4909840</v>
      </c>
    </row>
    <row r="1064" spans="1:14" ht="15.75" x14ac:dyDescent="0.25">
      <c r="A1064" s="17" t="s">
        <v>13</v>
      </c>
      <c r="B1064" s="54"/>
      <c r="C1064" s="55"/>
      <c r="D1064" s="55"/>
      <c r="E1064" s="55"/>
      <c r="F1064" s="55"/>
      <c r="G1064" s="55"/>
      <c r="H1064" s="55"/>
      <c r="I1064" s="55"/>
      <c r="J1064" s="55"/>
      <c r="K1064" s="55"/>
      <c r="L1064" s="55"/>
      <c r="M1064" s="55"/>
      <c r="N1064" s="55"/>
    </row>
    <row r="1065" spans="1:14" ht="78.75" x14ac:dyDescent="0.25">
      <c r="A1065" s="39" t="s">
        <v>32</v>
      </c>
      <c r="B1065" s="40" t="s">
        <v>33</v>
      </c>
      <c r="C1065" s="41" t="s">
        <v>34</v>
      </c>
      <c r="D1065" s="41" t="s">
        <v>35</v>
      </c>
      <c r="E1065" s="42" t="s">
        <v>36</v>
      </c>
      <c r="F1065" s="42" t="s">
        <v>37</v>
      </c>
      <c r="G1065" s="42" t="s">
        <v>38</v>
      </c>
      <c r="H1065" s="43" t="s">
        <v>39</v>
      </c>
      <c r="I1065" s="44" t="s">
        <v>40</v>
      </c>
      <c r="J1065" s="44" t="s">
        <v>41</v>
      </c>
      <c r="K1065" s="42" t="s">
        <v>42</v>
      </c>
      <c r="L1065" s="44" t="s">
        <v>43</v>
      </c>
      <c r="M1065" s="44" t="s">
        <v>44</v>
      </c>
      <c r="N1065" s="45" t="s">
        <v>45</v>
      </c>
    </row>
    <row r="1066" spans="1:14" ht="30" x14ac:dyDescent="0.25">
      <c r="A1066" s="67" t="s">
        <v>228</v>
      </c>
      <c r="B1066" s="57" t="s">
        <v>49</v>
      </c>
      <c r="C1066" s="58">
        <v>3011</v>
      </c>
      <c r="D1066" s="58">
        <v>0</v>
      </c>
      <c r="E1066" s="58">
        <v>0</v>
      </c>
      <c r="F1066" s="58">
        <v>0</v>
      </c>
      <c r="G1066" s="58">
        <v>0</v>
      </c>
      <c r="H1066" s="58">
        <v>3011</v>
      </c>
      <c r="I1066" s="58">
        <v>0</v>
      </c>
      <c r="J1066" s="58">
        <v>3011</v>
      </c>
      <c r="K1066" s="58">
        <v>0</v>
      </c>
      <c r="L1066" s="58">
        <v>0</v>
      </c>
      <c r="M1066" s="58">
        <v>0</v>
      </c>
      <c r="N1066" s="58">
        <v>3011</v>
      </c>
    </row>
    <row r="1067" spans="1:14" ht="30" x14ac:dyDescent="0.25">
      <c r="A1067" s="68" t="s">
        <v>228</v>
      </c>
      <c r="B1067" s="60" t="s">
        <v>50</v>
      </c>
      <c r="C1067" s="61">
        <v>40980</v>
      </c>
      <c r="D1067" s="61">
        <v>0</v>
      </c>
      <c r="E1067" s="61">
        <v>0</v>
      </c>
      <c r="F1067" s="61">
        <v>0</v>
      </c>
      <c r="G1067" s="61">
        <v>0</v>
      </c>
      <c r="H1067" s="61">
        <v>40980</v>
      </c>
      <c r="I1067" s="61">
        <v>0</v>
      </c>
      <c r="J1067" s="61">
        <v>40980</v>
      </c>
      <c r="K1067" s="61">
        <v>0</v>
      </c>
      <c r="L1067" s="61">
        <v>0</v>
      </c>
      <c r="M1067" s="61">
        <v>0</v>
      </c>
      <c r="N1067" s="61">
        <v>40980</v>
      </c>
    </row>
    <row r="1068" spans="1:14" ht="30" x14ac:dyDescent="0.25">
      <c r="A1068" s="68" t="s">
        <v>228</v>
      </c>
      <c r="B1068" s="60" t="s">
        <v>51</v>
      </c>
      <c r="C1068" s="61">
        <v>295550</v>
      </c>
      <c r="D1068" s="61">
        <v>0</v>
      </c>
      <c r="E1068" s="61">
        <v>0</v>
      </c>
      <c r="F1068" s="61">
        <v>0</v>
      </c>
      <c r="G1068" s="61">
        <v>0</v>
      </c>
      <c r="H1068" s="61">
        <v>295550</v>
      </c>
      <c r="I1068" s="61">
        <v>0</v>
      </c>
      <c r="J1068" s="61">
        <v>295550</v>
      </c>
      <c r="K1068" s="61">
        <v>0</v>
      </c>
      <c r="L1068" s="61">
        <v>0</v>
      </c>
      <c r="M1068" s="61">
        <v>0</v>
      </c>
      <c r="N1068" s="61">
        <v>295550</v>
      </c>
    </row>
    <row r="1069" spans="1:14" ht="30" x14ac:dyDescent="0.25">
      <c r="A1069" s="68" t="s">
        <v>228</v>
      </c>
      <c r="B1069" s="60" t="s">
        <v>52</v>
      </c>
      <c r="C1069" s="61">
        <v>179685</v>
      </c>
      <c r="D1069" s="61">
        <v>0</v>
      </c>
      <c r="E1069" s="61">
        <v>0</v>
      </c>
      <c r="F1069" s="61">
        <v>0</v>
      </c>
      <c r="G1069" s="61">
        <v>0</v>
      </c>
      <c r="H1069" s="61">
        <v>179685</v>
      </c>
      <c r="I1069" s="61">
        <v>-179685</v>
      </c>
      <c r="J1069" s="61">
        <v>0</v>
      </c>
      <c r="K1069" s="61">
        <v>65209</v>
      </c>
      <c r="L1069" s="61">
        <v>-65209</v>
      </c>
      <c r="M1069" s="61">
        <v>0</v>
      </c>
      <c r="N1069" s="61">
        <v>0</v>
      </c>
    </row>
    <row r="1070" spans="1:14" ht="30" x14ac:dyDescent="0.25">
      <c r="A1070" s="68" t="s">
        <v>228</v>
      </c>
      <c r="B1070" s="60" t="s">
        <v>53</v>
      </c>
      <c r="C1070" s="61">
        <v>273112</v>
      </c>
      <c r="D1070" s="61">
        <v>0</v>
      </c>
      <c r="E1070" s="61">
        <v>0</v>
      </c>
      <c r="F1070" s="61">
        <v>0</v>
      </c>
      <c r="G1070" s="61">
        <v>0</v>
      </c>
      <c r="H1070" s="61">
        <v>273112</v>
      </c>
      <c r="I1070" s="61">
        <v>-273112</v>
      </c>
      <c r="J1070" s="61">
        <v>0</v>
      </c>
      <c r="K1070" s="61">
        <v>297</v>
      </c>
      <c r="L1070" s="61">
        <v>-297</v>
      </c>
      <c r="M1070" s="61">
        <v>0</v>
      </c>
      <c r="N1070" s="61">
        <v>0</v>
      </c>
    </row>
    <row r="1071" spans="1:14" ht="30" x14ac:dyDescent="0.25">
      <c r="A1071" s="68" t="s">
        <v>228</v>
      </c>
      <c r="B1071" s="60" t="s">
        <v>54</v>
      </c>
      <c r="C1071" s="61">
        <v>167431</v>
      </c>
      <c r="D1071" s="61">
        <v>-1000</v>
      </c>
      <c r="E1071" s="61">
        <v>0</v>
      </c>
      <c r="F1071" s="61">
        <v>0</v>
      </c>
      <c r="G1071" s="61">
        <v>0</v>
      </c>
      <c r="H1071" s="61">
        <v>166431</v>
      </c>
      <c r="I1071" s="61">
        <v>-166431</v>
      </c>
      <c r="J1071" s="61">
        <v>0</v>
      </c>
      <c r="K1071" s="61">
        <v>8371</v>
      </c>
      <c r="L1071" s="61">
        <v>-8371</v>
      </c>
      <c r="M1071" s="61">
        <v>0</v>
      </c>
      <c r="N1071" s="61">
        <v>0</v>
      </c>
    </row>
    <row r="1072" spans="1:14" ht="30" x14ac:dyDescent="0.25">
      <c r="A1072" s="68" t="s">
        <v>228</v>
      </c>
      <c r="B1072" s="60" t="s">
        <v>55</v>
      </c>
      <c r="C1072" s="61">
        <v>40675</v>
      </c>
      <c r="D1072" s="61">
        <v>0</v>
      </c>
      <c r="E1072" s="61">
        <v>0</v>
      </c>
      <c r="F1072" s="61">
        <v>0</v>
      </c>
      <c r="G1072" s="61">
        <v>0</v>
      </c>
      <c r="H1072" s="61">
        <v>40675</v>
      </c>
      <c r="I1072" s="61">
        <v>-40675</v>
      </c>
      <c r="J1072" s="61">
        <v>0</v>
      </c>
      <c r="K1072" s="61">
        <v>0</v>
      </c>
      <c r="L1072" s="61">
        <v>0</v>
      </c>
      <c r="M1072" s="61">
        <v>0</v>
      </c>
      <c r="N1072" s="61">
        <v>0</v>
      </c>
    </row>
    <row r="1073" spans="1:14" ht="30" x14ac:dyDescent="0.25">
      <c r="A1073" s="68" t="s">
        <v>228</v>
      </c>
      <c r="B1073" s="60" t="s">
        <v>56</v>
      </c>
      <c r="C1073" s="61">
        <v>95696</v>
      </c>
      <c r="D1073" s="61">
        <v>0</v>
      </c>
      <c r="E1073" s="61">
        <v>0</v>
      </c>
      <c r="F1073" s="61">
        <v>0</v>
      </c>
      <c r="G1073" s="61">
        <v>0</v>
      </c>
      <c r="H1073" s="61">
        <v>95696</v>
      </c>
      <c r="I1073" s="61">
        <v>-95696</v>
      </c>
      <c r="J1073" s="61">
        <v>0</v>
      </c>
      <c r="K1073" s="61">
        <v>11</v>
      </c>
      <c r="L1073" s="61">
        <v>-11</v>
      </c>
      <c r="M1073" s="61">
        <v>0</v>
      </c>
      <c r="N1073" s="61">
        <v>0</v>
      </c>
    </row>
    <row r="1074" spans="1:14" ht="30" x14ac:dyDescent="0.25">
      <c r="A1074" s="68" t="s">
        <v>228</v>
      </c>
      <c r="B1074" s="60" t="s">
        <v>57</v>
      </c>
      <c r="C1074" s="61">
        <v>175714</v>
      </c>
      <c r="D1074" s="61">
        <v>-1544</v>
      </c>
      <c r="E1074" s="61">
        <v>0</v>
      </c>
      <c r="F1074" s="61">
        <v>0</v>
      </c>
      <c r="G1074" s="61">
        <v>0</v>
      </c>
      <c r="H1074" s="61">
        <v>174170</v>
      </c>
      <c r="I1074" s="61">
        <v>-174170</v>
      </c>
      <c r="J1074" s="61">
        <v>0</v>
      </c>
      <c r="K1074" s="61">
        <v>42182</v>
      </c>
      <c r="L1074" s="61">
        <v>-42182</v>
      </c>
      <c r="M1074" s="61">
        <v>0</v>
      </c>
      <c r="N1074" s="61">
        <v>0</v>
      </c>
    </row>
    <row r="1075" spans="1:14" ht="30" x14ac:dyDescent="0.25">
      <c r="A1075" s="68" t="s">
        <v>228</v>
      </c>
      <c r="B1075" s="60" t="s">
        <v>58</v>
      </c>
      <c r="C1075" s="61">
        <v>203140</v>
      </c>
      <c r="D1075" s="61">
        <v>-1000</v>
      </c>
      <c r="E1075" s="61">
        <v>0</v>
      </c>
      <c r="F1075" s="61">
        <v>0</v>
      </c>
      <c r="G1075" s="61">
        <v>0</v>
      </c>
      <c r="H1075" s="61">
        <v>202140</v>
      </c>
      <c r="I1075" s="61">
        <v>-202140</v>
      </c>
      <c r="J1075" s="61">
        <v>0</v>
      </c>
      <c r="K1075" s="61">
        <v>45901</v>
      </c>
      <c r="L1075" s="61">
        <v>-45901</v>
      </c>
      <c r="M1075" s="61">
        <v>0</v>
      </c>
      <c r="N1075" s="61">
        <v>0</v>
      </c>
    </row>
    <row r="1076" spans="1:14" ht="30" x14ac:dyDescent="0.25">
      <c r="A1076" s="68" t="s">
        <v>228</v>
      </c>
      <c r="B1076" s="60" t="s">
        <v>59</v>
      </c>
      <c r="C1076" s="61">
        <v>93601</v>
      </c>
      <c r="D1076" s="61">
        <v>-561</v>
      </c>
      <c r="E1076" s="61">
        <v>0</v>
      </c>
      <c r="F1076" s="61">
        <v>0</v>
      </c>
      <c r="G1076" s="61">
        <v>0</v>
      </c>
      <c r="H1076" s="61">
        <v>93040</v>
      </c>
      <c r="I1076" s="61">
        <v>-93040</v>
      </c>
      <c r="J1076" s="61">
        <v>0</v>
      </c>
      <c r="K1076" s="61">
        <v>17557</v>
      </c>
      <c r="L1076" s="61">
        <v>-17557</v>
      </c>
      <c r="M1076" s="61">
        <v>0</v>
      </c>
      <c r="N1076" s="61">
        <v>0</v>
      </c>
    </row>
    <row r="1077" spans="1:14" ht="30" x14ac:dyDescent="0.25">
      <c r="A1077" s="68" t="s">
        <v>228</v>
      </c>
      <c r="B1077" s="60" t="s">
        <v>60</v>
      </c>
      <c r="C1077" s="61">
        <v>126116</v>
      </c>
      <c r="D1077" s="61">
        <v>-4559</v>
      </c>
      <c r="E1077" s="61">
        <v>0</v>
      </c>
      <c r="F1077" s="61">
        <v>0</v>
      </c>
      <c r="G1077" s="61">
        <v>0</v>
      </c>
      <c r="H1077" s="61">
        <v>121557</v>
      </c>
      <c r="I1077" s="61">
        <v>-121557</v>
      </c>
      <c r="J1077" s="61">
        <v>0</v>
      </c>
      <c r="K1077" s="61">
        <v>145029</v>
      </c>
      <c r="L1077" s="61">
        <v>-145029</v>
      </c>
      <c r="M1077" s="61">
        <v>0</v>
      </c>
      <c r="N1077" s="61">
        <v>0</v>
      </c>
    </row>
    <row r="1078" spans="1:14" ht="30" x14ac:dyDescent="0.25">
      <c r="A1078" s="68" t="s">
        <v>228</v>
      </c>
      <c r="B1078" s="60" t="s">
        <v>61</v>
      </c>
      <c r="C1078" s="61">
        <v>231605</v>
      </c>
      <c r="D1078" s="61">
        <v>-1000</v>
      </c>
      <c r="E1078" s="61">
        <v>0</v>
      </c>
      <c r="F1078" s="61">
        <v>0</v>
      </c>
      <c r="G1078" s="61">
        <v>0</v>
      </c>
      <c r="H1078" s="61">
        <v>230605</v>
      </c>
      <c r="I1078" s="61">
        <v>-230605</v>
      </c>
      <c r="J1078" s="61">
        <v>0</v>
      </c>
      <c r="K1078" s="61">
        <v>7000</v>
      </c>
      <c r="L1078" s="61">
        <v>-7000</v>
      </c>
      <c r="M1078" s="61">
        <v>0</v>
      </c>
      <c r="N1078" s="61">
        <v>0</v>
      </c>
    </row>
    <row r="1079" spans="1:14" ht="30" x14ac:dyDescent="0.25">
      <c r="A1079" s="68" t="s">
        <v>228</v>
      </c>
      <c r="B1079" s="60" t="s">
        <v>62</v>
      </c>
      <c r="C1079" s="61">
        <v>119657</v>
      </c>
      <c r="D1079" s="61">
        <v>-5276</v>
      </c>
      <c r="E1079" s="61">
        <v>0</v>
      </c>
      <c r="F1079" s="61">
        <v>0</v>
      </c>
      <c r="G1079" s="61">
        <v>0</v>
      </c>
      <c r="H1079" s="61">
        <v>114381</v>
      </c>
      <c r="I1079" s="61">
        <v>-114381</v>
      </c>
      <c r="J1079" s="61">
        <v>0</v>
      </c>
      <c r="K1079" s="61">
        <v>11631</v>
      </c>
      <c r="L1079" s="61">
        <v>-11631</v>
      </c>
      <c r="M1079" s="61">
        <v>0</v>
      </c>
      <c r="N1079" s="61">
        <v>0</v>
      </c>
    </row>
    <row r="1080" spans="1:14" ht="30" x14ac:dyDescent="0.25">
      <c r="A1080" s="68" t="s">
        <v>228</v>
      </c>
      <c r="B1080" s="60" t="s">
        <v>63</v>
      </c>
      <c r="C1080" s="61">
        <v>114822</v>
      </c>
      <c r="D1080" s="61">
        <v>-1299</v>
      </c>
      <c r="E1080" s="61">
        <v>0</v>
      </c>
      <c r="F1080" s="61">
        <v>0</v>
      </c>
      <c r="G1080" s="61">
        <v>0</v>
      </c>
      <c r="H1080" s="61">
        <v>113523</v>
      </c>
      <c r="I1080" s="61">
        <v>-113523</v>
      </c>
      <c r="J1080" s="61">
        <v>0</v>
      </c>
      <c r="K1080" s="61">
        <v>69324</v>
      </c>
      <c r="L1080" s="61">
        <v>-69324</v>
      </c>
      <c r="M1080" s="61">
        <v>0</v>
      </c>
      <c r="N1080" s="61">
        <v>0</v>
      </c>
    </row>
    <row r="1081" spans="1:14" ht="30" x14ac:dyDescent="0.25">
      <c r="A1081" s="68" t="s">
        <v>228</v>
      </c>
      <c r="B1081" s="60" t="s">
        <v>64</v>
      </c>
      <c r="C1081" s="61">
        <v>177283</v>
      </c>
      <c r="D1081" s="61">
        <v>-1000</v>
      </c>
      <c r="E1081" s="61">
        <v>0</v>
      </c>
      <c r="F1081" s="61">
        <v>0</v>
      </c>
      <c r="G1081" s="61">
        <v>0</v>
      </c>
      <c r="H1081" s="61">
        <v>176283</v>
      </c>
      <c r="I1081" s="61">
        <v>-176283</v>
      </c>
      <c r="J1081" s="61">
        <v>0</v>
      </c>
      <c r="K1081" s="61">
        <v>0</v>
      </c>
      <c r="L1081" s="61">
        <v>0</v>
      </c>
      <c r="M1081" s="61">
        <v>0</v>
      </c>
      <c r="N1081" s="61">
        <v>0</v>
      </c>
    </row>
    <row r="1082" spans="1:14" ht="30" x14ac:dyDescent="0.25">
      <c r="A1082" s="68" t="s">
        <v>228</v>
      </c>
      <c r="B1082" s="60" t="s">
        <v>65</v>
      </c>
      <c r="C1082" s="61">
        <v>116956</v>
      </c>
      <c r="D1082" s="61">
        <v>0</v>
      </c>
      <c r="E1082" s="61">
        <v>0</v>
      </c>
      <c r="F1082" s="61">
        <v>0</v>
      </c>
      <c r="G1082" s="61">
        <v>0</v>
      </c>
      <c r="H1082" s="61">
        <v>116956</v>
      </c>
      <c r="I1082" s="61">
        <v>-116956</v>
      </c>
      <c r="J1082" s="61">
        <v>0</v>
      </c>
      <c r="K1082" s="61">
        <v>65637</v>
      </c>
      <c r="L1082" s="61">
        <v>-65637</v>
      </c>
      <c r="M1082" s="61">
        <v>0</v>
      </c>
      <c r="N1082" s="61">
        <v>0</v>
      </c>
    </row>
    <row r="1083" spans="1:14" ht="30" x14ac:dyDescent="0.25">
      <c r="A1083" s="68" t="s">
        <v>228</v>
      </c>
      <c r="B1083" s="60" t="s">
        <v>66</v>
      </c>
      <c r="C1083" s="61">
        <v>166470</v>
      </c>
      <c r="D1083" s="61">
        <v>0</v>
      </c>
      <c r="E1083" s="61">
        <v>0</v>
      </c>
      <c r="F1083" s="61">
        <v>0</v>
      </c>
      <c r="G1083" s="61">
        <v>0</v>
      </c>
      <c r="H1083" s="61">
        <v>166470</v>
      </c>
      <c r="I1083" s="61">
        <v>-166470</v>
      </c>
      <c r="J1083" s="61">
        <v>0</v>
      </c>
      <c r="K1083" s="61">
        <v>4242</v>
      </c>
      <c r="L1083" s="61">
        <v>-4242</v>
      </c>
      <c r="M1083" s="61">
        <v>0</v>
      </c>
      <c r="N1083" s="61">
        <v>0</v>
      </c>
    </row>
    <row r="1084" spans="1:14" ht="30" x14ac:dyDescent="0.25">
      <c r="A1084" s="68" t="s">
        <v>228</v>
      </c>
      <c r="B1084" s="60" t="s">
        <v>67</v>
      </c>
      <c r="C1084" s="61">
        <v>256652</v>
      </c>
      <c r="D1084" s="61">
        <v>-4280</v>
      </c>
      <c r="E1084" s="61">
        <v>0</v>
      </c>
      <c r="F1084" s="61">
        <v>0</v>
      </c>
      <c r="G1084" s="61">
        <v>0</v>
      </c>
      <c r="H1084" s="61">
        <v>252372</v>
      </c>
      <c r="I1084" s="61">
        <v>-252372</v>
      </c>
      <c r="J1084" s="61">
        <v>0</v>
      </c>
      <c r="K1084" s="61">
        <v>0</v>
      </c>
      <c r="L1084" s="61">
        <v>0</v>
      </c>
      <c r="M1084" s="61">
        <v>0</v>
      </c>
      <c r="N1084" s="61">
        <v>0</v>
      </c>
    </row>
    <row r="1085" spans="1:14" ht="15.75" x14ac:dyDescent="0.25">
      <c r="A1085" s="52" t="s">
        <v>229</v>
      </c>
      <c r="B1085" s="53" t="s">
        <v>8</v>
      </c>
      <c r="C1085" s="19">
        <f>SUBTOTAL(109,Program039[(C)
Program
Costs])</f>
        <v>2878156</v>
      </c>
      <c r="D1085" s="19">
        <f>SUBTOTAL(109,Program039[(D)
Prior Period Adjustments])</f>
        <v>-21519</v>
      </c>
      <c r="E1085" s="19">
        <f>SUBTOTAL(109,Program039[(E)
Current Period Desk 
Reviews])</f>
        <v>0</v>
      </c>
      <c r="F1085" s="19">
        <f>SUBTOTAL(109,Program039[(F)
Current Period 
Final 
Audits])</f>
        <v>0</v>
      </c>
      <c r="G1085" s="19">
        <f>SUBTOTAL(109,Program039[(G)
Current Period 
Other Adjustments])</f>
        <v>0</v>
      </c>
      <c r="H1085" s="19">
        <f>SUBTOTAL(109,Program039[(H)
Net Program Costs
Sum (C through G)])</f>
        <v>2856637</v>
      </c>
      <c r="I1085" s="19">
        <f>SUBTOTAL(109,Program039[(I)
Payments
 and Offsets])</f>
        <v>-2517096</v>
      </c>
      <c r="J1085" s="19">
        <f>SUBTOTAL(109,Program039[(J)
Accounts Payable Balance
(H + I)])</f>
        <v>339541</v>
      </c>
      <c r="K1085" s="19">
        <f>SUBTOTAL(109,Program039[(K)
Established 
Accounts Receivable])</f>
        <v>482391</v>
      </c>
      <c r="L1085" s="19">
        <f>SUBTOTAL(109,Program039[(L)
Recovered
 Accounts Receivable])</f>
        <v>-482391</v>
      </c>
      <c r="M1085" s="19">
        <f>SUBTOTAL(109,Program039[(M)
Accounts Receivable Balance
(K + L)])</f>
        <v>0</v>
      </c>
      <c r="N1085" s="19">
        <f>SUBTOTAL(109,Program039[(N)
Net Balance
(J minus M)])</f>
        <v>339541</v>
      </c>
    </row>
    <row r="1086" spans="1:14" ht="15.75" x14ac:dyDescent="0.25">
      <c r="A1086" s="17" t="s">
        <v>13</v>
      </c>
      <c r="B1086" s="54"/>
      <c r="C1086" s="55"/>
      <c r="D1086" s="55"/>
      <c r="E1086" s="55"/>
      <c r="F1086" s="55"/>
      <c r="G1086" s="55"/>
      <c r="H1086" s="55"/>
      <c r="I1086" s="55"/>
      <c r="J1086" s="55"/>
      <c r="K1086" s="55"/>
      <c r="L1086" s="55"/>
      <c r="M1086" s="55"/>
      <c r="N1086" s="55"/>
    </row>
    <row r="1087" spans="1:14" ht="78.75" x14ac:dyDescent="0.25">
      <c r="A1087" s="39" t="s">
        <v>32</v>
      </c>
      <c r="B1087" s="40" t="s">
        <v>33</v>
      </c>
      <c r="C1087" s="41" t="s">
        <v>34</v>
      </c>
      <c r="D1087" s="41" t="s">
        <v>35</v>
      </c>
      <c r="E1087" s="42" t="s">
        <v>36</v>
      </c>
      <c r="F1087" s="42" t="s">
        <v>37</v>
      </c>
      <c r="G1087" s="42" t="s">
        <v>38</v>
      </c>
      <c r="H1087" s="43" t="s">
        <v>39</v>
      </c>
      <c r="I1087" s="44" t="s">
        <v>40</v>
      </c>
      <c r="J1087" s="44" t="s">
        <v>41</v>
      </c>
      <c r="K1087" s="42" t="s">
        <v>42</v>
      </c>
      <c r="L1087" s="44" t="s">
        <v>43</v>
      </c>
      <c r="M1087" s="44" t="s">
        <v>44</v>
      </c>
      <c r="N1087" s="45" t="s">
        <v>45</v>
      </c>
    </row>
    <row r="1088" spans="1:14" ht="15.75" x14ac:dyDescent="0.25">
      <c r="A1088" s="46" t="s">
        <v>230</v>
      </c>
      <c r="B1088" s="47" t="s">
        <v>49</v>
      </c>
      <c r="C1088" s="48">
        <v>1331</v>
      </c>
      <c r="D1088" s="48">
        <v>14</v>
      </c>
      <c r="E1088" s="48">
        <v>0</v>
      </c>
      <c r="F1088" s="48">
        <v>0</v>
      </c>
      <c r="G1088" s="48">
        <v>0</v>
      </c>
      <c r="H1088" s="48">
        <v>1345</v>
      </c>
      <c r="I1088" s="48">
        <v>0</v>
      </c>
      <c r="J1088" s="48">
        <v>1345</v>
      </c>
      <c r="K1088" s="48">
        <v>0</v>
      </c>
      <c r="L1088" s="48">
        <v>0</v>
      </c>
      <c r="M1088" s="48">
        <v>0</v>
      </c>
      <c r="N1088" s="48">
        <v>1345</v>
      </c>
    </row>
    <row r="1089" spans="1:14" ht="15.75" x14ac:dyDescent="0.25">
      <c r="A1089" s="49" t="s">
        <v>230</v>
      </c>
      <c r="B1089" s="50" t="s">
        <v>50</v>
      </c>
      <c r="C1089" s="51">
        <v>17556</v>
      </c>
      <c r="D1089" s="51">
        <v>306</v>
      </c>
      <c r="E1089" s="51">
        <v>0</v>
      </c>
      <c r="F1089" s="51">
        <v>0</v>
      </c>
      <c r="G1089" s="51">
        <v>0</v>
      </c>
      <c r="H1089" s="51">
        <v>17862</v>
      </c>
      <c r="I1089" s="51">
        <v>0</v>
      </c>
      <c r="J1089" s="51">
        <v>17862</v>
      </c>
      <c r="K1089" s="51">
        <v>0</v>
      </c>
      <c r="L1089" s="51">
        <v>0</v>
      </c>
      <c r="M1089" s="51">
        <v>0</v>
      </c>
      <c r="N1089" s="51">
        <v>17862</v>
      </c>
    </row>
    <row r="1090" spans="1:14" ht="15.75" x14ac:dyDescent="0.25">
      <c r="A1090" s="49" t="s">
        <v>230</v>
      </c>
      <c r="B1090" s="50" t="s">
        <v>51</v>
      </c>
      <c r="C1090" s="51">
        <v>16514</v>
      </c>
      <c r="D1090" s="51">
        <v>184</v>
      </c>
      <c r="E1090" s="51">
        <v>0</v>
      </c>
      <c r="F1090" s="51">
        <v>0</v>
      </c>
      <c r="G1090" s="51">
        <v>0</v>
      </c>
      <c r="H1090" s="51">
        <v>16698</v>
      </c>
      <c r="I1090" s="51">
        <v>0</v>
      </c>
      <c r="J1090" s="51">
        <v>16698</v>
      </c>
      <c r="K1090" s="51">
        <v>0</v>
      </c>
      <c r="L1090" s="51">
        <v>0</v>
      </c>
      <c r="M1090" s="51">
        <v>0</v>
      </c>
      <c r="N1090" s="51">
        <v>16698</v>
      </c>
    </row>
    <row r="1091" spans="1:14" ht="15.75" x14ac:dyDescent="0.25">
      <c r="A1091" s="49" t="s">
        <v>230</v>
      </c>
      <c r="B1091" s="50" t="s">
        <v>52</v>
      </c>
      <c r="C1091" s="51">
        <v>15818</v>
      </c>
      <c r="D1091" s="51">
        <v>203</v>
      </c>
      <c r="E1091" s="51">
        <v>0</v>
      </c>
      <c r="F1091" s="51">
        <v>0</v>
      </c>
      <c r="G1091" s="51">
        <v>0</v>
      </c>
      <c r="H1091" s="51">
        <v>16021</v>
      </c>
      <c r="I1091" s="51">
        <v>-16021</v>
      </c>
      <c r="J1091" s="51">
        <v>0</v>
      </c>
      <c r="K1091" s="51">
        <v>0</v>
      </c>
      <c r="L1091" s="51">
        <v>0</v>
      </c>
      <c r="M1091" s="51">
        <v>0</v>
      </c>
      <c r="N1091" s="51">
        <v>0</v>
      </c>
    </row>
    <row r="1092" spans="1:14" ht="15.75" x14ac:dyDescent="0.25">
      <c r="A1092" s="49" t="s">
        <v>230</v>
      </c>
      <c r="B1092" s="50" t="s">
        <v>53</v>
      </c>
      <c r="C1092" s="51">
        <v>15054</v>
      </c>
      <c r="D1092" s="51">
        <v>69</v>
      </c>
      <c r="E1092" s="51">
        <v>0</v>
      </c>
      <c r="F1092" s="51">
        <v>0</v>
      </c>
      <c r="G1092" s="51">
        <v>0</v>
      </c>
      <c r="H1092" s="51">
        <v>15123</v>
      </c>
      <c r="I1092" s="51">
        <v>-15123</v>
      </c>
      <c r="J1092" s="51">
        <v>0</v>
      </c>
      <c r="K1092" s="51">
        <v>0</v>
      </c>
      <c r="L1092" s="51">
        <v>0</v>
      </c>
      <c r="M1092" s="51">
        <v>0</v>
      </c>
      <c r="N1092" s="51">
        <v>0</v>
      </c>
    </row>
    <row r="1093" spans="1:14" ht="15.75" x14ac:dyDescent="0.25">
      <c r="A1093" s="49" t="s">
        <v>230</v>
      </c>
      <c r="B1093" s="50" t="s">
        <v>54</v>
      </c>
      <c r="C1093" s="51">
        <v>14321</v>
      </c>
      <c r="D1093" s="51">
        <v>-55</v>
      </c>
      <c r="E1093" s="51">
        <v>0</v>
      </c>
      <c r="F1093" s="51">
        <v>0</v>
      </c>
      <c r="G1093" s="51">
        <v>0</v>
      </c>
      <c r="H1093" s="51">
        <v>14266</v>
      </c>
      <c r="I1093" s="51">
        <v>-14266</v>
      </c>
      <c r="J1093" s="51">
        <v>0</v>
      </c>
      <c r="K1093" s="51">
        <v>0</v>
      </c>
      <c r="L1093" s="51">
        <v>0</v>
      </c>
      <c r="M1093" s="51">
        <v>0</v>
      </c>
      <c r="N1093" s="51">
        <v>0</v>
      </c>
    </row>
    <row r="1094" spans="1:14" ht="15.75" x14ac:dyDescent="0.25">
      <c r="A1094" s="49" t="s">
        <v>230</v>
      </c>
      <c r="B1094" s="50" t="s">
        <v>55</v>
      </c>
      <c r="C1094" s="51">
        <v>15439</v>
      </c>
      <c r="D1094" s="51">
        <v>-1429</v>
      </c>
      <c r="E1094" s="51">
        <v>0</v>
      </c>
      <c r="F1094" s="51">
        <v>0</v>
      </c>
      <c r="G1094" s="51">
        <v>0</v>
      </c>
      <c r="H1094" s="51">
        <v>14010</v>
      </c>
      <c r="I1094" s="51">
        <v>-14010</v>
      </c>
      <c r="J1094" s="51">
        <v>0</v>
      </c>
      <c r="K1094" s="51">
        <v>0</v>
      </c>
      <c r="L1094" s="51">
        <v>0</v>
      </c>
      <c r="M1094" s="51">
        <v>0</v>
      </c>
      <c r="N1094" s="51">
        <v>0</v>
      </c>
    </row>
    <row r="1095" spans="1:14" ht="15.75" x14ac:dyDescent="0.25">
      <c r="A1095" s="49" t="s">
        <v>230</v>
      </c>
      <c r="B1095" s="50" t="s">
        <v>56</v>
      </c>
      <c r="C1095" s="51">
        <v>13576</v>
      </c>
      <c r="D1095" s="51">
        <v>-234</v>
      </c>
      <c r="E1095" s="51">
        <v>0</v>
      </c>
      <c r="F1095" s="51">
        <v>0</v>
      </c>
      <c r="G1095" s="51">
        <v>0</v>
      </c>
      <c r="H1095" s="51">
        <v>13342</v>
      </c>
      <c r="I1095" s="51">
        <v>-13342</v>
      </c>
      <c r="J1095" s="51">
        <v>0</v>
      </c>
      <c r="K1095" s="51">
        <v>0</v>
      </c>
      <c r="L1095" s="51">
        <v>0</v>
      </c>
      <c r="M1095" s="51">
        <v>0</v>
      </c>
      <c r="N1095" s="51">
        <v>0</v>
      </c>
    </row>
    <row r="1096" spans="1:14" ht="15.75" x14ac:dyDescent="0.25">
      <c r="A1096" s="49" t="s">
        <v>230</v>
      </c>
      <c r="B1096" s="50" t="s">
        <v>57</v>
      </c>
      <c r="C1096" s="51">
        <v>13763</v>
      </c>
      <c r="D1096" s="51">
        <v>-41</v>
      </c>
      <c r="E1096" s="51">
        <v>0</v>
      </c>
      <c r="F1096" s="51">
        <v>0</v>
      </c>
      <c r="G1096" s="51">
        <v>0</v>
      </c>
      <c r="H1096" s="51">
        <v>13722</v>
      </c>
      <c r="I1096" s="51">
        <v>-13722</v>
      </c>
      <c r="J1096" s="51">
        <v>0</v>
      </c>
      <c r="K1096" s="51">
        <v>201</v>
      </c>
      <c r="L1096" s="51">
        <v>-201</v>
      </c>
      <c r="M1096" s="51">
        <v>0</v>
      </c>
      <c r="N1096" s="51">
        <v>0</v>
      </c>
    </row>
    <row r="1097" spans="1:14" ht="15.75" x14ac:dyDescent="0.25">
      <c r="A1097" s="49" t="s">
        <v>230</v>
      </c>
      <c r="B1097" s="50" t="s">
        <v>58</v>
      </c>
      <c r="C1097" s="51">
        <v>13688</v>
      </c>
      <c r="D1097" s="51">
        <v>122</v>
      </c>
      <c r="E1097" s="51">
        <v>0</v>
      </c>
      <c r="F1097" s="51">
        <v>0</v>
      </c>
      <c r="G1097" s="51">
        <v>0</v>
      </c>
      <c r="H1097" s="51">
        <v>13810</v>
      </c>
      <c r="I1097" s="51">
        <v>-13810</v>
      </c>
      <c r="J1097" s="51">
        <v>0</v>
      </c>
      <c r="K1097" s="51">
        <v>0</v>
      </c>
      <c r="L1097" s="51">
        <v>0</v>
      </c>
      <c r="M1097" s="51">
        <v>0</v>
      </c>
      <c r="N1097" s="51">
        <v>0</v>
      </c>
    </row>
    <row r="1098" spans="1:14" ht="15.75" x14ac:dyDescent="0.25">
      <c r="A1098" s="49" t="s">
        <v>230</v>
      </c>
      <c r="B1098" s="50" t="s">
        <v>59</v>
      </c>
      <c r="C1098" s="51">
        <v>14403</v>
      </c>
      <c r="D1098" s="51">
        <v>-84</v>
      </c>
      <c r="E1098" s="51">
        <v>0</v>
      </c>
      <c r="F1098" s="51">
        <v>0</v>
      </c>
      <c r="G1098" s="51">
        <v>0</v>
      </c>
      <c r="H1098" s="51">
        <v>14319</v>
      </c>
      <c r="I1098" s="51">
        <v>-14319</v>
      </c>
      <c r="J1098" s="51">
        <v>0</v>
      </c>
      <c r="K1098" s="51">
        <v>0</v>
      </c>
      <c r="L1098" s="51">
        <v>0</v>
      </c>
      <c r="M1098" s="51">
        <v>0</v>
      </c>
      <c r="N1098" s="51">
        <v>0</v>
      </c>
    </row>
    <row r="1099" spans="1:14" ht="15.75" x14ac:dyDescent="0.25">
      <c r="A1099" s="49" t="s">
        <v>230</v>
      </c>
      <c r="B1099" s="50" t="s">
        <v>60</v>
      </c>
      <c r="C1099" s="51">
        <v>12212</v>
      </c>
      <c r="D1099" s="51">
        <v>-81</v>
      </c>
      <c r="E1099" s="51">
        <v>0</v>
      </c>
      <c r="F1099" s="51">
        <v>0</v>
      </c>
      <c r="G1099" s="51">
        <v>0</v>
      </c>
      <c r="H1099" s="51">
        <v>12131</v>
      </c>
      <c r="I1099" s="51">
        <v>-12131</v>
      </c>
      <c r="J1099" s="51">
        <v>0</v>
      </c>
      <c r="K1099" s="51">
        <v>0</v>
      </c>
      <c r="L1099" s="51">
        <v>0</v>
      </c>
      <c r="M1099" s="51">
        <v>0</v>
      </c>
      <c r="N1099" s="51">
        <v>0</v>
      </c>
    </row>
    <row r="1100" spans="1:14" ht="15.75" x14ac:dyDescent="0.25">
      <c r="A1100" s="49" t="s">
        <v>230</v>
      </c>
      <c r="B1100" s="50" t="s">
        <v>61</v>
      </c>
      <c r="C1100" s="51">
        <v>12020</v>
      </c>
      <c r="D1100" s="51">
        <v>0</v>
      </c>
      <c r="E1100" s="51">
        <v>0</v>
      </c>
      <c r="F1100" s="51">
        <v>0</v>
      </c>
      <c r="G1100" s="51">
        <v>0</v>
      </c>
      <c r="H1100" s="51">
        <v>12020</v>
      </c>
      <c r="I1100" s="51">
        <v>-12020</v>
      </c>
      <c r="J1100" s="51">
        <v>0</v>
      </c>
      <c r="K1100" s="51">
        <v>0</v>
      </c>
      <c r="L1100" s="51">
        <v>0</v>
      </c>
      <c r="M1100" s="51">
        <v>0</v>
      </c>
      <c r="N1100" s="51">
        <v>0</v>
      </c>
    </row>
    <row r="1101" spans="1:14" ht="15.75" x14ac:dyDescent="0.25">
      <c r="A1101" s="49" t="s">
        <v>230</v>
      </c>
      <c r="B1101" s="50" t="s">
        <v>62</v>
      </c>
      <c r="C1101" s="51">
        <v>11445</v>
      </c>
      <c r="D1101" s="51">
        <v>0</v>
      </c>
      <c r="E1101" s="51">
        <v>0</v>
      </c>
      <c r="F1101" s="51">
        <v>0</v>
      </c>
      <c r="G1101" s="51">
        <v>0</v>
      </c>
      <c r="H1101" s="51">
        <v>11445</v>
      </c>
      <c r="I1101" s="51">
        <v>-11445</v>
      </c>
      <c r="J1101" s="51">
        <v>0</v>
      </c>
      <c r="K1101" s="51">
        <v>0</v>
      </c>
      <c r="L1101" s="51">
        <v>0</v>
      </c>
      <c r="M1101" s="51">
        <v>0</v>
      </c>
      <c r="N1101" s="51">
        <v>0</v>
      </c>
    </row>
    <row r="1102" spans="1:14" ht="15.75" x14ac:dyDescent="0.25">
      <c r="A1102" s="49" t="s">
        <v>230</v>
      </c>
      <c r="B1102" s="50" t="s">
        <v>63</v>
      </c>
      <c r="C1102" s="51">
        <v>11290</v>
      </c>
      <c r="D1102" s="51">
        <v>0</v>
      </c>
      <c r="E1102" s="51">
        <v>0</v>
      </c>
      <c r="F1102" s="51">
        <v>0</v>
      </c>
      <c r="G1102" s="51">
        <v>0</v>
      </c>
      <c r="H1102" s="51">
        <v>11290</v>
      </c>
      <c r="I1102" s="51">
        <v>-11290</v>
      </c>
      <c r="J1102" s="51">
        <v>0</v>
      </c>
      <c r="K1102" s="51">
        <v>0</v>
      </c>
      <c r="L1102" s="51">
        <v>0</v>
      </c>
      <c r="M1102" s="51">
        <v>0</v>
      </c>
      <c r="N1102" s="51">
        <v>0</v>
      </c>
    </row>
    <row r="1103" spans="1:14" ht="15.75" x14ac:dyDescent="0.25">
      <c r="A1103" s="49" t="s">
        <v>230</v>
      </c>
      <c r="B1103" s="50" t="s">
        <v>64</v>
      </c>
      <c r="C1103" s="51">
        <v>10750</v>
      </c>
      <c r="D1103" s="51">
        <v>0</v>
      </c>
      <c r="E1103" s="51">
        <v>0</v>
      </c>
      <c r="F1103" s="51">
        <v>0</v>
      </c>
      <c r="G1103" s="51">
        <v>0</v>
      </c>
      <c r="H1103" s="51">
        <v>10750</v>
      </c>
      <c r="I1103" s="51">
        <v>-10750</v>
      </c>
      <c r="J1103" s="51">
        <v>0</v>
      </c>
      <c r="K1103" s="51">
        <v>0</v>
      </c>
      <c r="L1103" s="51">
        <v>0</v>
      </c>
      <c r="M1103" s="51">
        <v>0</v>
      </c>
      <c r="N1103" s="51">
        <v>0</v>
      </c>
    </row>
    <row r="1104" spans="1:14" ht="15.75" x14ac:dyDescent="0.25">
      <c r="A1104" s="49" t="s">
        <v>230</v>
      </c>
      <c r="B1104" s="50" t="s">
        <v>65</v>
      </c>
      <c r="C1104" s="51">
        <v>2437</v>
      </c>
      <c r="D1104" s="51">
        <v>0</v>
      </c>
      <c r="E1104" s="51">
        <v>0</v>
      </c>
      <c r="F1104" s="51">
        <v>0</v>
      </c>
      <c r="G1104" s="51">
        <v>0</v>
      </c>
      <c r="H1104" s="51">
        <v>2437</v>
      </c>
      <c r="I1104" s="51">
        <v>-2437</v>
      </c>
      <c r="J1104" s="51">
        <v>0</v>
      </c>
      <c r="K1104" s="51">
        <v>0</v>
      </c>
      <c r="L1104" s="51">
        <v>0</v>
      </c>
      <c r="M1104" s="51">
        <v>0</v>
      </c>
      <c r="N1104" s="51">
        <v>0</v>
      </c>
    </row>
    <row r="1105" spans="1:14" ht="15.75" x14ac:dyDescent="0.25">
      <c r="A1105" s="49" t="s">
        <v>230</v>
      </c>
      <c r="B1105" s="50" t="s">
        <v>66</v>
      </c>
      <c r="C1105" s="51">
        <v>2649</v>
      </c>
      <c r="D1105" s="51">
        <v>0</v>
      </c>
      <c r="E1105" s="51">
        <v>0</v>
      </c>
      <c r="F1105" s="51">
        <v>0</v>
      </c>
      <c r="G1105" s="51">
        <v>0</v>
      </c>
      <c r="H1105" s="51">
        <v>2649</v>
      </c>
      <c r="I1105" s="51">
        <v>-2649</v>
      </c>
      <c r="J1105" s="51">
        <v>0</v>
      </c>
      <c r="K1105" s="51">
        <v>936</v>
      </c>
      <c r="L1105" s="51">
        <v>-936</v>
      </c>
      <c r="M1105" s="51">
        <v>0</v>
      </c>
      <c r="N1105" s="51">
        <v>0</v>
      </c>
    </row>
    <row r="1106" spans="1:14" ht="15.75" x14ac:dyDescent="0.25">
      <c r="A1106" s="49" t="s">
        <v>230</v>
      </c>
      <c r="B1106" s="50" t="s">
        <v>67</v>
      </c>
      <c r="C1106" s="51">
        <v>1797</v>
      </c>
      <c r="D1106" s="51">
        <v>-1797</v>
      </c>
      <c r="E1106" s="51">
        <v>0</v>
      </c>
      <c r="F1106" s="51">
        <v>0</v>
      </c>
      <c r="G1106" s="51">
        <v>0</v>
      </c>
      <c r="H1106" s="51">
        <v>0</v>
      </c>
      <c r="I1106" s="51">
        <v>0</v>
      </c>
      <c r="J1106" s="51">
        <v>0</v>
      </c>
      <c r="K1106" s="51">
        <v>183</v>
      </c>
      <c r="L1106" s="51">
        <v>-183</v>
      </c>
      <c r="M1106" s="51">
        <v>0</v>
      </c>
      <c r="N1106" s="51">
        <v>0</v>
      </c>
    </row>
    <row r="1107" spans="1:14" ht="15.75" x14ac:dyDescent="0.25">
      <c r="A1107" s="52" t="s">
        <v>231</v>
      </c>
      <c r="B1107" s="53" t="s">
        <v>8</v>
      </c>
      <c r="C1107" s="19">
        <f>SUBTOTAL(109,Program066[(C)
Program
Costs])</f>
        <v>216063</v>
      </c>
      <c r="D1107" s="19">
        <f>SUBTOTAL(109,Program066[(D)
Prior Period Adjustments])</f>
        <v>-2823</v>
      </c>
      <c r="E1107" s="19">
        <f>SUBTOTAL(109,Program066[(E)
Current Period Desk 
Reviews])</f>
        <v>0</v>
      </c>
      <c r="F1107" s="19">
        <f>SUBTOTAL(109,Program066[(F)
Current Period 
Final 
Audits])</f>
        <v>0</v>
      </c>
      <c r="G1107" s="19">
        <f>SUBTOTAL(109,Program066[(G)
Current Period 
Other Adjustments])</f>
        <v>0</v>
      </c>
      <c r="H1107" s="19">
        <f>SUBTOTAL(109,Program066[(H)
Net Program Costs
Sum (C through G)])</f>
        <v>213240</v>
      </c>
      <c r="I1107" s="19">
        <f>SUBTOTAL(109,Program066[(I)
Payments
 and Offsets])</f>
        <v>-177335</v>
      </c>
      <c r="J1107" s="19">
        <f>SUBTOTAL(109,Program066[(J)
Accounts Payable Balance
(H + I)])</f>
        <v>35905</v>
      </c>
      <c r="K1107" s="19">
        <f>SUBTOTAL(109,Program066[(K)
Established 
Accounts Receivable])</f>
        <v>1320</v>
      </c>
      <c r="L1107" s="19">
        <f>SUBTOTAL(109,Program066[(L)
Recovered
 Accounts Receivable])</f>
        <v>-1320</v>
      </c>
      <c r="M1107" s="19">
        <f>SUBTOTAL(109,Program066[(M)
Accounts Receivable Balance
(K + L)])</f>
        <v>0</v>
      </c>
      <c r="N1107" s="19">
        <f>SUBTOTAL(109,Program066[(N)
Net Balance
(J minus M)])</f>
        <v>35905</v>
      </c>
    </row>
    <row r="1108" spans="1:14" ht="15.75" x14ac:dyDescent="0.25">
      <c r="A1108" s="17" t="s">
        <v>13</v>
      </c>
      <c r="B1108" s="54"/>
      <c r="C1108" s="55"/>
      <c r="D1108" s="55"/>
      <c r="E1108" s="55"/>
      <c r="F1108" s="55"/>
      <c r="G1108" s="55"/>
      <c r="H1108" s="55"/>
      <c r="I1108" s="55"/>
      <c r="J1108" s="55"/>
      <c r="K1108" s="55"/>
      <c r="L1108" s="55"/>
      <c r="M1108" s="55"/>
      <c r="N1108" s="55"/>
    </row>
    <row r="1109" spans="1:14" ht="78.75" x14ac:dyDescent="0.25">
      <c r="A1109" s="39" t="s">
        <v>32</v>
      </c>
      <c r="B1109" s="40" t="s">
        <v>33</v>
      </c>
      <c r="C1109" s="41" t="s">
        <v>34</v>
      </c>
      <c r="D1109" s="41" t="s">
        <v>35</v>
      </c>
      <c r="E1109" s="42" t="s">
        <v>36</v>
      </c>
      <c r="F1109" s="42" t="s">
        <v>37</v>
      </c>
      <c r="G1109" s="42" t="s">
        <v>38</v>
      </c>
      <c r="H1109" s="43" t="s">
        <v>39</v>
      </c>
      <c r="I1109" s="44" t="s">
        <v>40</v>
      </c>
      <c r="J1109" s="44" t="s">
        <v>41</v>
      </c>
      <c r="K1109" s="42" t="s">
        <v>42</v>
      </c>
      <c r="L1109" s="44" t="s">
        <v>43</v>
      </c>
      <c r="M1109" s="44" t="s">
        <v>44</v>
      </c>
      <c r="N1109" s="45" t="s">
        <v>45</v>
      </c>
    </row>
    <row r="1110" spans="1:14" x14ac:dyDescent="0.25">
      <c r="A1110" s="56" t="s">
        <v>232</v>
      </c>
      <c r="B1110" s="62" t="s">
        <v>56</v>
      </c>
      <c r="C1110" s="63">
        <v>2728551</v>
      </c>
      <c r="D1110" s="63">
        <v>-6636</v>
      </c>
      <c r="E1110" s="63">
        <v>0</v>
      </c>
      <c r="F1110" s="63">
        <v>0</v>
      </c>
      <c r="G1110" s="63">
        <v>0</v>
      </c>
      <c r="H1110" s="63">
        <v>2721915</v>
      </c>
      <c r="I1110" s="63">
        <v>-2721915</v>
      </c>
      <c r="J1110" s="63">
        <v>0</v>
      </c>
      <c r="K1110" s="63">
        <v>0</v>
      </c>
      <c r="L1110" s="63">
        <v>0</v>
      </c>
      <c r="M1110" s="63">
        <v>0</v>
      </c>
      <c r="N1110" s="63">
        <v>0</v>
      </c>
    </row>
    <row r="1111" spans="1:14" x14ac:dyDescent="0.25">
      <c r="A1111" s="59" t="s">
        <v>232</v>
      </c>
      <c r="B1111" s="65" t="s">
        <v>57</v>
      </c>
      <c r="C1111" s="66">
        <v>2274351</v>
      </c>
      <c r="D1111" s="66">
        <v>-19599</v>
      </c>
      <c r="E1111" s="66">
        <v>0</v>
      </c>
      <c r="F1111" s="66">
        <v>0</v>
      </c>
      <c r="G1111" s="66">
        <v>0</v>
      </c>
      <c r="H1111" s="66">
        <v>2254752</v>
      </c>
      <c r="I1111" s="66">
        <v>-2254752</v>
      </c>
      <c r="J1111" s="66">
        <v>0</v>
      </c>
      <c r="K1111" s="66">
        <v>678810</v>
      </c>
      <c r="L1111" s="66">
        <v>-678810</v>
      </c>
      <c r="M1111" s="66">
        <v>0</v>
      </c>
      <c r="N1111" s="66">
        <v>0</v>
      </c>
    </row>
    <row r="1112" spans="1:14" x14ac:dyDescent="0.25">
      <c r="A1112" s="59" t="s">
        <v>232</v>
      </c>
      <c r="B1112" s="65" t="s">
        <v>58</v>
      </c>
      <c r="C1112" s="66">
        <v>10753806</v>
      </c>
      <c r="D1112" s="66">
        <v>-8364841</v>
      </c>
      <c r="E1112" s="66">
        <v>0</v>
      </c>
      <c r="F1112" s="66">
        <v>0</v>
      </c>
      <c r="G1112" s="66">
        <v>0</v>
      </c>
      <c r="H1112" s="66">
        <v>2388965</v>
      </c>
      <c r="I1112" s="66">
        <v>-2388965</v>
      </c>
      <c r="J1112" s="66">
        <v>0</v>
      </c>
      <c r="K1112" s="66">
        <v>56058</v>
      </c>
      <c r="L1112" s="66">
        <v>-56058</v>
      </c>
      <c r="M1112" s="66">
        <v>0</v>
      </c>
      <c r="N1112" s="66">
        <v>0</v>
      </c>
    </row>
    <row r="1113" spans="1:14" x14ac:dyDescent="0.25">
      <c r="A1113" s="59" t="s">
        <v>232</v>
      </c>
      <c r="B1113" s="65" t="s">
        <v>59</v>
      </c>
      <c r="C1113" s="66">
        <v>2226982</v>
      </c>
      <c r="D1113" s="66">
        <v>-11851</v>
      </c>
      <c r="E1113" s="66">
        <v>0</v>
      </c>
      <c r="F1113" s="66">
        <v>0</v>
      </c>
      <c r="G1113" s="66">
        <v>0</v>
      </c>
      <c r="H1113" s="66">
        <v>2215131</v>
      </c>
      <c r="I1113" s="66">
        <v>-2215131</v>
      </c>
      <c r="J1113" s="66">
        <v>0</v>
      </c>
      <c r="K1113" s="66">
        <v>30173</v>
      </c>
      <c r="L1113" s="66">
        <v>-30173</v>
      </c>
      <c r="M1113" s="66">
        <v>0</v>
      </c>
      <c r="N1113" s="66">
        <v>0</v>
      </c>
    </row>
    <row r="1114" spans="1:14" x14ac:dyDescent="0.25">
      <c r="A1114" s="59" t="s">
        <v>232</v>
      </c>
      <c r="B1114" s="65" t="s">
        <v>60</v>
      </c>
      <c r="C1114" s="66">
        <v>1814700</v>
      </c>
      <c r="D1114" s="66">
        <v>-1391</v>
      </c>
      <c r="E1114" s="66">
        <v>0</v>
      </c>
      <c r="F1114" s="66">
        <v>0</v>
      </c>
      <c r="G1114" s="66">
        <v>0</v>
      </c>
      <c r="H1114" s="66">
        <v>1813309</v>
      </c>
      <c r="I1114" s="66">
        <v>-1813309</v>
      </c>
      <c r="J1114" s="66">
        <v>0</v>
      </c>
      <c r="K1114" s="66">
        <v>321229</v>
      </c>
      <c r="L1114" s="66">
        <v>-321229</v>
      </c>
      <c r="M1114" s="66">
        <v>0</v>
      </c>
      <c r="N1114" s="66">
        <v>0</v>
      </c>
    </row>
    <row r="1115" spans="1:14" x14ac:dyDescent="0.25">
      <c r="A1115" s="59" t="s">
        <v>232</v>
      </c>
      <c r="B1115" s="65" t="s">
        <v>61</v>
      </c>
      <c r="C1115" s="66">
        <v>1665446</v>
      </c>
      <c r="D1115" s="66">
        <v>-9751</v>
      </c>
      <c r="E1115" s="66">
        <v>0</v>
      </c>
      <c r="F1115" s="66">
        <v>0</v>
      </c>
      <c r="G1115" s="66">
        <v>0</v>
      </c>
      <c r="H1115" s="66">
        <v>1655695</v>
      </c>
      <c r="I1115" s="66">
        <v>-1655695</v>
      </c>
      <c r="J1115" s="66">
        <v>0</v>
      </c>
      <c r="K1115" s="66">
        <v>80562</v>
      </c>
      <c r="L1115" s="66">
        <v>-80562</v>
      </c>
      <c r="M1115" s="66">
        <v>0</v>
      </c>
      <c r="N1115" s="66">
        <v>0</v>
      </c>
    </row>
    <row r="1116" spans="1:14" x14ac:dyDescent="0.25">
      <c r="A1116" s="59" t="s">
        <v>232</v>
      </c>
      <c r="B1116" s="65" t="s">
        <v>62</v>
      </c>
      <c r="C1116" s="66">
        <v>1483563</v>
      </c>
      <c r="D1116" s="66">
        <v>-45211</v>
      </c>
      <c r="E1116" s="66">
        <v>0</v>
      </c>
      <c r="F1116" s="66">
        <v>0</v>
      </c>
      <c r="G1116" s="66">
        <v>0</v>
      </c>
      <c r="H1116" s="66">
        <v>1438352</v>
      </c>
      <c r="I1116" s="66">
        <v>-1438352</v>
      </c>
      <c r="J1116" s="66">
        <v>0</v>
      </c>
      <c r="K1116" s="66">
        <v>60719</v>
      </c>
      <c r="L1116" s="66">
        <v>-60719</v>
      </c>
      <c r="M1116" s="66">
        <v>0</v>
      </c>
      <c r="N1116" s="66">
        <v>0</v>
      </c>
    </row>
    <row r="1117" spans="1:14" x14ac:dyDescent="0.25">
      <c r="A1117" s="59" t="s">
        <v>232</v>
      </c>
      <c r="B1117" s="65" t="s">
        <v>63</v>
      </c>
      <c r="C1117" s="66">
        <v>1157328</v>
      </c>
      <c r="D1117" s="66">
        <v>-7149</v>
      </c>
      <c r="E1117" s="66">
        <v>0</v>
      </c>
      <c r="F1117" s="66">
        <v>0</v>
      </c>
      <c r="G1117" s="66">
        <v>0</v>
      </c>
      <c r="H1117" s="66">
        <v>1150179</v>
      </c>
      <c r="I1117" s="66">
        <v>-1150179</v>
      </c>
      <c r="J1117" s="66">
        <v>0</v>
      </c>
      <c r="K1117" s="66">
        <v>9406</v>
      </c>
      <c r="L1117" s="66">
        <v>-9406</v>
      </c>
      <c r="M1117" s="66">
        <v>0</v>
      </c>
      <c r="N1117" s="66">
        <v>0</v>
      </c>
    </row>
    <row r="1118" spans="1:14" x14ac:dyDescent="0.25">
      <c r="A1118" s="59" t="s">
        <v>232</v>
      </c>
      <c r="B1118" s="65" t="s">
        <v>64</v>
      </c>
      <c r="C1118" s="66">
        <v>1032145</v>
      </c>
      <c r="D1118" s="66">
        <v>-38270</v>
      </c>
      <c r="E1118" s="66">
        <v>0</v>
      </c>
      <c r="F1118" s="66">
        <v>0</v>
      </c>
      <c r="G1118" s="66">
        <v>0</v>
      </c>
      <c r="H1118" s="66">
        <v>993875</v>
      </c>
      <c r="I1118" s="66">
        <v>-993875</v>
      </c>
      <c r="J1118" s="66">
        <v>0</v>
      </c>
      <c r="K1118" s="66">
        <v>26991</v>
      </c>
      <c r="L1118" s="66">
        <v>-26991</v>
      </c>
      <c r="M1118" s="66">
        <v>0</v>
      </c>
      <c r="N1118" s="66">
        <v>0</v>
      </c>
    </row>
    <row r="1119" spans="1:14" x14ac:dyDescent="0.25">
      <c r="A1119" s="59" t="s">
        <v>232</v>
      </c>
      <c r="B1119" s="65" t="s">
        <v>65</v>
      </c>
      <c r="C1119" s="66">
        <v>983323</v>
      </c>
      <c r="D1119" s="66">
        <v>-36229</v>
      </c>
      <c r="E1119" s="66">
        <v>0</v>
      </c>
      <c r="F1119" s="66">
        <v>0</v>
      </c>
      <c r="G1119" s="66">
        <v>0</v>
      </c>
      <c r="H1119" s="66">
        <v>947094</v>
      </c>
      <c r="I1119" s="66">
        <v>-947094</v>
      </c>
      <c r="J1119" s="66">
        <v>0</v>
      </c>
      <c r="K1119" s="66">
        <v>34579</v>
      </c>
      <c r="L1119" s="66">
        <v>-34579</v>
      </c>
      <c r="M1119" s="66">
        <v>0</v>
      </c>
      <c r="N1119" s="66">
        <v>0</v>
      </c>
    </row>
    <row r="1120" spans="1:14" x14ac:dyDescent="0.25">
      <c r="A1120" s="59" t="s">
        <v>232</v>
      </c>
      <c r="B1120" s="65" t="s">
        <v>66</v>
      </c>
      <c r="C1120" s="66">
        <v>568206</v>
      </c>
      <c r="D1120" s="66">
        <v>-25898</v>
      </c>
      <c r="E1120" s="66">
        <v>0</v>
      </c>
      <c r="F1120" s="66">
        <v>0</v>
      </c>
      <c r="G1120" s="66">
        <v>0</v>
      </c>
      <c r="H1120" s="66">
        <v>542308</v>
      </c>
      <c r="I1120" s="66">
        <v>-542308</v>
      </c>
      <c r="J1120" s="66">
        <v>0</v>
      </c>
      <c r="K1120" s="66">
        <v>19339</v>
      </c>
      <c r="L1120" s="66">
        <v>-19339</v>
      </c>
      <c r="M1120" s="66">
        <v>0</v>
      </c>
      <c r="N1120" s="66">
        <v>0</v>
      </c>
    </row>
    <row r="1121" spans="1:14" ht="15.75" x14ac:dyDescent="0.25">
      <c r="A1121" s="52" t="s">
        <v>233</v>
      </c>
      <c r="B1121" s="53" t="s">
        <v>8</v>
      </c>
      <c r="C1121" s="19">
        <f>SUBTOTAL(109,Program138[(C)
Program
Costs])</f>
        <v>26688401</v>
      </c>
      <c r="D1121" s="19">
        <f>SUBTOTAL(109,Program138[(D)
Prior Period Adjustments])</f>
        <v>-8566826</v>
      </c>
      <c r="E1121" s="19">
        <f>SUBTOTAL(109,Program138[(E)
Current Period Desk 
Reviews])</f>
        <v>0</v>
      </c>
      <c r="F1121" s="19">
        <f>SUBTOTAL(109,Program138[(F)
Current Period 
Final 
Audits])</f>
        <v>0</v>
      </c>
      <c r="G1121" s="19">
        <f>SUBTOTAL(109,Program138[(G)
Current Period 
Other Adjustments])</f>
        <v>0</v>
      </c>
      <c r="H1121" s="19">
        <f>SUBTOTAL(109,Program138[(H)
Net Program Costs
Sum (C through G)])</f>
        <v>18121575</v>
      </c>
      <c r="I1121" s="19">
        <f>SUBTOTAL(109,Program138[(I)
Payments
 and Offsets])</f>
        <v>-18121575</v>
      </c>
      <c r="J1121" s="19">
        <f>SUBTOTAL(109,Program138[(J)
Accounts Payable Balance
(H + I)])</f>
        <v>0</v>
      </c>
      <c r="K1121" s="19">
        <f>SUBTOTAL(109,Program138[(K)
Established 
Accounts Receivable])</f>
        <v>1317866</v>
      </c>
      <c r="L1121" s="19">
        <f>SUBTOTAL(109,Program138[(L)
Recovered
 Accounts Receivable])</f>
        <v>-1317866</v>
      </c>
      <c r="M1121" s="19">
        <f>SUBTOTAL(109,Program138[(M)
Accounts Receivable Balance
(K + L)])</f>
        <v>0</v>
      </c>
      <c r="N1121" s="19">
        <f>SUBTOTAL(109,Program138[(N)
Net Balance
(J minus M)])</f>
        <v>0</v>
      </c>
    </row>
    <row r="1122" spans="1:14" ht="15.75" x14ac:dyDescent="0.25">
      <c r="A1122" s="17" t="s">
        <v>13</v>
      </c>
      <c r="B1122" s="54"/>
      <c r="C1122" s="55"/>
      <c r="D1122" s="55"/>
      <c r="E1122" s="55"/>
      <c r="F1122" s="55"/>
      <c r="G1122" s="55"/>
      <c r="H1122" s="55"/>
      <c r="I1122" s="55"/>
      <c r="J1122" s="55"/>
      <c r="K1122" s="55"/>
      <c r="L1122" s="55"/>
      <c r="M1122" s="55"/>
      <c r="N1122" s="55"/>
    </row>
    <row r="1123" spans="1:14" ht="78.75" x14ac:dyDescent="0.25">
      <c r="A1123" s="39" t="s">
        <v>32</v>
      </c>
      <c r="B1123" s="40" t="s">
        <v>33</v>
      </c>
      <c r="C1123" s="41" t="s">
        <v>34</v>
      </c>
      <c r="D1123" s="41" t="s">
        <v>35</v>
      </c>
      <c r="E1123" s="42" t="s">
        <v>36</v>
      </c>
      <c r="F1123" s="42" t="s">
        <v>37</v>
      </c>
      <c r="G1123" s="42" t="s">
        <v>38</v>
      </c>
      <c r="H1123" s="43" t="s">
        <v>39</v>
      </c>
      <c r="I1123" s="44" t="s">
        <v>40</v>
      </c>
      <c r="J1123" s="44" t="s">
        <v>41</v>
      </c>
      <c r="K1123" s="42" t="s">
        <v>42</v>
      </c>
      <c r="L1123" s="44" t="s">
        <v>43</v>
      </c>
      <c r="M1123" s="44" t="s">
        <v>44</v>
      </c>
      <c r="N1123" s="45" t="s">
        <v>45</v>
      </c>
    </row>
    <row r="1124" spans="1:14" ht="15.75" x14ac:dyDescent="0.25">
      <c r="A1124" s="46" t="s">
        <v>234</v>
      </c>
      <c r="B1124" s="47" t="s">
        <v>64</v>
      </c>
      <c r="C1124" s="48">
        <v>10688377</v>
      </c>
      <c r="D1124" s="48">
        <v>-719349</v>
      </c>
      <c r="E1124" s="48">
        <v>0</v>
      </c>
      <c r="F1124" s="48">
        <v>0</v>
      </c>
      <c r="G1124" s="48">
        <v>0</v>
      </c>
      <c r="H1124" s="48">
        <v>9969028</v>
      </c>
      <c r="I1124" s="48">
        <v>-9969028</v>
      </c>
      <c r="J1124" s="48">
        <v>0</v>
      </c>
      <c r="K1124" s="48">
        <v>491011</v>
      </c>
      <c r="L1124" s="48">
        <v>-491011</v>
      </c>
      <c r="M1124" s="48">
        <v>0</v>
      </c>
      <c r="N1124" s="48">
        <v>0</v>
      </c>
    </row>
    <row r="1125" spans="1:14" ht="15.75" x14ac:dyDescent="0.25">
      <c r="A1125" s="49" t="s">
        <v>234</v>
      </c>
      <c r="B1125" s="50" t="s">
        <v>66</v>
      </c>
      <c r="C1125" s="51">
        <v>1126405</v>
      </c>
      <c r="D1125" s="51">
        <v>-7158</v>
      </c>
      <c r="E1125" s="51">
        <v>0</v>
      </c>
      <c r="F1125" s="51">
        <v>0</v>
      </c>
      <c r="G1125" s="51">
        <v>0</v>
      </c>
      <c r="H1125" s="51">
        <v>1119247</v>
      </c>
      <c r="I1125" s="51">
        <v>-1119247</v>
      </c>
      <c r="J1125" s="51">
        <v>0</v>
      </c>
      <c r="K1125" s="51">
        <v>1889</v>
      </c>
      <c r="L1125" s="51">
        <v>-1889</v>
      </c>
      <c r="M1125" s="51">
        <v>0</v>
      </c>
      <c r="N1125" s="51">
        <v>0</v>
      </c>
    </row>
    <row r="1126" spans="1:14" ht="15.75" x14ac:dyDescent="0.25">
      <c r="A1126" s="49" t="s">
        <v>234</v>
      </c>
      <c r="B1126" s="50" t="s">
        <v>69</v>
      </c>
      <c r="C1126" s="51">
        <v>6239426</v>
      </c>
      <c r="D1126" s="51">
        <v>-406538</v>
      </c>
      <c r="E1126" s="51">
        <v>0</v>
      </c>
      <c r="F1126" s="51">
        <v>0</v>
      </c>
      <c r="G1126" s="51">
        <v>0</v>
      </c>
      <c r="H1126" s="51">
        <v>5832888</v>
      </c>
      <c r="I1126" s="51">
        <v>-5832888</v>
      </c>
      <c r="J1126" s="51">
        <v>0</v>
      </c>
      <c r="K1126" s="51">
        <v>1808</v>
      </c>
      <c r="L1126" s="51">
        <v>-1808</v>
      </c>
      <c r="M1126" s="51">
        <v>0</v>
      </c>
      <c r="N1126" s="51">
        <v>0</v>
      </c>
    </row>
    <row r="1127" spans="1:14" ht="15.75" x14ac:dyDescent="0.25">
      <c r="A1127" s="52" t="s">
        <v>235</v>
      </c>
      <c r="B1127" s="53" t="s">
        <v>8</v>
      </c>
      <c r="C1127" s="19">
        <f>SUBTOTAL(109,Program112[(C)
Program
Costs])</f>
        <v>18054208</v>
      </c>
      <c r="D1127" s="19">
        <f>SUBTOTAL(109,Program112[(D)
Prior Period Adjustments])</f>
        <v>-1133045</v>
      </c>
      <c r="E1127" s="19">
        <f>SUBTOTAL(109,Program112[(E)
Current Period Desk 
Reviews])</f>
        <v>0</v>
      </c>
      <c r="F1127" s="19">
        <f>SUBTOTAL(109,Program112[(F)
Current Period 
Final 
Audits])</f>
        <v>0</v>
      </c>
      <c r="G1127" s="19">
        <f>SUBTOTAL(109,Program112[(G)
Current Period 
Other Adjustments])</f>
        <v>0</v>
      </c>
      <c r="H1127" s="19">
        <f>SUBTOTAL(109,Program112[(H)
Net Program Costs
Sum (C through G)])</f>
        <v>16921163</v>
      </c>
      <c r="I1127" s="19">
        <f>SUBTOTAL(109,Program112[(I)
Payments
 and Offsets])</f>
        <v>-16921163</v>
      </c>
      <c r="J1127" s="19">
        <f>SUBTOTAL(109,Program112[(J)
Accounts Payable Balance
(H + I)])</f>
        <v>0</v>
      </c>
      <c r="K1127" s="19">
        <f>SUBTOTAL(109,Program112[(K)
Established 
Accounts Receivable])</f>
        <v>494708</v>
      </c>
      <c r="L1127" s="19">
        <f>SUBTOTAL(109,Program112[(L)
Recovered
 Accounts Receivable])</f>
        <v>-494708</v>
      </c>
      <c r="M1127" s="19">
        <f>SUBTOTAL(109,Program112[(M)
Accounts Receivable Balance
(K + L)])</f>
        <v>0</v>
      </c>
      <c r="N1127" s="19">
        <f>SUBTOTAL(109,Program112[(N)
Net Balance
(J minus M)])</f>
        <v>0</v>
      </c>
    </row>
    <row r="1128" spans="1:14" ht="15.75" x14ac:dyDescent="0.25">
      <c r="A1128" s="17" t="s">
        <v>13</v>
      </c>
      <c r="B1128" s="54"/>
      <c r="C1128" s="55"/>
      <c r="D1128" s="55"/>
      <c r="E1128" s="55"/>
      <c r="F1128" s="55"/>
      <c r="G1128" s="55"/>
      <c r="H1128" s="55"/>
      <c r="I1128" s="55"/>
      <c r="J1128" s="55"/>
      <c r="K1128" s="55"/>
      <c r="L1128" s="55"/>
      <c r="M1128" s="55"/>
      <c r="N1128" s="55"/>
    </row>
    <row r="1129" spans="1:14" ht="78.75" x14ac:dyDescent="0.25">
      <c r="A1129" s="39" t="s">
        <v>32</v>
      </c>
      <c r="B1129" s="40" t="s">
        <v>33</v>
      </c>
      <c r="C1129" s="41" t="s">
        <v>34</v>
      </c>
      <c r="D1129" s="41" t="s">
        <v>35</v>
      </c>
      <c r="E1129" s="42" t="s">
        <v>36</v>
      </c>
      <c r="F1129" s="42" t="s">
        <v>37</v>
      </c>
      <c r="G1129" s="42" t="s">
        <v>38</v>
      </c>
      <c r="H1129" s="43" t="s">
        <v>39</v>
      </c>
      <c r="I1129" s="44" t="s">
        <v>40</v>
      </c>
      <c r="J1129" s="44" t="s">
        <v>41</v>
      </c>
      <c r="K1129" s="42" t="s">
        <v>42</v>
      </c>
      <c r="L1129" s="44" t="s">
        <v>43</v>
      </c>
      <c r="M1129" s="44" t="s">
        <v>44</v>
      </c>
      <c r="N1129" s="45" t="s">
        <v>45</v>
      </c>
    </row>
    <row r="1130" spans="1:14" ht="15.75" x14ac:dyDescent="0.25">
      <c r="A1130" s="46" t="s">
        <v>236</v>
      </c>
      <c r="B1130" s="47" t="s">
        <v>83</v>
      </c>
      <c r="C1130" s="48">
        <v>638768</v>
      </c>
      <c r="D1130" s="48">
        <v>-8726</v>
      </c>
      <c r="E1130" s="48">
        <v>0</v>
      </c>
      <c r="F1130" s="48">
        <v>0</v>
      </c>
      <c r="G1130" s="48">
        <v>0</v>
      </c>
      <c r="H1130" s="48">
        <v>630042</v>
      </c>
      <c r="I1130" s="48">
        <v>0</v>
      </c>
      <c r="J1130" s="48">
        <v>630042</v>
      </c>
      <c r="K1130" s="48">
        <v>0</v>
      </c>
      <c r="L1130" s="48">
        <v>0</v>
      </c>
      <c r="M1130" s="48">
        <v>0</v>
      </c>
      <c r="N1130" s="48">
        <v>630042</v>
      </c>
    </row>
    <row r="1131" spans="1:14" ht="15.75" x14ac:dyDescent="0.25">
      <c r="A1131" s="49" t="s">
        <v>236</v>
      </c>
      <c r="B1131" s="50" t="s">
        <v>48</v>
      </c>
      <c r="C1131" s="51">
        <v>2509</v>
      </c>
      <c r="D1131" s="51">
        <v>0</v>
      </c>
      <c r="E1131" s="51">
        <v>0</v>
      </c>
      <c r="F1131" s="51">
        <v>0</v>
      </c>
      <c r="G1131" s="51">
        <v>0</v>
      </c>
      <c r="H1131" s="51">
        <v>2509</v>
      </c>
      <c r="I1131" s="51">
        <v>0</v>
      </c>
      <c r="J1131" s="51">
        <v>2509</v>
      </c>
      <c r="K1131" s="51">
        <v>0</v>
      </c>
      <c r="L1131" s="51">
        <v>0</v>
      </c>
      <c r="M1131" s="51">
        <v>0</v>
      </c>
      <c r="N1131" s="51">
        <v>2509</v>
      </c>
    </row>
    <row r="1132" spans="1:14" ht="15.75" x14ac:dyDescent="0.25">
      <c r="A1132" s="49" t="s">
        <v>236</v>
      </c>
      <c r="B1132" s="50" t="s">
        <v>49</v>
      </c>
      <c r="C1132" s="51">
        <v>468288</v>
      </c>
      <c r="D1132" s="51">
        <v>0</v>
      </c>
      <c r="E1132" s="51">
        <v>0</v>
      </c>
      <c r="F1132" s="51">
        <v>0</v>
      </c>
      <c r="G1132" s="51">
        <v>0</v>
      </c>
      <c r="H1132" s="51">
        <v>468288</v>
      </c>
      <c r="I1132" s="51">
        <v>0</v>
      </c>
      <c r="J1132" s="51">
        <v>468288</v>
      </c>
      <c r="K1132" s="51">
        <v>0</v>
      </c>
      <c r="L1132" s="51">
        <v>0</v>
      </c>
      <c r="M1132" s="51">
        <v>0</v>
      </c>
      <c r="N1132" s="51">
        <v>468288</v>
      </c>
    </row>
    <row r="1133" spans="1:14" ht="15.75" x14ac:dyDescent="0.25">
      <c r="A1133" s="49" t="s">
        <v>236</v>
      </c>
      <c r="B1133" s="50" t="s">
        <v>51</v>
      </c>
      <c r="C1133" s="51">
        <v>321317</v>
      </c>
      <c r="D1133" s="51">
        <v>0</v>
      </c>
      <c r="E1133" s="51">
        <v>0</v>
      </c>
      <c r="F1133" s="51">
        <v>0</v>
      </c>
      <c r="G1133" s="51">
        <v>0</v>
      </c>
      <c r="H1133" s="51">
        <v>321317</v>
      </c>
      <c r="I1133" s="51">
        <v>0</v>
      </c>
      <c r="J1133" s="51">
        <v>321317</v>
      </c>
      <c r="K1133" s="51">
        <v>0</v>
      </c>
      <c r="L1133" s="51">
        <v>0</v>
      </c>
      <c r="M1133" s="51">
        <v>0</v>
      </c>
      <c r="N1133" s="51">
        <v>321317</v>
      </c>
    </row>
    <row r="1134" spans="1:14" ht="15.75" x14ac:dyDescent="0.25">
      <c r="A1134" s="49" t="s">
        <v>236</v>
      </c>
      <c r="B1134" s="50" t="s">
        <v>53</v>
      </c>
      <c r="C1134" s="51">
        <v>224217</v>
      </c>
      <c r="D1134" s="51">
        <v>0</v>
      </c>
      <c r="E1134" s="51">
        <v>0</v>
      </c>
      <c r="F1134" s="51">
        <v>0</v>
      </c>
      <c r="G1134" s="51">
        <v>0</v>
      </c>
      <c r="H1134" s="51">
        <v>224217</v>
      </c>
      <c r="I1134" s="51">
        <v>0</v>
      </c>
      <c r="J1134" s="51">
        <v>224217</v>
      </c>
      <c r="K1134" s="51">
        <v>0</v>
      </c>
      <c r="L1134" s="51">
        <v>0</v>
      </c>
      <c r="M1134" s="51">
        <v>0</v>
      </c>
      <c r="N1134" s="51">
        <v>224217</v>
      </c>
    </row>
    <row r="1135" spans="1:14" ht="15.75" x14ac:dyDescent="0.25">
      <c r="A1135" s="49" t="s">
        <v>236</v>
      </c>
      <c r="B1135" s="50" t="s">
        <v>55</v>
      </c>
      <c r="C1135" s="51">
        <v>138065</v>
      </c>
      <c r="D1135" s="51">
        <v>0</v>
      </c>
      <c r="E1135" s="51">
        <v>0</v>
      </c>
      <c r="F1135" s="51">
        <v>0</v>
      </c>
      <c r="G1135" s="51">
        <v>0</v>
      </c>
      <c r="H1135" s="51">
        <v>138065</v>
      </c>
      <c r="I1135" s="51">
        <v>0</v>
      </c>
      <c r="J1135" s="51">
        <v>138065</v>
      </c>
      <c r="K1135" s="51">
        <v>0</v>
      </c>
      <c r="L1135" s="51">
        <v>0</v>
      </c>
      <c r="M1135" s="51">
        <v>0</v>
      </c>
      <c r="N1135" s="51">
        <v>138065</v>
      </c>
    </row>
    <row r="1136" spans="1:14" ht="15.75" x14ac:dyDescent="0.25">
      <c r="A1136" s="49" t="s">
        <v>236</v>
      </c>
      <c r="B1136" s="50" t="s">
        <v>57</v>
      </c>
      <c r="C1136" s="51">
        <v>32181</v>
      </c>
      <c r="D1136" s="51">
        <v>0</v>
      </c>
      <c r="E1136" s="51">
        <v>0</v>
      </c>
      <c r="F1136" s="51">
        <v>0</v>
      </c>
      <c r="G1136" s="51">
        <v>0</v>
      </c>
      <c r="H1136" s="51">
        <v>32181</v>
      </c>
      <c r="I1136" s="51">
        <v>0</v>
      </c>
      <c r="J1136" s="51">
        <v>32181</v>
      </c>
      <c r="K1136" s="51">
        <v>0</v>
      </c>
      <c r="L1136" s="51">
        <v>0</v>
      </c>
      <c r="M1136" s="51">
        <v>0</v>
      </c>
      <c r="N1136" s="51">
        <v>32181</v>
      </c>
    </row>
    <row r="1137" spans="1:14" ht="15.75" x14ac:dyDescent="0.25">
      <c r="A1137" s="52" t="s">
        <v>237</v>
      </c>
      <c r="B1137" s="53" t="s">
        <v>8</v>
      </c>
      <c r="C1137" s="19">
        <f>SUBTOTAL(109,Program323[(C)
Program
Costs])</f>
        <v>1825345</v>
      </c>
      <c r="D1137" s="19">
        <f>SUBTOTAL(109,Program323[(D)
Prior Period Adjustments])</f>
        <v>-8726</v>
      </c>
      <c r="E1137" s="19">
        <f>SUBTOTAL(109,Program323[(E)
Current Period Desk 
Reviews])</f>
        <v>0</v>
      </c>
      <c r="F1137" s="19">
        <f>SUBTOTAL(109,Program323[(F)
Current Period 
Final 
Audits])</f>
        <v>0</v>
      </c>
      <c r="G1137" s="19">
        <f>SUBTOTAL(109,Program323[(G)
Current Period 
Other Adjustments])</f>
        <v>0</v>
      </c>
      <c r="H1137" s="19">
        <f>SUBTOTAL(109,Program323[(H)
Net Program Costs
Sum (C through G)])</f>
        <v>1816619</v>
      </c>
      <c r="I1137" s="19">
        <f>SUBTOTAL(109,Program323[(I)
Payments
 and Offsets])</f>
        <v>0</v>
      </c>
      <c r="J1137" s="19">
        <f>SUBTOTAL(109,Program323[(J)
Accounts Payable Balance
(H + I)])</f>
        <v>1816619</v>
      </c>
      <c r="K1137" s="19">
        <f>SUBTOTAL(109,Program323[(K)
Established 
Accounts Receivable])</f>
        <v>0</v>
      </c>
      <c r="L1137" s="19">
        <f>SUBTOTAL(109,Program323[(L)
Recovered
 Accounts Receivable])</f>
        <v>0</v>
      </c>
      <c r="M1137" s="19">
        <f>SUBTOTAL(109,Program323[(M)
Accounts Receivable Balance
(K + L)])</f>
        <v>0</v>
      </c>
      <c r="N1137" s="19">
        <f>SUBTOTAL(109,Program323[(N)
Net Balance
(J minus M)])</f>
        <v>1816619</v>
      </c>
    </row>
    <row r="1138" spans="1:14" ht="15.75" x14ac:dyDescent="0.25">
      <c r="A1138" s="17" t="s">
        <v>13</v>
      </c>
      <c r="B1138" s="54"/>
      <c r="C1138" s="55"/>
      <c r="D1138" s="55"/>
      <c r="E1138" s="55"/>
      <c r="F1138" s="55"/>
      <c r="G1138" s="55"/>
      <c r="H1138" s="55"/>
      <c r="I1138" s="55"/>
      <c r="J1138" s="55"/>
      <c r="K1138" s="55"/>
      <c r="L1138" s="55"/>
      <c r="M1138" s="55"/>
      <c r="N1138" s="55"/>
    </row>
    <row r="1139" spans="1:14" ht="78.75" x14ac:dyDescent="0.25">
      <c r="A1139" s="39" t="s">
        <v>32</v>
      </c>
      <c r="B1139" s="40" t="s">
        <v>33</v>
      </c>
      <c r="C1139" s="41" t="s">
        <v>34</v>
      </c>
      <c r="D1139" s="41" t="s">
        <v>35</v>
      </c>
      <c r="E1139" s="42" t="s">
        <v>36</v>
      </c>
      <c r="F1139" s="42" t="s">
        <v>37</v>
      </c>
      <c r="G1139" s="42" t="s">
        <v>38</v>
      </c>
      <c r="H1139" s="43" t="s">
        <v>39</v>
      </c>
      <c r="I1139" s="44" t="s">
        <v>40</v>
      </c>
      <c r="J1139" s="44" t="s">
        <v>41</v>
      </c>
      <c r="K1139" s="42" t="s">
        <v>42</v>
      </c>
      <c r="L1139" s="44" t="s">
        <v>43</v>
      </c>
      <c r="M1139" s="44" t="s">
        <v>44</v>
      </c>
      <c r="N1139" s="45" t="s">
        <v>45</v>
      </c>
    </row>
    <row r="1140" spans="1:14" ht="30" x14ac:dyDescent="0.25">
      <c r="A1140" s="67" t="s">
        <v>238</v>
      </c>
      <c r="B1140" s="57" t="s">
        <v>81</v>
      </c>
      <c r="C1140" s="58">
        <v>2614437</v>
      </c>
      <c r="D1140" s="58">
        <v>-2614437</v>
      </c>
      <c r="E1140" s="58">
        <v>0</v>
      </c>
      <c r="F1140" s="58">
        <v>0</v>
      </c>
      <c r="G1140" s="58">
        <v>0</v>
      </c>
      <c r="H1140" s="58">
        <v>0</v>
      </c>
      <c r="I1140" s="58">
        <v>0</v>
      </c>
      <c r="J1140" s="58">
        <v>0</v>
      </c>
      <c r="K1140" s="58">
        <v>0</v>
      </c>
      <c r="L1140" s="58">
        <v>0</v>
      </c>
      <c r="M1140" s="58">
        <v>0</v>
      </c>
      <c r="N1140" s="58">
        <v>0</v>
      </c>
    </row>
    <row r="1141" spans="1:14" ht="30" x14ac:dyDescent="0.25">
      <c r="A1141" s="68" t="s">
        <v>238</v>
      </c>
      <c r="B1141" s="60" t="s">
        <v>82</v>
      </c>
      <c r="C1141" s="61">
        <v>2514987</v>
      </c>
      <c r="D1141" s="61">
        <v>-2270536</v>
      </c>
      <c r="E1141" s="61">
        <v>0</v>
      </c>
      <c r="F1141" s="61">
        <v>0</v>
      </c>
      <c r="G1141" s="61">
        <v>0</v>
      </c>
      <c r="H1141" s="61">
        <v>244451</v>
      </c>
      <c r="I1141" s="61">
        <v>0</v>
      </c>
      <c r="J1141" s="61">
        <v>244451</v>
      </c>
      <c r="K1141" s="61">
        <v>0</v>
      </c>
      <c r="L1141" s="61">
        <v>0</v>
      </c>
      <c r="M1141" s="61">
        <v>0</v>
      </c>
      <c r="N1141" s="61">
        <v>244451</v>
      </c>
    </row>
    <row r="1142" spans="1:14" ht="30" x14ac:dyDescent="0.25">
      <c r="A1142" s="68" t="s">
        <v>238</v>
      </c>
      <c r="B1142" s="60" t="s">
        <v>83</v>
      </c>
      <c r="C1142" s="61">
        <v>2402029</v>
      </c>
      <c r="D1142" s="61">
        <v>-2029806</v>
      </c>
      <c r="E1142" s="61">
        <v>0</v>
      </c>
      <c r="F1142" s="61">
        <v>0</v>
      </c>
      <c r="G1142" s="61">
        <v>0</v>
      </c>
      <c r="H1142" s="61">
        <v>372223</v>
      </c>
      <c r="I1142" s="61">
        <v>0</v>
      </c>
      <c r="J1142" s="61">
        <v>372223</v>
      </c>
      <c r="K1142" s="61">
        <v>0</v>
      </c>
      <c r="L1142" s="61">
        <v>0</v>
      </c>
      <c r="M1142" s="61">
        <v>0</v>
      </c>
      <c r="N1142" s="61">
        <v>372223</v>
      </c>
    </row>
    <row r="1143" spans="1:14" ht="30" x14ac:dyDescent="0.25">
      <c r="A1143" s="68" t="s">
        <v>238</v>
      </c>
      <c r="B1143" s="60" t="s">
        <v>48</v>
      </c>
      <c r="C1143" s="61">
        <v>2841846</v>
      </c>
      <c r="D1143" s="61">
        <v>-2464429</v>
      </c>
      <c r="E1143" s="61">
        <v>0</v>
      </c>
      <c r="F1143" s="61">
        <v>0</v>
      </c>
      <c r="G1143" s="61">
        <v>0</v>
      </c>
      <c r="H1143" s="61">
        <v>377417</v>
      </c>
      <c r="I1143" s="61">
        <v>0</v>
      </c>
      <c r="J1143" s="61">
        <v>377417</v>
      </c>
      <c r="K1143" s="61">
        <v>0</v>
      </c>
      <c r="L1143" s="61">
        <v>0</v>
      </c>
      <c r="M1143" s="61">
        <v>0</v>
      </c>
      <c r="N1143" s="61">
        <v>377417</v>
      </c>
    </row>
    <row r="1144" spans="1:14" ht="30" x14ac:dyDescent="0.25">
      <c r="A1144" s="68" t="s">
        <v>238</v>
      </c>
      <c r="B1144" s="60" t="s">
        <v>49</v>
      </c>
      <c r="C1144" s="61">
        <v>2918896</v>
      </c>
      <c r="D1144" s="61">
        <v>-2530984</v>
      </c>
      <c r="E1144" s="61">
        <v>0</v>
      </c>
      <c r="F1144" s="61">
        <v>0</v>
      </c>
      <c r="G1144" s="61">
        <v>0</v>
      </c>
      <c r="H1144" s="61">
        <v>387912</v>
      </c>
      <c r="I1144" s="61">
        <v>0</v>
      </c>
      <c r="J1144" s="61">
        <v>387912</v>
      </c>
      <c r="K1144" s="61">
        <v>0</v>
      </c>
      <c r="L1144" s="61">
        <v>0</v>
      </c>
      <c r="M1144" s="61">
        <v>0</v>
      </c>
      <c r="N1144" s="61">
        <v>387912</v>
      </c>
    </row>
    <row r="1145" spans="1:14" ht="30" x14ac:dyDescent="0.25">
      <c r="A1145" s="68" t="s">
        <v>238</v>
      </c>
      <c r="B1145" s="60" t="s">
        <v>50</v>
      </c>
      <c r="C1145" s="61">
        <v>3528153</v>
      </c>
      <c r="D1145" s="61">
        <v>-2994880</v>
      </c>
      <c r="E1145" s="61">
        <v>0</v>
      </c>
      <c r="F1145" s="61">
        <v>0</v>
      </c>
      <c r="G1145" s="61">
        <v>0</v>
      </c>
      <c r="H1145" s="61">
        <v>533273</v>
      </c>
      <c r="I1145" s="61">
        <v>0</v>
      </c>
      <c r="J1145" s="61">
        <v>533273</v>
      </c>
      <c r="K1145" s="61">
        <v>0</v>
      </c>
      <c r="L1145" s="61">
        <v>0</v>
      </c>
      <c r="M1145" s="61">
        <v>0</v>
      </c>
      <c r="N1145" s="61">
        <v>533273</v>
      </c>
    </row>
    <row r="1146" spans="1:14" ht="30" x14ac:dyDescent="0.25">
      <c r="A1146" s="68" t="s">
        <v>238</v>
      </c>
      <c r="B1146" s="60" t="s">
        <v>51</v>
      </c>
      <c r="C1146" s="61">
        <v>5357738</v>
      </c>
      <c r="D1146" s="61">
        <v>-4444820</v>
      </c>
      <c r="E1146" s="61">
        <v>0</v>
      </c>
      <c r="F1146" s="61">
        <v>0</v>
      </c>
      <c r="G1146" s="61">
        <v>0</v>
      </c>
      <c r="H1146" s="61">
        <v>912918</v>
      </c>
      <c r="I1146" s="61">
        <v>0</v>
      </c>
      <c r="J1146" s="61">
        <v>912918</v>
      </c>
      <c r="K1146" s="61">
        <v>0</v>
      </c>
      <c r="L1146" s="61">
        <v>0</v>
      </c>
      <c r="M1146" s="61">
        <v>0</v>
      </c>
      <c r="N1146" s="61">
        <v>912918</v>
      </c>
    </row>
    <row r="1147" spans="1:14" ht="30" x14ac:dyDescent="0.25">
      <c r="A1147" s="68" t="s">
        <v>238</v>
      </c>
      <c r="B1147" s="60" t="s">
        <v>52</v>
      </c>
      <c r="C1147" s="61">
        <v>5370469</v>
      </c>
      <c r="D1147" s="61">
        <v>-4459535</v>
      </c>
      <c r="E1147" s="61">
        <v>0</v>
      </c>
      <c r="F1147" s="61">
        <v>0</v>
      </c>
      <c r="G1147" s="61">
        <v>0</v>
      </c>
      <c r="H1147" s="61">
        <v>910934</v>
      </c>
      <c r="I1147" s="61">
        <v>0</v>
      </c>
      <c r="J1147" s="61">
        <v>910934</v>
      </c>
      <c r="K1147" s="61">
        <v>0</v>
      </c>
      <c r="L1147" s="61">
        <v>0</v>
      </c>
      <c r="M1147" s="61">
        <v>0</v>
      </c>
      <c r="N1147" s="61">
        <v>910934</v>
      </c>
    </row>
    <row r="1148" spans="1:14" ht="30" x14ac:dyDescent="0.25">
      <c r="A1148" s="68" t="s">
        <v>238</v>
      </c>
      <c r="B1148" s="60" t="s">
        <v>53</v>
      </c>
      <c r="C1148" s="61">
        <v>4851118</v>
      </c>
      <c r="D1148" s="61">
        <v>-3976427</v>
      </c>
      <c r="E1148" s="61">
        <v>0</v>
      </c>
      <c r="F1148" s="61">
        <v>0</v>
      </c>
      <c r="G1148" s="61">
        <v>0</v>
      </c>
      <c r="H1148" s="61">
        <v>874691</v>
      </c>
      <c r="I1148" s="61">
        <v>0</v>
      </c>
      <c r="J1148" s="61">
        <v>874691</v>
      </c>
      <c r="K1148" s="61">
        <v>0</v>
      </c>
      <c r="L1148" s="61">
        <v>0</v>
      </c>
      <c r="M1148" s="61">
        <v>0</v>
      </c>
      <c r="N1148" s="61">
        <v>874691</v>
      </c>
    </row>
    <row r="1149" spans="1:14" ht="30" x14ac:dyDescent="0.25">
      <c r="A1149" s="68" t="s">
        <v>238</v>
      </c>
      <c r="B1149" s="60" t="s">
        <v>54</v>
      </c>
      <c r="C1149" s="61">
        <v>4786659</v>
      </c>
      <c r="D1149" s="61">
        <v>-3969495</v>
      </c>
      <c r="E1149" s="61">
        <v>0</v>
      </c>
      <c r="F1149" s="61">
        <v>0</v>
      </c>
      <c r="G1149" s="61">
        <v>0</v>
      </c>
      <c r="H1149" s="61">
        <v>817164</v>
      </c>
      <c r="I1149" s="61">
        <v>0</v>
      </c>
      <c r="J1149" s="61">
        <v>817164</v>
      </c>
      <c r="K1149" s="61">
        <v>0</v>
      </c>
      <c r="L1149" s="61">
        <v>0</v>
      </c>
      <c r="M1149" s="61">
        <v>0</v>
      </c>
      <c r="N1149" s="61">
        <v>817164</v>
      </c>
    </row>
    <row r="1150" spans="1:14" ht="30" x14ac:dyDescent="0.25">
      <c r="A1150" s="68" t="s">
        <v>238</v>
      </c>
      <c r="B1150" s="60" t="s">
        <v>55</v>
      </c>
      <c r="C1150" s="61">
        <v>4537347</v>
      </c>
      <c r="D1150" s="61">
        <v>-3706180</v>
      </c>
      <c r="E1150" s="61">
        <v>0</v>
      </c>
      <c r="F1150" s="61">
        <v>0</v>
      </c>
      <c r="G1150" s="61">
        <v>0</v>
      </c>
      <c r="H1150" s="61">
        <v>831167</v>
      </c>
      <c r="I1150" s="61">
        <v>0</v>
      </c>
      <c r="J1150" s="61">
        <v>831167</v>
      </c>
      <c r="K1150" s="61">
        <v>0</v>
      </c>
      <c r="L1150" s="61">
        <v>0</v>
      </c>
      <c r="M1150" s="61">
        <v>0</v>
      </c>
      <c r="N1150" s="61">
        <v>831167</v>
      </c>
    </row>
    <row r="1151" spans="1:14" ht="30" x14ac:dyDescent="0.25">
      <c r="A1151" s="68" t="s">
        <v>238</v>
      </c>
      <c r="B1151" s="60" t="s">
        <v>56</v>
      </c>
      <c r="C1151" s="61">
        <v>3820987</v>
      </c>
      <c r="D1151" s="61">
        <v>-3028486</v>
      </c>
      <c r="E1151" s="61">
        <v>0</v>
      </c>
      <c r="F1151" s="61">
        <v>0</v>
      </c>
      <c r="G1151" s="61">
        <v>0</v>
      </c>
      <c r="H1151" s="61">
        <v>792501</v>
      </c>
      <c r="I1151" s="61">
        <v>0</v>
      </c>
      <c r="J1151" s="61">
        <v>792501</v>
      </c>
      <c r="K1151" s="61">
        <v>0</v>
      </c>
      <c r="L1151" s="61">
        <v>0</v>
      </c>
      <c r="M1151" s="61">
        <v>0</v>
      </c>
      <c r="N1151" s="61">
        <v>792501</v>
      </c>
    </row>
    <row r="1152" spans="1:14" ht="15.75" x14ac:dyDescent="0.25">
      <c r="A1152" s="52" t="s">
        <v>239</v>
      </c>
      <c r="B1152" s="53" t="s">
        <v>8</v>
      </c>
      <c r="C1152" s="19">
        <f>SUBTOTAL(109,Program314[(C)
Program
Costs])</f>
        <v>45544666</v>
      </c>
      <c r="D1152" s="19">
        <f>SUBTOTAL(109,Program314[(D)
Prior Period Adjustments])</f>
        <v>-38490015</v>
      </c>
      <c r="E1152" s="19">
        <f>SUBTOTAL(109,Program314[(E)
Current Period Desk 
Reviews])</f>
        <v>0</v>
      </c>
      <c r="F1152" s="19">
        <f>SUBTOTAL(109,Program314[(F)
Current Period 
Final 
Audits])</f>
        <v>0</v>
      </c>
      <c r="G1152" s="19">
        <f>SUBTOTAL(109,Program314[(G)
Current Period 
Other Adjustments])</f>
        <v>0</v>
      </c>
      <c r="H1152" s="19">
        <f>SUBTOTAL(109,Program314[(H)
Net Program Costs
Sum (C through G)])</f>
        <v>7054651</v>
      </c>
      <c r="I1152" s="19">
        <f>SUBTOTAL(109,Program314[(I)
Payments
 and Offsets])</f>
        <v>0</v>
      </c>
      <c r="J1152" s="19">
        <f>SUBTOTAL(109,Program314[(J)
Accounts Payable Balance
(H + I)])</f>
        <v>7054651</v>
      </c>
      <c r="K1152" s="19">
        <f>SUBTOTAL(109,Program314[(K)
Established 
Accounts Receivable])</f>
        <v>0</v>
      </c>
      <c r="L1152" s="19">
        <f>SUBTOTAL(109,Program314[(L)
Recovered
 Accounts Receivable])</f>
        <v>0</v>
      </c>
      <c r="M1152" s="19">
        <f>SUBTOTAL(109,Program314[(M)
Accounts Receivable Balance
(K + L)])</f>
        <v>0</v>
      </c>
      <c r="N1152" s="19">
        <f>SUBTOTAL(109,Program314[(N)
Net Balance
(J minus M)])</f>
        <v>7054651</v>
      </c>
    </row>
    <row r="1153" spans="1:14" ht="15.75" x14ac:dyDescent="0.25">
      <c r="A1153" s="17" t="s">
        <v>13</v>
      </c>
      <c r="B1153" s="54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78.75" x14ac:dyDescent="0.25">
      <c r="A1154" s="39" t="s">
        <v>32</v>
      </c>
      <c r="B1154" s="40" t="s">
        <v>33</v>
      </c>
      <c r="C1154" s="41" t="s">
        <v>34</v>
      </c>
      <c r="D1154" s="41" t="s">
        <v>35</v>
      </c>
      <c r="E1154" s="42" t="s">
        <v>36</v>
      </c>
      <c r="F1154" s="42" t="s">
        <v>37</v>
      </c>
      <c r="G1154" s="42" t="s">
        <v>38</v>
      </c>
      <c r="H1154" s="43" t="s">
        <v>39</v>
      </c>
      <c r="I1154" s="44" t="s">
        <v>40</v>
      </c>
      <c r="J1154" s="44" t="s">
        <v>41</v>
      </c>
      <c r="K1154" s="42" t="s">
        <v>42</v>
      </c>
      <c r="L1154" s="44" t="s">
        <v>43</v>
      </c>
      <c r="M1154" s="44" t="s">
        <v>44</v>
      </c>
      <c r="N1154" s="45" t="s">
        <v>45</v>
      </c>
    </row>
    <row r="1155" spans="1:14" ht="15.75" x14ac:dyDescent="0.25">
      <c r="A1155" s="46" t="s">
        <v>240</v>
      </c>
      <c r="B1155" s="47" t="s">
        <v>58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250957</v>
      </c>
      <c r="L1155" s="48">
        <v>-250957</v>
      </c>
      <c r="M1155" s="48">
        <v>0</v>
      </c>
      <c r="N1155" s="48">
        <v>0</v>
      </c>
    </row>
    <row r="1156" spans="1:14" ht="15.75" x14ac:dyDescent="0.25">
      <c r="A1156" s="49" t="s">
        <v>240</v>
      </c>
      <c r="B1156" s="50" t="s">
        <v>59</v>
      </c>
      <c r="C1156" s="51">
        <v>202056</v>
      </c>
      <c r="D1156" s="51">
        <v>-1000</v>
      </c>
      <c r="E1156" s="51">
        <v>0</v>
      </c>
      <c r="F1156" s="51">
        <v>0</v>
      </c>
      <c r="G1156" s="51">
        <v>0</v>
      </c>
      <c r="H1156" s="51">
        <v>201056</v>
      </c>
      <c r="I1156" s="51">
        <v>-201056</v>
      </c>
      <c r="J1156" s="51">
        <v>0</v>
      </c>
      <c r="K1156" s="51">
        <v>0</v>
      </c>
      <c r="L1156" s="51">
        <v>0</v>
      </c>
      <c r="M1156" s="51">
        <v>0</v>
      </c>
      <c r="N1156" s="51">
        <v>0</v>
      </c>
    </row>
    <row r="1157" spans="1:14" ht="15.75" x14ac:dyDescent="0.25">
      <c r="A1157" s="49" t="s">
        <v>240</v>
      </c>
      <c r="B1157" s="50" t="s">
        <v>60</v>
      </c>
      <c r="C1157" s="51">
        <v>763889</v>
      </c>
      <c r="D1157" s="51">
        <v>0</v>
      </c>
      <c r="E1157" s="51">
        <v>0</v>
      </c>
      <c r="F1157" s="51">
        <v>0</v>
      </c>
      <c r="G1157" s="51">
        <v>0</v>
      </c>
      <c r="H1157" s="51">
        <v>763889</v>
      </c>
      <c r="I1157" s="51">
        <v>-763889</v>
      </c>
      <c r="J1157" s="51">
        <v>0</v>
      </c>
      <c r="K1157" s="51">
        <v>0</v>
      </c>
      <c r="L1157" s="51">
        <v>0</v>
      </c>
      <c r="M1157" s="51">
        <v>0</v>
      </c>
      <c r="N1157" s="51">
        <v>0</v>
      </c>
    </row>
    <row r="1158" spans="1:14" ht="15.75" x14ac:dyDescent="0.25">
      <c r="A1158" s="49" t="s">
        <v>240</v>
      </c>
      <c r="B1158" s="50" t="s">
        <v>61</v>
      </c>
      <c r="C1158" s="51">
        <v>1055705</v>
      </c>
      <c r="D1158" s="51">
        <v>-2528</v>
      </c>
      <c r="E1158" s="51">
        <v>0</v>
      </c>
      <c r="F1158" s="51">
        <v>0</v>
      </c>
      <c r="G1158" s="51">
        <v>0</v>
      </c>
      <c r="H1158" s="51">
        <v>1053177</v>
      </c>
      <c r="I1158" s="51">
        <v>-1053177</v>
      </c>
      <c r="J1158" s="51">
        <v>0</v>
      </c>
      <c r="K1158" s="51">
        <v>2528</v>
      </c>
      <c r="L1158" s="51">
        <v>-2528</v>
      </c>
      <c r="M1158" s="51">
        <v>0</v>
      </c>
      <c r="N1158" s="51">
        <v>0</v>
      </c>
    </row>
    <row r="1159" spans="1:14" ht="15.75" x14ac:dyDescent="0.25">
      <c r="A1159" s="49" t="s">
        <v>240</v>
      </c>
      <c r="B1159" s="50" t="s">
        <v>62</v>
      </c>
      <c r="C1159" s="51">
        <v>2280145</v>
      </c>
      <c r="D1159" s="51">
        <v>-9335</v>
      </c>
      <c r="E1159" s="51">
        <v>0</v>
      </c>
      <c r="F1159" s="51">
        <v>0</v>
      </c>
      <c r="G1159" s="51">
        <v>0</v>
      </c>
      <c r="H1159" s="51">
        <v>2270810</v>
      </c>
      <c r="I1159" s="51">
        <v>-2270810</v>
      </c>
      <c r="J1159" s="51">
        <v>0</v>
      </c>
      <c r="K1159" s="51">
        <v>26217</v>
      </c>
      <c r="L1159" s="51">
        <v>-26217</v>
      </c>
      <c r="M1159" s="51">
        <v>0</v>
      </c>
      <c r="N1159" s="51">
        <v>0</v>
      </c>
    </row>
    <row r="1160" spans="1:14" ht="15.75" x14ac:dyDescent="0.25">
      <c r="A1160" s="49" t="s">
        <v>240</v>
      </c>
      <c r="B1160" s="50" t="s">
        <v>63</v>
      </c>
      <c r="C1160" s="51">
        <v>1527581</v>
      </c>
      <c r="D1160" s="51">
        <v>-10724</v>
      </c>
      <c r="E1160" s="51">
        <v>0</v>
      </c>
      <c r="F1160" s="51">
        <v>0</v>
      </c>
      <c r="G1160" s="51">
        <v>0</v>
      </c>
      <c r="H1160" s="51">
        <v>1516857</v>
      </c>
      <c r="I1160" s="51">
        <v>-1516857</v>
      </c>
      <c r="J1160" s="51">
        <v>0</v>
      </c>
      <c r="K1160" s="51">
        <v>0</v>
      </c>
      <c r="L1160" s="51">
        <v>0</v>
      </c>
      <c r="M1160" s="51">
        <v>0</v>
      </c>
      <c r="N1160" s="51">
        <v>0</v>
      </c>
    </row>
    <row r="1161" spans="1:14" ht="15.75" x14ac:dyDescent="0.25">
      <c r="A1161" s="49" t="s">
        <v>240</v>
      </c>
      <c r="B1161" s="50" t="s">
        <v>64</v>
      </c>
      <c r="C1161" s="51">
        <v>966089</v>
      </c>
      <c r="D1161" s="51">
        <v>-8265</v>
      </c>
      <c r="E1161" s="51">
        <v>0</v>
      </c>
      <c r="F1161" s="51">
        <v>0</v>
      </c>
      <c r="G1161" s="51">
        <v>0</v>
      </c>
      <c r="H1161" s="51">
        <v>957824</v>
      </c>
      <c r="I1161" s="51">
        <v>-957824</v>
      </c>
      <c r="J1161" s="51">
        <v>0</v>
      </c>
      <c r="K1161" s="51">
        <v>0</v>
      </c>
      <c r="L1161" s="51">
        <v>0</v>
      </c>
      <c r="M1161" s="51">
        <v>0</v>
      </c>
      <c r="N1161" s="51">
        <v>0</v>
      </c>
    </row>
    <row r="1162" spans="1:14" ht="15.75" x14ac:dyDescent="0.25">
      <c r="A1162" s="49" t="s">
        <v>240</v>
      </c>
      <c r="B1162" s="50" t="s">
        <v>65</v>
      </c>
      <c r="C1162" s="51">
        <v>1460778</v>
      </c>
      <c r="D1162" s="51">
        <v>-10502</v>
      </c>
      <c r="E1162" s="51">
        <v>0</v>
      </c>
      <c r="F1162" s="51">
        <v>0</v>
      </c>
      <c r="G1162" s="51">
        <v>0</v>
      </c>
      <c r="H1162" s="51">
        <v>1450276</v>
      </c>
      <c r="I1162" s="51">
        <v>-1450276</v>
      </c>
      <c r="J1162" s="51">
        <v>0</v>
      </c>
      <c r="K1162" s="51">
        <v>1185</v>
      </c>
      <c r="L1162" s="51">
        <v>-1185</v>
      </c>
      <c r="M1162" s="51">
        <v>0</v>
      </c>
      <c r="N1162" s="51">
        <v>0</v>
      </c>
    </row>
    <row r="1163" spans="1:14" ht="15.75" x14ac:dyDescent="0.25">
      <c r="A1163" s="49" t="s">
        <v>240</v>
      </c>
      <c r="B1163" s="50" t="s">
        <v>66</v>
      </c>
      <c r="C1163" s="51">
        <v>1704320</v>
      </c>
      <c r="D1163" s="51">
        <v>-9367</v>
      </c>
      <c r="E1163" s="51">
        <v>0</v>
      </c>
      <c r="F1163" s="51">
        <v>0</v>
      </c>
      <c r="G1163" s="51">
        <v>0</v>
      </c>
      <c r="H1163" s="51">
        <v>1694953</v>
      </c>
      <c r="I1163" s="51">
        <v>-1694953</v>
      </c>
      <c r="J1163" s="51">
        <v>0</v>
      </c>
      <c r="K1163" s="51">
        <v>8367</v>
      </c>
      <c r="L1163" s="51">
        <v>-8367</v>
      </c>
      <c r="M1163" s="51">
        <v>0</v>
      </c>
      <c r="N1163" s="51">
        <v>0</v>
      </c>
    </row>
    <row r="1164" spans="1:14" ht="15.75" x14ac:dyDescent="0.25">
      <c r="A1164" s="49" t="s">
        <v>240</v>
      </c>
      <c r="B1164" s="50" t="s">
        <v>67</v>
      </c>
      <c r="C1164" s="51">
        <v>1644014</v>
      </c>
      <c r="D1164" s="51">
        <v>-11512</v>
      </c>
      <c r="E1164" s="51">
        <v>0</v>
      </c>
      <c r="F1164" s="51">
        <v>0</v>
      </c>
      <c r="G1164" s="51">
        <v>0</v>
      </c>
      <c r="H1164" s="51">
        <v>1632502</v>
      </c>
      <c r="I1164" s="51">
        <v>-1632502</v>
      </c>
      <c r="J1164" s="51">
        <v>0</v>
      </c>
      <c r="K1164" s="51">
        <v>10512</v>
      </c>
      <c r="L1164" s="51">
        <v>-10512</v>
      </c>
      <c r="M1164" s="51">
        <v>0</v>
      </c>
      <c r="N1164" s="51">
        <v>0</v>
      </c>
    </row>
    <row r="1165" spans="1:14" ht="15.75" x14ac:dyDescent="0.25">
      <c r="A1165" s="49" t="s">
        <v>240</v>
      </c>
      <c r="B1165" s="50" t="s">
        <v>68</v>
      </c>
      <c r="C1165" s="51">
        <v>1487197</v>
      </c>
      <c r="D1165" s="51">
        <v>-9878</v>
      </c>
      <c r="E1165" s="51">
        <v>0</v>
      </c>
      <c r="F1165" s="51">
        <v>0</v>
      </c>
      <c r="G1165" s="51">
        <v>0</v>
      </c>
      <c r="H1165" s="51">
        <v>1477319</v>
      </c>
      <c r="I1165" s="51">
        <v>-1477319</v>
      </c>
      <c r="J1165" s="51">
        <v>0</v>
      </c>
      <c r="K1165" s="51">
        <v>8878</v>
      </c>
      <c r="L1165" s="51">
        <v>-8878</v>
      </c>
      <c r="M1165" s="51">
        <v>0</v>
      </c>
      <c r="N1165" s="51">
        <v>0</v>
      </c>
    </row>
    <row r="1166" spans="1:14" ht="15.75" x14ac:dyDescent="0.25">
      <c r="A1166" s="49" t="s">
        <v>240</v>
      </c>
      <c r="B1166" s="50" t="s">
        <v>69</v>
      </c>
      <c r="C1166" s="51">
        <v>1387109</v>
      </c>
      <c r="D1166" s="51">
        <v>-10969</v>
      </c>
      <c r="E1166" s="51">
        <v>0</v>
      </c>
      <c r="F1166" s="51">
        <v>0</v>
      </c>
      <c r="G1166" s="51">
        <v>0</v>
      </c>
      <c r="H1166" s="51">
        <v>1376140</v>
      </c>
      <c r="I1166" s="51">
        <v>-1376140</v>
      </c>
      <c r="J1166" s="51">
        <v>0</v>
      </c>
      <c r="K1166" s="51">
        <v>9969</v>
      </c>
      <c r="L1166" s="51">
        <v>-9969</v>
      </c>
      <c r="M1166" s="51">
        <v>0</v>
      </c>
      <c r="N1166" s="51">
        <v>0</v>
      </c>
    </row>
    <row r="1167" spans="1:14" ht="15.75" x14ac:dyDescent="0.25">
      <c r="A1167" s="49" t="s">
        <v>240</v>
      </c>
      <c r="B1167" s="50" t="s">
        <v>115</v>
      </c>
      <c r="C1167" s="51">
        <v>1800259</v>
      </c>
      <c r="D1167" s="51">
        <v>-8462</v>
      </c>
      <c r="E1167" s="51">
        <v>0</v>
      </c>
      <c r="F1167" s="51">
        <v>0</v>
      </c>
      <c r="G1167" s="51">
        <v>0</v>
      </c>
      <c r="H1167" s="51">
        <v>1791797</v>
      </c>
      <c r="I1167" s="51">
        <v>-1791797</v>
      </c>
      <c r="J1167" s="51">
        <v>0</v>
      </c>
      <c r="K1167" s="51">
        <v>8462</v>
      </c>
      <c r="L1167" s="51">
        <v>-8462</v>
      </c>
      <c r="M1167" s="51">
        <v>0</v>
      </c>
      <c r="N1167" s="51">
        <v>0</v>
      </c>
    </row>
    <row r="1168" spans="1:14" ht="15.75" x14ac:dyDescent="0.25">
      <c r="A1168" s="49" t="s">
        <v>240</v>
      </c>
      <c r="B1168" s="50" t="s">
        <v>99</v>
      </c>
      <c r="C1168" s="51">
        <v>1271931</v>
      </c>
      <c r="D1168" s="51">
        <v>-7860</v>
      </c>
      <c r="E1168" s="51">
        <v>0</v>
      </c>
      <c r="F1168" s="51">
        <v>0</v>
      </c>
      <c r="G1168" s="51">
        <v>0</v>
      </c>
      <c r="H1168" s="51">
        <v>1264071</v>
      </c>
      <c r="I1168" s="51">
        <v>-1264071</v>
      </c>
      <c r="J1168" s="51">
        <v>0</v>
      </c>
      <c r="K1168" s="51">
        <v>6860</v>
      </c>
      <c r="L1168" s="51">
        <v>-6860</v>
      </c>
      <c r="M1168" s="51">
        <v>0</v>
      </c>
      <c r="N1168" s="51">
        <v>0</v>
      </c>
    </row>
    <row r="1169" spans="1:14" ht="15.75" x14ac:dyDescent="0.25">
      <c r="A1169" s="49" t="s">
        <v>240</v>
      </c>
      <c r="B1169" s="50" t="s">
        <v>100</v>
      </c>
      <c r="C1169" s="51">
        <v>1225333</v>
      </c>
      <c r="D1169" s="51">
        <v>-6669</v>
      </c>
      <c r="E1169" s="51">
        <v>0</v>
      </c>
      <c r="F1169" s="51">
        <v>0</v>
      </c>
      <c r="G1169" s="51">
        <v>0</v>
      </c>
      <c r="H1169" s="51">
        <v>1218664</v>
      </c>
      <c r="I1169" s="51">
        <v>-1218664</v>
      </c>
      <c r="J1169" s="51">
        <v>0</v>
      </c>
      <c r="K1169" s="51">
        <v>6384</v>
      </c>
      <c r="L1169" s="51">
        <v>-6384</v>
      </c>
      <c r="M1169" s="51">
        <v>0</v>
      </c>
      <c r="N1169" s="51">
        <v>0</v>
      </c>
    </row>
    <row r="1170" spans="1:14" ht="15.75" x14ac:dyDescent="0.25">
      <c r="A1170" s="49" t="s">
        <v>240</v>
      </c>
      <c r="B1170" s="50" t="s">
        <v>176</v>
      </c>
      <c r="C1170" s="51">
        <v>505084</v>
      </c>
      <c r="D1170" s="51">
        <v>-7353</v>
      </c>
      <c r="E1170" s="51">
        <v>0</v>
      </c>
      <c r="F1170" s="51">
        <v>0</v>
      </c>
      <c r="G1170" s="51">
        <v>0</v>
      </c>
      <c r="H1170" s="51">
        <v>497731</v>
      </c>
      <c r="I1170" s="51">
        <v>-497731</v>
      </c>
      <c r="J1170" s="51">
        <v>0</v>
      </c>
      <c r="K1170" s="51">
        <v>6397</v>
      </c>
      <c r="L1170" s="51">
        <v>-6397</v>
      </c>
      <c r="M1170" s="51">
        <v>0</v>
      </c>
      <c r="N1170" s="51">
        <v>0</v>
      </c>
    </row>
    <row r="1171" spans="1:14" ht="15.75" x14ac:dyDescent="0.25">
      <c r="A1171" s="49" t="s">
        <v>240</v>
      </c>
      <c r="B1171" s="50" t="s">
        <v>241</v>
      </c>
      <c r="C1171" s="51">
        <v>409954</v>
      </c>
      <c r="D1171" s="51">
        <v>-7820</v>
      </c>
      <c r="E1171" s="51">
        <v>0</v>
      </c>
      <c r="F1171" s="51">
        <v>0</v>
      </c>
      <c r="G1171" s="51">
        <v>0</v>
      </c>
      <c r="H1171" s="51">
        <v>402134</v>
      </c>
      <c r="I1171" s="51">
        <v>-402134</v>
      </c>
      <c r="J1171" s="51">
        <v>0</v>
      </c>
      <c r="K1171" s="51">
        <v>6247</v>
      </c>
      <c r="L1171" s="51">
        <v>-6247</v>
      </c>
      <c r="M1171" s="51">
        <v>0</v>
      </c>
      <c r="N1171" s="51">
        <v>0</v>
      </c>
    </row>
    <row r="1172" spans="1:14" ht="15.75" x14ac:dyDescent="0.25">
      <c r="A1172" s="49" t="s">
        <v>240</v>
      </c>
      <c r="B1172" s="50" t="s">
        <v>242</v>
      </c>
      <c r="C1172" s="51">
        <v>303796</v>
      </c>
      <c r="D1172" s="51">
        <v>-7243</v>
      </c>
      <c r="E1172" s="51">
        <v>0</v>
      </c>
      <c r="F1172" s="51">
        <v>0</v>
      </c>
      <c r="G1172" s="51">
        <v>0</v>
      </c>
      <c r="H1172" s="51">
        <v>296553</v>
      </c>
      <c r="I1172" s="51">
        <v>-296553</v>
      </c>
      <c r="J1172" s="51">
        <v>0</v>
      </c>
      <c r="K1172" s="51">
        <v>7243</v>
      </c>
      <c r="L1172" s="51">
        <v>-7243</v>
      </c>
      <c r="M1172" s="51">
        <v>0</v>
      </c>
      <c r="N1172" s="51">
        <v>0</v>
      </c>
    </row>
    <row r="1173" spans="1:14" ht="15.75" x14ac:dyDescent="0.25">
      <c r="A1173" s="49" t="s">
        <v>240</v>
      </c>
      <c r="B1173" s="50" t="s">
        <v>243</v>
      </c>
      <c r="C1173" s="51">
        <v>264962</v>
      </c>
      <c r="D1173" s="51">
        <v>-5336</v>
      </c>
      <c r="E1173" s="51">
        <v>0</v>
      </c>
      <c r="F1173" s="51">
        <v>0</v>
      </c>
      <c r="G1173" s="51">
        <v>0</v>
      </c>
      <c r="H1173" s="51">
        <v>259626</v>
      </c>
      <c r="I1173" s="51">
        <v>-259626</v>
      </c>
      <c r="J1173" s="51">
        <v>0</v>
      </c>
      <c r="K1173" s="51">
        <v>5336</v>
      </c>
      <c r="L1173" s="51">
        <v>-5336</v>
      </c>
      <c r="M1173" s="51">
        <v>0</v>
      </c>
      <c r="N1173" s="51">
        <v>0</v>
      </c>
    </row>
    <row r="1174" spans="1:14" ht="15.75" x14ac:dyDescent="0.25">
      <c r="A1174" s="49" t="s">
        <v>240</v>
      </c>
      <c r="B1174" s="50" t="s">
        <v>244</v>
      </c>
      <c r="C1174" s="51">
        <v>193414</v>
      </c>
      <c r="D1174" s="51">
        <v>-5784</v>
      </c>
      <c r="E1174" s="51">
        <v>0</v>
      </c>
      <c r="F1174" s="51">
        <v>0</v>
      </c>
      <c r="G1174" s="51">
        <v>0</v>
      </c>
      <c r="H1174" s="51">
        <v>187630</v>
      </c>
      <c r="I1174" s="51">
        <v>-187630</v>
      </c>
      <c r="J1174" s="51">
        <v>0</v>
      </c>
      <c r="K1174" s="51">
        <v>5784</v>
      </c>
      <c r="L1174" s="51">
        <v>-5784</v>
      </c>
      <c r="M1174" s="51">
        <v>0</v>
      </c>
      <c r="N1174" s="51">
        <v>0</v>
      </c>
    </row>
    <row r="1175" spans="1:14" ht="15.75" x14ac:dyDescent="0.25">
      <c r="A1175" s="49" t="s">
        <v>240</v>
      </c>
      <c r="B1175" s="50" t="s">
        <v>245</v>
      </c>
      <c r="C1175" s="51">
        <v>90495</v>
      </c>
      <c r="D1175" s="51">
        <v>-2478</v>
      </c>
      <c r="E1175" s="51">
        <v>0</v>
      </c>
      <c r="F1175" s="51">
        <v>0</v>
      </c>
      <c r="G1175" s="51">
        <v>0</v>
      </c>
      <c r="H1175" s="51">
        <v>88017</v>
      </c>
      <c r="I1175" s="51">
        <v>-88017</v>
      </c>
      <c r="J1175" s="51">
        <v>0</v>
      </c>
      <c r="K1175" s="51">
        <v>2478</v>
      </c>
      <c r="L1175" s="51">
        <v>-2478</v>
      </c>
      <c r="M1175" s="51">
        <v>0</v>
      </c>
      <c r="N1175" s="51">
        <v>0</v>
      </c>
    </row>
    <row r="1176" spans="1:14" ht="15.75" x14ac:dyDescent="0.25">
      <c r="A1176" s="49" t="s">
        <v>240</v>
      </c>
      <c r="B1176" s="50" t="s">
        <v>246</v>
      </c>
      <c r="C1176" s="51">
        <v>96102</v>
      </c>
      <c r="D1176" s="51">
        <v>-3324</v>
      </c>
      <c r="E1176" s="51">
        <v>0</v>
      </c>
      <c r="F1176" s="51">
        <v>0</v>
      </c>
      <c r="G1176" s="51">
        <v>0</v>
      </c>
      <c r="H1176" s="51">
        <v>92778</v>
      </c>
      <c r="I1176" s="51">
        <v>-92778</v>
      </c>
      <c r="J1176" s="51">
        <v>0</v>
      </c>
      <c r="K1176" s="51">
        <v>3324</v>
      </c>
      <c r="L1176" s="51">
        <v>-3324</v>
      </c>
      <c r="M1176" s="51">
        <v>0</v>
      </c>
      <c r="N1176" s="51">
        <v>0</v>
      </c>
    </row>
    <row r="1177" spans="1:14" ht="15.75" x14ac:dyDescent="0.25">
      <c r="A1177" s="52" t="s">
        <v>247</v>
      </c>
      <c r="B1177" s="53" t="s">
        <v>8</v>
      </c>
      <c r="C1177" s="19">
        <f>SUBTOTAL(109,Program147[(C)
Program
Costs])</f>
        <v>20640213</v>
      </c>
      <c r="D1177" s="19">
        <f>SUBTOTAL(109,Program147[(D)
Prior Period Adjustments])</f>
        <v>-146409</v>
      </c>
      <c r="E1177" s="19">
        <f>SUBTOTAL(109,Program147[(E)
Current Period Desk 
Reviews])</f>
        <v>0</v>
      </c>
      <c r="F1177" s="19">
        <f>SUBTOTAL(109,Program147[(F)
Current Period 
Final 
Audits])</f>
        <v>0</v>
      </c>
      <c r="G1177" s="19">
        <f>SUBTOTAL(109,Program147[(G)
Current Period 
Other Adjustments])</f>
        <v>0</v>
      </c>
      <c r="H1177" s="19">
        <f>SUBTOTAL(109,Program147[(H)
Net Program Costs
Sum (C through G)])</f>
        <v>20493804</v>
      </c>
      <c r="I1177" s="19">
        <f>SUBTOTAL(109,Program147[(I)
Payments
 and Offsets])</f>
        <v>-20493804</v>
      </c>
      <c r="J1177" s="19">
        <f>SUBTOTAL(109,Program147[(J)
Accounts Payable Balance
(H + I)])</f>
        <v>0</v>
      </c>
      <c r="K1177" s="19">
        <f>SUBTOTAL(109,Program147[(K)
Established 
Accounts Receivable])</f>
        <v>377128</v>
      </c>
      <c r="L1177" s="19">
        <f>SUBTOTAL(109,Program147[(L)
Recovered
 Accounts Receivable])</f>
        <v>-377128</v>
      </c>
      <c r="M1177" s="19">
        <f>SUBTOTAL(109,Program147[(M)
Accounts Receivable Balance
(K + L)])</f>
        <v>0</v>
      </c>
      <c r="N1177" s="19">
        <f>SUBTOTAL(109,Program147[(N)
Net Balance
(J minus M)])</f>
        <v>0</v>
      </c>
    </row>
    <row r="1178" spans="1:14" ht="15.75" x14ac:dyDescent="0.25">
      <c r="A1178" s="17" t="s">
        <v>13</v>
      </c>
      <c r="B1178" s="54"/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</row>
    <row r="1179" spans="1:14" ht="78.75" x14ac:dyDescent="0.25">
      <c r="A1179" s="39" t="s">
        <v>32</v>
      </c>
      <c r="B1179" s="40" t="s">
        <v>33</v>
      </c>
      <c r="C1179" s="41" t="s">
        <v>34</v>
      </c>
      <c r="D1179" s="41" t="s">
        <v>35</v>
      </c>
      <c r="E1179" s="42" t="s">
        <v>36</v>
      </c>
      <c r="F1179" s="42" t="s">
        <v>37</v>
      </c>
      <c r="G1179" s="42" t="s">
        <v>38</v>
      </c>
      <c r="H1179" s="43" t="s">
        <v>39</v>
      </c>
      <c r="I1179" s="44" t="s">
        <v>40</v>
      </c>
      <c r="J1179" s="44" t="s">
        <v>41</v>
      </c>
      <c r="K1179" s="42" t="s">
        <v>42</v>
      </c>
      <c r="L1179" s="44" t="s">
        <v>43</v>
      </c>
      <c r="M1179" s="44" t="s">
        <v>44</v>
      </c>
      <c r="N1179" s="45" t="s">
        <v>45</v>
      </c>
    </row>
    <row r="1180" spans="1:14" ht="15.75" x14ac:dyDescent="0.25">
      <c r="A1180" s="46" t="s">
        <v>248</v>
      </c>
      <c r="B1180" s="47" t="s">
        <v>49</v>
      </c>
      <c r="C1180" s="48">
        <v>121113</v>
      </c>
      <c r="D1180" s="48">
        <v>-211</v>
      </c>
      <c r="E1180" s="48">
        <v>0</v>
      </c>
      <c r="F1180" s="48">
        <v>0</v>
      </c>
      <c r="G1180" s="48">
        <v>0</v>
      </c>
      <c r="H1180" s="48">
        <v>120902</v>
      </c>
      <c r="I1180" s="48">
        <v>0</v>
      </c>
      <c r="J1180" s="48">
        <v>120902</v>
      </c>
      <c r="K1180" s="48">
        <v>0</v>
      </c>
      <c r="L1180" s="48">
        <v>0</v>
      </c>
      <c r="M1180" s="48">
        <v>0</v>
      </c>
      <c r="N1180" s="48">
        <v>120902</v>
      </c>
    </row>
    <row r="1181" spans="1:14" ht="15.75" x14ac:dyDescent="0.25">
      <c r="A1181" s="49" t="s">
        <v>248</v>
      </c>
      <c r="B1181" s="50" t="s">
        <v>50</v>
      </c>
      <c r="C1181" s="51">
        <v>2750642</v>
      </c>
      <c r="D1181" s="51">
        <v>-1162</v>
      </c>
      <c r="E1181" s="51">
        <v>0</v>
      </c>
      <c r="F1181" s="51">
        <v>0</v>
      </c>
      <c r="G1181" s="51">
        <v>0</v>
      </c>
      <c r="H1181" s="51">
        <v>2749480</v>
      </c>
      <c r="I1181" s="51">
        <v>0</v>
      </c>
      <c r="J1181" s="51">
        <v>2749480</v>
      </c>
      <c r="K1181" s="51">
        <v>0</v>
      </c>
      <c r="L1181" s="51">
        <v>0</v>
      </c>
      <c r="M1181" s="51">
        <v>0</v>
      </c>
      <c r="N1181" s="51">
        <v>2749480</v>
      </c>
    </row>
    <row r="1182" spans="1:14" ht="15.75" x14ac:dyDescent="0.25">
      <c r="A1182" s="49" t="s">
        <v>248</v>
      </c>
      <c r="B1182" s="50" t="s">
        <v>51</v>
      </c>
      <c r="C1182" s="51">
        <v>2440141</v>
      </c>
      <c r="D1182" s="51">
        <v>-101894</v>
      </c>
      <c r="E1182" s="51">
        <v>0</v>
      </c>
      <c r="F1182" s="51">
        <v>0</v>
      </c>
      <c r="G1182" s="51">
        <v>0</v>
      </c>
      <c r="H1182" s="51">
        <v>2338247</v>
      </c>
      <c r="I1182" s="51">
        <v>0</v>
      </c>
      <c r="J1182" s="51">
        <v>2338247</v>
      </c>
      <c r="K1182" s="51">
        <v>0</v>
      </c>
      <c r="L1182" s="51">
        <v>0</v>
      </c>
      <c r="M1182" s="51">
        <v>0</v>
      </c>
      <c r="N1182" s="51">
        <v>2338247</v>
      </c>
    </row>
    <row r="1183" spans="1:14" ht="15.75" x14ac:dyDescent="0.25">
      <c r="A1183" s="49" t="s">
        <v>248</v>
      </c>
      <c r="B1183" s="50" t="s">
        <v>52</v>
      </c>
      <c r="C1183" s="51">
        <v>1757317</v>
      </c>
      <c r="D1183" s="51">
        <v>-49340</v>
      </c>
      <c r="E1183" s="51">
        <v>0</v>
      </c>
      <c r="F1183" s="51">
        <v>0</v>
      </c>
      <c r="G1183" s="51">
        <v>0</v>
      </c>
      <c r="H1183" s="51">
        <v>1707977</v>
      </c>
      <c r="I1183" s="51">
        <v>-1702574</v>
      </c>
      <c r="J1183" s="51">
        <v>5403</v>
      </c>
      <c r="K1183" s="51">
        <v>439438</v>
      </c>
      <c r="L1183" s="51">
        <v>-439438</v>
      </c>
      <c r="M1183" s="51">
        <v>0</v>
      </c>
      <c r="N1183" s="51">
        <v>5403</v>
      </c>
    </row>
    <row r="1184" spans="1:14" ht="15.75" x14ac:dyDescent="0.25">
      <c r="A1184" s="49" t="s">
        <v>248</v>
      </c>
      <c r="B1184" s="50" t="s">
        <v>53</v>
      </c>
      <c r="C1184" s="51">
        <v>1921459</v>
      </c>
      <c r="D1184" s="51">
        <v>-61240</v>
      </c>
      <c r="E1184" s="51">
        <v>0</v>
      </c>
      <c r="F1184" s="51">
        <v>0</v>
      </c>
      <c r="G1184" s="51">
        <v>0</v>
      </c>
      <c r="H1184" s="51">
        <v>1860219</v>
      </c>
      <c r="I1184" s="51">
        <v>-1860219</v>
      </c>
      <c r="J1184" s="51">
        <v>0</v>
      </c>
      <c r="K1184" s="51">
        <v>94914</v>
      </c>
      <c r="L1184" s="51">
        <v>-94914</v>
      </c>
      <c r="M1184" s="51">
        <v>0</v>
      </c>
      <c r="N1184" s="51">
        <v>0</v>
      </c>
    </row>
    <row r="1185" spans="1:14" ht="15.75" x14ac:dyDescent="0.25">
      <c r="A1185" s="49" t="s">
        <v>248</v>
      </c>
      <c r="B1185" s="50" t="s">
        <v>54</v>
      </c>
      <c r="C1185" s="51">
        <v>1597770</v>
      </c>
      <c r="D1185" s="51">
        <v>-204859</v>
      </c>
      <c r="E1185" s="51">
        <v>0</v>
      </c>
      <c r="F1185" s="51">
        <v>0</v>
      </c>
      <c r="G1185" s="51">
        <v>0</v>
      </c>
      <c r="H1185" s="51">
        <v>1392911</v>
      </c>
      <c r="I1185" s="51">
        <v>-1392911</v>
      </c>
      <c r="J1185" s="51">
        <v>0</v>
      </c>
      <c r="K1185" s="51">
        <v>1077708</v>
      </c>
      <c r="L1185" s="51">
        <v>-1077708</v>
      </c>
      <c r="M1185" s="51">
        <v>0</v>
      </c>
      <c r="N1185" s="51">
        <v>0</v>
      </c>
    </row>
    <row r="1186" spans="1:14" ht="15.75" x14ac:dyDescent="0.25">
      <c r="A1186" s="49" t="s">
        <v>248</v>
      </c>
      <c r="B1186" s="50" t="s">
        <v>55</v>
      </c>
      <c r="C1186" s="51">
        <v>2193455</v>
      </c>
      <c r="D1186" s="51">
        <v>-332902</v>
      </c>
      <c r="E1186" s="51">
        <v>0</v>
      </c>
      <c r="F1186" s="51">
        <v>0</v>
      </c>
      <c r="G1186" s="51">
        <v>0</v>
      </c>
      <c r="H1186" s="51">
        <v>1860553</v>
      </c>
      <c r="I1186" s="51">
        <v>-1860553</v>
      </c>
      <c r="J1186" s="51">
        <v>0</v>
      </c>
      <c r="K1186" s="51">
        <v>0</v>
      </c>
      <c r="L1186" s="51">
        <v>0</v>
      </c>
      <c r="M1186" s="51">
        <v>0</v>
      </c>
      <c r="N1186" s="51">
        <v>0</v>
      </c>
    </row>
    <row r="1187" spans="1:14" ht="15.75" x14ac:dyDescent="0.25">
      <c r="A1187" s="49" t="s">
        <v>248</v>
      </c>
      <c r="B1187" s="50" t="s">
        <v>56</v>
      </c>
      <c r="C1187" s="51">
        <v>1912268</v>
      </c>
      <c r="D1187" s="51">
        <v>-345670</v>
      </c>
      <c r="E1187" s="51">
        <v>0</v>
      </c>
      <c r="F1187" s="51">
        <v>0</v>
      </c>
      <c r="G1187" s="51">
        <v>0</v>
      </c>
      <c r="H1187" s="51">
        <v>1566598</v>
      </c>
      <c r="I1187" s="51">
        <v>-1566598</v>
      </c>
      <c r="J1187" s="51">
        <v>0</v>
      </c>
      <c r="K1187" s="51">
        <v>0</v>
      </c>
      <c r="L1187" s="51">
        <v>0</v>
      </c>
      <c r="M1187" s="51">
        <v>0</v>
      </c>
      <c r="N1187" s="51">
        <v>0</v>
      </c>
    </row>
    <row r="1188" spans="1:14" ht="15.75" x14ac:dyDescent="0.25">
      <c r="A1188" s="49" t="s">
        <v>248</v>
      </c>
      <c r="B1188" s="50" t="s">
        <v>57</v>
      </c>
      <c r="C1188" s="51">
        <v>1640641</v>
      </c>
      <c r="D1188" s="51">
        <v>-225965</v>
      </c>
      <c r="E1188" s="51">
        <v>0</v>
      </c>
      <c r="F1188" s="51">
        <v>0</v>
      </c>
      <c r="G1188" s="51">
        <v>0</v>
      </c>
      <c r="H1188" s="51">
        <v>1414676</v>
      </c>
      <c r="I1188" s="51">
        <v>-1414676</v>
      </c>
      <c r="J1188" s="51">
        <v>0</v>
      </c>
      <c r="K1188" s="51">
        <v>16343</v>
      </c>
      <c r="L1188" s="51">
        <v>-16343</v>
      </c>
      <c r="M1188" s="51">
        <v>0</v>
      </c>
      <c r="N1188" s="51">
        <v>0</v>
      </c>
    </row>
    <row r="1189" spans="1:14" ht="15.75" x14ac:dyDescent="0.25">
      <c r="A1189" s="49" t="s">
        <v>248</v>
      </c>
      <c r="B1189" s="50" t="s">
        <v>58</v>
      </c>
      <c r="C1189" s="51">
        <v>1325322</v>
      </c>
      <c r="D1189" s="51">
        <v>-50878</v>
      </c>
      <c r="E1189" s="51">
        <v>0</v>
      </c>
      <c r="F1189" s="51">
        <v>0</v>
      </c>
      <c r="G1189" s="51">
        <v>0</v>
      </c>
      <c r="H1189" s="51">
        <v>1274444</v>
      </c>
      <c r="I1189" s="51">
        <v>-1274444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</row>
    <row r="1190" spans="1:14" ht="15.75" x14ac:dyDescent="0.25">
      <c r="A1190" s="49" t="s">
        <v>248</v>
      </c>
      <c r="B1190" s="50" t="s">
        <v>59</v>
      </c>
      <c r="C1190" s="51">
        <v>869309</v>
      </c>
      <c r="D1190" s="51">
        <v>-105535</v>
      </c>
      <c r="E1190" s="51">
        <v>0</v>
      </c>
      <c r="F1190" s="51">
        <v>0</v>
      </c>
      <c r="G1190" s="51">
        <v>0</v>
      </c>
      <c r="H1190" s="51">
        <v>763774</v>
      </c>
      <c r="I1190" s="51">
        <v>-763774</v>
      </c>
      <c r="J1190" s="51">
        <v>0</v>
      </c>
      <c r="K1190" s="51">
        <v>0</v>
      </c>
      <c r="L1190" s="51">
        <v>0</v>
      </c>
      <c r="M1190" s="51">
        <v>0</v>
      </c>
      <c r="N1190" s="51">
        <v>0</v>
      </c>
    </row>
    <row r="1191" spans="1:14" ht="15.75" x14ac:dyDescent="0.25">
      <c r="A1191" s="49" t="s">
        <v>248</v>
      </c>
      <c r="B1191" s="50" t="s">
        <v>60</v>
      </c>
      <c r="C1191" s="51">
        <v>291880</v>
      </c>
      <c r="D1191" s="51">
        <v>0</v>
      </c>
      <c r="E1191" s="51">
        <v>0</v>
      </c>
      <c r="F1191" s="51">
        <v>0</v>
      </c>
      <c r="G1191" s="51">
        <v>0</v>
      </c>
      <c r="H1191" s="51">
        <v>291880</v>
      </c>
      <c r="I1191" s="51">
        <v>-291880</v>
      </c>
      <c r="J1191" s="51">
        <v>0</v>
      </c>
      <c r="K1191" s="51">
        <v>0</v>
      </c>
      <c r="L1191" s="51">
        <v>0</v>
      </c>
      <c r="M1191" s="51">
        <v>0</v>
      </c>
      <c r="N1191" s="51">
        <v>0</v>
      </c>
    </row>
    <row r="1192" spans="1:14" ht="15.75" x14ac:dyDescent="0.25">
      <c r="A1192" s="49" t="s">
        <v>248</v>
      </c>
      <c r="B1192" s="50" t="s">
        <v>61</v>
      </c>
      <c r="C1192" s="51">
        <v>386776</v>
      </c>
      <c r="D1192" s="51">
        <v>-39824</v>
      </c>
      <c r="E1192" s="51">
        <v>0</v>
      </c>
      <c r="F1192" s="51">
        <v>0</v>
      </c>
      <c r="G1192" s="51">
        <v>0</v>
      </c>
      <c r="H1192" s="51">
        <v>346952</v>
      </c>
      <c r="I1192" s="51">
        <v>-346952</v>
      </c>
      <c r="J1192" s="51">
        <v>0</v>
      </c>
      <c r="K1192" s="51">
        <v>0</v>
      </c>
      <c r="L1192" s="51">
        <v>0</v>
      </c>
      <c r="M1192" s="51">
        <v>0</v>
      </c>
      <c r="N1192" s="51">
        <v>0</v>
      </c>
    </row>
    <row r="1193" spans="1:14" ht="15.75" x14ac:dyDescent="0.25">
      <c r="A1193" s="52" t="s">
        <v>249</v>
      </c>
      <c r="B1193" s="53" t="s">
        <v>8</v>
      </c>
      <c r="C1193" s="19">
        <f>SUBTOTAL(109,Program200[(C)
Program
Costs])</f>
        <v>19208093</v>
      </c>
      <c r="D1193" s="19">
        <f>SUBTOTAL(109,Program200[(D)
Prior Period Adjustments])</f>
        <v>-1519480</v>
      </c>
      <c r="E1193" s="19">
        <f>SUBTOTAL(109,Program200[(E)
Current Period Desk 
Reviews])</f>
        <v>0</v>
      </c>
      <c r="F1193" s="19">
        <f>SUBTOTAL(109,Program200[(F)
Current Period 
Final 
Audits])</f>
        <v>0</v>
      </c>
      <c r="G1193" s="19">
        <f>SUBTOTAL(109,Program200[(G)
Current Period 
Other Adjustments])</f>
        <v>0</v>
      </c>
      <c r="H1193" s="19">
        <f>SUBTOTAL(109,Program200[(H)
Net Program Costs
Sum (C through G)])</f>
        <v>17688613</v>
      </c>
      <c r="I1193" s="19">
        <f>SUBTOTAL(109,Program200[(I)
Payments
 and Offsets])</f>
        <v>-12474581</v>
      </c>
      <c r="J1193" s="19">
        <f>SUBTOTAL(109,Program200[(J)
Accounts Payable Balance
(H + I)])</f>
        <v>5214032</v>
      </c>
      <c r="K1193" s="19">
        <f>SUBTOTAL(109,Program200[(K)
Established 
Accounts Receivable])</f>
        <v>1628403</v>
      </c>
      <c r="L1193" s="19">
        <f>SUBTOTAL(109,Program200[(L)
Recovered
 Accounts Receivable])</f>
        <v>-1628403</v>
      </c>
      <c r="M1193" s="19">
        <f>SUBTOTAL(109,Program200[(M)
Accounts Receivable Balance
(K + L)])</f>
        <v>0</v>
      </c>
      <c r="N1193" s="19">
        <f>SUBTOTAL(109,Program200[(N)
Net Balance
(J minus M)])</f>
        <v>5214032</v>
      </c>
    </row>
    <row r="1194" spans="1:14" ht="15.75" x14ac:dyDescent="0.25">
      <c r="A1194" s="17" t="s">
        <v>13</v>
      </c>
      <c r="B1194" s="54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78.75" x14ac:dyDescent="0.25">
      <c r="A1195" s="39" t="s">
        <v>32</v>
      </c>
      <c r="B1195" s="40" t="s">
        <v>33</v>
      </c>
      <c r="C1195" s="41" t="s">
        <v>34</v>
      </c>
      <c r="D1195" s="41" t="s">
        <v>35</v>
      </c>
      <c r="E1195" s="42" t="s">
        <v>36</v>
      </c>
      <c r="F1195" s="42" t="s">
        <v>37</v>
      </c>
      <c r="G1195" s="42" t="s">
        <v>38</v>
      </c>
      <c r="H1195" s="43" t="s">
        <v>39</v>
      </c>
      <c r="I1195" s="44" t="s">
        <v>40</v>
      </c>
      <c r="J1195" s="44" t="s">
        <v>41</v>
      </c>
      <c r="K1195" s="42" t="s">
        <v>42</v>
      </c>
      <c r="L1195" s="44" t="s">
        <v>43</v>
      </c>
      <c r="M1195" s="44" t="s">
        <v>44</v>
      </c>
      <c r="N1195" s="45" t="s">
        <v>45</v>
      </c>
    </row>
    <row r="1196" spans="1:14" ht="15.75" x14ac:dyDescent="0.25">
      <c r="A1196" s="46" t="s">
        <v>250</v>
      </c>
      <c r="B1196" s="47" t="s">
        <v>58</v>
      </c>
      <c r="C1196" s="48">
        <v>0</v>
      </c>
      <c r="D1196" s="48">
        <v>0</v>
      </c>
      <c r="E1196" s="48">
        <v>0</v>
      </c>
      <c r="F1196" s="48">
        <v>0</v>
      </c>
      <c r="G1196" s="48">
        <v>0</v>
      </c>
      <c r="H1196" s="48">
        <v>0</v>
      </c>
      <c r="I1196" s="48">
        <v>0</v>
      </c>
      <c r="J1196" s="48">
        <v>0</v>
      </c>
      <c r="K1196" s="48">
        <v>32000</v>
      </c>
      <c r="L1196" s="48">
        <v>-32000</v>
      </c>
      <c r="M1196" s="48">
        <v>0</v>
      </c>
      <c r="N1196" s="48">
        <v>0</v>
      </c>
    </row>
    <row r="1197" spans="1:14" ht="15.75" x14ac:dyDescent="0.25">
      <c r="A1197" s="49" t="s">
        <v>250</v>
      </c>
      <c r="B1197" s="50" t="s">
        <v>59</v>
      </c>
      <c r="C1197" s="51">
        <v>5016707</v>
      </c>
      <c r="D1197" s="51">
        <v>-2148209</v>
      </c>
      <c r="E1197" s="51">
        <v>0</v>
      </c>
      <c r="F1197" s="51">
        <v>0</v>
      </c>
      <c r="G1197" s="51">
        <v>0</v>
      </c>
      <c r="H1197" s="51">
        <v>2868498</v>
      </c>
      <c r="I1197" s="51">
        <v>-2868498</v>
      </c>
      <c r="J1197" s="51">
        <v>0</v>
      </c>
      <c r="K1197" s="51">
        <v>3830533</v>
      </c>
      <c r="L1197" s="51">
        <v>-3830533</v>
      </c>
      <c r="M1197" s="51">
        <v>0</v>
      </c>
      <c r="N1197" s="51">
        <v>0</v>
      </c>
    </row>
    <row r="1198" spans="1:14" ht="15.75" x14ac:dyDescent="0.25">
      <c r="A1198" s="49" t="s">
        <v>250</v>
      </c>
      <c r="B1198" s="50" t="s">
        <v>60</v>
      </c>
      <c r="C1198" s="51">
        <v>5886935</v>
      </c>
      <c r="D1198" s="51">
        <v>-570803</v>
      </c>
      <c r="E1198" s="51">
        <v>0</v>
      </c>
      <c r="F1198" s="51">
        <v>0</v>
      </c>
      <c r="G1198" s="51">
        <v>0</v>
      </c>
      <c r="H1198" s="51">
        <v>5316132</v>
      </c>
      <c r="I1198" s="51">
        <v>-5316132</v>
      </c>
      <c r="J1198" s="51">
        <v>0</v>
      </c>
      <c r="K1198" s="51">
        <v>670665</v>
      </c>
      <c r="L1198" s="51">
        <v>-669938</v>
      </c>
      <c r="M1198" s="51">
        <v>727</v>
      </c>
      <c r="N1198" s="51">
        <v>-727</v>
      </c>
    </row>
    <row r="1199" spans="1:14" ht="15.75" x14ac:dyDescent="0.25">
      <c r="A1199" s="49" t="s">
        <v>250</v>
      </c>
      <c r="B1199" s="50" t="s">
        <v>61</v>
      </c>
      <c r="C1199" s="51">
        <v>4729873</v>
      </c>
      <c r="D1199" s="51">
        <v>-22461</v>
      </c>
      <c r="E1199" s="51">
        <v>0</v>
      </c>
      <c r="F1199" s="51">
        <v>0</v>
      </c>
      <c r="G1199" s="51">
        <v>0</v>
      </c>
      <c r="H1199" s="51">
        <v>4707412</v>
      </c>
      <c r="I1199" s="51">
        <v>-4707412</v>
      </c>
      <c r="J1199" s="51">
        <v>0</v>
      </c>
      <c r="K1199" s="51">
        <v>183902</v>
      </c>
      <c r="L1199" s="51">
        <v>-183169</v>
      </c>
      <c r="M1199" s="51">
        <v>733</v>
      </c>
      <c r="N1199" s="51">
        <v>-733</v>
      </c>
    </row>
    <row r="1200" spans="1:14" ht="15.75" x14ac:dyDescent="0.25">
      <c r="A1200" s="49" t="s">
        <v>250</v>
      </c>
      <c r="B1200" s="50" t="s">
        <v>62</v>
      </c>
      <c r="C1200" s="51">
        <v>3877844</v>
      </c>
      <c r="D1200" s="51">
        <v>-6537</v>
      </c>
      <c r="E1200" s="51">
        <v>0</v>
      </c>
      <c r="F1200" s="51">
        <v>0</v>
      </c>
      <c r="G1200" s="51">
        <v>0</v>
      </c>
      <c r="H1200" s="51">
        <v>3871307</v>
      </c>
      <c r="I1200" s="51">
        <v>-3871307</v>
      </c>
      <c r="J1200" s="51">
        <v>0</v>
      </c>
      <c r="K1200" s="51">
        <v>366633</v>
      </c>
      <c r="L1200" s="51">
        <v>-366633</v>
      </c>
      <c r="M1200" s="51">
        <v>0</v>
      </c>
      <c r="N1200" s="51">
        <v>0</v>
      </c>
    </row>
    <row r="1201" spans="1:14" ht="15.75" x14ac:dyDescent="0.25">
      <c r="A1201" s="49" t="s">
        <v>250</v>
      </c>
      <c r="B1201" s="50" t="s">
        <v>63</v>
      </c>
      <c r="C1201" s="51">
        <v>3944018</v>
      </c>
      <c r="D1201" s="51">
        <v>-253796</v>
      </c>
      <c r="E1201" s="51">
        <v>0</v>
      </c>
      <c r="F1201" s="51">
        <v>0</v>
      </c>
      <c r="G1201" s="51">
        <v>0</v>
      </c>
      <c r="H1201" s="51">
        <v>3690222</v>
      </c>
      <c r="I1201" s="51">
        <v>-3690222</v>
      </c>
      <c r="J1201" s="51">
        <v>0</v>
      </c>
      <c r="K1201" s="51">
        <v>870559</v>
      </c>
      <c r="L1201" s="51">
        <v>-867771</v>
      </c>
      <c r="M1201" s="51">
        <v>2788</v>
      </c>
      <c r="N1201" s="51">
        <v>-2788</v>
      </c>
    </row>
    <row r="1202" spans="1:14" ht="15.75" x14ac:dyDescent="0.25">
      <c r="A1202" s="49" t="s">
        <v>250</v>
      </c>
      <c r="B1202" s="50" t="s">
        <v>64</v>
      </c>
      <c r="C1202" s="51">
        <v>6073225</v>
      </c>
      <c r="D1202" s="51">
        <v>-1092270</v>
      </c>
      <c r="E1202" s="51">
        <v>0</v>
      </c>
      <c r="F1202" s="51">
        <v>0</v>
      </c>
      <c r="G1202" s="51">
        <v>0</v>
      </c>
      <c r="H1202" s="51">
        <v>4980955</v>
      </c>
      <c r="I1202" s="51">
        <v>-4980955</v>
      </c>
      <c r="J1202" s="51">
        <v>0</v>
      </c>
      <c r="K1202" s="51">
        <v>12254</v>
      </c>
      <c r="L1202" s="51">
        <v>-12254</v>
      </c>
      <c r="M1202" s="51">
        <v>0</v>
      </c>
      <c r="N1202" s="51">
        <v>0</v>
      </c>
    </row>
    <row r="1203" spans="1:14" ht="15.75" x14ac:dyDescent="0.25">
      <c r="A1203" s="49" t="s">
        <v>250</v>
      </c>
      <c r="B1203" s="50" t="s">
        <v>65</v>
      </c>
      <c r="C1203" s="51">
        <v>6855234</v>
      </c>
      <c r="D1203" s="51">
        <v>-1806465</v>
      </c>
      <c r="E1203" s="51">
        <v>0</v>
      </c>
      <c r="F1203" s="51">
        <v>0</v>
      </c>
      <c r="G1203" s="51">
        <v>0</v>
      </c>
      <c r="H1203" s="51">
        <v>5048769</v>
      </c>
      <c r="I1203" s="51">
        <v>-5048769</v>
      </c>
      <c r="J1203" s="51">
        <v>0</v>
      </c>
      <c r="K1203" s="51">
        <v>0</v>
      </c>
      <c r="L1203" s="51">
        <v>0</v>
      </c>
      <c r="M1203" s="51">
        <v>0</v>
      </c>
      <c r="N1203" s="51">
        <v>0</v>
      </c>
    </row>
    <row r="1204" spans="1:14" ht="15.75" x14ac:dyDescent="0.25">
      <c r="A1204" s="49" t="s">
        <v>250</v>
      </c>
      <c r="B1204" s="50" t="s">
        <v>66</v>
      </c>
      <c r="C1204" s="51">
        <v>6836094</v>
      </c>
      <c r="D1204" s="51">
        <v>-1865102</v>
      </c>
      <c r="E1204" s="51">
        <v>0</v>
      </c>
      <c r="F1204" s="51">
        <v>0</v>
      </c>
      <c r="G1204" s="51">
        <v>0</v>
      </c>
      <c r="H1204" s="51">
        <v>4970992</v>
      </c>
      <c r="I1204" s="51">
        <v>-4970992</v>
      </c>
      <c r="J1204" s="51">
        <v>0</v>
      </c>
      <c r="K1204" s="51">
        <v>713</v>
      </c>
      <c r="L1204" s="51">
        <v>0</v>
      </c>
      <c r="M1204" s="51">
        <v>713</v>
      </c>
      <c r="N1204" s="51">
        <v>-713</v>
      </c>
    </row>
    <row r="1205" spans="1:14" ht="15.75" x14ac:dyDescent="0.25">
      <c r="A1205" s="49" t="s">
        <v>250</v>
      </c>
      <c r="B1205" s="50" t="s">
        <v>67</v>
      </c>
      <c r="C1205" s="51">
        <v>6281652</v>
      </c>
      <c r="D1205" s="51">
        <v>-931585</v>
      </c>
      <c r="E1205" s="51">
        <v>0</v>
      </c>
      <c r="F1205" s="51">
        <v>0</v>
      </c>
      <c r="G1205" s="51">
        <v>0</v>
      </c>
      <c r="H1205" s="51">
        <v>5350067</v>
      </c>
      <c r="I1205" s="51">
        <v>-5350067</v>
      </c>
      <c r="J1205" s="51">
        <v>0</v>
      </c>
      <c r="K1205" s="51">
        <v>48328</v>
      </c>
      <c r="L1205" s="51">
        <v>-47747</v>
      </c>
      <c r="M1205" s="51">
        <v>581</v>
      </c>
      <c r="N1205" s="51">
        <v>-581</v>
      </c>
    </row>
    <row r="1206" spans="1:14" ht="15.75" x14ac:dyDescent="0.25">
      <c r="A1206" s="49" t="s">
        <v>250</v>
      </c>
      <c r="B1206" s="50" t="s">
        <v>68</v>
      </c>
      <c r="C1206" s="51">
        <v>12386634</v>
      </c>
      <c r="D1206" s="51">
        <v>-694013</v>
      </c>
      <c r="E1206" s="51">
        <v>0</v>
      </c>
      <c r="F1206" s="51">
        <v>0</v>
      </c>
      <c r="G1206" s="51">
        <v>0</v>
      </c>
      <c r="H1206" s="51">
        <v>11692621</v>
      </c>
      <c r="I1206" s="51">
        <v>-11692621</v>
      </c>
      <c r="J1206" s="51">
        <v>0</v>
      </c>
      <c r="K1206" s="51">
        <v>694013</v>
      </c>
      <c r="L1206" s="51">
        <v>-694013</v>
      </c>
      <c r="M1206" s="51">
        <v>0</v>
      </c>
      <c r="N1206" s="51">
        <v>0</v>
      </c>
    </row>
    <row r="1207" spans="1:14" ht="15.75" x14ac:dyDescent="0.25">
      <c r="A1207" s="49" t="s">
        <v>250</v>
      </c>
      <c r="B1207" s="50" t="s">
        <v>69</v>
      </c>
      <c r="C1207" s="51">
        <v>677</v>
      </c>
      <c r="D1207" s="51">
        <v>0</v>
      </c>
      <c r="E1207" s="51">
        <v>0</v>
      </c>
      <c r="F1207" s="51">
        <v>0</v>
      </c>
      <c r="G1207" s="51">
        <v>0</v>
      </c>
      <c r="H1207" s="51">
        <v>677</v>
      </c>
      <c r="I1207" s="51">
        <v>-677</v>
      </c>
      <c r="J1207" s="51">
        <v>0</v>
      </c>
      <c r="K1207" s="51">
        <v>0</v>
      </c>
      <c r="L1207" s="51">
        <v>0</v>
      </c>
      <c r="M1207" s="51">
        <v>0</v>
      </c>
      <c r="N1207" s="51">
        <v>0</v>
      </c>
    </row>
    <row r="1208" spans="1:14" ht="15.75" x14ac:dyDescent="0.25">
      <c r="A1208" s="49" t="s">
        <v>250</v>
      </c>
      <c r="B1208" s="50" t="s">
        <v>115</v>
      </c>
      <c r="C1208" s="51">
        <v>719</v>
      </c>
      <c r="D1208" s="51">
        <v>0</v>
      </c>
      <c r="E1208" s="51">
        <v>0</v>
      </c>
      <c r="F1208" s="51">
        <v>0</v>
      </c>
      <c r="G1208" s="51">
        <v>0</v>
      </c>
      <c r="H1208" s="51">
        <v>719</v>
      </c>
      <c r="I1208" s="51">
        <v>-719</v>
      </c>
      <c r="J1208" s="51">
        <v>0</v>
      </c>
      <c r="K1208" s="51">
        <v>0</v>
      </c>
      <c r="L1208" s="51">
        <v>0</v>
      </c>
      <c r="M1208" s="51">
        <v>0</v>
      </c>
      <c r="N1208" s="51">
        <v>0</v>
      </c>
    </row>
    <row r="1209" spans="1:14" ht="15.75" x14ac:dyDescent="0.25">
      <c r="A1209" s="49" t="s">
        <v>250</v>
      </c>
      <c r="B1209" s="50" t="s">
        <v>99</v>
      </c>
      <c r="C1209" s="51">
        <v>108120</v>
      </c>
      <c r="D1209" s="51">
        <v>-107399</v>
      </c>
      <c r="E1209" s="51">
        <v>0</v>
      </c>
      <c r="F1209" s="51">
        <v>0</v>
      </c>
      <c r="G1209" s="51">
        <v>0</v>
      </c>
      <c r="H1209" s="51">
        <v>721</v>
      </c>
      <c r="I1209" s="51">
        <v>-721</v>
      </c>
      <c r="J1209" s="51">
        <v>0</v>
      </c>
      <c r="K1209" s="51">
        <v>0</v>
      </c>
      <c r="L1209" s="51">
        <v>0</v>
      </c>
      <c r="M1209" s="51">
        <v>0</v>
      </c>
      <c r="N1209" s="51">
        <v>0</v>
      </c>
    </row>
    <row r="1210" spans="1:14" ht="15.75" x14ac:dyDescent="0.25">
      <c r="A1210" s="49" t="s">
        <v>250</v>
      </c>
      <c r="B1210" s="50" t="s">
        <v>100</v>
      </c>
      <c r="C1210" s="51">
        <v>490</v>
      </c>
      <c r="D1210" s="51">
        <v>0</v>
      </c>
      <c r="E1210" s="51">
        <v>0</v>
      </c>
      <c r="F1210" s="51">
        <v>0</v>
      </c>
      <c r="G1210" s="51">
        <v>0</v>
      </c>
      <c r="H1210" s="51">
        <v>490</v>
      </c>
      <c r="I1210" s="51">
        <v>-490</v>
      </c>
      <c r="J1210" s="51">
        <v>0</v>
      </c>
      <c r="K1210" s="51">
        <v>0</v>
      </c>
      <c r="L1210" s="51">
        <v>0</v>
      </c>
      <c r="M1210" s="51">
        <v>0</v>
      </c>
      <c r="N1210" s="51">
        <v>0</v>
      </c>
    </row>
    <row r="1211" spans="1:14" ht="15.75" x14ac:dyDescent="0.25">
      <c r="A1211" s="52" t="s">
        <v>251</v>
      </c>
      <c r="B1211" s="53" t="s">
        <v>8</v>
      </c>
      <c r="C1211" s="19">
        <f>SUBTOTAL(109,Program049[(C)
Program
Costs])</f>
        <v>61998222</v>
      </c>
      <c r="D1211" s="19">
        <f>SUBTOTAL(109,Program049[(D)
Prior Period Adjustments])</f>
        <v>-9498640</v>
      </c>
      <c r="E1211" s="19">
        <f>SUBTOTAL(109,Program049[(E)
Current Period Desk 
Reviews])</f>
        <v>0</v>
      </c>
      <c r="F1211" s="19">
        <f>SUBTOTAL(109,Program049[(F)
Current Period 
Final 
Audits])</f>
        <v>0</v>
      </c>
      <c r="G1211" s="19">
        <f>SUBTOTAL(109,Program049[(G)
Current Period 
Other Adjustments])</f>
        <v>0</v>
      </c>
      <c r="H1211" s="19">
        <f>SUBTOTAL(109,Program049[(H)
Net Program Costs
Sum (C through G)])</f>
        <v>52499582</v>
      </c>
      <c r="I1211" s="19">
        <f>SUBTOTAL(109,Program049[(I)
Payments
 and Offsets])</f>
        <v>-52499582</v>
      </c>
      <c r="J1211" s="19">
        <f>SUBTOTAL(109,Program049[(J)
Accounts Payable Balance
(H + I)])</f>
        <v>0</v>
      </c>
      <c r="K1211" s="19">
        <f>SUBTOTAL(109,Program049[(K)
Established 
Accounts Receivable])</f>
        <v>6709600</v>
      </c>
      <c r="L1211" s="19">
        <f>SUBTOTAL(109,Program049[(L)
Recovered
 Accounts Receivable])</f>
        <v>-6704058</v>
      </c>
      <c r="M1211" s="19">
        <f>SUBTOTAL(109,Program049[(M)
Accounts Receivable Balance
(K + L)])</f>
        <v>5542</v>
      </c>
      <c r="N1211" s="19">
        <f>SUBTOTAL(109,Program049[(N)
Net Balance
(J minus M)])</f>
        <v>-5542</v>
      </c>
    </row>
    <row r="1212" spans="1:14" ht="15.75" x14ac:dyDescent="0.25">
      <c r="A1212" s="17" t="s">
        <v>13</v>
      </c>
      <c r="B1212" s="54"/>
      <c r="C1212" s="55"/>
      <c r="D1212" s="55"/>
      <c r="E1212" s="55"/>
      <c r="F1212" s="55"/>
      <c r="G1212" s="55"/>
      <c r="H1212" s="55"/>
      <c r="I1212" s="55"/>
      <c r="J1212" s="55"/>
      <c r="K1212" s="55"/>
      <c r="L1212" s="55"/>
      <c r="M1212" s="55"/>
      <c r="N1212" s="55"/>
    </row>
    <row r="1213" spans="1:14" ht="78.75" x14ac:dyDescent="0.25">
      <c r="A1213" s="39" t="s">
        <v>32</v>
      </c>
      <c r="B1213" s="40" t="s">
        <v>33</v>
      </c>
      <c r="C1213" s="41" t="s">
        <v>34</v>
      </c>
      <c r="D1213" s="41" t="s">
        <v>35</v>
      </c>
      <c r="E1213" s="42" t="s">
        <v>36</v>
      </c>
      <c r="F1213" s="42" t="s">
        <v>37</v>
      </c>
      <c r="G1213" s="42" t="s">
        <v>38</v>
      </c>
      <c r="H1213" s="43" t="s">
        <v>39</v>
      </c>
      <c r="I1213" s="44" t="s">
        <v>40</v>
      </c>
      <c r="J1213" s="44" t="s">
        <v>41</v>
      </c>
      <c r="K1213" s="42" t="s">
        <v>42</v>
      </c>
      <c r="L1213" s="44" t="s">
        <v>43</v>
      </c>
      <c r="M1213" s="44" t="s">
        <v>44</v>
      </c>
      <c r="N1213" s="45" t="s">
        <v>45</v>
      </c>
    </row>
    <row r="1214" spans="1:14" ht="15.75" x14ac:dyDescent="0.25">
      <c r="A1214" s="46" t="s">
        <v>252</v>
      </c>
      <c r="B1214" s="47" t="s">
        <v>57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59078</v>
      </c>
      <c r="L1214" s="48">
        <v>-59078</v>
      </c>
      <c r="M1214" s="48">
        <v>0</v>
      </c>
      <c r="N1214" s="48">
        <v>0</v>
      </c>
    </row>
    <row r="1215" spans="1:14" ht="15.75" x14ac:dyDescent="0.25">
      <c r="A1215" s="49" t="s">
        <v>252</v>
      </c>
      <c r="B1215" s="50" t="s">
        <v>58</v>
      </c>
      <c r="C1215" s="51">
        <v>16083428</v>
      </c>
      <c r="D1215" s="51">
        <v>-3999924</v>
      </c>
      <c r="E1215" s="51">
        <v>0</v>
      </c>
      <c r="F1215" s="51">
        <v>0</v>
      </c>
      <c r="G1215" s="51">
        <v>0</v>
      </c>
      <c r="H1215" s="51">
        <v>12083504</v>
      </c>
      <c r="I1215" s="51">
        <v>-12083504</v>
      </c>
      <c r="J1215" s="51">
        <v>0</v>
      </c>
      <c r="K1215" s="51">
        <v>4018282</v>
      </c>
      <c r="L1215" s="51">
        <v>-4018282</v>
      </c>
      <c r="M1215" s="51">
        <v>0</v>
      </c>
      <c r="N1215" s="51">
        <v>0</v>
      </c>
    </row>
    <row r="1216" spans="1:14" ht="15.75" x14ac:dyDescent="0.25">
      <c r="A1216" s="49" t="s">
        <v>252</v>
      </c>
      <c r="B1216" s="50" t="s">
        <v>59</v>
      </c>
      <c r="C1216" s="51">
        <v>10256719</v>
      </c>
      <c r="D1216" s="51">
        <v>-3461726</v>
      </c>
      <c r="E1216" s="51">
        <v>0</v>
      </c>
      <c r="F1216" s="51">
        <v>0</v>
      </c>
      <c r="G1216" s="51">
        <v>0</v>
      </c>
      <c r="H1216" s="51">
        <v>6794993</v>
      </c>
      <c r="I1216" s="51">
        <v>-6794993</v>
      </c>
      <c r="J1216" s="51">
        <v>0</v>
      </c>
      <c r="K1216" s="51">
        <v>156049</v>
      </c>
      <c r="L1216" s="51">
        <v>-156049</v>
      </c>
      <c r="M1216" s="51">
        <v>0</v>
      </c>
      <c r="N1216" s="51">
        <v>0</v>
      </c>
    </row>
    <row r="1217" spans="1:14" ht="15.75" x14ac:dyDescent="0.25">
      <c r="A1217" s="49" t="s">
        <v>252</v>
      </c>
      <c r="B1217" s="50" t="s">
        <v>60</v>
      </c>
      <c r="C1217" s="51">
        <v>10028631</v>
      </c>
      <c r="D1217" s="51">
        <v>-3987827</v>
      </c>
      <c r="E1217" s="51">
        <v>0</v>
      </c>
      <c r="F1217" s="51">
        <v>0</v>
      </c>
      <c r="G1217" s="51">
        <v>0</v>
      </c>
      <c r="H1217" s="51">
        <v>6040804</v>
      </c>
      <c r="I1217" s="51">
        <v>-6040804</v>
      </c>
      <c r="J1217" s="51">
        <v>0</v>
      </c>
      <c r="K1217" s="51">
        <v>5092</v>
      </c>
      <c r="L1217" s="51">
        <v>-5092</v>
      </c>
      <c r="M1217" s="51">
        <v>0</v>
      </c>
      <c r="N1217" s="51">
        <v>0</v>
      </c>
    </row>
    <row r="1218" spans="1:14" ht="15.75" x14ac:dyDescent="0.25">
      <c r="A1218" s="49" t="s">
        <v>252</v>
      </c>
      <c r="B1218" s="50" t="s">
        <v>61</v>
      </c>
      <c r="C1218" s="51">
        <v>9305935</v>
      </c>
      <c r="D1218" s="51">
        <v>-3424486</v>
      </c>
      <c r="E1218" s="51">
        <v>0</v>
      </c>
      <c r="F1218" s="51">
        <v>0</v>
      </c>
      <c r="G1218" s="51">
        <v>0</v>
      </c>
      <c r="H1218" s="51">
        <v>5881449</v>
      </c>
      <c r="I1218" s="51">
        <v>-5881449</v>
      </c>
      <c r="J1218" s="51">
        <v>0</v>
      </c>
      <c r="K1218" s="51">
        <v>11613</v>
      </c>
      <c r="L1218" s="51">
        <v>-11613</v>
      </c>
      <c r="M1218" s="51">
        <v>0</v>
      </c>
      <c r="N1218" s="51">
        <v>0</v>
      </c>
    </row>
    <row r="1219" spans="1:14" ht="15.75" x14ac:dyDescent="0.25">
      <c r="A1219" s="52" t="s">
        <v>253</v>
      </c>
      <c r="B1219" s="53" t="s">
        <v>8</v>
      </c>
      <c r="C1219" s="19">
        <f>SUBTOTAL(109,Program202[(C)
Program
Costs])</f>
        <v>45674713</v>
      </c>
      <c r="D1219" s="19">
        <f>SUBTOTAL(109,Program202[(D)
Prior Period Adjustments])</f>
        <v>-14873963</v>
      </c>
      <c r="E1219" s="19">
        <f>SUBTOTAL(109,Program202[(E)
Current Period Desk 
Reviews])</f>
        <v>0</v>
      </c>
      <c r="F1219" s="19">
        <f>SUBTOTAL(109,Program202[(F)
Current Period 
Final 
Audits])</f>
        <v>0</v>
      </c>
      <c r="G1219" s="19">
        <f>SUBTOTAL(109,Program202[(G)
Current Period 
Other Adjustments])</f>
        <v>0</v>
      </c>
      <c r="H1219" s="19">
        <f>SUBTOTAL(109,Program202[(H)
Net Program Costs
Sum (C through G)])</f>
        <v>30800750</v>
      </c>
      <c r="I1219" s="19">
        <f>SUBTOTAL(109,Program202[(I)
Payments
 and Offsets])</f>
        <v>-30800750</v>
      </c>
      <c r="J1219" s="19">
        <f>SUBTOTAL(109,Program202[(J)
Accounts Payable Balance
(H + I)])</f>
        <v>0</v>
      </c>
      <c r="K1219" s="19">
        <f>SUBTOTAL(109,Program202[(K)
Established 
Accounts Receivable])</f>
        <v>4250114</v>
      </c>
      <c r="L1219" s="19">
        <f>SUBTOTAL(109,Program202[(L)
Recovered
 Accounts Receivable])</f>
        <v>-4250114</v>
      </c>
      <c r="M1219" s="19">
        <f>SUBTOTAL(109,Program202[(M)
Accounts Receivable Balance
(K + L)])</f>
        <v>0</v>
      </c>
      <c r="N1219" s="19">
        <f>SUBTOTAL(109,Program202[(N)
Net Balance
(J minus M)])</f>
        <v>0</v>
      </c>
    </row>
    <row r="1220" spans="1:14" ht="15.75" x14ac:dyDescent="0.25">
      <c r="A1220" s="17" t="s">
        <v>13</v>
      </c>
      <c r="B1220" s="54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78.75" x14ac:dyDescent="0.25">
      <c r="A1221" s="39" t="s">
        <v>32</v>
      </c>
      <c r="B1221" s="40" t="s">
        <v>33</v>
      </c>
      <c r="C1221" s="41" t="s">
        <v>34</v>
      </c>
      <c r="D1221" s="41" t="s">
        <v>35</v>
      </c>
      <c r="E1221" s="42" t="s">
        <v>36</v>
      </c>
      <c r="F1221" s="42" t="s">
        <v>37</v>
      </c>
      <c r="G1221" s="42" t="s">
        <v>38</v>
      </c>
      <c r="H1221" s="43" t="s">
        <v>39</v>
      </c>
      <c r="I1221" s="44" t="s">
        <v>40</v>
      </c>
      <c r="J1221" s="44" t="s">
        <v>41</v>
      </c>
      <c r="K1221" s="42" t="s">
        <v>42</v>
      </c>
      <c r="L1221" s="44" t="s">
        <v>43</v>
      </c>
      <c r="M1221" s="44" t="s">
        <v>44</v>
      </c>
      <c r="N1221" s="45" t="s">
        <v>45</v>
      </c>
    </row>
    <row r="1222" spans="1:14" ht="15.75" x14ac:dyDescent="0.25">
      <c r="A1222" s="46" t="s">
        <v>254</v>
      </c>
      <c r="B1222" s="47" t="s">
        <v>83</v>
      </c>
      <c r="C1222" s="48">
        <v>15509899</v>
      </c>
      <c r="D1222" s="48">
        <v>-1393125</v>
      </c>
      <c r="E1222" s="48">
        <v>0</v>
      </c>
      <c r="F1222" s="48">
        <v>-7116</v>
      </c>
      <c r="G1222" s="48">
        <v>0</v>
      </c>
      <c r="H1222" s="48">
        <v>14109658</v>
      </c>
      <c r="I1222" s="48">
        <v>0</v>
      </c>
      <c r="J1222" s="48">
        <v>14109658</v>
      </c>
      <c r="K1222" s="48">
        <v>0</v>
      </c>
      <c r="L1222" s="48">
        <v>0</v>
      </c>
      <c r="M1222" s="48">
        <v>0</v>
      </c>
      <c r="N1222" s="48">
        <v>14109658</v>
      </c>
    </row>
    <row r="1223" spans="1:14" ht="15.75" x14ac:dyDescent="0.25">
      <c r="A1223" s="49" t="s">
        <v>254</v>
      </c>
      <c r="B1223" s="50" t="s">
        <v>48</v>
      </c>
      <c r="C1223" s="51">
        <v>16672212</v>
      </c>
      <c r="D1223" s="51">
        <v>-1935930</v>
      </c>
      <c r="E1223" s="51">
        <v>0</v>
      </c>
      <c r="F1223" s="51">
        <v>-7419</v>
      </c>
      <c r="G1223" s="51">
        <v>0</v>
      </c>
      <c r="H1223" s="51">
        <v>14728863</v>
      </c>
      <c r="I1223" s="51">
        <v>0</v>
      </c>
      <c r="J1223" s="51">
        <v>14728863</v>
      </c>
      <c r="K1223" s="51">
        <v>0</v>
      </c>
      <c r="L1223" s="51">
        <v>0</v>
      </c>
      <c r="M1223" s="51">
        <v>0</v>
      </c>
      <c r="N1223" s="51">
        <v>14728863</v>
      </c>
    </row>
    <row r="1224" spans="1:14" ht="15.75" x14ac:dyDescent="0.25">
      <c r="A1224" s="49" t="s">
        <v>254</v>
      </c>
      <c r="B1224" s="50" t="s">
        <v>49</v>
      </c>
      <c r="C1224" s="51">
        <v>17888701</v>
      </c>
      <c r="D1224" s="51">
        <v>-2451433</v>
      </c>
      <c r="E1224" s="51">
        <v>0</v>
      </c>
      <c r="F1224" s="51">
        <v>-3871</v>
      </c>
      <c r="G1224" s="51">
        <v>0</v>
      </c>
      <c r="H1224" s="51">
        <v>15433397</v>
      </c>
      <c r="I1224" s="51">
        <v>0</v>
      </c>
      <c r="J1224" s="51">
        <v>15433397</v>
      </c>
      <c r="K1224" s="51">
        <v>0</v>
      </c>
      <c r="L1224" s="51">
        <v>0</v>
      </c>
      <c r="M1224" s="51">
        <v>0</v>
      </c>
      <c r="N1224" s="51">
        <v>15433397</v>
      </c>
    </row>
    <row r="1225" spans="1:14" ht="15.75" x14ac:dyDescent="0.25">
      <c r="A1225" s="49" t="s">
        <v>254</v>
      </c>
      <c r="B1225" s="50" t="s">
        <v>50</v>
      </c>
      <c r="C1225" s="51">
        <v>18046990</v>
      </c>
      <c r="D1225" s="51">
        <v>-2373447</v>
      </c>
      <c r="E1225" s="51">
        <v>0</v>
      </c>
      <c r="F1225" s="51">
        <v>0</v>
      </c>
      <c r="G1225" s="51">
        <v>0</v>
      </c>
      <c r="H1225" s="51">
        <v>15673543</v>
      </c>
      <c r="I1225" s="51">
        <v>0</v>
      </c>
      <c r="J1225" s="51">
        <v>15673543</v>
      </c>
      <c r="K1225" s="51">
        <v>0</v>
      </c>
      <c r="L1225" s="51">
        <v>0</v>
      </c>
      <c r="M1225" s="51">
        <v>0</v>
      </c>
      <c r="N1225" s="51">
        <v>15673543</v>
      </c>
    </row>
    <row r="1226" spans="1:14" ht="15.75" x14ac:dyDescent="0.25">
      <c r="A1226" s="49" t="s">
        <v>254</v>
      </c>
      <c r="B1226" s="50" t="s">
        <v>51</v>
      </c>
      <c r="C1226" s="51">
        <v>17676098</v>
      </c>
      <c r="D1226" s="51">
        <v>-2053838</v>
      </c>
      <c r="E1226" s="51">
        <v>0</v>
      </c>
      <c r="F1226" s="51">
        <v>-3338</v>
      </c>
      <c r="G1226" s="51">
        <v>0</v>
      </c>
      <c r="H1226" s="51">
        <v>15618922</v>
      </c>
      <c r="I1226" s="51">
        <v>0</v>
      </c>
      <c r="J1226" s="51">
        <v>15618922</v>
      </c>
      <c r="K1226" s="51">
        <v>0</v>
      </c>
      <c r="L1226" s="51">
        <v>0</v>
      </c>
      <c r="M1226" s="51">
        <v>0</v>
      </c>
      <c r="N1226" s="51">
        <v>15618922</v>
      </c>
    </row>
    <row r="1227" spans="1:14" ht="15.75" x14ac:dyDescent="0.25">
      <c r="A1227" s="49" t="s">
        <v>254</v>
      </c>
      <c r="B1227" s="50" t="s">
        <v>52</v>
      </c>
      <c r="C1227" s="51">
        <v>16825719</v>
      </c>
      <c r="D1227" s="51">
        <v>-1989075</v>
      </c>
      <c r="E1227" s="51">
        <v>0</v>
      </c>
      <c r="F1227" s="51">
        <v>-9085</v>
      </c>
      <c r="G1227" s="51">
        <v>0</v>
      </c>
      <c r="H1227" s="51">
        <v>14827559</v>
      </c>
      <c r="I1227" s="51">
        <v>0</v>
      </c>
      <c r="J1227" s="51">
        <v>14827559</v>
      </c>
      <c r="K1227" s="51">
        <v>0</v>
      </c>
      <c r="L1227" s="51">
        <v>0</v>
      </c>
      <c r="M1227" s="51">
        <v>0</v>
      </c>
      <c r="N1227" s="51">
        <v>14827559</v>
      </c>
    </row>
    <row r="1228" spans="1:14" ht="15.75" x14ac:dyDescent="0.25">
      <c r="A1228" s="49" t="s">
        <v>254</v>
      </c>
      <c r="B1228" s="50" t="s">
        <v>53</v>
      </c>
      <c r="C1228" s="51">
        <v>15518964</v>
      </c>
      <c r="D1228" s="51">
        <v>-1930019</v>
      </c>
      <c r="E1228" s="51">
        <v>0</v>
      </c>
      <c r="F1228" s="51">
        <v>-9421</v>
      </c>
      <c r="G1228" s="51">
        <v>0</v>
      </c>
      <c r="H1228" s="51">
        <v>13579524</v>
      </c>
      <c r="I1228" s="51">
        <v>-400803</v>
      </c>
      <c r="J1228" s="51">
        <v>13178721</v>
      </c>
      <c r="K1228" s="51">
        <v>187248</v>
      </c>
      <c r="L1228" s="51">
        <v>-179625</v>
      </c>
      <c r="M1228" s="51">
        <v>7623</v>
      </c>
      <c r="N1228" s="51">
        <v>13171098</v>
      </c>
    </row>
    <row r="1229" spans="1:14" ht="15.75" x14ac:dyDescent="0.25">
      <c r="A1229" s="49" t="s">
        <v>254</v>
      </c>
      <c r="B1229" s="50" t="s">
        <v>54</v>
      </c>
      <c r="C1229" s="51">
        <v>15610675</v>
      </c>
      <c r="D1229" s="51">
        <v>-825802</v>
      </c>
      <c r="E1229" s="51">
        <v>0</v>
      </c>
      <c r="F1229" s="51">
        <v>0</v>
      </c>
      <c r="G1229" s="51">
        <v>0</v>
      </c>
      <c r="H1229" s="51">
        <v>14784873</v>
      </c>
      <c r="I1229" s="51">
        <v>-14433621</v>
      </c>
      <c r="J1229" s="51">
        <v>351252</v>
      </c>
      <c r="K1229" s="51">
        <v>1695469</v>
      </c>
      <c r="L1229" s="51">
        <v>-1688569</v>
      </c>
      <c r="M1229" s="51">
        <v>6900</v>
      </c>
      <c r="N1229" s="51">
        <v>344352</v>
      </c>
    </row>
    <row r="1230" spans="1:14" ht="15.75" x14ac:dyDescent="0.25">
      <c r="A1230" s="49" t="s">
        <v>254</v>
      </c>
      <c r="B1230" s="50" t="s">
        <v>55</v>
      </c>
      <c r="C1230" s="51">
        <v>15408076</v>
      </c>
      <c r="D1230" s="51">
        <v>-1939857</v>
      </c>
      <c r="E1230" s="51">
        <v>0</v>
      </c>
      <c r="F1230" s="51">
        <v>0</v>
      </c>
      <c r="G1230" s="51">
        <v>0</v>
      </c>
      <c r="H1230" s="51">
        <v>13468219</v>
      </c>
      <c r="I1230" s="51">
        <v>-13468219</v>
      </c>
      <c r="J1230" s="51">
        <v>0</v>
      </c>
      <c r="K1230" s="51">
        <v>0</v>
      </c>
      <c r="L1230" s="51">
        <v>0</v>
      </c>
      <c r="M1230" s="51">
        <v>0</v>
      </c>
      <c r="N1230" s="51">
        <v>0</v>
      </c>
    </row>
    <row r="1231" spans="1:14" ht="15.75" x14ac:dyDescent="0.25">
      <c r="A1231" s="49" t="s">
        <v>254</v>
      </c>
      <c r="B1231" s="50" t="s">
        <v>56</v>
      </c>
      <c r="C1231" s="51">
        <v>14470619</v>
      </c>
      <c r="D1231" s="51">
        <v>-1454415</v>
      </c>
      <c r="E1231" s="51">
        <v>0</v>
      </c>
      <c r="F1231" s="51">
        <v>0</v>
      </c>
      <c r="G1231" s="51">
        <v>0</v>
      </c>
      <c r="H1231" s="51">
        <v>13016204</v>
      </c>
      <c r="I1231" s="51">
        <v>-13016204</v>
      </c>
      <c r="J1231" s="51">
        <v>0</v>
      </c>
      <c r="K1231" s="51">
        <v>15792</v>
      </c>
      <c r="L1231" s="51">
        <v>-15792</v>
      </c>
      <c r="M1231" s="51">
        <v>0</v>
      </c>
      <c r="N1231" s="51">
        <v>0</v>
      </c>
    </row>
    <row r="1232" spans="1:14" ht="15.75" x14ac:dyDescent="0.25">
      <c r="A1232" s="49" t="s">
        <v>254</v>
      </c>
      <c r="B1232" s="50" t="s">
        <v>57</v>
      </c>
      <c r="C1232" s="51">
        <v>15115919</v>
      </c>
      <c r="D1232" s="51">
        <v>-1481942</v>
      </c>
      <c r="E1232" s="51">
        <v>0</v>
      </c>
      <c r="F1232" s="51">
        <v>0</v>
      </c>
      <c r="G1232" s="51">
        <v>0</v>
      </c>
      <c r="H1232" s="51">
        <v>13633977</v>
      </c>
      <c r="I1232" s="51">
        <v>-13633977</v>
      </c>
      <c r="J1232" s="51">
        <v>0</v>
      </c>
      <c r="K1232" s="51">
        <v>66087</v>
      </c>
      <c r="L1232" s="51">
        <v>-66087</v>
      </c>
      <c r="M1232" s="51">
        <v>0</v>
      </c>
      <c r="N1232" s="51">
        <v>0</v>
      </c>
    </row>
    <row r="1233" spans="1:14" ht="15.75" x14ac:dyDescent="0.25">
      <c r="A1233" s="49" t="s">
        <v>254</v>
      </c>
      <c r="B1233" s="50" t="s">
        <v>58</v>
      </c>
      <c r="C1233" s="51">
        <v>719744</v>
      </c>
      <c r="D1233" s="51">
        <v>-29797</v>
      </c>
      <c r="E1233" s="51">
        <v>0</v>
      </c>
      <c r="F1233" s="51">
        <v>0</v>
      </c>
      <c r="G1233" s="51">
        <v>0</v>
      </c>
      <c r="H1233" s="51">
        <v>689947</v>
      </c>
      <c r="I1233" s="51">
        <v>-689947</v>
      </c>
      <c r="J1233" s="51">
        <v>0</v>
      </c>
      <c r="K1233" s="51">
        <v>7574</v>
      </c>
      <c r="L1233" s="51">
        <v>-7574</v>
      </c>
      <c r="M1233" s="51">
        <v>0</v>
      </c>
      <c r="N1233" s="51">
        <v>0</v>
      </c>
    </row>
    <row r="1234" spans="1:14" ht="15.75" x14ac:dyDescent="0.25">
      <c r="A1234" s="49" t="s">
        <v>254</v>
      </c>
      <c r="B1234" s="50" t="s">
        <v>59</v>
      </c>
      <c r="C1234" s="51">
        <v>580209</v>
      </c>
      <c r="D1234" s="51">
        <v>-23622</v>
      </c>
      <c r="E1234" s="51">
        <v>0</v>
      </c>
      <c r="F1234" s="51">
        <v>0</v>
      </c>
      <c r="G1234" s="51">
        <v>0</v>
      </c>
      <c r="H1234" s="51">
        <v>556587</v>
      </c>
      <c r="I1234" s="51">
        <v>-556587</v>
      </c>
      <c r="J1234" s="51">
        <v>0</v>
      </c>
      <c r="K1234" s="51">
        <v>0</v>
      </c>
      <c r="L1234" s="51">
        <v>0</v>
      </c>
      <c r="M1234" s="51">
        <v>0</v>
      </c>
      <c r="N1234" s="51">
        <v>0</v>
      </c>
    </row>
    <row r="1235" spans="1:14" ht="15.75" x14ac:dyDescent="0.25">
      <c r="A1235" s="49" t="s">
        <v>254</v>
      </c>
      <c r="B1235" s="50" t="s">
        <v>60</v>
      </c>
      <c r="C1235" s="51">
        <v>548306</v>
      </c>
      <c r="D1235" s="51">
        <v>-14208</v>
      </c>
      <c r="E1235" s="51">
        <v>0</v>
      </c>
      <c r="F1235" s="51">
        <v>0</v>
      </c>
      <c r="G1235" s="51">
        <v>0</v>
      </c>
      <c r="H1235" s="51">
        <v>534098</v>
      </c>
      <c r="I1235" s="51">
        <v>-534098</v>
      </c>
      <c r="J1235" s="51">
        <v>0</v>
      </c>
      <c r="K1235" s="51">
        <v>0</v>
      </c>
      <c r="L1235" s="51">
        <v>0</v>
      </c>
      <c r="M1235" s="51">
        <v>0</v>
      </c>
      <c r="N1235" s="51">
        <v>0</v>
      </c>
    </row>
    <row r="1236" spans="1:14" ht="15.75" x14ac:dyDescent="0.25">
      <c r="A1236" s="49" t="s">
        <v>254</v>
      </c>
      <c r="B1236" s="50" t="s">
        <v>61</v>
      </c>
      <c r="C1236" s="51">
        <v>528696</v>
      </c>
      <c r="D1236" s="51">
        <v>-17279</v>
      </c>
      <c r="E1236" s="51">
        <v>0</v>
      </c>
      <c r="F1236" s="51">
        <v>0</v>
      </c>
      <c r="G1236" s="51">
        <v>0</v>
      </c>
      <c r="H1236" s="51">
        <v>511417</v>
      </c>
      <c r="I1236" s="51">
        <v>-511417</v>
      </c>
      <c r="J1236" s="51">
        <v>0</v>
      </c>
      <c r="K1236" s="51">
        <v>0</v>
      </c>
      <c r="L1236" s="51">
        <v>0</v>
      </c>
      <c r="M1236" s="51">
        <v>0</v>
      </c>
      <c r="N1236" s="51">
        <v>0</v>
      </c>
    </row>
    <row r="1237" spans="1:14" ht="15.75" x14ac:dyDescent="0.25">
      <c r="A1237" s="49" t="s">
        <v>254</v>
      </c>
      <c r="B1237" s="50" t="s">
        <v>62</v>
      </c>
      <c r="C1237" s="51">
        <v>633192</v>
      </c>
      <c r="D1237" s="51">
        <v>-30544</v>
      </c>
      <c r="E1237" s="51">
        <v>0</v>
      </c>
      <c r="F1237" s="51">
        <v>0</v>
      </c>
      <c r="G1237" s="51">
        <v>0</v>
      </c>
      <c r="H1237" s="51">
        <v>602648</v>
      </c>
      <c r="I1237" s="51">
        <v>-602648</v>
      </c>
      <c r="J1237" s="51">
        <v>0</v>
      </c>
      <c r="K1237" s="51">
        <v>0</v>
      </c>
      <c r="L1237" s="51">
        <v>0</v>
      </c>
      <c r="M1237" s="51">
        <v>0</v>
      </c>
      <c r="N1237" s="51">
        <v>0</v>
      </c>
    </row>
    <row r="1238" spans="1:14" ht="15.75" x14ac:dyDescent="0.25">
      <c r="A1238" s="49" t="s">
        <v>254</v>
      </c>
      <c r="B1238" s="50" t="s">
        <v>63</v>
      </c>
      <c r="C1238" s="51">
        <v>582016</v>
      </c>
      <c r="D1238" s="51">
        <v>-30825</v>
      </c>
      <c r="E1238" s="51">
        <v>0</v>
      </c>
      <c r="F1238" s="51">
        <v>0</v>
      </c>
      <c r="G1238" s="51">
        <v>0</v>
      </c>
      <c r="H1238" s="51">
        <v>551191</v>
      </c>
      <c r="I1238" s="51">
        <v>-551191</v>
      </c>
      <c r="J1238" s="51">
        <v>0</v>
      </c>
      <c r="K1238" s="51">
        <v>0</v>
      </c>
      <c r="L1238" s="51">
        <v>0</v>
      </c>
      <c r="M1238" s="51">
        <v>0</v>
      </c>
      <c r="N1238" s="51">
        <v>0</v>
      </c>
    </row>
    <row r="1239" spans="1:14" ht="15.75" x14ac:dyDescent="0.25">
      <c r="A1239" s="49" t="s">
        <v>254</v>
      </c>
      <c r="B1239" s="50" t="s">
        <v>64</v>
      </c>
      <c r="C1239" s="51">
        <v>517337</v>
      </c>
      <c r="D1239" s="51">
        <v>-28651</v>
      </c>
      <c r="E1239" s="51">
        <v>0</v>
      </c>
      <c r="F1239" s="51">
        <v>0</v>
      </c>
      <c r="G1239" s="51">
        <v>0</v>
      </c>
      <c r="H1239" s="51">
        <v>488686</v>
      </c>
      <c r="I1239" s="51">
        <v>-488686</v>
      </c>
      <c r="J1239" s="51">
        <v>0</v>
      </c>
      <c r="K1239" s="51">
        <v>0</v>
      </c>
      <c r="L1239" s="51">
        <v>0</v>
      </c>
      <c r="M1239" s="51">
        <v>0</v>
      </c>
      <c r="N1239" s="51">
        <v>0</v>
      </c>
    </row>
    <row r="1240" spans="1:14" ht="15.75" x14ac:dyDescent="0.25">
      <c r="A1240" s="49" t="s">
        <v>254</v>
      </c>
      <c r="B1240" s="50" t="s">
        <v>65</v>
      </c>
      <c r="C1240" s="51">
        <v>236173</v>
      </c>
      <c r="D1240" s="51">
        <v>-66709</v>
      </c>
      <c r="E1240" s="51">
        <v>0</v>
      </c>
      <c r="F1240" s="51">
        <v>0</v>
      </c>
      <c r="G1240" s="51">
        <v>0</v>
      </c>
      <c r="H1240" s="51">
        <v>169464</v>
      </c>
      <c r="I1240" s="51">
        <v>-169464</v>
      </c>
      <c r="J1240" s="51">
        <v>0</v>
      </c>
      <c r="K1240" s="51">
        <v>0</v>
      </c>
      <c r="L1240" s="51">
        <v>0</v>
      </c>
      <c r="M1240" s="51">
        <v>0</v>
      </c>
      <c r="N1240" s="51">
        <v>0</v>
      </c>
    </row>
    <row r="1241" spans="1:14" ht="15.75" x14ac:dyDescent="0.25">
      <c r="A1241" s="52" t="s">
        <v>255</v>
      </c>
      <c r="B1241" s="53" t="s">
        <v>8</v>
      </c>
      <c r="C1241" s="19">
        <f>SUBTOTAL(109,Program219[(C)
Program
Costs])</f>
        <v>183089545</v>
      </c>
      <c r="D1241" s="19">
        <f>SUBTOTAL(109,Program219[(D)
Prior Period Adjustments])</f>
        <v>-20070518</v>
      </c>
      <c r="E1241" s="19">
        <f>SUBTOTAL(109,Program219[(E)
Current Period Desk 
Reviews])</f>
        <v>0</v>
      </c>
      <c r="F1241" s="19">
        <f>SUBTOTAL(109,Program219[(F)
Current Period 
Final 
Audits])</f>
        <v>-40250</v>
      </c>
      <c r="G1241" s="19">
        <f>SUBTOTAL(109,Program219[(G)
Current Period 
Other Adjustments])</f>
        <v>0</v>
      </c>
      <c r="H1241" s="19">
        <f>SUBTOTAL(109,Program219[(H)
Net Program Costs
Sum (C through G)])</f>
        <v>162978777</v>
      </c>
      <c r="I1241" s="19">
        <f>SUBTOTAL(109,Program219[(I)
Payments
 and Offsets])</f>
        <v>-59056862</v>
      </c>
      <c r="J1241" s="19">
        <f>SUBTOTAL(109,Program219[(J)
Accounts Payable Balance
(H + I)])</f>
        <v>103921915</v>
      </c>
      <c r="K1241" s="19">
        <f>SUBTOTAL(109,Program219[(K)
Established 
Accounts Receivable])</f>
        <v>1972170</v>
      </c>
      <c r="L1241" s="19">
        <f>SUBTOTAL(109,Program219[(L)
Recovered
 Accounts Receivable])</f>
        <v>-1957647</v>
      </c>
      <c r="M1241" s="19">
        <f>SUBTOTAL(109,Program219[(M)
Accounts Receivable Balance
(K + L)])</f>
        <v>14523</v>
      </c>
      <c r="N1241" s="19">
        <f>SUBTOTAL(109,Program219[(N)
Net Balance
(J minus M)])</f>
        <v>103907392</v>
      </c>
    </row>
    <row r="1242" spans="1:14" ht="15.75" x14ac:dyDescent="0.25">
      <c r="A1242" s="17" t="s">
        <v>13</v>
      </c>
      <c r="B1242" s="54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</row>
    <row r="1243" spans="1:14" ht="78.75" x14ac:dyDescent="0.25">
      <c r="A1243" s="39" t="s">
        <v>32</v>
      </c>
      <c r="B1243" s="40" t="s">
        <v>33</v>
      </c>
      <c r="C1243" s="41" t="s">
        <v>34</v>
      </c>
      <c r="D1243" s="41" t="s">
        <v>35</v>
      </c>
      <c r="E1243" s="42" t="s">
        <v>36</v>
      </c>
      <c r="F1243" s="42" t="s">
        <v>37</v>
      </c>
      <c r="G1243" s="42" t="s">
        <v>38</v>
      </c>
      <c r="H1243" s="43" t="s">
        <v>39</v>
      </c>
      <c r="I1243" s="44" t="s">
        <v>40</v>
      </c>
      <c r="J1243" s="44" t="s">
        <v>41</v>
      </c>
      <c r="K1243" s="42" t="s">
        <v>42</v>
      </c>
      <c r="L1243" s="44" t="s">
        <v>43</v>
      </c>
      <c r="M1243" s="44" t="s">
        <v>44</v>
      </c>
      <c r="N1243" s="45" t="s">
        <v>45</v>
      </c>
    </row>
    <row r="1244" spans="1:14" ht="30" x14ac:dyDescent="0.25">
      <c r="A1244" s="67" t="s">
        <v>256</v>
      </c>
      <c r="B1244" s="57" t="s">
        <v>49</v>
      </c>
      <c r="C1244" s="58">
        <v>1466</v>
      </c>
      <c r="D1244" s="58">
        <v>0</v>
      </c>
      <c r="E1244" s="58">
        <v>0</v>
      </c>
      <c r="F1244" s="58">
        <v>0</v>
      </c>
      <c r="G1244" s="58">
        <v>0</v>
      </c>
      <c r="H1244" s="58">
        <v>1466</v>
      </c>
      <c r="I1244" s="58">
        <v>0</v>
      </c>
      <c r="J1244" s="58">
        <v>1466</v>
      </c>
      <c r="K1244" s="58">
        <v>0</v>
      </c>
      <c r="L1244" s="58">
        <v>0</v>
      </c>
      <c r="M1244" s="58">
        <v>0</v>
      </c>
      <c r="N1244" s="58">
        <v>1466</v>
      </c>
    </row>
    <row r="1245" spans="1:14" ht="30" x14ac:dyDescent="0.25">
      <c r="A1245" s="68" t="s">
        <v>256</v>
      </c>
      <c r="B1245" s="60" t="s">
        <v>50</v>
      </c>
      <c r="C1245" s="61">
        <v>64851</v>
      </c>
      <c r="D1245" s="61">
        <v>0</v>
      </c>
      <c r="E1245" s="61">
        <v>0</v>
      </c>
      <c r="F1245" s="61">
        <v>0</v>
      </c>
      <c r="G1245" s="61">
        <v>0</v>
      </c>
      <c r="H1245" s="61">
        <v>64851</v>
      </c>
      <c r="I1245" s="61">
        <v>0</v>
      </c>
      <c r="J1245" s="61">
        <v>64851</v>
      </c>
      <c r="K1245" s="61">
        <v>0</v>
      </c>
      <c r="L1245" s="61">
        <v>0</v>
      </c>
      <c r="M1245" s="61">
        <v>0</v>
      </c>
      <c r="N1245" s="61">
        <v>64851</v>
      </c>
    </row>
    <row r="1246" spans="1:14" ht="30" x14ac:dyDescent="0.25">
      <c r="A1246" s="68" t="s">
        <v>256</v>
      </c>
      <c r="B1246" s="60" t="s">
        <v>51</v>
      </c>
      <c r="C1246" s="61">
        <v>277610</v>
      </c>
      <c r="D1246" s="61">
        <v>0</v>
      </c>
      <c r="E1246" s="61">
        <v>0</v>
      </c>
      <c r="F1246" s="61">
        <v>0</v>
      </c>
      <c r="G1246" s="61">
        <v>0</v>
      </c>
      <c r="H1246" s="61">
        <v>277610</v>
      </c>
      <c r="I1246" s="61">
        <v>0</v>
      </c>
      <c r="J1246" s="61">
        <v>277610</v>
      </c>
      <c r="K1246" s="61">
        <v>0</v>
      </c>
      <c r="L1246" s="61">
        <v>0</v>
      </c>
      <c r="M1246" s="61">
        <v>0</v>
      </c>
      <c r="N1246" s="61">
        <v>277610</v>
      </c>
    </row>
    <row r="1247" spans="1:14" ht="30" x14ac:dyDescent="0.25">
      <c r="A1247" s="68" t="s">
        <v>256</v>
      </c>
      <c r="B1247" s="60" t="s">
        <v>52</v>
      </c>
      <c r="C1247" s="61">
        <v>281549</v>
      </c>
      <c r="D1247" s="61">
        <v>-1575</v>
      </c>
      <c r="E1247" s="61">
        <v>0</v>
      </c>
      <c r="F1247" s="61">
        <v>0</v>
      </c>
      <c r="G1247" s="61">
        <v>0</v>
      </c>
      <c r="H1247" s="61">
        <v>279974</v>
      </c>
      <c r="I1247" s="61">
        <v>-279974</v>
      </c>
      <c r="J1247" s="61">
        <v>0</v>
      </c>
      <c r="K1247" s="61">
        <v>34115</v>
      </c>
      <c r="L1247" s="61">
        <v>-34115</v>
      </c>
      <c r="M1247" s="61">
        <v>0</v>
      </c>
      <c r="N1247" s="61">
        <v>0</v>
      </c>
    </row>
    <row r="1248" spans="1:14" ht="30" x14ac:dyDescent="0.25">
      <c r="A1248" s="68" t="s">
        <v>256</v>
      </c>
      <c r="B1248" s="60" t="s">
        <v>53</v>
      </c>
      <c r="C1248" s="61">
        <v>274469</v>
      </c>
      <c r="D1248" s="61">
        <v>0</v>
      </c>
      <c r="E1248" s="61">
        <v>0</v>
      </c>
      <c r="F1248" s="61">
        <v>0</v>
      </c>
      <c r="G1248" s="61">
        <v>0</v>
      </c>
      <c r="H1248" s="61">
        <v>274469</v>
      </c>
      <c r="I1248" s="61">
        <v>-274469</v>
      </c>
      <c r="J1248" s="61">
        <v>0</v>
      </c>
      <c r="K1248" s="61">
        <v>9979</v>
      </c>
      <c r="L1248" s="61">
        <v>-9979</v>
      </c>
      <c r="M1248" s="61">
        <v>0</v>
      </c>
      <c r="N1248" s="61">
        <v>0</v>
      </c>
    </row>
    <row r="1249" spans="1:14" ht="30" x14ac:dyDescent="0.25">
      <c r="A1249" s="68" t="s">
        <v>256</v>
      </c>
      <c r="B1249" s="60" t="s">
        <v>54</v>
      </c>
      <c r="C1249" s="61">
        <v>252962</v>
      </c>
      <c r="D1249" s="61">
        <v>0</v>
      </c>
      <c r="E1249" s="61">
        <v>0</v>
      </c>
      <c r="F1249" s="61">
        <v>0</v>
      </c>
      <c r="G1249" s="61">
        <v>0</v>
      </c>
      <c r="H1249" s="61">
        <v>252962</v>
      </c>
      <c r="I1249" s="61">
        <v>-252962</v>
      </c>
      <c r="J1249" s="61">
        <v>0</v>
      </c>
      <c r="K1249" s="61">
        <v>0</v>
      </c>
      <c r="L1249" s="61">
        <v>0</v>
      </c>
      <c r="M1249" s="61">
        <v>0</v>
      </c>
      <c r="N1249" s="61">
        <v>0</v>
      </c>
    </row>
    <row r="1250" spans="1:14" ht="30" x14ac:dyDescent="0.25">
      <c r="A1250" s="68" t="s">
        <v>256</v>
      </c>
      <c r="B1250" s="60" t="s">
        <v>55</v>
      </c>
      <c r="C1250" s="61">
        <v>256296</v>
      </c>
      <c r="D1250" s="61">
        <v>0</v>
      </c>
      <c r="E1250" s="61">
        <v>0</v>
      </c>
      <c r="F1250" s="61">
        <v>0</v>
      </c>
      <c r="G1250" s="61">
        <v>0</v>
      </c>
      <c r="H1250" s="61">
        <v>256296</v>
      </c>
      <c r="I1250" s="61">
        <v>-256296</v>
      </c>
      <c r="J1250" s="61">
        <v>0</v>
      </c>
      <c r="K1250" s="61">
        <v>0</v>
      </c>
      <c r="L1250" s="61">
        <v>0</v>
      </c>
      <c r="M1250" s="61">
        <v>0</v>
      </c>
      <c r="N1250" s="61">
        <v>0</v>
      </c>
    </row>
    <row r="1251" spans="1:14" ht="30" x14ac:dyDescent="0.25">
      <c r="A1251" s="68" t="s">
        <v>256</v>
      </c>
      <c r="B1251" s="60" t="s">
        <v>56</v>
      </c>
      <c r="C1251" s="61">
        <v>206052</v>
      </c>
      <c r="D1251" s="61">
        <v>0</v>
      </c>
      <c r="E1251" s="61">
        <v>0</v>
      </c>
      <c r="F1251" s="61">
        <v>0</v>
      </c>
      <c r="G1251" s="61">
        <v>0</v>
      </c>
      <c r="H1251" s="61">
        <v>206052</v>
      </c>
      <c r="I1251" s="61">
        <v>-206052</v>
      </c>
      <c r="J1251" s="61">
        <v>0</v>
      </c>
      <c r="K1251" s="61">
        <v>226</v>
      </c>
      <c r="L1251" s="61">
        <v>-226</v>
      </c>
      <c r="M1251" s="61">
        <v>0</v>
      </c>
      <c r="N1251" s="61">
        <v>0</v>
      </c>
    </row>
    <row r="1252" spans="1:14" ht="30" x14ac:dyDescent="0.25">
      <c r="A1252" s="68" t="s">
        <v>256</v>
      </c>
      <c r="B1252" s="60" t="s">
        <v>57</v>
      </c>
      <c r="C1252" s="61">
        <v>183179</v>
      </c>
      <c r="D1252" s="61">
        <v>0</v>
      </c>
      <c r="E1252" s="61">
        <v>0</v>
      </c>
      <c r="F1252" s="61">
        <v>0</v>
      </c>
      <c r="G1252" s="61">
        <v>0</v>
      </c>
      <c r="H1252" s="61">
        <v>183179</v>
      </c>
      <c r="I1252" s="61">
        <v>-183179</v>
      </c>
      <c r="J1252" s="61">
        <v>0</v>
      </c>
      <c r="K1252" s="61">
        <v>18661</v>
      </c>
      <c r="L1252" s="61">
        <v>-18661</v>
      </c>
      <c r="M1252" s="61">
        <v>0</v>
      </c>
      <c r="N1252" s="61">
        <v>0</v>
      </c>
    </row>
    <row r="1253" spans="1:14" ht="30" x14ac:dyDescent="0.25">
      <c r="A1253" s="68" t="s">
        <v>256</v>
      </c>
      <c r="B1253" s="60" t="s">
        <v>58</v>
      </c>
      <c r="C1253" s="61">
        <v>127266</v>
      </c>
      <c r="D1253" s="61">
        <v>-1000</v>
      </c>
      <c r="E1253" s="61">
        <v>0</v>
      </c>
      <c r="F1253" s="61">
        <v>0</v>
      </c>
      <c r="G1253" s="61">
        <v>0</v>
      </c>
      <c r="H1253" s="61">
        <v>126266</v>
      </c>
      <c r="I1253" s="61">
        <v>-126266</v>
      </c>
      <c r="J1253" s="61">
        <v>0</v>
      </c>
      <c r="K1253" s="61">
        <v>5000</v>
      </c>
      <c r="L1253" s="61">
        <v>-5000</v>
      </c>
      <c r="M1253" s="61">
        <v>0</v>
      </c>
      <c r="N1253" s="61">
        <v>0</v>
      </c>
    </row>
    <row r="1254" spans="1:14" ht="30" x14ac:dyDescent="0.25">
      <c r="A1254" s="68" t="s">
        <v>256</v>
      </c>
      <c r="B1254" s="60" t="s">
        <v>59</v>
      </c>
      <c r="C1254" s="61">
        <v>117841</v>
      </c>
      <c r="D1254" s="61">
        <v>0</v>
      </c>
      <c r="E1254" s="61">
        <v>0</v>
      </c>
      <c r="F1254" s="61">
        <v>0</v>
      </c>
      <c r="G1254" s="61">
        <v>0</v>
      </c>
      <c r="H1254" s="61">
        <v>117841</v>
      </c>
      <c r="I1254" s="61">
        <v>-117841</v>
      </c>
      <c r="J1254" s="61">
        <v>0</v>
      </c>
      <c r="K1254" s="61">
        <v>19863</v>
      </c>
      <c r="L1254" s="61">
        <v>-19863</v>
      </c>
      <c r="M1254" s="61">
        <v>0</v>
      </c>
      <c r="N1254" s="61">
        <v>0</v>
      </c>
    </row>
    <row r="1255" spans="1:14" ht="30" x14ac:dyDescent="0.25">
      <c r="A1255" s="68" t="s">
        <v>256</v>
      </c>
      <c r="B1255" s="60" t="s">
        <v>60</v>
      </c>
      <c r="C1255" s="61">
        <v>146697</v>
      </c>
      <c r="D1255" s="61">
        <v>-150</v>
      </c>
      <c r="E1255" s="61">
        <v>0</v>
      </c>
      <c r="F1255" s="61">
        <v>0</v>
      </c>
      <c r="G1255" s="61">
        <v>0</v>
      </c>
      <c r="H1255" s="61">
        <v>146547</v>
      </c>
      <c r="I1255" s="61">
        <v>-146547</v>
      </c>
      <c r="J1255" s="61">
        <v>0</v>
      </c>
      <c r="K1255" s="61">
        <v>89658</v>
      </c>
      <c r="L1255" s="61">
        <v>-89658</v>
      </c>
      <c r="M1255" s="61">
        <v>0</v>
      </c>
      <c r="N1255" s="61">
        <v>0</v>
      </c>
    </row>
    <row r="1256" spans="1:14" ht="30" x14ac:dyDescent="0.25">
      <c r="A1256" s="68" t="s">
        <v>256</v>
      </c>
      <c r="B1256" s="60" t="s">
        <v>61</v>
      </c>
      <c r="C1256" s="61">
        <v>263871</v>
      </c>
      <c r="D1256" s="61">
        <v>-34759</v>
      </c>
      <c r="E1256" s="61">
        <v>0</v>
      </c>
      <c r="F1256" s="61">
        <v>0</v>
      </c>
      <c r="G1256" s="61">
        <v>0</v>
      </c>
      <c r="H1256" s="61">
        <v>229112</v>
      </c>
      <c r="I1256" s="61">
        <v>-229112</v>
      </c>
      <c r="J1256" s="61">
        <v>0</v>
      </c>
      <c r="K1256" s="61">
        <v>0</v>
      </c>
      <c r="L1256" s="61">
        <v>0</v>
      </c>
      <c r="M1256" s="61">
        <v>0</v>
      </c>
      <c r="N1256" s="61">
        <v>0</v>
      </c>
    </row>
    <row r="1257" spans="1:14" ht="30" x14ac:dyDescent="0.25">
      <c r="A1257" s="68" t="s">
        <v>256</v>
      </c>
      <c r="B1257" s="60" t="s">
        <v>62</v>
      </c>
      <c r="C1257" s="61">
        <v>149920</v>
      </c>
      <c r="D1257" s="61">
        <v>0</v>
      </c>
      <c r="E1257" s="61">
        <v>0</v>
      </c>
      <c r="F1257" s="61">
        <v>0</v>
      </c>
      <c r="G1257" s="61">
        <v>0</v>
      </c>
      <c r="H1257" s="61">
        <v>149920</v>
      </c>
      <c r="I1257" s="61">
        <v>-149920</v>
      </c>
      <c r="J1257" s="61">
        <v>0</v>
      </c>
      <c r="K1257" s="61">
        <v>7275</v>
      </c>
      <c r="L1257" s="61">
        <v>-7275</v>
      </c>
      <c r="M1257" s="61">
        <v>0</v>
      </c>
      <c r="N1257" s="61">
        <v>0</v>
      </c>
    </row>
    <row r="1258" spans="1:14" ht="30" x14ac:dyDescent="0.25">
      <c r="A1258" s="68" t="s">
        <v>256</v>
      </c>
      <c r="B1258" s="60" t="s">
        <v>63</v>
      </c>
      <c r="C1258" s="61">
        <v>56757</v>
      </c>
      <c r="D1258" s="61">
        <v>-2436</v>
      </c>
      <c r="E1258" s="61">
        <v>0</v>
      </c>
      <c r="F1258" s="61">
        <v>0</v>
      </c>
      <c r="G1258" s="61">
        <v>0</v>
      </c>
      <c r="H1258" s="61">
        <v>54321</v>
      </c>
      <c r="I1258" s="61">
        <v>-54321</v>
      </c>
      <c r="J1258" s="61">
        <v>0</v>
      </c>
      <c r="K1258" s="61">
        <v>0</v>
      </c>
      <c r="L1258" s="61">
        <v>0</v>
      </c>
      <c r="M1258" s="61">
        <v>0</v>
      </c>
      <c r="N1258" s="61">
        <v>0</v>
      </c>
    </row>
    <row r="1259" spans="1:14" ht="30" x14ac:dyDescent="0.25">
      <c r="A1259" s="68" t="s">
        <v>256</v>
      </c>
      <c r="B1259" s="60" t="s">
        <v>64</v>
      </c>
      <c r="C1259" s="61">
        <v>73236</v>
      </c>
      <c r="D1259" s="61">
        <v>0</v>
      </c>
      <c r="E1259" s="61">
        <v>0</v>
      </c>
      <c r="F1259" s="61">
        <v>0</v>
      </c>
      <c r="G1259" s="61">
        <v>0</v>
      </c>
      <c r="H1259" s="61">
        <v>73236</v>
      </c>
      <c r="I1259" s="61">
        <v>-73236</v>
      </c>
      <c r="J1259" s="61">
        <v>0</v>
      </c>
      <c r="K1259" s="61">
        <v>0</v>
      </c>
      <c r="L1259" s="61">
        <v>0</v>
      </c>
      <c r="M1259" s="61">
        <v>0</v>
      </c>
      <c r="N1259" s="61">
        <v>0</v>
      </c>
    </row>
    <row r="1260" spans="1:14" ht="30" x14ac:dyDescent="0.25">
      <c r="A1260" s="68" t="s">
        <v>256</v>
      </c>
      <c r="B1260" s="60" t="s">
        <v>65</v>
      </c>
      <c r="C1260" s="61">
        <v>9510</v>
      </c>
      <c r="D1260" s="61">
        <v>0</v>
      </c>
      <c r="E1260" s="61">
        <v>0</v>
      </c>
      <c r="F1260" s="61">
        <v>0</v>
      </c>
      <c r="G1260" s="61">
        <v>0</v>
      </c>
      <c r="H1260" s="61">
        <v>9510</v>
      </c>
      <c r="I1260" s="61">
        <v>-9510</v>
      </c>
      <c r="J1260" s="61">
        <v>0</v>
      </c>
      <c r="K1260" s="61">
        <v>0</v>
      </c>
      <c r="L1260" s="61">
        <v>0</v>
      </c>
      <c r="M1260" s="61">
        <v>0</v>
      </c>
      <c r="N1260" s="61">
        <v>0</v>
      </c>
    </row>
    <row r="1261" spans="1:14" ht="30" x14ac:dyDescent="0.25">
      <c r="A1261" s="68" t="s">
        <v>256</v>
      </c>
      <c r="B1261" s="60" t="s">
        <v>66</v>
      </c>
      <c r="C1261" s="61">
        <v>80953</v>
      </c>
      <c r="D1261" s="61">
        <v>0</v>
      </c>
      <c r="E1261" s="61">
        <v>0</v>
      </c>
      <c r="F1261" s="61">
        <v>0</v>
      </c>
      <c r="G1261" s="61">
        <v>0</v>
      </c>
      <c r="H1261" s="61">
        <v>80953</v>
      </c>
      <c r="I1261" s="61">
        <v>-80953</v>
      </c>
      <c r="J1261" s="61">
        <v>0</v>
      </c>
      <c r="K1261" s="61">
        <v>0</v>
      </c>
      <c r="L1261" s="61">
        <v>0</v>
      </c>
      <c r="M1261" s="61">
        <v>0</v>
      </c>
      <c r="N1261" s="61">
        <v>0</v>
      </c>
    </row>
    <row r="1262" spans="1:14" ht="15.75" x14ac:dyDescent="0.25">
      <c r="A1262" s="52" t="s">
        <v>257</v>
      </c>
      <c r="B1262" s="53" t="s">
        <v>8</v>
      </c>
      <c r="C1262" s="19">
        <f>SUBTOTAL(109,Program122[(C)
Program
Costs])</f>
        <v>2824485</v>
      </c>
      <c r="D1262" s="19">
        <f>SUBTOTAL(109,Program122[(D)
Prior Period Adjustments])</f>
        <v>-39920</v>
      </c>
      <c r="E1262" s="19">
        <f>SUBTOTAL(109,Program122[(E)
Current Period Desk 
Reviews])</f>
        <v>0</v>
      </c>
      <c r="F1262" s="19">
        <f>SUBTOTAL(109,Program122[(F)
Current Period 
Final 
Audits])</f>
        <v>0</v>
      </c>
      <c r="G1262" s="19">
        <f>SUBTOTAL(109,Program122[(G)
Current Period 
Other Adjustments])</f>
        <v>0</v>
      </c>
      <c r="H1262" s="19">
        <f>SUBTOTAL(109,Program122[(H)
Net Program Costs
Sum (C through G)])</f>
        <v>2784565</v>
      </c>
      <c r="I1262" s="19">
        <f>SUBTOTAL(109,Program122[(I)
Payments
 and Offsets])</f>
        <v>-2440638</v>
      </c>
      <c r="J1262" s="19">
        <f>SUBTOTAL(109,Program122[(J)
Accounts Payable Balance
(H + I)])</f>
        <v>343927</v>
      </c>
      <c r="K1262" s="19">
        <f>SUBTOTAL(109,Program122[(K)
Established 
Accounts Receivable])</f>
        <v>184777</v>
      </c>
      <c r="L1262" s="19">
        <f>SUBTOTAL(109,Program122[(L)
Recovered
 Accounts Receivable])</f>
        <v>-184777</v>
      </c>
      <c r="M1262" s="19">
        <f>SUBTOTAL(109,Program122[(M)
Accounts Receivable Balance
(K + L)])</f>
        <v>0</v>
      </c>
      <c r="N1262" s="19">
        <f>SUBTOTAL(109,Program122[(N)
Net Balance
(J minus M)])</f>
        <v>343927</v>
      </c>
    </row>
    <row r="1263" spans="1:14" ht="15.75" x14ac:dyDescent="0.25">
      <c r="A1263" s="17" t="s">
        <v>13</v>
      </c>
      <c r="B1263" s="54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78.75" x14ac:dyDescent="0.25">
      <c r="A1264" s="39" t="s">
        <v>32</v>
      </c>
      <c r="B1264" s="40" t="s">
        <v>33</v>
      </c>
      <c r="C1264" s="41" t="s">
        <v>34</v>
      </c>
      <c r="D1264" s="41" t="s">
        <v>35</v>
      </c>
      <c r="E1264" s="42" t="s">
        <v>36</v>
      </c>
      <c r="F1264" s="42" t="s">
        <v>37</v>
      </c>
      <c r="G1264" s="42" t="s">
        <v>38</v>
      </c>
      <c r="H1264" s="43" t="s">
        <v>39</v>
      </c>
      <c r="I1264" s="44" t="s">
        <v>40</v>
      </c>
      <c r="J1264" s="44" t="s">
        <v>41</v>
      </c>
      <c r="K1264" s="42" t="s">
        <v>42</v>
      </c>
      <c r="L1264" s="44" t="s">
        <v>43</v>
      </c>
      <c r="M1264" s="44" t="s">
        <v>44</v>
      </c>
      <c r="N1264" s="45" t="s">
        <v>45</v>
      </c>
    </row>
    <row r="1265" spans="1:14" ht="30" x14ac:dyDescent="0.25">
      <c r="A1265" s="67" t="s">
        <v>258</v>
      </c>
      <c r="B1265" s="57" t="s">
        <v>76</v>
      </c>
      <c r="C1265" s="58">
        <v>400041</v>
      </c>
      <c r="D1265" s="58">
        <v>0</v>
      </c>
      <c r="E1265" s="58">
        <v>0</v>
      </c>
      <c r="F1265" s="58">
        <v>0</v>
      </c>
      <c r="G1265" s="58">
        <v>0</v>
      </c>
      <c r="H1265" s="58">
        <v>400041</v>
      </c>
      <c r="I1265" s="58">
        <v>0</v>
      </c>
      <c r="J1265" s="58">
        <v>400041</v>
      </c>
      <c r="K1265" s="58">
        <v>0</v>
      </c>
      <c r="L1265" s="58">
        <v>0</v>
      </c>
      <c r="M1265" s="58">
        <v>0</v>
      </c>
      <c r="N1265" s="58">
        <v>400041</v>
      </c>
    </row>
    <row r="1266" spans="1:14" ht="30" x14ac:dyDescent="0.25">
      <c r="A1266" s="68" t="s">
        <v>258</v>
      </c>
      <c r="B1266" s="60" t="s">
        <v>77</v>
      </c>
      <c r="C1266" s="61">
        <v>466001</v>
      </c>
      <c r="D1266" s="61">
        <v>0</v>
      </c>
      <c r="E1266" s="61">
        <v>-3354</v>
      </c>
      <c r="F1266" s="61">
        <v>0</v>
      </c>
      <c r="G1266" s="61">
        <v>-2459</v>
      </c>
      <c r="H1266" s="61">
        <v>460188</v>
      </c>
      <c r="I1266" s="61">
        <v>0</v>
      </c>
      <c r="J1266" s="61">
        <v>460188</v>
      </c>
      <c r="K1266" s="61">
        <v>0</v>
      </c>
      <c r="L1266" s="61">
        <v>0</v>
      </c>
      <c r="M1266" s="61">
        <v>0</v>
      </c>
      <c r="N1266" s="61">
        <v>460188</v>
      </c>
    </row>
    <row r="1267" spans="1:14" ht="30" x14ac:dyDescent="0.25">
      <c r="A1267" s="68" t="s">
        <v>258</v>
      </c>
      <c r="B1267" s="60" t="s">
        <v>78</v>
      </c>
      <c r="C1267" s="61">
        <v>595197</v>
      </c>
      <c r="D1267" s="61">
        <v>0</v>
      </c>
      <c r="E1267" s="61">
        <v>-1734</v>
      </c>
      <c r="F1267" s="61">
        <v>0</v>
      </c>
      <c r="G1267" s="61">
        <v>-52</v>
      </c>
      <c r="H1267" s="61">
        <v>593411</v>
      </c>
      <c r="I1267" s="61">
        <v>0</v>
      </c>
      <c r="J1267" s="61">
        <v>593411</v>
      </c>
      <c r="K1267" s="61">
        <v>0</v>
      </c>
      <c r="L1267" s="61">
        <v>0</v>
      </c>
      <c r="M1267" s="61">
        <v>0</v>
      </c>
      <c r="N1267" s="61">
        <v>593411</v>
      </c>
    </row>
    <row r="1268" spans="1:14" ht="30" x14ac:dyDescent="0.25">
      <c r="A1268" s="68" t="s">
        <v>258</v>
      </c>
      <c r="B1268" s="60" t="s">
        <v>47</v>
      </c>
      <c r="C1268" s="61">
        <v>1750083</v>
      </c>
      <c r="D1268" s="61">
        <v>0</v>
      </c>
      <c r="E1268" s="61">
        <v>0</v>
      </c>
      <c r="F1268" s="61">
        <v>0</v>
      </c>
      <c r="G1268" s="61">
        <v>-2953</v>
      </c>
      <c r="H1268" s="61">
        <v>1747130</v>
      </c>
      <c r="I1268" s="61">
        <v>0</v>
      </c>
      <c r="J1268" s="61">
        <v>1747130</v>
      </c>
      <c r="K1268" s="61">
        <v>0</v>
      </c>
      <c r="L1268" s="61">
        <v>0</v>
      </c>
      <c r="M1268" s="61">
        <v>0</v>
      </c>
      <c r="N1268" s="61">
        <v>1747130</v>
      </c>
    </row>
    <row r="1269" spans="1:14" ht="15.75" x14ac:dyDescent="0.25">
      <c r="A1269" s="52" t="str">
        <f>[1]Locals!$A$1185</f>
        <v>Total Program 373</v>
      </c>
      <c r="B1269" s="53" t="s">
        <v>8</v>
      </c>
      <c r="C1269" s="19">
        <f>SUBTOTAL(109,Program373[(C)
Program
Costs])</f>
        <v>3211322</v>
      </c>
      <c r="D1269" s="19">
        <f>SUBTOTAL(109,Program373[(D)
Prior Period Adjustments])</f>
        <v>0</v>
      </c>
      <c r="E1269" s="19">
        <f>SUBTOTAL(109,Program373[(E)
Current Period Desk 
Reviews])</f>
        <v>-5088</v>
      </c>
      <c r="F1269" s="19">
        <f>SUBTOTAL(109,Program373[(F)
Current Period 
Final 
Audits])</f>
        <v>0</v>
      </c>
      <c r="G1269" s="19">
        <f>SUBTOTAL(109,Program373[(G)
Current Period 
Other Adjustments])</f>
        <v>-5464</v>
      </c>
      <c r="H1269" s="19">
        <f>SUBTOTAL(109,Program373[(H)
Net Program Costs
Sum (C through G)])</f>
        <v>3200770</v>
      </c>
      <c r="I1269" s="19">
        <f>SUBTOTAL(109,Program373[(I)
Payments
 and Offsets])</f>
        <v>0</v>
      </c>
      <c r="J1269" s="19">
        <f>SUBTOTAL(109,Program373[(J)
Accounts Payable Balance
(H + I)])</f>
        <v>3200770</v>
      </c>
      <c r="K1269" s="19">
        <f>SUBTOTAL(109,Program373[(K)
Established 
Accounts Receivable])</f>
        <v>0</v>
      </c>
      <c r="L1269" s="19">
        <f>SUBTOTAL(109,Program373[(L)
Recovered
 Accounts Receivable])</f>
        <v>0</v>
      </c>
      <c r="M1269" s="19">
        <f>SUBTOTAL(109,Program373[(M)
Accounts Receivable Balance
(K + L)])</f>
        <v>0</v>
      </c>
      <c r="N1269" s="19">
        <f>SUBTOTAL(109,Program373[(N)
Net Balance
(J minus M)])</f>
        <v>3200770</v>
      </c>
    </row>
    <row r="1270" spans="1:14" ht="15.75" x14ac:dyDescent="0.25">
      <c r="A1270" s="17" t="s">
        <v>13</v>
      </c>
      <c r="B1270" s="54"/>
      <c r="C1270" s="55"/>
      <c r="D1270" s="55"/>
      <c r="E1270" s="55"/>
      <c r="F1270" s="55"/>
      <c r="G1270" s="55"/>
      <c r="H1270" s="55"/>
      <c r="I1270" s="55"/>
      <c r="J1270" s="55"/>
      <c r="K1270" s="55"/>
      <c r="L1270" s="55"/>
      <c r="M1270" s="55"/>
      <c r="N1270" s="55"/>
    </row>
    <row r="1271" spans="1:14" ht="78.75" x14ac:dyDescent="0.25">
      <c r="A1271" s="39" t="s">
        <v>32</v>
      </c>
      <c r="B1271" s="40" t="s">
        <v>33</v>
      </c>
      <c r="C1271" s="41" t="s">
        <v>34</v>
      </c>
      <c r="D1271" s="41" t="s">
        <v>35</v>
      </c>
      <c r="E1271" s="42" t="s">
        <v>36</v>
      </c>
      <c r="F1271" s="42" t="s">
        <v>37</v>
      </c>
      <c r="G1271" s="42" t="s">
        <v>38</v>
      </c>
      <c r="H1271" s="43" t="s">
        <v>39</v>
      </c>
      <c r="I1271" s="44" t="s">
        <v>40</v>
      </c>
      <c r="J1271" s="44" t="s">
        <v>41</v>
      </c>
      <c r="K1271" s="42" t="s">
        <v>42</v>
      </c>
      <c r="L1271" s="44" t="s">
        <v>43</v>
      </c>
      <c r="M1271" s="44" t="s">
        <v>44</v>
      </c>
      <c r="N1271" s="45" t="s">
        <v>45</v>
      </c>
    </row>
    <row r="1272" spans="1:14" ht="15.75" x14ac:dyDescent="0.25">
      <c r="A1272" s="46" t="s">
        <v>259</v>
      </c>
      <c r="B1272" s="47" t="s">
        <v>51</v>
      </c>
      <c r="C1272" s="48">
        <v>6055089</v>
      </c>
      <c r="D1272" s="48">
        <v>-1257679</v>
      </c>
      <c r="E1272" s="48">
        <v>0</v>
      </c>
      <c r="F1272" s="48">
        <v>0</v>
      </c>
      <c r="G1272" s="48">
        <v>0</v>
      </c>
      <c r="H1272" s="48">
        <v>4797410</v>
      </c>
      <c r="I1272" s="48">
        <v>0</v>
      </c>
      <c r="J1272" s="48">
        <v>4797410</v>
      </c>
      <c r="K1272" s="48">
        <v>0</v>
      </c>
      <c r="L1272" s="48">
        <v>0</v>
      </c>
      <c r="M1272" s="48">
        <v>0</v>
      </c>
      <c r="N1272" s="48">
        <v>4797410</v>
      </c>
    </row>
    <row r="1273" spans="1:14" ht="15.75" x14ac:dyDescent="0.25">
      <c r="A1273" s="49" t="s">
        <v>259</v>
      </c>
      <c r="B1273" s="50" t="s">
        <v>52</v>
      </c>
      <c r="C1273" s="51">
        <v>5803146</v>
      </c>
      <c r="D1273" s="51">
        <v>-344798</v>
      </c>
      <c r="E1273" s="51">
        <v>0</v>
      </c>
      <c r="F1273" s="51">
        <v>0</v>
      </c>
      <c r="G1273" s="51">
        <v>0</v>
      </c>
      <c r="H1273" s="51">
        <v>5458348</v>
      </c>
      <c r="I1273" s="51">
        <v>-5346969</v>
      </c>
      <c r="J1273" s="51">
        <v>111379</v>
      </c>
      <c r="K1273" s="51">
        <v>499658</v>
      </c>
      <c r="L1273" s="51">
        <v>-499658</v>
      </c>
      <c r="M1273" s="51">
        <v>0</v>
      </c>
      <c r="N1273" s="51">
        <v>111379</v>
      </c>
    </row>
    <row r="1274" spans="1:14" ht="15.75" x14ac:dyDescent="0.25">
      <c r="A1274" s="49" t="s">
        <v>259</v>
      </c>
      <c r="B1274" s="50" t="s">
        <v>53</v>
      </c>
      <c r="C1274" s="51">
        <v>3669582</v>
      </c>
      <c r="D1274" s="51">
        <v>-85458</v>
      </c>
      <c r="E1274" s="51">
        <v>0</v>
      </c>
      <c r="F1274" s="51">
        <v>0</v>
      </c>
      <c r="G1274" s="51">
        <v>0</v>
      </c>
      <c r="H1274" s="51">
        <v>3584124</v>
      </c>
      <c r="I1274" s="51">
        <v>-3584124</v>
      </c>
      <c r="J1274" s="51">
        <v>0</v>
      </c>
      <c r="K1274" s="51">
        <v>33517</v>
      </c>
      <c r="L1274" s="51">
        <v>-33517</v>
      </c>
      <c r="M1274" s="51">
        <v>0</v>
      </c>
      <c r="N1274" s="51">
        <v>0</v>
      </c>
    </row>
    <row r="1275" spans="1:14" ht="15.75" x14ac:dyDescent="0.25">
      <c r="A1275" s="49" t="s">
        <v>259</v>
      </c>
      <c r="B1275" s="50" t="s">
        <v>54</v>
      </c>
      <c r="C1275" s="51">
        <v>2568168</v>
      </c>
      <c r="D1275" s="51">
        <v>-152252</v>
      </c>
      <c r="E1275" s="51">
        <v>0</v>
      </c>
      <c r="F1275" s="51">
        <v>0</v>
      </c>
      <c r="G1275" s="51">
        <v>0</v>
      </c>
      <c r="H1275" s="51">
        <v>2415916</v>
      </c>
      <c r="I1275" s="51">
        <v>-2415916</v>
      </c>
      <c r="J1275" s="51">
        <v>0</v>
      </c>
      <c r="K1275" s="51">
        <v>515303</v>
      </c>
      <c r="L1275" s="51">
        <v>-515303</v>
      </c>
      <c r="M1275" s="51">
        <v>0</v>
      </c>
      <c r="N1275" s="51">
        <v>0</v>
      </c>
    </row>
    <row r="1276" spans="1:14" ht="15.75" x14ac:dyDescent="0.25">
      <c r="A1276" s="49" t="s">
        <v>259</v>
      </c>
      <c r="B1276" s="50" t="s">
        <v>55</v>
      </c>
      <c r="C1276" s="51">
        <v>2271865</v>
      </c>
      <c r="D1276" s="51">
        <v>-411360</v>
      </c>
      <c r="E1276" s="51">
        <v>0</v>
      </c>
      <c r="F1276" s="51">
        <v>0</v>
      </c>
      <c r="G1276" s="51">
        <v>0</v>
      </c>
      <c r="H1276" s="51">
        <v>1860505</v>
      </c>
      <c r="I1276" s="51">
        <v>-1860505</v>
      </c>
      <c r="J1276" s="51">
        <v>0</v>
      </c>
      <c r="K1276" s="51">
        <v>0</v>
      </c>
      <c r="L1276" s="51">
        <v>0</v>
      </c>
      <c r="M1276" s="51">
        <v>0</v>
      </c>
      <c r="N1276" s="51">
        <v>0</v>
      </c>
    </row>
    <row r="1277" spans="1:14" ht="15.75" x14ac:dyDescent="0.25">
      <c r="A1277" s="49" t="s">
        <v>259</v>
      </c>
      <c r="B1277" s="50" t="s">
        <v>56</v>
      </c>
      <c r="C1277" s="51">
        <v>1564474</v>
      </c>
      <c r="D1277" s="51">
        <v>-274421</v>
      </c>
      <c r="E1277" s="51">
        <v>0</v>
      </c>
      <c r="F1277" s="51">
        <v>0</v>
      </c>
      <c r="G1277" s="51">
        <v>0</v>
      </c>
      <c r="H1277" s="51">
        <v>1290053</v>
      </c>
      <c r="I1277" s="51">
        <v>-1290053</v>
      </c>
      <c r="J1277" s="51">
        <v>0</v>
      </c>
      <c r="K1277" s="51">
        <v>3</v>
      </c>
      <c r="L1277" s="51">
        <v>-3</v>
      </c>
      <c r="M1277" s="51">
        <v>0</v>
      </c>
      <c r="N1277" s="51">
        <v>0</v>
      </c>
    </row>
    <row r="1278" spans="1:14" ht="15.75" x14ac:dyDescent="0.25">
      <c r="A1278" s="49" t="s">
        <v>259</v>
      </c>
      <c r="B1278" s="50" t="s">
        <v>57</v>
      </c>
      <c r="C1278" s="51">
        <v>2256489</v>
      </c>
      <c r="D1278" s="51">
        <v>-165871</v>
      </c>
      <c r="E1278" s="51">
        <v>0</v>
      </c>
      <c r="F1278" s="51">
        <v>0</v>
      </c>
      <c r="G1278" s="51">
        <v>0</v>
      </c>
      <c r="H1278" s="51">
        <v>2090618</v>
      </c>
      <c r="I1278" s="51">
        <v>-2090618</v>
      </c>
      <c r="J1278" s="51">
        <v>0</v>
      </c>
      <c r="K1278" s="51">
        <v>29457</v>
      </c>
      <c r="L1278" s="51">
        <v>-29457</v>
      </c>
      <c r="M1278" s="51">
        <v>0</v>
      </c>
      <c r="N1278" s="51">
        <v>0</v>
      </c>
    </row>
    <row r="1279" spans="1:14" ht="15.75" x14ac:dyDescent="0.25">
      <c r="A1279" s="49" t="s">
        <v>259</v>
      </c>
      <c r="B1279" s="50" t="s">
        <v>58</v>
      </c>
      <c r="C1279" s="51">
        <v>1419495</v>
      </c>
      <c r="D1279" s="51">
        <v>-699</v>
      </c>
      <c r="E1279" s="51">
        <v>0</v>
      </c>
      <c r="F1279" s="51">
        <v>0</v>
      </c>
      <c r="G1279" s="51">
        <v>0</v>
      </c>
      <c r="H1279" s="51">
        <v>1418796</v>
      </c>
      <c r="I1279" s="51">
        <v>-1418796</v>
      </c>
      <c r="J1279" s="51">
        <v>0</v>
      </c>
      <c r="K1279" s="51">
        <v>20307</v>
      </c>
      <c r="L1279" s="51">
        <v>-20307</v>
      </c>
      <c r="M1279" s="51">
        <v>0</v>
      </c>
      <c r="N1279" s="51">
        <v>0</v>
      </c>
    </row>
    <row r="1280" spans="1:14" ht="15.75" x14ac:dyDescent="0.25">
      <c r="A1280" s="49" t="s">
        <v>259</v>
      </c>
      <c r="B1280" s="50" t="s">
        <v>59</v>
      </c>
      <c r="C1280" s="51">
        <v>847656</v>
      </c>
      <c r="D1280" s="51">
        <v>-1137</v>
      </c>
      <c r="E1280" s="51">
        <v>0</v>
      </c>
      <c r="F1280" s="51">
        <v>0</v>
      </c>
      <c r="G1280" s="51">
        <v>0</v>
      </c>
      <c r="H1280" s="51">
        <v>846519</v>
      </c>
      <c r="I1280" s="51">
        <v>-846519</v>
      </c>
      <c r="J1280" s="51">
        <v>0</v>
      </c>
      <c r="K1280" s="51">
        <v>18868</v>
      </c>
      <c r="L1280" s="51">
        <v>-18868</v>
      </c>
      <c r="M1280" s="51">
        <v>0</v>
      </c>
      <c r="N1280" s="51">
        <v>0</v>
      </c>
    </row>
    <row r="1281" spans="1:14" ht="15.75" x14ac:dyDescent="0.25">
      <c r="A1281" s="49" t="s">
        <v>259</v>
      </c>
      <c r="B1281" s="50" t="s">
        <v>60</v>
      </c>
      <c r="C1281" s="51">
        <v>590065</v>
      </c>
      <c r="D1281" s="51">
        <v>-1267</v>
      </c>
      <c r="E1281" s="51">
        <v>0</v>
      </c>
      <c r="F1281" s="51">
        <v>0</v>
      </c>
      <c r="G1281" s="51">
        <v>0</v>
      </c>
      <c r="H1281" s="51">
        <v>588798</v>
      </c>
      <c r="I1281" s="51">
        <v>-588798</v>
      </c>
      <c r="J1281" s="51">
        <v>0</v>
      </c>
      <c r="K1281" s="51">
        <v>154093</v>
      </c>
      <c r="L1281" s="51">
        <v>-154093</v>
      </c>
      <c r="M1281" s="51">
        <v>0</v>
      </c>
      <c r="N1281" s="51">
        <v>0</v>
      </c>
    </row>
    <row r="1282" spans="1:14" ht="15.75" x14ac:dyDescent="0.25">
      <c r="A1282" s="49" t="s">
        <v>259</v>
      </c>
      <c r="B1282" s="50" t="s">
        <v>61</v>
      </c>
      <c r="C1282" s="51">
        <v>1247701</v>
      </c>
      <c r="D1282" s="51">
        <v>-2067</v>
      </c>
      <c r="E1282" s="51">
        <v>0</v>
      </c>
      <c r="F1282" s="51">
        <v>0</v>
      </c>
      <c r="G1282" s="51">
        <v>0</v>
      </c>
      <c r="H1282" s="51">
        <v>1245634</v>
      </c>
      <c r="I1282" s="51">
        <v>-1245634</v>
      </c>
      <c r="J1282" s="51">
        <v>0</v>
      </c>
      <c r="K1282" s="51">
        <v>35606</v>
      </c>
      <c r="L1282" s="51">
        <v>-35606</v>
      </c>
      <c r="M1282" s="51">
        <v>0</v>
      </c>
      <c r="N1282" s="51">
        <v>0</v>
      </c>
    </row>
    <row r="1283" spans="1:14" ht="15.75" x14ac:dyDescent="0.25">
      <c r="A1283" s="49" t="s">
        <v>259</v>
      </c>
      <c r="B1283" s="50" t="s">
        <v>62</v>
      </c>
      <c r="C1283" s="51">
        <v>496298</v>
      </c>
      <c r="D1283" s="51">
        <v>0</v>
      </c>
      <c r="E1283" s="51">
        <v>0</v>
      </c>
      <c r="F1283" s="51">
        <v>0</v>
      </c>
      <c r="G1283" s="51">
        <v>0</v>
      </c>
      <c r="H1283" s="51">
        <v>496298</v>
      </c>
      <c r="I1283" s="51">
        <v>-496298</v>
      </c>
      <c r="J1283" s="51">
        <v>0</v>
      </c>
      <c r="K1283" s="51">
        <v>30142</v>
      </c>
      <c r="L1283" s="51">
        <v>-30142</v>
      </c>
      <c r="M1283" s="51">
        <v>0</v>
      </c>
      <c r="N1283" s="51">
        <v>0</v>
      </c>
    </row>
    <row r="1284" spans="1:14" ht="15.75" x14ac:dyDescent="0.25">
      <c r="A1284" s="49" t="s">
        <v>259</v>
      </c>
      <c r="B1284" s="50" t="s">
        <v>63</v>
      </c>
      <c r="C1284" s="51">
        <v>344697</v>
      </c>
      <c r="D1284" s="51">
        <v>0</v>
      </c>
      <c r="E1284" s="51">
        <v>0</v>
      </c>
      <c r="F1284" s="51">
        <v>0</v>
      </c>
      <c r="G1284" s="51">
        <v>0</v>
      </c>
      <c r="H1284" s="51">
        <v>344697</v>
      </c>
      <c r="I1284" s="51">
        <v>-344697</v>
      </c>
      <c r="J1284" s="51">
        <v>0</v>
      </c>
      <c r="K1284" s="51">
        <v>79456</v>
      </c>
      <c r="L1284" s="51">
        <v>-79456</v>
      </c>
      <c r="M1284" s="51">
        <v>0</v>
      </c>
      <c r="N1284" s="51">
        <v>0</v>
      </c>
    </row>
    <row r="1285" spans="1:14" ht="15.75" x14ac:dyDescent="0.25">
      <c r="A1285" s="49" t="s">
        <v>259</v>
      </c>
      <c r="B1285" s="50" t="s">
        <v>64</v>
      </c>
      <c r="C1285" s="51">
        <v>386347</v>
      </c>
      <c r="D1285" s="51">
        <v>-254</v>
      </c>
      <c r="E1285" s="51">
        <v>0</v>
      </c>
      <c r="F1285" s="51">
        <v>0</v>
      </c>
      <c r="G1285" s="51">
        <v>0</v>
      </c>
      <c r="H1285" s="51">
        <v>386093</v>
      </c>
      <c r="I1285" s="51">
        <v>-386093</v>
      </c>
      <c r="J1285" s="51">
        <v>0</v>
      </c>
      <c r="K1285" s="51">
        <v>47</v>
      </c>
      <c r="L1285" s="51">
        <v>-47</v>
      </c>
      <c r="M1285" s="51">
        <v>0</v>
      </c>
      <c r="N1285" s="51">
        <v>0</v>
      </c>
    </row>
    <row r="1286" spans="1:14" ht="15.75" x14ac:dyDescent="0.25">
      <c r="A1286" s="49" t="s">
        <v>259</v>
      </c>
      <c r="B1286" s="50" t="s">
        <v>65</v>
      </c>
      <c r="C1286" s="51">
        <v>297492</v>
      </c>
      <c r="D1286" s="51">
        <v>-15571</v>
      </c>
      <c r="E1286" s="51">
        <v>0</v>
      </c>
      <c r="F1286" s="51">
        <v>0</v>
      </c>
      <c r="G1286" s="51">
        <v>0</v>
      </c>
      <c r="H1286" s="51">
        <v>281921</v>
      </c>
      <c r="I1286" s="51">
        <v>-281921</v>
      </c>
      <c r="J1286" s="51">
        <v>0</v>
      </c>
      <c r="K1286" s="51">
        <v>0</v>
      </c>
      <c r="L1286" s="51">
        <v>0</v>
      </c>
      <c r="M1286" s="51">
        <v>0</v>
      </c>
      <c r="N1286" s="51">
        <v>0</v>
      </c>
    </row>
    <row r="1287" spans="1:14" ht="15.75" x14ac:dyDescent="0.25">
      <c r="A1287" s="49" t="s">
        <v>259</v>
      </c>
      <c r="B1287" s="50" t="s">
        <v>66</v>
      </c>
      <c r="C1287" s="51">
        <v>153688</v>
      </c>
      <c r="D1287" s="51">
        <v>-12560</v>
      </c>
      <c r="E1287" s="51">
        <v>0</v>
      </c>
      <c r="F1287" s="51">
        <v>0</v>
      </c>
      <c r="G1287" s="51">
        <v>0</v>
      </c>
      <c r="H1287" s="51">
        <v>141128</v>
      </c>
      <c r="I1287" s="51">
        <v>-141128</v>
      </c>
      <c r="J1287" s="51">
        <v>0</v>
      </c>
      <c r="K1287" s="51">
        <v>0</v>
      </c>
      <c r="L1287" s="51">
        <v>0</v>
      </c>
      <c r="M1287" s="51">
        <v>0</v>
      </c>
      <c r="N1287" s="51">
        <v>0</v>
      </c>
    </row>
    <row r="1288" spans="1:14" ht="15.75" x14ac:dyDescent="0.25">
      <c r="A1288" s="49" t="s">
        <v>259</v>
      </c>
      <c r="B1288" s="50" t="s">
        <v>67</v>
      </c>
      <c r="C1288" s="51">
        <v>96824</v>
      </c>
      <c r="D1288" s="51">
        <v>-24070</v>
      </c>
      <c r="E1288" s="51">
        <v>0</v>
      </c>
      <c r="F1288" s="51">
        <v>0</v>
      </c>
      <c r="G1288" s="51">
        <v>0</v>
      </c>
      <c r="H1288" s="51">
        <v>72754</v>
      </c>
      <c r="I1288" s="51">
        <v>-72754</v>
      </c>
      <c r="J1288" s="51">
        <v>0</v>
      </c>
      <c r="K1288" s="51">
        <v>0</v>
      </c>
      <c r="L1288" s="51">
        <v>0</v>
      </c>
      <c r="M1288" s="51">
        <v>0</v>
      </c>
      <c r="N1288" s="51">
        <v>0</v>
      </c>
    </row>
    <row r="1289" spans="1:14" ht="15.75" x14ac:dyDescent="0.25">
      <c r="A1289" s="49" t="s">
        <v>259</v>
      </c>
      <c r="B1289" s="50" t="s">
        <v>68</v>
      </c>
      <c r="C1289" s="51">
        <v>43390</v>
      </c>
      <c r="D1289" s="51">
        <v>-1368</v>
      </c>
      <c r="E1289" s="51">
        <v>0</v>
      </c>
      <c r="F1289" s="51">
        <v>0</v>
      </c>
      <c r="G1289" s="51">
        <v>0</v>
      </c>
      <c r="H1289" s="51">
        <v>42022</v>
      </c>
      <c r="I1289" s="51">
        <v>-42022</v>
      </c>
      <c r="J1289" s="51">
        <v>0</v>
      </c>
      <c r="K1289" s="51">
        <v>0</v>
      </c>
      <c r="L1289" s="51">
        <v>0</v>
      </c>
      <c r="M1289" s="51">
        <v>0</v>
      </c>
      <c r="N1289" s="51">
        <v>0</v>
      </c>
    </row>
    <row r="1290" spans="1:14" ht="15.75" x14ac:dyDescent="0.25">
      <c r="A1290" s="52" t="s">
        <v>260</v>
      </c>
      <c r="B1290" s="53" t="s">
        <v>8</v>
      </c>
      <c r="C1290" s="19">
        <f>SUBTOTAL(109,Program118[(C)
Program
Costs])</f>
        <v>30112466</v>
      </c>
      <c r="D1290" s="19">
        <f>SUBTOTAL(109,Program118[(D)
Prior Period Adjustments])</f>
        <v>-2750832</v>
      </c>
      <c r="E1290" s="19">
        <f>SUBTOTAL(109,Program118[(E)
Current Period Desk 
Reviews])</f>
        <v>0</v>
      </c>
      <c r="F1290" s="19">
        <f>SUBTOTAL(109,Program118[(F)
Current Period 
Final 
Audits])</f>
        <v>0</v>
      </c>
      <c r="G1290" s="19">
        <f>SUBTOTAL(109,Program118[(G)
Current Period 
Other Adjustments])</f>
        <v>0</v>
      </c>
      <c r="H1290" s="19">
        <f>SUBTOTAL(109,Program118[(H)
Net Program Costs
Sum (C through G)])</f>
        <v>27361634</v>
      </c>
      <c r="I1290" s="19">
        <f>SUBTOTAL(109,Program118[(I)
Payments
 and Offsets])</f>
        <v>-22452845</v>
      </c>
      <c r="J1290" s="19">
        <f>SUBTOTAL(109,Program118[(J)
Accounts Payable Balance
(H + I)])</f>
        <v>4908789</v>
      </c>
      <c r="K1290" s="19">
        <f>SUBTOTAL(109,Program118[(K)
Established 
Accounts Receivable])</f>
        <v>1416457</v>
      </c>
      <c r="L1290" s="19">
        <f>SUBTOTAL(109,Program118[(L)
Recovered
 Accounts Receivable])</f>
        <v>-1416457</v>
      </c>
      <c r="M1290" s="19">
        <f>SUBTOTAL(109,Program118[(M)
Accounts Receivable Balance
(K + L)])</f>
        <v>0</v>
      </c>
      <c r="N1290" s="19">
        <f>SUBTOTAL(109,Program118[(N)
Net Balance
(J minus M)])</f>
        <v>4908789</v>
      </c>
    </row>
    <row r="1291" spans="1:14" ht="15.75" x14ac:dyDescent="0.25">
      <c r="A1291" s="17" t="s">
        <v>13</v>
      </c>
      <c r="B1291" s="54"/>
      <c r="C1291" s="55"/>
      <c r="D1291" s="55"/>
      <c r="E1291" s="55"/>
      <c r="F1291" s="55"/>
      <c r="G1291" s="55"/>
      <c r="H1291" s="55"/>
      <c r="I1291" s="55"/>
      <c r="J1291" s="55"/>
      <c r="K1291" s="55"/>
      <c r="L1291" s="55"/>
      <c r="M1291" s="55"/>
      <c r="N1291" s="55"/>
    </row>
    <row r="1292" spans="1:14" ht="78.75" x14ac:dyDescent="0.25">
      <c r="A1292" s="39" t="s">
        <v>32</v>
      </c>
      <c r="B1292" s="40" t="s">
        <v>33</v>
      </c>
      <c r="C1292" s="41" t="s">
        <v>34</v>
      </c>
      <c r="D1292" s="41" t="s">
        <v>35</v>
      </c>
      <c r="E1292" s="42" t="s">
        <v>36</v>
      </c>
      <c r="F1292" s="42" t="s">
        <v>37</v>
      </c>
      <c r="G1292" s="42" t="s">
        <v>38</v>
      </c>
      <c r="H1292" s="43" t="s">
        <v>39</v>
      </c>
      <c r="I1292" s="44" t="s">
        <v>40</v>
      </c>
      <c r="J1292" s="44" t="s">
        <v>41</v>
      </c>
      <c r="K1292" s="42" t="s">
        <v>42</v>
      </c>
      <c r="L1292" s="44" t="s">
        <v>43</v>
      </c>
      <c r="M1292" s="44" t="s">
        <v>44</v>
      </c>
      <c r="N1292" s="45" t="s">
        <v>45</v>
      </c>
    </row>
    <row r="1293" spans="1:14" ht="30" x14ac:dyDescent="0.25">
      <c r="A1293" s="67" t="s">
        <v>261</v>
      </c>
      <c r="B1293" s="57" t="s">
        <v>76</v>
      </c>
      <c r="C1293" s="58">
        <v>834437</v>
      </c>
      <c r="D1293" s="58">
        <v>0</v>
      </c>
      <c r="E1293" s="58">
        <v>0</v>
      </c>
      <c r="F1293" s="58">
        <v>0</v>
      </c>
      <c r="G1293" s="58">
        <v>0</v>
      </c>
      <c r="H1293" s="58">
        <v>834437</v>
      </c>
      <c r="I1293" s="58">
        <v>0</v>
      </c>
      <c r="J1293" s="58">
        <v>834437</v>
      </c>
      <c r="K1293" s="58">
        <v>0</v>
      </c>
      <c r="L1293" s="58">
        <v>0</v>
      </c>
      <c r="M1293" s="58">
        <v>0</v>
      </c>
      <c r="N1293" s="58">
        <v>834437</v>
      </c>
    </row>
    <row r="1294" spans="1:14" ht="30" x14ac:dyDescent="0.25">
      <c r="A1294" s="68" t="s">
        <v>261</v>
      </c>
      <c r="B1294" s="60" t="s">
        <v>77</v>
      </c>
      <c r="C1294" s="61">
        <v>807932</v>
      </c>
      <c r="D1294" s="61">
        <v>0</v>
      </c>
      <c r="E1294" s="61">
        <v>0</v>
      </c>
      <c r="F1294" s="61">
        <v>0</v>
      </c>
      <c r="G1294" s="61">
        <v>-954</v>
      </c>
      <c r="H1294" s="61">
        <v>806978</v>
      </c>
      <c r="I1294" s="61">
        <v>-782868</v>
      </c>
      <c r="J1294" s="61">
        <v>24110</v>
      </c>
      <c r="K1294" s="61">
        <v>2199</v>
      </c>
      <c r="L1294" s="61">
        <v>0</v>
      </c>
      <c r="M1294" s="61">
        <v>2199</v>
      </c>
      <c r="N1294" s="61">
        <v>21911</v>
      </c>
    </row>
    <row r="1295" spans="1:14" ht="30" x14ac:dyDescent="0.25">
      <c r="A1295" s="68" t="s">
        <v>261</v>
      </c>
      <c r="B1295" s="60" t="s">
        <v>78</v>
      </c>
      <c r="C1295" s="61">
        <v>813447</v>
      </c>
      <c r="D1295" s="61">
        <v>-1589</v>
      </c>
      <c r="E1295" s="61">
        <v>0</v>
      </c>
      <c r="F1295" s="61">
        <v>0</v>
      </c>
      <c r="G1295" s="61">
        <v>0</v>
      </c>
      <c r="H1295" s="61">
        <v>811858</v>
      </c>
      <c r="I1295" s="61">
        <v>-811858</v>
      </c>
      <c r="J1295" s="61">
        <v>0</v>
      </c>
      <c r="K1295" s="61">
        <v>0</v>
      </c>
      <c r="L1295" s="61">
        <v>0</v>
      </c>
      <c r="M1295" s="61">
        <v>0</v>
      </c>
      <c r="N1295" s="61">
        <v>0</v>
      </c>
    </row>
    <row r="1296" spans="1:14" ht="30" x14ac:dyDescent="0.25">
      <c r="A1296" s="68" t="s">
        <v>261</v>
      </c>
      <c r="B1296" s="60" t="s">
        <v>47</v>
      </c>
      <c r="C1296" s="61">
        <v>820384</v>
      </c>
      <c r="D1296" s="61">
        <v>-2354</v>
      </c>
      <c r="E1296" s="61">
        <v>0</v>
      </c>
      <c r="F1296" s="61">
        <v>0</v>
      </c>
      <c r="G1296" s="61">
        <v>0</v>
      </c>
      <c r="H1296" s="61">
        <v>818030</v>
      </c>
      <c r="I1296" s="61">
        <v>-818030</v>
      </c>
      <c r="J1296" s="61">
        <v>0</v>
      </c>
      <c r="K1296" s="61">
        <v>0</v>
      </c>
      <c r="L1296" s="61">
        <v>0</v>
      </c>
      <c r="M1296" s="61">
        <v>0</v>
      </c>
      <c r="N1296" s="61">
        <v>0</v>
      </c>
    </row>
    <row r="1297" spans="1:14" ht="30" x14ac:dyDescent="0.25">
      <c r="A1297" s="68" t="s">
        <v>261</v>
      </c>
      <c r="B1297" s="60" t="s">
        <v>79</v>
      </c>
      <c r="C1297" s="61">
        <v>759867</v>
      </c>
      <c r="D1297" s="61">
        <v>-3686</v>
      </c>
      <c r="E1297" s="61">
        <v>0</v>
      </c>
      <c r="F1297" s="61">
        <v>0</v>
      </c>
      <c r="G1297" s="61">
        <v>0</v>
      </c>
      <c r="H1297" s="61">
        <v>756181</v>
      </c>
      <c r="I1297" s="61">
        <v>-756181</v>
      </c>
      <c r="J1297" s="61">
        <v>0</v>
      </c>
      <c r="K1297" s="61">
        <v>0</v>
      </c>
      <c r="L1297" s="61">
        <v>0</v>
      </c>
      <c r="M1297" s="61">
        <v>0</v>
      </c>
      <c r="N1297" s="61">
        <v>0</v>
      </c>
    </row>
    <row r="1298" spans="1:14" ht="30" x14ac:dyDescent="0.25">
      <c r="A1298" s="68" t="s">
        <v>261</v>
      </c>
      <c r="B1298" s="60" t="s">
        <v>80</v>
      </c>
      <c r="C1298" s="61">
        <v>743927</v>
      </c>
      <c r="D1298" s="61">
        <v>64970</v>
      </c>
      <c r="E1298" s="61">
        <v>0</v>
      </c>
      <c r="F1298" s="61">
        <v>0</v>
      </c>
      <c r="G1298" s="61">
        <v>0</v>
      </c>
      <c r="H1298" s="61">
        <v>808897</v>
      </c>
      <c r="I1298" s="61">
        <v>-808897</v>
      </c>
      <c r="J1298" s="61">
        <v>0</v>
      </c>
      <c r="K1298" s="61">
        <v>0</v>
      </c>
      <c r="L1298" s="61">
        <v>0</v>
      </c>
      <c r="M1298" s="61">
        <v>0</v>
      </c>
      <c r="N1298" s="61">
        <v>0</v>
      </c>
    </row>
    <row r="1299" spans="1:14" ht="30" x14ac:dyDescent="0.25">
      <c r="A1299" s="68" t="s">
        <v>261</v>
      </c>
      <c r="B1299" s="60" t="s">
        <v>81</v>
      </c>
      <c r="C1299" s="61">
        <v>548844</v>
      </c>
      <c r="D1299" s="61">
        <v>-2909</v>
      </c>
      <c r="E1299" s="61">
        <v>0</v>
      </c>
      <c r="F1299" s="61">
        <v>0</v>
      </c>
      <c r="G1299" s="61">
        <v>0</v>
      </c>
      <c r="H1299" s="61">
        <v>545935</v>
      </c>
      <c r="I1299" s="61">
        <v>-545935</v>
      </c>
      <c r="J1299" s="61">
        <v>0</v>
      </c>
      <c r="K1299" s="61">
        <v>0</v>
      </c>
      <c r="L1299" s="61">
        <v>0</v>
      </c>
      <c r="M1299" s="61">
        <v>0</v>
      </c>
      <c r="N1299" s="61">
        <v>0</v>
      </c>
    </row>
    <row r="1300" spans="1:14" ht="30" x14ac:dyDescent="0.25">
      <c r="A1300" s="68" t="s">
        <v>261</v>
      </c>
      <c r="B1300" s="60" t="s">
        <v>82</v>
      </c>
      <c r="C1300" s="61">
        <v>631918</v>
      </c>
      <c r="D1300" s="61">
        <v>-2670</v>
      </c>
      <c r="E1300" s="61">
        <v>0</v>
      </c>
      <c r="F1300" s="61">
        <v>0</v>
      </c>
      <c r="G1300" s="61">
        <v>0</v>
      </c>
      <c r="H1300" s="61">
        <v>629248</v>
      </c>
      <c r="I1300" s="61">
        <v>-629248</v>
      </c>
      <c r="J1300" s="61">
        <v>0</v>
      </c>
      <c r="K1300" s="61">
        <v>0</v>
      </c>
      <c r="L1300" s="61">
        <v>0</v>
      </c>
      <c r="M1300" s="61">
        <v>0</v>
      </c>
      <c r="N1300" s="61">
        <v>0</v>
      </c>
    </row>
    <row r="1301" spans="1:14" ht="30" x14ac:dyDescent="0.25">
      <c r="A1301" s="68" t="s">
        <v>261</v>
      </c>
      <c r="B1301" s="60" t="s">
        <v>83</v>
      </c>
      <c r="C1301" s="61">
        <v>695724</v>
      </c>
      <c r="D1301" s="61">
        <v>-117</v>
      </c>
      <c r="E1301" s="61">
        <v>0</v>
      </c>
      <c r="F1301" s="61">
        <v>0</v>
      </c>
      <c r="G1301" s="61">
        <v>0</v>
      </c>
      <c r="H1301" s="61">
        <v>695607</v>
      </c>
      <c r="I1301" s="61">
        <v>-695607</v>
      </c>
      <c r="J1301" s="61">
        <v>0</v>
      </c>
      <c r="K1301" s="61">
        <v>0</v>
      </c>
      <c r="L1301" s="61">
        <v>0</v>
      </c>
      <c r="M1301" s="61">
        <v>0</v>
      </c>
      <c r="N1301" s="61">
        <v>0</v>
      </c>
    </row>
    <row r="1302" spans="1:14" ht="30" x14ac:dyDescent="0.25">
      <c r="A1302" s="68" t="s">
        <v>261</v>
      </c>
      <c r="B1302" s="60" t="s">
        <v>48</v>
      </c>
      <c r="C1302" s="61">
        <v>661245</v>
      </c>
      <c r="D1302" s="61">
        <v>0</v>
      </c>
      <c r="E1302" s="61">
        <v>0</v>
      </c>
      <c r="F1302" s="61">
        <v>0</v>
      </c>
      <c r="G1302" s="61">
        <v>0</v>
      </c>
      <c r="H1302" s="61">
        <v>661245</v>
      </c>
      <c r="I1302" s="61">
        <v>-661245</v>
      </c>
      <c r="J1302" s="61">
        <v>0</v>
      </c>
      <c r="K1302" s="61">
        <v>0</v>
      </c>
      <c r="L1302" s="61">
        <v>0</v>
      </c>
      <c r="M1302" s="61">
        <v>0</v>
      </c>
      <c r="N1302" s="61">
        <v>0</v>
      </c>
    </row>
    <row r="1303" spans="1:14" ht="30" x14ac:dyDescent="0.25">
      <c r="A1303" s="68" t="s">
        <v>261</v>
      </c>
      <c r="B1303" s="60" t="s">
        <v>49</v>
      </c>
      <c r="C1303" s="61">
        <v>638712</v>
      </c>
      <c r="D1303" s="61">
        <v>0</v>
      </c>
      <c r="E1303" s="61">
        <v>0</v>
      </c>
      <c r="F1303" s="61">
        <v>0</v>
      </c>
      <c r="G1303" s="61">
        <v>0</v>
      </c>
      <c r="H1303" s="61">
        <v>638712</v>
      </c>
      <c r="I1303" s="61">
        <v>-638712</v>
      </c>
      <c r="J1303" s="61">
        <v>0</v>
      </c>
      <c r="K1303" s="61">
        <v>0</v>
      </c>
      <c r="L1303" s="61">
        <v>0</v>
      </c>
      <c r="M1303" s="61">
        <v>0</v>
      </c>
      <c r="N1303" s="61">
        <v>0</v>
      </c>
    </row>
    <row r="1304" spans="1:14" ht="30" x14ac:dyDescent="0.25">
      <c r="A1304" s="68" t="s">
        <v>261</v>
      </c>
      <c r="B1304" s="60" t="s">
        <v>50</v>
      </c>
      <c r="C1304" s="61">
        <v>512389</v>
      </c>
      <c r="D1304" s="61">
        <v>-94</v>
      </c>
      <c r="E1304" s="61">
        <v>0</v>
      </c>
      <c r="F1304" s="61">
        <v>0</v>
      </c>
      <c r="G1304" s="61">
        <v>0</v>
      </c>
      <c r="H1304" s="61">
        <v>512295</v>
      </c>
      <c r="I1304" s="61">
        <v>-512295</v>
      </c>
      <c r="J1304" s="61">
        <v>0</v>
      </c>
      <c r="K1304" s="61">
        <v>0</v>
      </c>
      <c r="L1304" s="61">
        <v>0</v>
      </c>
      <c r="M1304" s="61">
        <v>0</v>
      </c>
      <c r="N1304" s="61">
        <v>0</v>
      </c>
    </row>
    <row r="1305" spans="1:14" ht="30" x14ac:dyDescent="0.25">
      <c r="A1305" s="68" t="s">
        <v>261</v>
      </c>
      <c r="B1305" s="60" t="s">
        <v>51</v>
      </c>
      <c r="C1305" s="61">
        <v>715965</v>
      </c>
      <c r="D1305" s="61">
        <v>-648</v>
      </c>
      <c r="E1305" s="61">
        <v>0</v>
      </c>
      <c r="F1305" s="61">
        <v>0</v>
      </c>
      <c r="G1305" s="61">
        <v>0</v>
      </c>
      <c r="H1305" s="61">
        <v>715317</v>
      </c>
      <c r="I1305" s="61">
        <v>-715317</v>
      </c>
      <c r="J1305" s="61">
        <v>0</v>
      </c>
      <c r="K1305" s="61">
        <v>0</v>
      </c>
      <c r="L1305" s="61">
        <v>0</v>
      </c>
      <c r="M1305" s="61">
        <v>0</v>
      </c>
      <c r="N1305" s="61">
        <v>0</v>
      </c>
    </row>
    <row r="1306" spans="1:14" ht="30" x14ac:dyDescent="0.25">
      <c r="A1306" s="68" t="s">
        <v>261</v>
      </c>
      <c r="B1306" s="60" t="s">
        <v>52</v>
      </c>
      <c r="C1306" s="61">
        <v>585148</v>
      </c>
      <c r="D1306" s="61">
        <v>-322</v>
      </c>
      <c r="E1306" s="61">
        <v>0</v>
      </c>
      <c r="F1306" s="61">
        <v>0</v>
      </c>
      <c r="G1306" s="61">
        <v>0</v>
      </c>
      <c r="H1306" s="61">
        <v>584826</v>
      </c>
      <c r="I1306" s="61">
        <v>-584826</v>
      </c>
      <c r="J1306" s="61">
        <v>0</v>
      </c>
      <c r="K1306" s="61">
        <v>0</v>
      </c>
      <c r="L1306" s="61">
        <v>0</v>
      </c>
      <c r="M1306" s="61">
        <v>0</v>
      </c>
      <c r="N1306" s="61">
        <v>0</v>
      </c>
    </row>
    <row r="1307" spans="1:14" ht="30" x14ac:dyDescent="0.25">
      <c r="A1307" s="68" t="s">
        <v>261</v>
      </c>
      <c r="B1307" s="60" t="s">
        <v>53</v>
      </c>
      <c r="C1307" s="61">
        <v>524996</v>
      </c>
      <c r="D1307" s="61">
        <v>-979</v>
      </c>
      <c r="E1307" s="61">
        <v>0</v>
      </c>
      <c r="F1307" s="61">
        <v>0</v>
      </c>
      <c r="G1307" s="61">
        <v>0</v>
      </c>
      <c r="H1307" s="61">
        <v>524017</v>
      </c>
      <c r="I1307" s="61">
        <v>-524017</v>
      </c>
      <c r="J1307" s="61">
        <v>0</v>
      </c>
      <c r="K1307" s="61">
        <v>0</v>
      </c>
      <c r="L1307" s="61">
        <v>0</v>
      </c>
      <c r="M1307" s="61">
        <v>0</v>
      </c>
      <c r="N1307" s="61">
        <v>0</v>
      </c>
    </row>
    <row r="1308" spans="1:14" ht="30" x14ac:dyDescent="0.25">
      <c r="A1308" s="68" t="s">
        <v>261</v>
      </c>
      <c r="B1308" s="60" t="s">
        <v>54</v>
      </c>
      <c r="C1308" s="61">
        <v>292437</v>
      </c>
      <c r="D1308" s="61">
        <v>-823</v>
      </c>
      <c r="E1308" s="61">
        <v>0</v>
      </c>
      <c r="F1308" s="61">
        <v>0</v>
      </c>
      <c r="G1308" s="61">
        <v>0</v>
      </c>
      <c r="H1308" s="61">
        <v>291614</v>
      </c>
      <c r="I1308" s="61">
        <v>-291614</v>
      </c>
      <c r="J1308" s="61">
        <v>0</v>
      </c>
      <c r="K1308" s="61">
        <v>0</v>
      </c>
      <c r="L1308" s="61">
        <v>0</v>
      </c>
      <c r="M1308" s="61">
        <v>0</v>
      </c>
      <c r="N1308" s="61">
        <v>0</v>
      </c>
    </row>
    <row r="1309" spans="1:14" ht="30" x14ac:dyDescent="0.25">
      <c r="A1309" s="68" t="s">
        <v>261</v>
      </c>
      <c r="B1309" s="60" t="s">
        <v>55</v>
      </c>
      <c r="C1309" s="61">
        <v>269439</v>
      </c>
      <c r="D1309" s="61">
        <v>0</v>
      </c>
      <c r="E1309" s="61">
        <v>0</v>
      </c>
      <c r="F1309" s="61">
        <v>0</v>
      </c>
      <c r="G1309" s="61">
        <v>0</v>
      </c>
      <c r="H1309" s="61">
        <v>269439</v>
      </c>
      <c r="I1309" s="61">
        <v>-269439</v>
      </c>
      <c r="J1309" s="61">
        <v>0</v>
      </c>
      <c r="K1309" s="61">
        <v>0</v>
      </c>
      <c r="L1309" s="61">
        <v>0</v>
      </c>
      <c r="M1309" s="61">
        <v>0</v>
      </c>
      <c r="N1309" s="61">
        <v>0</v>
      </c>
    </row>
    <row r="1310" spans="1:14" ht="30" x14ac:dyDescent="0.25">
      <c r="A1310" s="68" t="s">
        <v>261</v>
      </c>
      <c r="B1310" s="60" t="s">
        <v>56</v>
      </c>
      <c r="C1310" s="61">
        <v>232369</v>
      </c>
      <c r="D1310" s="61">
        <v>0</v>
      </c>
      <c r="E1310" s="61">
        <v>0</v>
      </c>
      <c r="F1310" s="61">
        <v>0</v>
      </c>
      <c r="G1310" s="61">
        <v>0</v>
      </c>
      <c r="H1310" s="61">
        <v>232369</v>
      </c>
      <c r="I1310" s="61">
        <v>-232369</v>
      </c>
      <c r="J1310" s="61">
        <v>0</v>
      </c>
      <c r="K1310" s="61">
        <v>0</v>
      </c>
      <c r="L1310" s="61">
        <v>0</v>
      </c>
      <c r="M1310" s="61">
        <v>0</v>
      </c>
      <c r="N1310" s="61">
        <v>0</v>
      </c>
    </row>
    <row r="1311" spans="1:14" ht="30" x14ac:dyDescent="0.25">
      <c r="A1311" s="68" t="s">
        <v>261</v>
      </c>
      <c r="B1311" s="60" t="s">
        <v>57</v>
      </c>
      <c r="C1311" s="61">
        <v>218108</v>
      </c>
      <c r="D1311" s="61">
        <v>0</v>
      </c>
      <c r="E1311" s="61">
        <v>0</v>
      </c>
      <c r="F1311" s="61">
        <v>0</v>
      </c>
      <c r="G1311" s="61">
        <v>0</v>
      </c>
      <c r="H1311" s="61">
        <v>218108</v>
      </c>
      <c r="I1311" s="61">
        <v>-218108</v>
      </c>
      <c r="J1311" s="61">
        <v>0</v>
      </c>
      <c r="K1311" s="61">
        <v>0</v>
      </c>
      <c r="L1311" s="61">
        <v>0</v>
      </c>
      <c r="M1311" s="61">
        <v>0</v>
      </c>
      <c r="N1311" s="61">
        <v>0</v>
      </c>
    </row>
    <row r="1312" spans="1:14" ht="30" x14ac:dyDescent="0.25">
      <c r="A1312" s="68" t="s">
        <v>261</v>
      </c>
      <c r="B1312" s="60" t="s">
        <v>58</v>
      </c>
      <c r="C1312" s="61">
        <v>83946</v>
      </c>
      <c r="D1312" s="61">
        <v>0</v>
      </c>
      <c r="E1312" s="61">
        <v>0</v>
      </c>
      <c r="F1312" s="61">
        <v>0</v>
      </c>
      <c r="G1312" s="61">
        <v>0</v>
      </c>
      <c r="H1312" s="61">
        <v>83946</v>
      </c>
      <c r="I1312" s="61">
        <v>-83946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</row>
    <row r="1313" spans="1:14" ht="30" x14ac:dyDescent="0.25">
      <c r="A1313" s="68" t="s">
        <v>261</v>
      </c>
      <c r="B1313" s="60" t="s">
        <v>59</v>
      </c>
      <c r="C1313" s="61">
        <v>62123</v>
      </c>
      <c r="D1313" s="61">
        <v>0</v>
      </c>
      <c r="E1313" s="61">
        <v>0</v>
      </c>
      <c r="F1313" s="61">
        <v>0</v>
      </c>
      <c r="G1313" s="61">
        <v>0</v>
      </c>
      <c r="H1313" s="61">
        <v>62123</v>
      </c>
      <c r="I1313" s="61">
        <v>-62123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</row>
    <row r="1314" spans="1:14" ht="15.75" x14ac:dyDescent="0.25">
      <c r="A1314" s="52" t="s">
        <v>262</v>
      </c>
      <c r="B1314" s="53" t="s">
        <v>8</v>
      </c>
      <c r="C1314" s="19">
        <f>SUBTOTAL(109,Program264[(C)
Program
Costs])</f>
        <v>11453357</v>
      </c>
      <c r="D1314" s="19">
        <f>SUBTOTAL(109,Program264[(D)
Prior Period Adjustments])</f>
        <v>48779</v>
      </c>
      <c r="E1314" s="19">
        <f>SUBTOTAL(109,Program264[(E)
Current Period Desk 
Reviews])</f>
        <v>0</v>
      </c>
      <c r="F1314" s="19">
        <f>SUBTOTAL(109,Program264[(F)
Current Period 
Final 
Audits])</f>
        <v>0</v>
      </c>
      <c r="G1314" s="19">
        <f>SUBTOTAL(109,Program264[(G)
Current Period 
Other Adjustments])</f>
        <v>-954</v>
      </c>
      <c r="H1314" s="19">
        <f>SUBTOTAL(109,Program264[(H)
Net Program Costs
Sum (C through G)])</f>
        <v>11501182</v>
      </c>
      <c r="I1314" s="19">
        <f>SUBTOTAL(109,Program264[(I)
Payments
 and Offsets])</f>
        <v>-10642635</v>
      </c>
      <c r="J1314" s="19">
        <f>SUBTOTAL(109,Program264[(J)
Accounts Payable Balance
(H + I)])</f>
        <v>858547</v>
      </c>
      <c r="K1314" s="19">
        <f>SUBTOTAL(109,Program264[(K)
Established 
Accounts Receivable])</f>
        <v>2199</v>
      </c>
      <c r="L1314" s="19">
        <f>SUBTOTAL(109,Program264[(L)
Recovered
 Accounts Receivable])</f>
        <v>0</v>
      </c>
      <c r="M1314" s="19">
        <f>SUBTOTAL(109,Program264[(M)
Accounts Receivable Balance
(K + L)])</f>
        <v>2199</v>
      </c>
      <c r="N1314" s="19">
        <f>SUBTOTAL(109,Program264[(N)
Net Balance
(J minus M)])</f>
        <v>856348</v>
      </c>
    </row>
    <row r="1315" spans="1:14" ht="15.75" x14ac:dyDescent="0.25">
      <c r="A1315" s="17" t="s">
        <v>13</v>
      </c>
      <c r="B1315" s="54"/>
      <c r="C1315" s="55"/>
      <c r="D1315" s="55"/>
      <c r="E1315" s="55"/>
      <c r="F1315" s="55"/>
      <c r="G1315" s="55"/>
      <c r="H1315" s="55"/>
      <c r="I1315" s="55"/>
      <c r="J1315" s="55"/>
      <c r="K1315" s="55"/>
      <c r="L1315" s="55"/>
      <c r="M1315" s="55"/>
      <c r="N1315" s="55"/>
    </row>
    <row r="1316" spans="1:14" ht="78.75" x14ac:dyDescent="0.25">
      <c r="A1316" s="39" t="s">
        <v>32</v>
      </c>
      <c r="B1316" s="40" t="s">
        <v>33</v>
      </c>
      <c r="C1316" s="41" t="s">
        <v>34</v>
      </c>
      <c r="D1316" s="41" t="s">
        <v>35</v>
      </c>
      <c r="E1316" s="42" t="s">
        <v>36</v>
      </c>
      <c r="F1316" s="42" t="s">
        <v>37</v>
      </c>
      <c r="G1316" s="42" t="s">
        <v>38</v>
      </c>
      <c r="H1316" s="43" t="s">
        <v>39</v>
      </c>
      <c r="I1316" s="44" t="s">
        <v>40</v>
      </c>
      <c r="J1316" s="44" t="s">
        <v>41</v>
      </c>
      <c r="K1316" s="42" t="s">
        <v>42</v>
      </c>
      <c r="L1316" s="44" t="s">
        <v>43</v>
      </c>
      <c r="M1316" s="44" t="s">
        <v>44</v>
      </c>
      <c r="N1316" s="45" t="s">
        <v>45</v>
      </c>
    </row>
    <row r="1317" spans="1:14" ht="15.75" x14ac:dyDescent="0.25">
      <c r="A1317" s="46" t="s">
        <v>263</v>
      </c>
      <c r="B1317" s="47" t="s">
        <v>76</v>
      </c>
      <c r="C1317" s="48">
        <v>7038940</v>
      </c>
      <c r="D1317" s="48">
        <v>0</v>
      </c>
      <c r="E1317" s="48">
        <v>0</v>
      </c>
      <c r="F1317" s="48">
        <v>0</v>
      </c>
      <c r="G1317" s="48">
        <v>0</v>
      </c>
      <c r="H1317" s="48">
        <v>7038940</v>
      </c>
      <c r="I1317" s="48">
        <v>0</v>
      </c>
      <c r="J1317" s="48">
        <v>7038940</v>
      </c>
      <c r="K1317" s="48">
        <v>0</v>
      </c>
      <c r="L1317" s="48">
        <v>0</v>
      </c>
      <c r="M1317" s="48">
        <v>0</v>
      </c>
      <c r="N1317" s="48">
        <v>7038940</v>
      </c>
    </row>
    <row r="1318" spans="1:14" ht="15.75" x14ac:dyDescent="0.25">
      <c r="A1318" s="49" t="s">
        <v>263</v>
      </c>
      <c r="B1318" s="50" t="s">
        <v>77</v>
      </c>
      <c r="C1318" s="51">
        <v>6716350</v>
      </c>
      <c r="D1318" s="51">
        <v>0</v>
      </c>
      <c r="E1318" s="51">
        <v>0</v>
      </c>
      <c r="F1318" s="51">
        <v>0</v>
      </c>
      <c r="G1318" s="51">
        <v>-10721</v>
      </c>
      <c r="H1318" s="51">
        <v>6705629</v>
      </c>
      <c r="I1318" s="51">
        <v>0</v>
      </c>
      <c r="J1318" s="51">
        <v>6705629</v>
      </c>
      <c r="K1318" s="51">
        <v>0</v>
      </c>
      <c r="L1318" s="51">
        <v>0</v>
      </c>
      <c r="M1318" s="51">
        <v>0</v>
      </c>
      <c r="N1318" s="51">
        <v>6705629</v>
      </c>
    </row>
    <row r="1319" spans="1:14" ht="15.75" x14ac:dyDescent="0.25">
      <c r="A1319" s="49" t="s">
        <v>263</v>
      </c>
      <c r="B1319" s="50" t="s">
        <v>78</v>
      </c>
      <c r="C1319" s="51">
        <v>7063265</v>
      </c>
      <c r="D1319" s="51">
        <v>-7052</v>
      </c>
      <c r="E1319" s="51">
        <v>0</v>
      </c>
      <c r="F1319" s="51">
        <v>0</v>
      </c>
      <c r="G1319" s="51">
        <v>0</v>
      </c>
      <c r="H1319" s="51">
        <v>7056213</v>
      </c>
      <c r="I1319" s="51">
        <v>0</v>
      </c>
      <c r="J1319" s="51">
        <v>7056213</v>
      </c>
      <c r="K1319" s="51">
        <v>0</v>
      </c>
      <c r="L1319" s="51">
        <v>0</v>
      </c>
      <c r="M1319" s="51">
        <v>0</v>
      </c>
      <c r="N1319" s="51">
        <v>7056213</v>
      </c>
    </row>
    <row r="1320" spans="1:14" ht="15.75" x14ac:dyDescent="0.25">
      <c r="A1320" s="49" t="s">
        <v>263</v>
      </c>
      <c r="B1320" s="50" t="s">
        <v>47</v>
      </c>
      <c r="C1320" s="51">
        <v>6175792</v>
      </c>
      <c r="D1320" s="51">
        <v>-8485</v>
      </c>
      <c r="E1320" s="51">
        <v>0</v>
      </c>
      <c r="F1320" s="51">
        <v>0</v>
      </c>
      <c r="G1320" s="51">
        <v>0</v>
      </c>
      <c r="H1320" s="51">
        <v>6167307</v>
      </c>
      <c r="I1320" s="51">
        <v>0</v>
      </c>
      <c r="J1320" s="51">
        <v>6167307</v>
      </c>
      <c r="K1320" s="51">
        <v>0</v>
      </c>
      <c r="L1320" s="51">
        <v>0</v>
      </c>
      <c r="M1320" s="51">
        <v>0</v>
      </c>
      <c r="N1320" s="51">
        <v>6167307</v>
      </c>
    </row>
    <row r="1321" spans="1:14" ht="15.75" x14ac:dyDescent="0.25">
      <c r="A1321" s="49" t="s">
        <v>263</v>
      </c>
      <c r="B1321" s="50" t="s">
        <v>79</v>
      </c>
      <c r="C1321" s="51">
        <v>6788442</v>
      </c>
      <c r="D1321" s="51">
        <v>-6524</v>
      </c>
      <c r="E1321" s="51">
        <v>0</v>
      </c>
      <c r="F1321" s="51">
        <v>0</v>
      </c>
      <c r="G1321" s="51">
        <v>0</v>
      </c>
      <c r="H1321" s="51">
        <v>6781918</v>
      </c>
      <c r="I1321" s="51">
        <v>0</v>
      </c>
      <c r="J1321" s="51">
        <v>6781918</v>
      </c>
      <c r="K1321" s="51">
        <v>0</v>
      </c>
      <c r="L1321" s="51">
        <v>0</v>
      </c>
      <c r="M1321" s="51">
        <v>0</v>
      </c>
      <c r="N1321" s="51">
        <v>6781918</v>
      </c>
    </row>
    <row r="1322" spans="1:14" ht="15.75" x14ac:dyDescent="0.25">
      <c r="A1322" s="49" t="s">
        <v>263</v>
      </c>
      <c r="B1322" s="50" t="s">
        <v>80</v>
      </c>
      <c r="C1322" s="51">
        <v>6766069</v>
      </c>
      <c r="D1322" s="51">
        <v>-647504</v>
      </c>
      <c r="E1322" s="51">
        <v>0</v>
      </c>
      <c r="F1322" s="51">
        <v>0</v>
      </c>
      <c r="G1322" s="51">
        <v>0</v>
      </c>
      <c r="H1322" s="51">
        <v>6118565</v>
      </c>
      <c r="I1322" s="51">
        <v>0</v>
      </c>
      <c r="J1322" s="51">
        <v>6118565</v>
      </c>
      <c r="K1322" s="51">
        <v>0</v>
      </c>
      <c r="L1322" s="51">
        <v>0</v>
      </c>
      <c r="M1322" s="51">
        <v>0</v>
      </c>
      <c r="N1322" s="51">
        <v>6118565</v>
      </c>
    </row>
    <row r="1323" spans="1:14" ht="15.75" x14ac:dyDescent="0.25">
      <c r="A1323" s="49" t="s">
        <v>263</v>
      </c>
      <c r="B1323" s="50" t="s">
        <v>81</v>
      </c>
      <c r="C1323" s="51">
        <v>6499623</v>
      </c>
      <c r="D1323" s="51">
        <v>-485067</v>
      </c>
      <c r="E1323" s="51">
        <v>0</v>
      </c>
      <c r="F1323" s="51">
        <v>0</v>
      </c>
      <c r="G1323" s="51">
        <v>0</v>
      </c>
      <c r="H1323" s="51">
        <v>6014556</v>
      </c>
      <c r="I1323" s="51">
        <v>0</v>
      </c>
      <c r="J1323" s="51">
        <v>6014556</v>
      </c>
      <c r="K1323" s="51">
        <v>0</v>
      </c>
      <c r="L1323" s="51">
        <v>0</v>
      </c>
      <c r="M1323" s="51">
        <v>0</v>
      </c>
      <c r="N1323" s="51">
        <v>6014556</v>
      </c>
    </row>
    <row r="1324" spans="1:14" ht="15.75" x14ac:dyDescent="0.25">
      <c r="A1324" s="49" t="s">
        <v>263</v>
      </c>
      <c r="B1324" s="50" t="s">
        <v>82</v>
      </c>
      <c r="C1324" s="51">
        <v>10479858</v>
      </c>
      <c r="D1324" s="51">
        <v>-5017892</v>
      </c>
      <c r="E1324" s="51">
        <v>0</v>
      </c>
      <c r="F1324" s="51">
        <v>0</v>
      </c>
      <c r="G1324" s="51">
        <v>0</v>
      </c>
      <c r="H1324" s="51">
        <v>5461966</v>
      </c>
      <c r="I1324" s="51">
        <v>0</v>
      </c>
      <c r="J1324" s="51">
        <v>5461966</v>
      </c>
      <c r="K1324" s="51">
        <v>0</v>
      </c>
      <c r="L1324" s="51">
        <v>0</v>
      </c>
      <c r="M1324" s="51">
        <v>0</v>
      </c>
      <c r="N1324" s="51">
        <v>5461966</v>
      </c>
    </row>
    <row r="1325" spans="1:14" ht="15.75" x14ac:dyDescent="0.25">
      <c r="A1325" s="49" t="s">
        <v>263</v>
      </c>
      <c r="B1325" s="50" t="s">
        <v>83</v>
      </c>
      <c r="C1325" s="51">
        <v>10817516</v>
      </c>
      <c r="D1325" s="51">
        <v>-5056570</v>
      </c>
      <c r="E1325" s="51">
        <v>0</v>
      </c>
      <c r="F1325" s="51">
        <v>0</v>
      </c>
      <c r="G1325" s="51">
        <v>0</v>
      </c>
      <c r="H1325" s="51">
        <v>5760946</v>
      </c>
      <c r="I1325" s="51">
        <v>0</v>
      </c>
      <c r="J1325" s="51">
        <v>5760946</v>
      </c>
      <c r="K1325" s="51">
        <v>0</v>
      </c>
      <c r="L1325" s="51">
        <v>0</v>
      </c>
      <c r="M1325" s="51">
        <v>0</v>
      </c>
      <c r="N1325" s="51">
        <v>5760946</v>
      </c>
    </row>
    <row r="1326" spans="1:14" ht="15.75" x14ac:dyDescent="0.25">
      <c r="A1326" s="49" t="s">
        <v>263</v>
      </c>
      <c r="B1326" s="50" t="s">
        <v>48</v>
      </c>
      <c r="C1326" s="51">
        <v>6352422</v>
      </c>
      <c r="D1326" s="51">
        <v>-327293</v>
      </c>
      <c r="E1326" s="51">
        <v>0</v>
      </c>
      <c r="F1326" s="51">
        <v>0</v>
      </c>
      <c r="G1326" s="51">
        <v>0</v>
      </c>
      <c r="H1326" s="51">
        <v>6025129</v>
      </c>
      <c r="I1326" s="51">
        <v>0</v>
      </c>
      <c r="J1326" s="51">
        <v>6025129</v>
      </c>
      <c r="K1326" s="51">
        <v>0</v>
      </c>
      <c r="L1326" s="51">
        <v>0</v>
      </c>
      <c r="M1326" s="51">
        <v>0</v>
      </c>
      <c r="N1326" s="51">
        <v>6025129</v>
      </c>
    </row>
    <row r="1327" spans="1:14" ht="15.75" x14ac:dyDescent="0.25">
      <c r="A1327" s="49" t="s">
        <v>263</v>
      </c>
      <c r="B1327" s="50" t="s">
        <v>49</v>
      </c>
      <c r="C1327" s="51">
        <v>6663950</v>
      </c>
      <c r="D1327" s="51">
        <v>-160246</v>
      </c>
      <c r="E1327" s="51">
        <v>0</v>
      </c>
      <c r="F1327" s="51">
        <v>0</v>
      </c>
      <c r="G1327" s="51">
        <v>0</v>
      </c>
      <c r="H1327" s="51">
        <v>6503704</v>
      </c>
      <c r="I1327" s="51">
        <v>0</v>
      </c>
      <c r="J1327" s="51">
        <v>6503704</v>
      </c>
      <c r="K1327" s="51">
        <v>0</v>
      </c>
      <c r="L1327" s="51">
        <v>0</v>
      </c>
      <c r="M1327" s="51">
        <v>0</v>
      </c>
      <c r="N1327" s="51">
        <v>6503704</v>
      </c>
    </row>
    <row r="1328" spans="1:14" ht="15.75" x14ac:dyDescent="0.25">
      <c r="A1328" s="49" t="s">
        <v>263</v>
      </c>
      <c r="B1328" s="50" t="s">
        <v>50</v>
      </c>
      <c r="C1328" s="51">
        <v>12830401</v>
      </c>
      <c r="D1328" s="51">
        <v>-6391913</v>
      </c>
      <c r="E1328" s="51">
        <v>0</v>
      </c>
      <c r="F1328" s="51">
        <v>0</v>
      </c>
      <c r="G1328" s="51">
        <v>0</v>
      </c>
      <c r="H1328" s="51">
        <v>6438488</v>
      </c>
      <c r="I1328" s="51">
        <v>0</v>
      </c>
      <c r="J1328" s="51">
        <v>6438488</v>
      </c>
      <c r="K1328" s="51">
        <v>0</v>
      </c>
      <c r="L1328" s="51">
        <v>0</v>
      </c>
      <c r="M1328" s="51">
        <v>0</v>
      </c>
      <c r="N1328" s="51">
        <v>6438488</v>
      </c>
    </row>
    <row r="1329" spans="1:14" ht="15.75" x14ac:dyDescent="0.25">
      <c r="A1329" s="49" t="s">
        <v>263</v>
      </c>
      <c r="B1329" s="50" t="s">
        <v>51</v>
      </c>
      <c r="C1329" s="51">
        <v>17587042</v>
      </c>
      <c r="D1329" s="51">
        <v>-8375682</v>
      </c>
      <c r="E1329" s="51">
        <v>0</v>
      </c>
      <c r="F1329" s="51">
        <v>0</v>
      </c>
      <c r="G1329" s="51">
        <v>0</v>
      </c>
      <c r="H1329" s="51">
        <v>9211360</v>
      </c>
      <c r="I1329" s="51">
        <v>0</v>
      </c>
      <c r="J1329" s="51">
        <v>9211360</v>
      </c>
      <c r="K1329" s="51">
        <v>0</v>
      </c>
      <c r="L1329" s="51">
        <v>0</v>
      </c>
      <c r="M1329" s="51">
        <v>0</v>
      </c>
      <c r="N1329" s="51">
        <v>9211360</v>
      </c>
    </row>
    <row r="1330" spans="1:14" ht="15.75" x14ac:dyDescent="0.25">
      <c r="A1330" s="49" t="s">
        <v>263</v>
      </c>
      <c r="B1330" s="50" t="s">
        <v>52</v>
      </c>
      <c r="C1330" s="51">
        <v>17753361</v>
      </c>
      <c r="D1330" s="51">
        <v>-7906496</v>
      </c>
      <c r="E1330" s="51">
        <v>0</v>
      </c>
      <c r="F1330" s="51">
        <v>0</v>
      </c>
      <c r="G1330" s="51">
        <v>0</v>
      </c>
      <c r="H1330" s="51">
        <v>9846865</v>
      </c>
      <c r="I1330" s="51">
        <v>-7917464</v>
      </c>
      <c r="J1330" s="51">
        <v>1929401</v>
      </c>
      <c r="K1330" s="51">
        <v>10543101</v>
      </c>
      <c r="L1330" s="51">
        <v>-10543101</v>
      </c>
      <c r="M1330" s="51">
        <v>0</v>
      </c>
      <c r="N1330" s="51">
        <v>1929401</v>
      </c>
    </row>
    <row r="1331" spans="1:14" ht="15.75" x14ac:dyDescent="0.25">
      <c r="A1331" s="49" t="s">
        <v>263</v>
      </c>
      <c r="B1331" s="50" t="s">
        <v>53</v>
      </c>
      <c r="C1331" s="51">
        <v>23090363</v>
      </c>
      <c r="D1331" s="51">
        <v>-9780138</v>
      </c>
      <c r="E1331" s="51">
        <v>0</v>
      </c>
      <c r="F1331" s="51">
        <v>0</v>
      </c>
      <c r="G1331" s="51">
        <v>0</v>
      </c>
      <c r="H1331" s="51">
        <v>13310225</v>
      </c>
      <c r="I1331" s="51">
        <v>-11075800</v>
      </c>
      <c r="J1331" s="51">
        <v>2234425</v>
      </c>
      <c r="K1331" s="51">
        <v>6047022</v>
      </c>
      <c r="L1331" s="51">
        <v>-6047022</v>
      </c>
      <c r="M1331" s="51">
        <v>0</v>
      </c>
      <c r="N1331" s="51">
        <v>2234425</v>
      </c>
    </row>
    <row r="1332" spans="1:14" ht="15.75" x14ac:dyDescent="0.25">
      <c r="A1332" s="49" t="s">
        <v>263</v>
      </c>
      <c r="B1332" s="50" t="s">
        <v>54</v>
      </c>
      <c r="C1332" s="51">
        <v>24529434</v>
      </c>
      <c r="D1332" s="51">
        <v>-11342356</v>
      </c>
      <c r="E1332" s="51">
        <v>0</v>
      </c>
      <c r="F1332" s="51">
        <v>0</v>
      </c>
      <c r="G1332" s="51">
        <v>0</v>
      </c>
      <c r="H1332" s="51">
        <v>13187078</v>
      </c>
      <c r="I1332" s="51">
        <v>0</v>
      </c>
      <c r="J1332" s="51">
        <v>13187078</v>
      </c>
      <c r="K1332" s="51">
        <v>0</v>
      </c>
      <c r="L1332" s="51">
        <v>0</v>
      </c>
      <c r="M1332" s="51">
        <v>0</v>
      </c>
      <c r="N1332" s="51">
        <v>13187078</v>
      </c>
    </row>
    <row r="1333" spans="1:14" ht="15.75" x14ac:dyDescent="0.25">
      <c r="A1333" s="49" t="s">
        <v>263</v>
      </c>
      <c r="B1333" s="50" t="s">
        <v>55</v>
      </c>
      <c r="C1333" s="51">
        <v>29025196</v>
      </c>
      <c r="D1333" s="51">
        <v>-19350288</v>
      </c>
      <c r="E1333" s="51">
        <v>0</v>
      </c>
      <c r="F1333" s="51">
        <v>0</v>
      </c>
      <c r="G1333" s="51">
        <v>0</v>
      </c>
      <c r="H1333" s="51">
        <v>9674908</v>
      </c>
      <c r="I1333" s="51">
        <v>-9674908</v>
      </c>
      <c r="J1333" s="51">
        <v>0</v>
      </c>
      <c r="K1333" s="51">
        <v>0</v>
      </c>
      <c r="L1333" s="51">
        <v>0</v>
      </c>
      <c r="M1333" s="51">
        <v>0</v>
      </c>
      <c r="N1333" s="51">
        <v>0</v>
      </c>
    </row>
    <row r="1334" spans="1:14" ht="15.75" x14ac:dyDescent="0.25">
      <c r="A1334" s="49" t="s">
        <v>263</v>
      </c>
      <c r="B1334" s="50" t="s">
        <v>56</v>
      </c>
      <c r="C1334" s="51">
        <v>27886756</v>
      </c>
      <c r="D1334" s="51">
        <v>-12138986</v>
      </c>
      <c r="E1334" s="51">
        <v>0</v>
      </c>
      <c r="F1334" s="51">
        <v>0</v>
      </c>
      <c r="G1334" s="51">
        <v>0</v>
      </c>
      <c r="H1334" s="51">
        <v>15747770</v>
      </c>
      <c r="I1334" s="51">
        <v>-15747770</v>
      </c>
      <c r="J1334" s="51">
        <v>0</v>
      </c>
      <c r="K1334" s="51">
        <v>78</v>
      </c>
      <c r="L1334" s="51">
        <v>-78</v>
      </c>
      <c r="M1334" s="51">
        <v>0</v>
      </c>
      <c r="N1334" s="51">
        <v>0</v>
      </c>
    </row>
    <row r="1335" spans="1:14" ht="15.75" x14ac:dyDescent="0.25">
      <c r="A1335" s="49" t="s">
        <v>263</v>
      </c>
      <c r="B1335" s="50" t="s">
        <v>57</v>
      </c>
      <c r="C1335" s="51">
        <v>36547698</v>
      </c>
      <c r="D1335" s="51">
        <v>-22099429</v>
      </c>
      <c r="E1335" s="51">
        <v>0</v>
      </c>
      <c r="F1335" s="51">
        <v>0</v>
      </c>
      <c r="G1335" s="51">
        <v>0</v>
      </c>
      <c r="H1335" s="51">
        <v>14448269</v>
      </c>
      <c r="I1335" s="51">
        <v>-14448269</v>
      </c>
      <c r="J1335" s="51">
        <v>0</v>
      </c>
      <c r="K1335" s="51">
        <v>0</v>
      </c>
      <c r="L1335" s="51">
        <v>0</v>
      </c>
      <c r="M1335" s="51">
        <v>0</v>
      </c>
      <c r="N1335" s="51">
        <v>0</v>
      </c>
    </row>
    <row r="1336" spans="1:14" ht="15.75" x14ac:dyDescent="0.25">
      <c r="A1336" s="49" t="s">
        <v>263</v>
      </c>
      <c r="B1336" s="50" t="s">
        <v>58</v>
      </c>
      <c r="C1336" s="51">
        <v>40029528</v>
      </c>
      <c r="D1336" s="51">
        <v>-25357771</v>
      </c>
      <c r="E1336" s="51">
        <v>0</v>
      </c>
      <c r="F1336" s="51">
        <v>0</v>
      </c>
      <c r="G1336" s="51">
        <v>0</v>
      </c>
      <c r="H1336" s="51">
        <v>14671757</v>
      </c>
      <c r="I1336" s="51">
        <v>-14671757</v>
      </c>
      <c r="J1336" s="51">
        <v>0</v>
      </c>
      <c r="K1336" s="51">
        <v>5245281</v>
      </c>
      <c r="L1336" s="51">
        <v>-5245281</v>
      </c>
      <c r="M1336" s="51">
        <v>0</v>
      </c>
      <c r="N1336" s="51">
        <v>0</v>
      </c>
    </row>
    <row r="1337" spans="1:14" ht="15.75" x14ac:dyDescent="0.25">
      <c r="A1337" s="49" t="s">
        <v>263</v>
      </c>
      <c r="B1337" s="50" t="s">
        <v>59</v>
      </c>
      <c r="C1337" s="51">
        <v>34186573</v>
      </c>
      <c r="D1337" s="51">
        <v>-19708019</v>
      </c>
      <c r="E1337" s="51">
        <v>0</v>
      </c>
      <c r="F1337" s="51">
        <v>0</v>
      </c>
      <c r="G1337" s="51">
        <v>0</v>
      </c>
      <c r="H1337" s="51">
        <v>14478554</v>
      </c>
      <c r="I1337" s="51">
        <v>-14478554</v>
      </c>
      <c r="J1337" s="51">
        <v>0</v>
      </c>
      <c r="K1337" s="51">
        <v>5889090</v>
      </c>
      <c r="L1337" s="51">
        <v>-5889090</v>
      </c>
      <c r="M1337" s="51">
        <v>0</v>
      </c>
      <c r="N1337" s="51">
        <v>0</v>
      </c>
    </row>
    <row r="1338" spans="1:14" ht="15.75" x14ac:dyDescent="0.25">
      <c r="A1338" s="49" t="s">
        <v>263</v>
      </c>
      <c r="B1338" s="50" t="s">
        <v>60</v>
      </c>
      <c r="C1338" s="51">
        <v>28335925</v>
      </c>
      <c r="D1338" s="51">
        <v>-13866737</v>
      </c>
      <c r="E1338" s="51">
        <v>0</v>
      </c>
      <c r="F1338" s="51">
        <v>0</v>
      </c>
      <c r="G1338" s="51">
        <v>0</v>
      </c>
      <c r="H1338" s="51">
        <v>14469188</v>
      </c>
      <c r="I1338" s="51">
        <v>-14469188</v>
      </c>
      <c r="J1338" s="51">
        <v>0</v>
      </c>
      <c r="K1338" s="51">
        <v>5357016</v>
      </c>
      <c r="L1338" s="51">
        <v>-5357016</v>
      </c>
      <c r="M1338" s="51">
        <v>0</v>
      </c>
      <c r="N1338" s="51">
        <v>0</v>
      </c>
    </row>
    <row r="1339" spans="1:14" ht="15.75" x14ac:dyDescent="0.25">
      <c r="A1339" s="49" t="s">
        <v>263</v>
      </c>
      <c r="B1339" s="50" t="s">
        <v>61</v>
      </c>
      <c r="C1339" s="51">
        <v>22933945</v>
      </c>
      <c r="D1339" s="51">
        <v>-10065636</v>
      </c>
      <c r="E1339" s="51">
        <v>0</v>
      </c>
      <c r="F1339" s="51">
        <v>0</v>
      </c>
      <c r="G1339" s="51">
        <v>0</v>
      </c>
      <c r="H1339" s="51">
        <v>12868309</v>
      </c>
      <c r="I1339" s="51">
        <v>-12868309</v>
      </c>
      <c r="J1339" s="51">
        <v>0</v>
      </c>
      <c r="K1339" s="51">
        <v>3359034</v>
      </c>
      <c r="L1339" s="51">
        <v>-3359034</v>
      </c>
      <c r="M1339" s="51">
        <v>0</v>
      </c>
      <c r="N1339" s="51">
        <v>0</v>
      </c>
    </row>
    <row r="1340" spans="1:14" ht="15.75" x14ac:dyDescent="0.25">
      <c r="A1340" s="49" t="s">
        <v>263</v>
      </c>
      <c r="B1340" s="50" t="s">
        <v>62</v>
      </c>
      <c r="C1340" s="51">
        <v>21614501</v>
      </c>
      <c r="D1340" s="51">
        <v>-7637534</v>
      </c>
      <c r="E1340" s="51">
        <v>0</v>
      </c>
      <c r="F1340" s="51">
        <v>0</v>
      </c>
      <c r="G1340" s="51">
        <v>0</v>
      </c>
      <c r="H1340" s="51">
        <v>13976967</v>
      </c>
      <c r="I1340" s="51">
        <v>-13976967</v>
      </c>
      <c r="J1340" s="51">
        <v>0</v>
      </c>
      <c r="K1340" s="51">
        <v>2223826</v>
      </c>
      <c r="L1340" s="51">
        <v>-2223826</v>
      </c>
      <c r="M1340" s="51">
        <v>0</v>
      </c>
      <c r="N1340" s="51">
        <v>0</v>
      </c>
    </row>
    <row r="1341" spans="1:14" ht="15.75" x14ac:dyDescent="0.25">
      <c r="A1341" s="49" t="s">
        <v>263</v>
      </c>
      <c r="B1341" s="50" t="s">
        <v>63</v>
      </c>
      <c r="C1341" s="51">
        <v>21045170</v>
      </c>
      <c r="D1341" s="51">
        <v>-8773218</v>
      </c>
      <c r="E1341" s="51">
        <v>0</v>
      </c>
      <c r="F1341" s="51">
        <v>0</v>
      </c>
      <c r="G1341" s="51">
        <v>0</v>
      </c>
      <c r="H1341" s="51">
        <v>12271952</v>
      </c>
      <c r="I1341" s="51">
        <v>-12271952</v>
      </c>
      <c r="J1341" s="51">
        <v>0</v>
      </c>
      <c r="K1341" s="51">
        <v>2521286</v>
      </c>
      <c r="L1341" s="51">
        <v>-2521286</v>
      </c>
      <c r="M1341" s="51">
        <v>0</v>
      </c>
      <c r="N1341" s="51">
        <v>0</v>
      </c>
    </row>
    <row r="1342" spans="1:14" ht="15.75" x14ac:dyDescent="0.25">
      <c r="A1342" s="49" t="s">
        <v>263</v>
      </c>
      <c r="B1342" s="50" t="s">
        <v>64</v>
      </c>
      <c r="C1342" s="51">
        <v>18386343</v>
      </c>
      <c r="D1342" s="51">
        <v>-8367375</v>
      </c>
      <c r="E1342" s="51">
        <v>0</v>
      </c>
      <c r="F1342" s="51">
        <v>0</v>
      </c>
      <c r="G1342" s="51">
        <v>0</v>
      </c>
      <c r="H1342" s="51">
        <v>10018968</v>
      </c>
      <c r="I1342" s="51">
        <v>-10018968</v>
      </c>
      <c r="J1342" s="51">
        <v>0</v>
      </c>
      <c r="K1342" s="51">
        <v>2220331</v>
      </c>
      <c r="L1342" s="51">
        <v>-2220331</v>
      </c>
      <c r="M1342" s="51">
        <v>0</v>
      </c>
      <c r="N1342" s="51">
        <v>0</v>
      </c>
    </row>
    <row r="1343" spans="1:14" ht="15.75" x14ac:dyDescent="0.25">
      <c r="A1343" s="52" t="s">
        <v>264</v>
      </c>
      <c r="B1343" s="53" t="s">
        <v>8</v>
      </c>
      <c r="C1343" s="19">
        <f>SUBTOTAL(109,Program187[(C)
Program
Costs])</f>
        <v>457144463</v>
      </c>
      <c r="D1343" s="19">
        <f>SUBTOTAL(109,Program187[(D)
Prior Period Adjustments])</f>
        <v>-202878211</v>
      </c>
      <c r="E1343" s="19">
        <f>SUBTOTAL(109,Program187[(E)
Current Period Desk 
Reviews])</f>
        <v>0</v>
      </c>
      <c r="F1343" s="19">
        <f>SUBTOTAL(109,Program187[(F)
Current Period 
Final 
Audits])</f>
        <v>0</v>
      </c>
      <c r="G1343" s="19">
        <f>SUBTOTAL(109,Program187[(G)
Current Period 
Other Adjustments])</f>
        <v>-10721</v>
      </c>
      <c r="H1343" s="19">
        <f>SUBTOTAL(109,Program187[(H)
Net Program Costs
Sum (C through G)])</f>
        <v>254255531</v>
      </c>
      <c r="I1343" s="19">
        <f>SUBTOTAL(109,Program187[(I)
Payments
 and Offsets])</f>
        <v>-151619906</v>
      </c>
      <c r="J1343" s="19">
        <f>SUBTOTAL(109,Program187[(J)
Accounts Payable Balance
(H + I)])</f>
        <v>102635625</v>
      </c>
      <c r="K1343" s="19">
        <f>SUBTOTAL(109,Program187[(K)
Established 
Accounts Receivable])</f>
        <v>43406065</v>
      </c>
      <c r="L1343" s="19">
        <f>SUBTOTAL(109,Program187[(L)
Recovered
 Accounts Receivable])</f>
        <v>-43406065</v>
      </c>
      <c r="M1343" s="19">
        <f>SUBTOTAL(109,Program187[(M)
Accounts Receivable Balance
(K + L)])</f>
        <v>0</v>
      </c>
      <c r="N1343" s="19">
        <f>SUBTOTAL(109,Program187[(N)
Net Balance
(J minus M)])</f>
        <v>102635625</v>
      </c>
    </row>
    <row r="1344" spans="1:14" ht="15.75" x14ac:dyDescent="0.25">
      <c r="A1344" s="17" t="s">
        <v>13</v>
      </c>
      <c r="B1344" s="54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</row>
    <row r="1345" spans="1:14" ht="78.75" x14ac:dyDescent="0.25">
      <c r="A1345" s="39" t="s">
        <v>32</v>
      </c>
      <c r="B1345" s="40" t="s">
        <v>33</v>
      </c>
      <c r="C1345" s="41" t="s">
        <v>34</v>
      </c>
      <c r="D1345" s="41" t="s">
        <v>35</v>
      </c>
      <c r="E1345" s="42" t="s">
        <v>36</v>
      </c>
      <c r="F1345" s="42" t="s">
        <v>37</v>
      </c>
      <c r="G1345" s="42" t="s">
        <v>38</v>
      </c>
      <c r="H1345" s="43" t="s">
        <v>39</v>
      </c>
      <c r="I1345" s="44" t="s">
        <v>40</v>
      </c>
      <c r="J1345" s="44" t="s">
        <v>41</v>
      </c>
      <c r="K1345" s="42" t="s">
        <v>42</v>
      </c>
      <c r="L1345" s="44" t="s">
        <v>43</v>
      </c>
      <c r="M1345" s="44" t="s">
        <v>44</v>
      </c>
      <c r="N1345" s="45" t="s">
        <v>45</v>
      </c>
    </row>
    <row r="1346" spans="1:14" ht="15" customHeight="1" x14ac:dyDescent="0.25">
      <c r="A1346" s="67" t="s">
        <v>265</v>
      </c>
      <c r="B1346" s="57" t="s">
        <v>76</v>
      </c>
      <c r="C1346" s="58">
        <v>634345</v>
      </c>
      <c r="D1346" s="58">
        <v>0</v>
      </c>
      <c r="E1346" s="58">
        <v>0</v>
      </c>
      <c r="F1346" s="58">
        <v>0</v>
      </c>
      <c r="G1346" s="58">
        <v>0</v>
      </c>
      <c r="H1346" s="58">
        <v>634345</v>
      </c>
      <c r="I1346" s="58">
        <v>0</v>
      </c>
      <c r="J1346" s="58">
        <v>634345</v>
      </c>
      <c r="K1346" s="58">
        <v>0</v>
      </c>
      <c r="L1346" s="58">
        <v>0</v>
      </c>
      <c r="M1346" s="58">
        <v>0</v>
      </c>
      <c r="N1346" s="58">
        <v>634345</v>
      </c>
    </row>
    <row r="1347" spans="1:14" ht="15" customHeight="1" x14ac:dyDescent="0.25">
      <c r="A1347" s="68" t="s">
        <v>265</v>
      </c>
      <c r="B1347" s="60" t="s">
        <v>77</v>
      </c>
      <c r="C1347" s="61">
        <v>664460</v>
      </c>
      <c r="D1347" s="61">
        <v>0</v>
      </c>
      <c r="E1347" s="61">
        <v>0</v>
      </c>
      <c r="F1347" s="61">
        <v>0</v>
      </c>
      <c r="G1347" s="61">
        <v>-508</v>
      </c>
      <c r="H1347" s="61">
        <v>663952</v>
      </c>
      <c r="I1347" s="61">
        <v>0</v>
      </c>
      <c r="J1347" s="61">
        <v>663952</v>
      </c>
      <c r="K1347" s="61">
        <v>0</v>
      </c>
      <c r="L1347" s="61">
        <v>0</v>
      </c>
      <c r="M1347" s="61">
        <v>0</v>
      </c>
      <c r="N1347" s="61">
        <v>663952</v>
      </c>
    </row>
    <row r="1348" spans="1:14" ht="15" customHeight="1" x14ac:dyDescent="0.25">
      <c r="A1348" s="68" t="s">
        <v>265</v>
      </c>
      <c r="B1348" s="60" t="s">
        <v>78</v>
      </c>
      <c r="C1348" s="61">
        <v>670903</v>
      </c>
      <c r="D1348" s="61">
        <v>-1250</v>
      </c>
      <c r="E1348" s="61">
        <v>0</v>
      </c>
      <c r="F1348" s="61">
        <v>0</v>
      </c>
      <c r="G1348" s="61">
        <v>0</v>
      </c>
      <c r="H1348" s="61">
        <v>669653</v>
      </c>
      <c r="I1348" s="61">
        <v>0</v>
      </c>
      <c r="J1348" s="61">
        <v>669653</v>
      </c>
      <c r="K1348" s="61">
        <v>0</v>
      </c>
      <c r="L1348" s="61">
        <v>0</v>
      </c>
      <c r="M1348" s="61">
        <v>0</v>
      </c>
      <c r="N1348" s="61">
        <v>669653</v>
      </c>
    </row>
    <row r="1349" spans="1:14" ht="15" customHeight="1" x14ac:dyDescent="0.25">
      <c r="A1349" s="68" t="s">
        <v>265</v>
      </c>
      <c r="B1349" s="60" t="s">
        <v>47</v>
      </c>
      <c r="C1349" s="61">
        <v>618726</v>
      </c>
      <c r="D1349" s="61">
        <v>-370</v>
      </c>
      <c r="E1349" s="61">
        <v>0</v>
      </c>
      <c r="F1349" s="61">
        <v>0</v>
      </c>
      <c r="G1349" s="61">
        <v>0</v>
      </c>
      <c r="H1349" s="61">
        <v>618356</v>
      </c>
      <c r="I1349" s="61">
        <v>0</v>
      </c>
      <c r="J1349" s="61">
        <v>618356</v>
      </c>
      <c r="K1349" s="61">
        <v>0</v>
      </c>
      <c r="L1349" s="61">
        <v>0</v>
      </c>
      <c r="M1349" s="61">
        <v>0</v>
      </c>
      <c r="N1349" s="61">
        <v>618356</v>
      </c>
    </row>
    <row r="1350" spans="1:14" ht="15" customHeight="1" x14ac:dyDescent="0.25">
      <c r="A1350" s="68" t="s">
        <v>265</v>
      </c>
      <c r="B1350" s="60" t="s">
        <v>79</v>
      </c>
      <c r="C1350" s="61">
        <v>538479</v>
      </c>
      <c r="D1350" s="61">
        <v>-275</v>
      </c>
      <c r="E1350" s="61">
        <v>0</v>
      </c>
      <c r="F1350" s="61">
        <v>0</v>
      </c>
      <c r="G1350" s="61">
        <v>0</v>
      </c>
      <c r="H1350" s="61">
        <v>538204</v>
      </c>
      <c r="I1350" s="61">
        <v>0</v>
      </c>
      <c r="J1350" s="61">
        <v>538204</v>
      </c>
      <c r="K1350" s="61">
        <v>0</v>
      </c>
      <c r="L1350" s="61">
        <v>0</v>
      </c>
      <c r="M1350" s="61">
        <v>0</v>
      </c>
      <c r="N1350" s="61">
        <v>538204</v>
      </c>
    </row>
    <row r="1351" spans="1:14" ht="15" customHeight="1" x14ac:dyDescent="0.25">
      <c r="A1351" s="68" t="s">
        <v>265</v>
      </c>
      <c r="B1351" s="60" t="s">
        <v>80</v>
      </c>
      <c r="C1351" s="61">
        <v>503068</v>
      </c>
      <c r="D1351" s="61">
        <v>-1672</v>
      </c>
      <c r="E1351" s="61">
        <v>0</v>
      </c>
      <c r="F1351" s="61">
        <v>0</v>
      </c>
      <c r="G1351" s="61">
        <v>0</v>
      </c>
      <c r="H1351" s="61">
        <v>501396</v>
      </c>
      <c r="I1351" s="61">
        <v>0</v>
      </c>
      <c r="J1351" s="61">
        <v>501396</v>
      </c>
      <c r="K1351" s="61">
        <v>0</v>
      </c>
      <c r="L1351" s="61">
        <v>0</v>
      </c>
      <c r="M1351" s="61">
        <v>0</v>
      </c>
      <c r="N1351" s="61">
        <v>501396</v>
      </c>
    </row>
    <row r="1352" spans="1:14" ht="15" customHeight="1" x14ac:dyDescent="0.25">
      <c r="A1352" s="68" t="s">
        <v>265</v>
      </c>
      <c r="B1352" s="60" t="s">
        <v>81</v>
      </c>
      <c r="C1352" s="61">
        <v>518237</v>
      </c>
      <c r="D1352" s="61">
        <v>-891</v>
      </c>
      <c r="E1352" s="61">
        <v>0</v>
      </c>
      <c r="F1352" s="61">
        <v>0</v>
      </c>
      <c r="G1352" s="61">
        <v>0</v>
      </c>
      <c r="H1352" s="61">
        <v>517346</v>
      </c>
      <c r="I1352" s="61">
        <v>0</v>
      </c>
      <c r="J1352" s="61">
        <v>517346</v>
      </c>
      <c r="K1352" s="61">
        <v>0</v>
      </c>
      <c r="L1352" s="61">
        <v>0</v>
      </c>
      <c r="M1352" s="61">
        <v>0</v>
      </c>
      <c r="N1352" s="61">
        <v>517346</v>
      </c>
    </row>
    <row r="1353" spans="1:14" ht="15" customHeight="1" x14ac:dyDescent="0.25">
      <c r="A1353" s="68" t="s">
        <v>265</v>
      </c>
      <c r="B1353" s="60" t="s">
        <v>82</v>
      </c>
      <c r="C1353" s="61">
        <v>418332</v>
      </c>
      <c r="D1353" s="61">
        <v>-6357</v>
      </c>
      <c r="E1353" s="61">
        <v>0</v>
      </c>
      <c r="F1353" s="61">
        <v>0</v>
      </c>
      <c r="G1353" s="61">
        <v>0</v>
      </c>
      <c r="H1353" s="61">
        <v>411975</v>
      </c>
      <c r="I1353" s="61">
        <v>0</v>
      </c>
      <c r="J1353" s="61">
        <v>411975</v>
      </c>
      <c r="K1353" s="61">
        <v>0</v>
      </c>
      <c r="L1353" s="61">
        <v>0</v>
      </c>
      <c r="M1353" s="61">
        <v>0</v>
      </c>
      <c r="N1353" s="61">
        <v>411975</v>
      </c>
    </row>
    <row r="1354" spans="1:14" ht="15" customHeight="1" x14ac:dyDescent="0.25">
      <c r="A1354" s="68" t="s">
        <v>265</v>
      </c>
      <c r="B1354" s="60" t="s">
        <v>83</v>
      </c>
      <c r="C1354" s="61">
        <v>371996</v>
      </c>
      <c r="D1354" s="61">
        <v>-2984</v>
      </c>
      <c r="E1354" s="61">
        <v>0</v>
      </c>
      <c r="F1354" s="61">
        <v>0</v>
      </c>
      <c r="G1354" s="61">
        <v>0</v>
      </c>
      <c r="H1354" s="61">
        <v>369012</v>
      </c>
      <c r="I1354" s="61">
        <v>0</v>
      </c>
      <c r="J1354" s="61">
        <v>369012</v>
      </c>
      <c r="K1354" s="61">
        <v>0</v>
      </c>
      <c r="L1354" s="61">
        <v>0</v>
      </c>
      <c r="M1354" s="61">
        <v>0</v>
      </c>
      <c r="N1354" s="61">
        <v>369012</v>
      </c>
    </row>
    <row r="1355" spans="1:14" ht="15" customHeight="1" x14ac:dyDescent="0.25">
      <c r="A1355" s="68" t="s">
        <v>265</v>
      </c>
      <c r="B1355" s="60" t="s">
        <v>48</v>
      </c>
      <c r="C1355" s="61">
        <v>341603</v>
      </c>
      <c r="D1355" s="61">
        <v>-2212</v>
      </c>
      <c r="E1355" s="61">
        <v>0</v>
      </c>
      <c r="F1355" s="61">
        <v>0</v>
      </c>
      <c r="G1355" s="61">
        <v>0</v>
      </c>
      <c r="H1355" s="61">
        <v>339391</v>
      </c>
      <c r="I1355" s="61">
        <v>0</v>
      </c>
      <c r="J1355" s="61">
        <v>339391</v>
      </c>
      <c r="K1355" s="61">
        <v>0</v>
      </c>
      <c r="L1355" s="61">
        <v>0</v>
      </c>
      <c r="M1355" s="61">
        <v>0</v>
      </c>
      <c r="N1355" s="61">
        <v>339391</v>
      </c>
    </row>
    <row r="1356" spans="1:14" ht="15" customHeight="1" x14ac:dyDescent="0.25">
      <c r="A1356" s="68" t="s">
        <v>265</v>
      </c>
      <c r="B1356" s="60" t="s">
        <v>49</v>
      </c>
      <c r="C1356" s="61">
        <v>420045</v>
      </c>
      <c r="D1356" s="61">
        <v>-1900</v>
      </c>
      <c r="E1356" s="61">
        <v>0</v>
      </c>
      <c r="F1356" s="61">
        <v>0</v>
      </c>
      <c r="G1356" s="61">
        <v>0</v>
      </c>
      <c r="H1356" s="61">
        <v>418145</v>
      </c>
      <c r="I1356" s="61">
        <v>0</v>
      </c>
      <c r="J1356" s="61">
        <v>418145</v>
      </c>
      <c r="K1356" s="61">
        <v>0</v>
      </c>
      <c r="L1356" s="61">
        <v>0</v>
      </c>
      <c r="M1356" s="61">
        <v>0</v>
      </c>
      <c r="N1356" s="61">
        <v>418145</v>
      </c>
    </row>
    <row r="1357" spans="1:14" ht="15" customHeight="1" x14ac:dyDescent="0.25">
      <c r="A1357" s="68" t="s">
        <v>265</v>
      </c>
      <c r="B1357" s="60" t="s">
        <v>50</v>
      </c>
      <c r="C1357" s="61">
        <v>362924</v>
      </c>
      <c r="D1357" s="61">
        <v>-987</v>
      </c>
      <c r="E1357" s="61">
        <v>0</v>
      </c>
      <c r="F1357" s="61">
        <v>0</v>
      </c>
      <c r="G1357" s="61">
        <v>0</v>
      </c>
      <c r="H1357" s="61">
        <v>361937</v>
      </c>
      <c r="I1357" s="61">
        <v>0</v>
      </c>
      <c r="J1357" s="61">
        <v>361937</v>
      </c>
      <c r="K1357" s="61">
        <v>0</v>
      </c>
      <c r="L1357" s="61">
        <v>0</v>
      </c>
      <c r="M1357" s="61">
        <v>0</v>
      </c>
      <c r="N1357" s="61">
        <v>361937</v>
      </c>
    </row>
    <row r="1358" spans="1:14" ht="15" customHeight="1" x14ac:dyDescent="0.25">
      <c r="A1358" s="68" t="s">
        <v>265</v>
      </c>
      <c r="B1358" s="60" t="s">
        <v>51</v>
      </c>
      <c r="C1358" s="61">
        <v>269968</v>
      </c>
      <c r="D1358" s="61">
        <v>-1037</v>
      </c>
      <c r="E1358" s="61">
        <v>0</v>
      </c>
      <c r="F1358" s="61">
        <v>0</v>
      </c>
      <c r="G1358" s="61">
        <v>0</v>
      </c>
      <c r="H1358" s="61">
        <v>268931</v>
      </c>
      <c r="I1358" s="61">
        <v>0</v>
      </c>
      <c r="J1358" s="61">
        <v>268931</v>
      </c>
      <c r="K1358" s="61">
        <v>0</v>
      </c>
      <c r="L1358" s="61">
        <v>0</v>
      </c>
      <c r="M1358" s="61">
        <v>0</v>
      </c>
      <c r="N1358" s="61">
        <v>268931</v>
      </c>
    </row>
    <row r="1359" spans="1:14" ht="15" customHeight="1" x14ac:dyDescent="0.25">
      <c r="A1359" s="68" t="s">
        <v>265</v>
      </c>
      <c r="B1359" s="60" t="s">
        <v>52</v>
      </c>
      <c r="C1359" s="61">
        <v>361954</v>
      </c>
      <c r="D1359" s="61">
        <v>-888</v>
      </c>
      <c r="E1359" s="61">
        <v>0</v>
      </c>
      <c r="F1359" s="61">
        <v>0</v>
      </c>
      <c r="G1359" s="61">
        <v>0</v>
      </c>
      <c r="H1359" s="61">
        <v>361066</v>
      </c>
      <c r="I1359" s="61">
        <v>0</v>
      </c>
      <c r="J1359" s="61">
        <v>361066</v>
      </c>
      <c r="K1359" s="61">
        <v>0</v>
      </c>
      <c r="L1359" s="61">
        <v>0</v>
      </c>
      <c r="M1359" s="61">
        <v>0</v>
      </c>
      <c r="N1359" s="61">
        <v>361066</v>
      </c>
    </row>
    <row r="1360" spans="1:14" ht="15" customHeight="1" x14ac:dyDescent="0.25">
      <c r="A1360" s="68" t="s">
        <v>265</v>
      </c>
      <c r="B1360" s="60" t="s">
        <v>53</v>
      </c>
      <c r="C1360" s="61">
        <v>272224</v>
      </c>
      <c r="D1360" s="61">
        <v>-1070</v>
      </c>
      <c r="E1360" s="61">
        <v>0</v>
      </c>
      <c r="F1360" s="61">
        <v>0</v>
      </c>
      <c r="G1360" s="61">
        <v>0</v>
      </c>
      <c r="H1360" s="61">
        <v>271154</v>
      </c>
      <c r="I1360" s="61">
        <v>0</v>
      </c>
      <c r="J1360" s="61">
        <v>271154</v>
      </c>
      <c r="K1360" s="61">
        <v>0</v>
      </c>
      <c r="L1360" s="61">
        <v>0</v>
      </c>
      <c r="M1360" s="61">
        <v>0</v>
      </c>
      <c r="N1360" s="61">
        <v>271154</v>
      </c>
    </row>
    <row r="1361" spans="1:14" ht="15" customHeight="1" x14ac:dyDescent="0.25">
      <c r="A1361" s="68" t="s">
        <v>265</v>
      </c>
      <c r="B1361" s="60" t="s">
        <v>54</v>
      </c>
      <c r="C1361" s="61">
        <v>299056</v>
      </c>
      <c r="D1361" s="61">
        <v>-884</v>
      </c>
      <c r="E1361" s="61">
        <v>0</v>
      </c>
      <c r="F1361" s="61">
        <v>0</v>
      </c>
      <c r="G1361" s="61">
        <v>0</v>
      </c>
      <c r="H1361" s="61">
        <v>298172</v>
      </c>
      <c r="I1361" s="61">
        <v>0</v>
      </c>
      <c r="J1361" s="61">
        <v>298172</v>
      </c>
      <c r="K1361" s="61">
        <v>0</v>
      </c>
      <c r="L1361" s="61">
        <v>0</v>
      </c>
      <c r="M1361" s="61">
        <v>0</v>
      </c>
      <c r="N1361" s="61">
        <v>298172</v>
      </c>
    </row>
    <row r="1362" spans="1:14" ht="15" customHeight="1" x14ac:dyDescent="0.25">
      <c r="A1362" s="68" t="s">
        <v>265</v>
      </c>
      <c r="B1362" s="60" t="s">
        <v>55</v>
      </c>
      <c r="C1362" s="61">
        <v>242389</v>
      </c>
      <c r="D1362" s="61">
        <v>-554</v>
      </c>
      <c r="E1362" s="61">
        <v>0</v>
      </c>
      <c r="F1362" s="61">
        <v>0</v>
      </c>
      <c r="G1362" s="61">
        <v>0</v>
      </c>
      <c r="H1362" s="61">
        <v>241835</v>
      </c>
      <c r="I1362" s="61">
        <v>0</v>
      </c>
      <c r="J1362" s="61">
        <v>241835</v>
      </c>
      <c r="K1362" s="61">
        <v>0</v>
      </c>
      <c r="L1362" s="61">
        <v>0</v>
      </c>
      <c r="M1362" s="61">
        <v>0</v>
      </c>
      <c r="N1362" s="61">
        <v>241835</v>
      </c>
    </row>
    <row r="1363" spans="1:14" ht="15" customHeight="1" x14ac:dyDescent="0.25">
      <c r="A1363" s="68" t="s">
        <v>265</v>
      </c>
      <c r="B1363" s="60" t="s">
        <v>56</v>
      </c>
      <c r="C1363" s="61">
        <v>225243</v>
      </c>
      <c r="D1363" s="61">
        <v>-915</v>
      </c>
      <c r="E1363" s="61">
        <v>0</v>
      </c>
      <c r="F1363" s="61">
        <v>0</v>
      </c>
      <c r="G1363" s="61">
        <v>0</v>
      </c>
      <c r="H1363" s="61">
        <v>224328</v>
      </c>
      <c r="I1363" s="61">
        <v>0</v>
      </c>
      <c r="J1363" s="61">
        <v>224328</v>
      </c>
      <c r="K1363" s="61">
        <v>0</v>
      </c>
      <c r="L1363" s="61">
        <v>0</v>
      </c>
      <c r="M1363" s="61">
        <v>0</v>
      </c>
      <c r="N1363" s="61">
        <v>224328</v>
      </c>
    </row>
    <row r="1364" spans="1:14" ht="15.75" x14ac:dyDescent="0.25">
      <c r="A1364" s="52" t="s">
        <v>266</v>
      </c>
      <c r="B1364" s="53" t="s">
        <v>8</v>
      </c>
      <c r="C1364" s="19">
        <f>SUBTOTAL(109,Program356[(C)
Program
Costs])</f>
        <v>7733952</v>
      </c>
      <c r="D1364" s="19">
        <f>SUBTOTAL(109,Program356[(D)
Prior Period Adjustments])</f>
        <v>-24246</v>
      </c>
      <c r="E1364" s="19">
        <f>SUBTOTAL(109,Program356[(E)
Current Period Desk 
Reviews])</f>
        <v>0</v>
      </c>
      <c r="F1364" s="19">
        <f>SUBTOTAL(109,Program356[(F)
Current Period 
Final 
Audits])</f>
        <v>0</v>
      </c>
      <c r="G1364" s="19">
        <f>SUBTOTAL(109,Program356[(G)
Current Period 
Other Adjustments])</f>
        <v>-508</v>
      </c>
      <c r="H1364" s="19">
        <f>SUBTOTAL(109,Program356[(H)
Net Program Costs
Sum (C through G)])</f>
        <v>7709198</v>
      </c>
      <c r="I1364" s="19">
        <f>SUBTOTAL(109,Program356[(I)
Payments
 and Offsets])</f>
        <v>0</v>
      </c>
      <c r="J1364" s="19">
        <f>SUBTOTAL(109,Program356[(J)
Accounts Payable Balance
(H + I)])</f>
        <v>7709198</v>
      </c>
      <c r="K1364" s="19">
        <f>SUBTOTAL(109,Program356[(K)
Established 
Accounts Receivable])</f>
        <v>0</v>
      </c>
      <c r="L1364" s="19">
        <f>SUBTOTAL(109,Program356[(L)
Recovered
 Accounts Receivable])</f>
        <v>0</v>
      </c>
      <c r="M1364" s="19">
        <f>SUBTOTAL(109,Program356[(M)
Accounts Receivable Balance
(K + L)])</f>
        <v>0</v>
      </c>
      <c r="N1364" s="19">
        <f>SUBTOTAL(109,Program356[(N)
Net Balance
(J minus M)])</f>
        <v>7709198</v>
      </c>
    </row>
    <row r="1365" spans="1:14" ht="15.75" x14ac:dyDescent="0.25">
      <c r="A1365" s="17" t="s">
        <v>13</v>
      </c>
      <c r="B1365" s="54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78.75" x14ac:dyDescent="0.25">
      <c r="A1366" s="39" t="s">
        <v>32</v>
      </c>
      <c r="B1366" s="40" t="s">
        <v>33</v>
      </c>
      <c r="C1366" s="41" t="s">
        <v>34</v>
      </c>
      <c r="D1366" s="41" t="s">
        <v>35</v>
      </c>
      <c r="E1366" s="42" t="s">
        <v>36</v>
      </c>
      <c r="F1366" s="42" t="s">
        <v>37</v>
      </c>
      <c r="G1366" s="42" t="s">
        <v>38</v>
      </c>
      <c r="H1366" s="43" t="s">
        <v>39</v>
      </c>
      <c r="I1366" s="44" t="s">
        <v>40</v>
      </c>
      <c r="J1366" s="44" t="s">
        <v>41</v>
      </c>
      <c r="K1366" s="42" t="s">
        <v>42</v>
      </c>
      <c r="L1366" s="44" t="s">
        <v>43</v>
      </c>
      <c r="M1366" s="44" t="s">
        <v>44</v>
      </c>
      <c r="N1366" s="45" t="s">
        <v>45</v>
      </c>
    </row>
    <row r="1367" spans="1:14" ht="15.75" x14ac:dyDescent="0.25">
      <c r="A1367" s="46" t="s">
        <v>267</v>
      </c>
      <c r="B1367" s="47" t="s">
        <v>49</v>
      </c>
      <c r="C1367" s="48">
        <v>47464</v>
      </c>
      <c r="D1367" s="48">
        <v>0</v>
      </c>
      <c r="E1367" s="48">
        <v>0</v>
      </c>
      <c r="F1367" s="48">
        <v>0</v>
      </c>
      <c r="G1367" s="48">
        <v>0</v>
      </c>
      <c r="H1367" s="48">
        <v>47464</v>
      </c>
      <c r="I1367" s="48">
        <v>0</v>
      </c>
      <c r="J1367" s="48">
        <v>47464</v>
      </c>
      <c r="K1367" s="48">
        <v>0</v>
      </c>
      <c r="L1367" s="48">
        <v>0</v>
      </c>
      <c r="M1367" s="48">
        <v>0</v>
      </c>
      <c r="N1367" s="48">
        <v>47464</v>
      </c>
    </row>
    <row r="1368" spans="1:14" ht="15.75" x14ac:dyDescent="0.25">
      <c r="A1368" s="49" t="s">
        <v>267</v>
      </c>
      <c r="B1368" s="50" t="s">
        <v>50</v>
      </c>
      <c r="C1368" s="51">
        <v>1009278</v>
      </c>
      <c r="D1368" s="51">
        <v>0</v>
      </c>
      <c r="E1368" s="51">
        <v>0</v>
      </c>
      <c r="F1368" s="51">
        <v>0</v>
      </c>
      <c r="G1368" s="51">
        <v>0</v>
      </c>
      <c r="H1368" s="51">
        <v>1009278</v>
      </c>
      <c r="I1368" s="51">
        <v>0</v>
      </c>
      <c r="J1368" s="51">
        <v>1009278</v>
      </c>
      <c r="K1368" s="51">
        <v>0</v>
      </c>
      <c r="L1368" s="51">
        <v>0</v>
      </c>
      <c r="M1368" s="51">
        <v>0</v>
      </c>
      <c r="N1368" s="51">
        <v>1009278</v>
      </c>
    </row>
    <row r="1369" spans="1:14" ht="15.75" x14ac:dyDescent="0.25">
      <c r="A1369" s="49" t="s">
        <v>267</v>
      </c>
      <c r="B1369" s="50" t="s">
        <v>51</v>
      </c>
      <c r="C1369" s="51">
        <v>1280819</v>
      </c>
      <c r="D1369" s="51">
        <v>0</v>
      </c>
      <c r="E1369" s="51">
        <v>0</v>
      </c>
      <c r="F1369" s="51">
        <v>0</v>
      </c>
      <c r="G1369" s="51">
        <v>0</v>
      </c>
      <c r="H1369" s="51">
        <v>1280819</v>
      </c>
      <c r="I1369" s="51">
        <v>0</v>
      </c>
      <c r="J1369" s="51">
        <v>1280819</v>
      </c>
      <c r="K1369" s="51">
        <v>0</v>
      </c>
      <c r="L1369" s="51">
        <v>0</v>
      </c>
      <c r="M1369" s="51">
        <v>0</v>
      </c>
      <c r="N1369" s="51">
        <v>1280819</v>
      </c>
    </row>
    <row r="1370" spans="1:14" ht="15.75" x14ac:dyDescent="0.25">
      <c r="A1370" s="49" t="s">
        <v>267</v>
      </c>
      <c r="B1370" s="50" t="s">
        <v>52</v>
      </c>
      <c r="C1370" s="51">
        <v>1523434</v>
      </c>
      <c r="D1370" s="51">
        <v>-10000</v>
      </c>
      <c r="E1370" s="51">
        <v>0</v>
      </c>
      <c r="F1370" s="51">
        <v>0</v>
      </c>
      <c r="G1370" s="51">
        <v>0</v>
      </c>
      <c r="H1370" s="51">
        <v>1513434</v>
      </c>
      <c r="I1370" s="51">
        <v>-1513434</v>
      </c>
      <c r="J1370" s="51">
        <v>0</v>
      </c>
      <c r="K1370" s="51">
        <v>40324</v>
      </c>
      <c r="L1370" s="51">
        <v>-40324</v>
      </c>
      <c r="M1370" s="51">
        <v>0</v>
      </c>
      <c r="N1370" s="51">
        <v>0</v>
      </c>
    </row>
    <row r="1371" spans="1:14" ht="15.75" x14ac:dyDescent="0.25">
      <c r="A1371" s="49" t="s">
        <v>267</v>
      </c>
      <c r="B1371" s="50" t="s">
        <v>53</v>
      </c>
      <c r="C1371" s="51">
        <v>726819</v>
      </c>
      <c r="D1371" s="51">
        <v>-40548</v>
      </c>
      <c r="E1371" s="51">
        <v>0</v>
      </c>
      <c r="F1371" s="51">
        <v>0</v>
      </c>
      <c r="G1371" s="51">
        <v>0</v>
      </c>
      <c r="H1371" s="51">
        <v>686271</v>
      </c>
      <c r="I1371" s="51">
        <v>-686271</v>
      </c>
      <c r="J1371" s="51">
        <v>0</v>
      </c>
      <c r="K1371" s="51">
        <v>40548</v>
      </c>
      <c r="L1371" s="51">
        <v>-40548</v>
      </c>
      <c r="M1371" s="51">
        <v>0</v>
      </c>
      <c r="N1371" s="51">
        <v>0</v>
      </c>
    </row>
    <row r="1372" spans="1:14" ht="15.75" x14ac:dyDescent="0.25">
      <c r="A1372" s="49" t="s">
        <v>267</v>
      </c>
      <c r="B1372" s="50" t="s">
        <v>54</v>
      </c>
      <c r="C1372" s="51">
        <v>1468026</v>
      </c>
      <c r="D1372" s="51">
        <v>-2000</v>
      </c>
      <c r="E1372" s="51">
        <v>0</v>
      </c>
      <c r="F1372" s="51">
        <v>0</v>
      </c>
      <c r="G1372" s="51">
        <v>0</v>
      </c>
      <c r="H1372" s="51">
        <v>1466026</v>
      </c>
      <c r="I1372" s="51">
        <v>-1466026</v>
      </c>
      <c r="J1372" s="51">
        <v>0</v>
      </c>
      <c r="K1372" s="51">
        <v>289413</v>
      </c>
      <c r="L1372" s="51">
        <v>-289413</v>
      </c>
      <c r="M1372" s="51">
        <v>0</v>
      </c>
      <c r="N1372" s="51">
        <v>0</v>
      </c>
    </row>
    <row r="1373" spans="1:14" ht="15.75" x14ac:dyDescent="0.25">
      <c r="A1373" s="49" t="s">
        <v>267</v>
      </c>
      <c r="B1373" s="50" t="s">
        <v>55</v>
      </c>
      <c r="C1373" s="51">
        <v>1273878</v>
      </c>
      <c r="D1373" s="51">
        <v>-271544</v>
      </c>
      <c r="E1373" s="51">
        <v>0</v>
      </c>
      <c r="F1373" s="51">
        <v>0</v>
      </c>
      <c r="G1373" s="51">
        <v>0</v>
      </c>
      <c r="H1373" s="51">
        <v>1002334</v>
      </c>
      <c r="I1373" s="51">
        <v>-1002334</v>
      </c>
      <c r="J1373" s="51">
        <v>0</v>
      </c>
      <c r="K1373" s="51">
        <v>0</v>
      </c>
      <c r="L1373" s="51">
        <v>0</v>
      </c>
      <c r="M1373" s="51">
        <v>0</v>
      </c>
      <c r="N1373" s="51">
        <v>0</v>
      </c>
    </row>
    <row r="1374" spans="1:14" ht="15.75" x14ac:dyDescent="0.25">
      <c r="A1374" s="49" t="s">
        <v>267</v>
      </c>
      <c r="B1374" s="50" t="s">
        <v>56</v>
      </c>
      <c r="C1374" s="51">
        <v>1470196</v>
      </c>
      <c r="D1374" s="51">
        <v>-358654</v>
      </c>
      <c r="E1374" s="51">
        <v>0</v>
      </c>
      <c r="F1374" s="51">
        <v>0</v>
      </c>
      <c r="G1374" s="51">
        <v>0</v>
      </c>
      <c r="H1374" s="51">
        <v>1111542</v>
      </c>
      <c r="I1374" s="51">
        <v>-1111542</v>
      </c>
      <c r="J1374" s="51">
        <v>0</v>
      </c>
      <c r="K1374" s="51">
        <v>501</v>
      </c>
      <c r="L1374" s="51">
        <v>-501</v>
      </c>
      <c r="M1374" s="51">
        <v>0</v>
      </c>
      <c r="N1374" s="51">
        <v>0</v>
      </c>
    </row>
    <row r="1375" spans="1:14" ht="15.75" x14ac:dyDescent="0.25">
      <c r="A1375" s="49" t="s">
        <v>267</v>
      </c>
      <c r="B1375" s="50" t="s">
        <v>57</v>
      </c>
      <c r="C1375" s="51">
        <v>2298917</v>
      </c>
      <c r="D1375" s="51">
        <v>-1328577</v>
      </c>
      <c r="E1375" s="51">
        <v>0</v>
      </c>
      <c r="F1375" s="51">
        <v>0</v>
      </c>
      <c r="G1375" s="51">
        <v>0</v>
      </c>
      <c r="H1375" s="51">
        <v>970340</v>
      </c>
      <c r="I1375" s="51">
        <v>-970340</v>
      </c>
      <c r="J1375" s="51">
        <v>0</v>
      </c>
      <c r="K1375" s="51">
        <v>1208147</v>
      </c>
      <c r="L1375" s="51">
        <v>-1208147</v>
      </c>
      <c r="M1375" s="51">
        <v>0</v>
      </c>
      <c r="N1375" s="51">
        <v>0</v>
      </c>
    </row>
    <row r="1376" spans="1:14" ht="15.75" x14ac:dyDescent="0.25">
      <c r="A1376" s="49" t="s">
        <v>267</v>
      </c>
      <c r="B1376" s="50" t="s">
        <v>58</v>
      </c>
      <c r="C1376" s="51">
        <v>2170448</v>
      </c>
      <c r="D1376" s="51">
        <v>-1188936</v>
      </c>
      <c r="E1376" s="51">
        <v>0</v>
      </c>
      <c r="F1376" s="51">
        <v>0</v>
      </c>
      <c r="G1376" s="51">
        <v>0</v>
      </c>
      <c r="H1376" s="51">
        <v>981512</v>
      </c>
      <c r="I1376" s="51">
        <v>-981512</v>
      </c>
      <c r="J1376" s="51">
        <v>0</v>
      </c>
      <c r="K1376" s="51">
        <v>1169454</v>
      </c>
      <c r="L1376" s="51">
        <v>-1169454</v>
      </c>
      <c r="M1376" s="51">
        <v>0</v>
      </c>
      <c r="N1376" s="51">
        <v>0</v>
      </c>
    </row>
    <row r="1377" spans="1:14" ht="15.75" x14ac:dyDescent="0.25">
      <c r="A1377" s="49" t="s">
        <v>267</v>
      </c>
      <c r="B1377" s="50" t="s">
        <v>59</v>
      </c>
      <c r="C1377" s="51">
        <v>1695760</v>
      </c>
      <c r="D1377" s="51">
        <v>-884062</v>
      </c>
      <c r="E1377" s="51">
        <v>0</v>
      </c>
      <c r="F1377" s="51">
        <v>0</v>
      </c>
      <c r="G1377" s="51">
        <v>0</v>
      </c>
      <c r="H1377" s="51">
        <v>811698</v>
      </c>
      <c r="I1377" s="51">
        <v>-811698</v>
      </c>
      <c r="J1377" s="51">
        <v>0</v>
      </c>
      <c r="K1377" s="51">
        <v>1488386</v>
      </c>
      <c r="L1377" s="51">
        <v>-1402610</v>
      </c>
      <c r="M1377" s="51">
        <v>85776</v>
      </c>
      <c r="N1377" s="51">
        <v>-85776</v>
      </c>
    </row>
    <row r="1378" spans="1:14" ht="15.75" x14ac:dyDescent="0.25">
      <c r="A1378" s="49" t="s">
        <v>267</v>
      </c>
      <c r="B1378" s="50" t="s">
        <v>60</v>
      </c>
      <c r="C1378" s="51">
        <v>1974347</v>
      </c>
      <c r="D1378" s="51">
        <v>-477476</v>
      </c>
      <c r="E1378" s="51">
        <v>0</v>
      </c>
      <c r="F1378" s="51">
        <v>0</v>
      </c>
      <c r="G1378" s="51">
        <v>0</v>
      </c>
      <c r="H1378" s="51">
        <v>1496871</v>
      </c>
      <c r="I1378" s="51">
        <v>-1496871</v>
      </c>
      <c r="J1378" s="51">
        <v>0</v>
      </c>
      <c r="K1378" s="51">
        <v>682863</v>
      </c>
      <c r="L1378" s="51">
        <v>-682863</v>
      </c>
      <c r="M1378" s="51">
        <v>0</v>
      </c>
      <c r="N1378" s="51">
        <v>0</v>
      </c>
    </row>
    <row r="1379" spans="1:14" ht="15.75" x14ac:dyDescent="0.25">
      <c r="A1379" s="49" t="s">
        <v>267</v>
      </c>
      <c r="B1379" s="50" t="s">
        <v>61</v>
      </c>
      <c r="C1379" s="51">
        <v>2060889</v>
      </c>
      <c r="D1379" s="51">
        <v>-30246</v>
      </c>
      <c r="E1379" s="51">
        <v>0</v>
      </c>
      <c r="F1379" s="51">
        <v>0</v>
      </c>
      <c r="G1379" s="51">
        <v>0</v>
      </c>
      <c r="H1379" s="51">
        <v>2030643</v>
      </c>
      <c r="I1379" s="51">
        <v>-2030643</v>
      </c>
      <c r="J1379" s="51">
        <v>0</v>
      </c>
      <c r="K1379" s="51">
        <v>4875</v>
      </c>
      <c r="L1379" s="51">
        <v>-4875</v>
      </c>
      <c r="M1379" s="51">
        <v>0</v>
      </c>
      <c r="N1379" s="51">
        <v>0</v>
      </c>
    </row>
    <row r="1380" spans="1:14" ht="15.75" x14ac:dyDescent="0.25">
      <c r="A1380" s="49" t="s">
        <v>267</v>
      </c>
      <c r="B1380" s="50" t="s">
        <v>62</v>
      </c>
      <c r="C1380" s="51">
        <v>1851618</v>
      </c>
      <c r="D1380" s="51">
        <v>-74340</v>
      </c>
      <c r="E1380" s="51">
        <v>0</v>
      </c>
      <c r="F1380" s="51">
        <v>0</v>
      </c>
      <c r="G1380" s="51">
        <v>0</v>
      </c>
      <c r="H1380" s="51">
        <v>1777278</v>
      </c>
      <c r="I1380" s="51">
        <v>-1777278</v>
      </c>
      <c r="J1380" s="51">
        <v>0</v>
      </c>
      <c r="K1380" s="51">
        <v>163914</v>
      </c>
      <c r="L1380" s="51">
        <v>-163914</v>
      </c>
      <c r="M1380" s="51">
        <v>0</v>
      </c>
      <c r="N1380" s="51">
        <v>0</v>
      </c>
    </row>
    <row r="1381" spans="1:14" ht="15.75" x14ac:dyDescent="0.25">
      <c r="A1381" s="49" t="s">
        <v>267</v>
      </c>
      <c r="B1381" s="50" t="s">
        <v>63</v>
      </c>
      <c r="C1381" s="51">
        <v>1653119</v>
      </c>
      <c r="D1381" s="51">
        <v>-10678</v>
      </c>
      <c r="E1381" s="51">
        <v>0</v>
      </c>
      <c r="F1381" s="51">
        <v>0</v>
      </c>
      <c r="G1381" s="51">
        <v>0</v>
      </c>
      <c r="H1381" s="51">
        <v>1642441</v>
      </c>
      <c r="I1381" s="51">
        <v>-1642441</v>
      </c>
      <c r="J1381" s="51">
        <v>0</v>
      </c>
      <c r="K1381" s="51">
        <v>78650</v>
      </c>
      <c r="L1381" s="51">
        <v>-78650</v>
      </c>
      <c r="M1381" s="51">
        <v>0</v>
      </c>
      <c r="N1381" s="51">
        <v>0</v>
      </c>
    </row>
    <row r="1382" spans="1:14" ht="15.75" x14ac:dyDescent="0.25">
      <c r="A1382" s="49" t="s">
        <v>267</v>
      </c>
      <c r="B1382" s="50" t="s">
        <v>64</v>
      </c>
      <c r="C1382" s="51">
        <v>1235198</v>
      </c>
      <c r="D1382" s="51">
        <v>-29776</v>
      </c>
      <c r="E1382" s="51">
        <v>0</v>
      </c>
      <c r="F1382" s="51">
        <v>0</v>
      </c>
      <c r="G1382" s="51">
        <v>0</v>
      </c>
      <c r="H1382" s="51">
        <v>1205422</v>
      </c>
      <c r="I1382" s="51">
        <v>-1205422</v>
      </c>
      <c r="J1382" s="51">
        <v>0</v>
      </c>
      <c r="K1382" s="51">
        <v>12297</v>
      </c>
      <c r="L1382" s="51">
        <v>-12297</v>
      </c>
      <c r="M1382" s="51">
        <v>0</v>
      </c>
      <c r="N1382" s="51">
        <v>0</v>
      </c>
    </row>
    <row r="1383" spans="1:14" ht="15.75" x14ac:dyDescent="0.25">
      <c r="A1383" s="49" t="s">
        <v>267</v>
      </c>
      <c r="B1383" s="50" t="s">
        <v>65</v>
      </c>
      <c r="C1383" s="51">
        <v>1310904</v>
      </c>
      <c r="D1383" s="51">
        <v>-71448</v>
      </c>
      <c r="E1383" s="51">
        <v>0</v>
      </c>
      <c r="F1383" s="51">
        <v>0</v>
      </c>
      <c r="G1383" s="51">
        <v>0</v>
      </c>
      <c r="H1383" s="51">
        <v>1239456</v>
      </c>
      <c r="I1383" s="51">
        <v>-1239456</v>
      </c>
      <c r="J1383" s="51">
        <v>0</v>
      </c>
      <c r="K1383" s="51">
        <v>51998</v>
      </c>
      <c r="L1383" s="51">
        <v>-51998</v>
      </c>
      <c r="M1383" s="51">
        <v>0</v>
      </c>
      <c r="N1383" s="51">
        <v>0</v>
      </c>
    </row>
    <row r="1384" spans="1:14" ht="15.75" x14ac:dyDescent="0.25">
      <c r="A1384" s="49" t="s">
        <v>267</v>
      </c>
      <c r="B1384" s="50" t="s">
        <v>66</v>
      </c>
      <c r="C1384" s="51">
        <v>1137296</v>
      </c>
      <c r="D1384" s="51">
        <v>-75300</v>
      </c>
      <c r="E1384" s="51">
        <v>0</v>
      </c>
      <c r="F1384" s="51">
        <v>0</v>
      </c>
      <c r="G1384" s="51">
        <v>0</v>
      </c>
      <c r="H1384" s="51">
        <v>1061996</v>
      </c>
      <c r="I1384" s="51">
        <v>-1061996</v>
      </c>
      <c r="J1384" s="51">
        <v>0</v>
      </c>
      <c r="K1384" s="51">
        <v>55739</v>
      </c>
      <c r="L1384" s="51">
        <v>-55739</v>
      </c>
      <c r="M1384" s="51">
        <v>0</v>
      </c>
      <c r="N1384" s="51">
        <v>0</v>
      </c>
    </row>
    <row r="1385" spans="1:14" ht="15.75" x14ac:dyDescent="0.25">
      <c r="A1385" s="49" t="s">
        <v>267</v>
      </c>
      <c r="B1385" s="50" t="s">
        <v>67</v>
      </c>
      <c r="C1385" s="51">
        <v>986577</v>
      </c>
      <c r="D1385" s="51">
        <v>-40202</v>
      </c>
      <c r="E1385" s="51">
        <v>0</v>
      </c>
      <c r="F1385" s="51">
        <v>0</v>
      </c>
      <c r="G1385" s="51">
        <v>0</v>
      </c>
      <c r="H1385" s="51">
        <v>946375</v>
      </c>
      <c r="I1385" s="51">
        <v>-946375</v>
      </c>
      <c r="J1385" s="51">
        <v>0</v>
      </c>
      <c r="K1385" s="51">
        <v>26862</v>
      </c>
      <c r="L1385" s="51">
        <v>-26862</v>
      </c>
      <c r="M1385" s="51">
        <v>0</v>
      </c>
      <c r="N1385" s="51">
        <v>0</v>
      </c>
    </row>
    <row r="1386" spans="1:14" ht="15.75" x14ac:dyDescent="0.25">
      <c r="A1386" s="49" t="s">
        <v>267</v>
      </c>
      <c r="B1386" s="50" t="s">
        <v>68</v>
      </c>
      <c r="C1386" s="51">
        <v>437523</v>
      </c>
      <c r="D1386" s="51">
        <v>-2001</v>
      </c>
      <c r="E1386" s="51">
        <v>0</v>
      </c>
      <c r="F1386" s="51">
        <v>0</v>
      </c>
      <c r="G1386" s="51">
        <v>0</v>
      </c>
      <c r="H1386" s="51">
        <v>435522</v>
      </c>
      <c r="I1386" s="51">
        <v>-435522</v>
      </c>
      <c r="J1386" s="51">
        <v>0</v>
      </c>
      <c r="K1386" s="51">
        <v>0</v>
      </c>
      <c r="L1386" s="51">
        <v>0</v>
      </c>
      <c r="M1386" s="51">
        <v>0</v>
      </c>
      <c r="N1386" s="51">
        <v>0</v>
      </c>
    </row>
    <row r="1387" spans="1:14" ht="15.75" x14ac:dyDescent="0.25">
      <c r="A1387" s="52" t="s">
        <v>268</v>
      </c>
      <c r="B1387" s="53" t="s">
        <v>8</v>
      </c>
      <c r="C1387" s="19">
        <f>SUBTOTAL(109,Program124[(C)
Program
Costs])</f>
        <v>27612510</v>
      </c>
      <c r="D1387" s="19">
        <f>SUBTOTAL(109,Program124[(D)
Prior Period Adjustments])</f>
        <v>-4895788</v>
      </c>
      <c r="E1387" s="19">
        <f>SUBTOTAL(109,Program124[(E)
Current Period Desk 
Reviews])</f>
        <v>0</v>
      </c>
      <c r="F1387" s="19">
        <f>SUBTOTAL(109,Program124[(F)
Current Period 
Final 
Audits])</f>
        <v>0</v>
      </c>
      <c r="G1387" s="19">
        <f>SUBTOTAL(109,Program124[(G)
Current Period 
Other Adjustments])</f>
        <v>0</v>
      </c>
      <c r="H1387" s="19">
        <f>SUBTOTAL(109,Program124[(H)
Net Program Costs
Sum (C through G)])</f>
        <v>22716722</v>
      </c>
      <c r="I1387" s="19">
        <f>SUBTOTAL(109,Program124[(I)
Payments
 and Offsets])</f>
        <v>-20379161</v>
      </c>
      <c r="J1387" s="19">
        <f>SUBTOTAL(109,Program124[(J)
Accounts Payable Balance
(H + I)])</f>
        <v>2337561</v>
      </c>
      <c r="K1387" s="19">
        <f>SUBTOTAL(109,Program124[(K)
Established 
Accounts Receivable])</f>
        <v>5313971</v>
      </c>
      <c r="L1387" s="19">
        <f>SUBTOTAL(109,Program124[(L)
Recovered
 Accounts Receivable])</f>
        <v>-5228195</v>
      </c>
      <c r="M1387" s="19">
        <f>SUBTOTAL(109,Program124[(M)
Accounts Receivable Balance
(K + L)])</f>
        <v>85776</v>
      </c>
      <c r="N1387" s="19">
        <f>SUBTOTAL(109,Program124[(N)
Net Balance
(J minus M)])</f>
        <v>2251785</v>
      </c>
    </row>
    <row r="1388" spans="1:14" ht="15.75" x14ac:dyDescent="0.25">
      <c r="A1388" s="17" t="s">
        <v>13</v>
      </c>
      <c r="B1388" s="54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  <c r="N1388" s="55"/>
    </row>
    <row r="1389" spans="1:14" ht="78.75" x14ac:dyDescent="0.25">
      <c r="A1389" s="39" t="s">
        <v>32</v>
      </c>
      <c r="B1389" s="40" t="s">
        <v>33</v>
      </c>
      <c r="C1389" s="41" t="s">
        <v>34</v>
      </c>
      <c r="D1389" s="41" t="s">
        <v>35</v>
      </c>
      <c r="E1389" s="42" t="s">
        <v>36</v>
      </c>
      <c r="F1389" s="42" t="s">
        <v>37</v>
      </c>
      <c r="G1389" s="42" t="s">
        <v>38</v>
      </c>
      <c r="H1389" s="43" t="s">
        <v>39</v>
      </c>
      <c r="I1389" s="44" t="s">
        <v>40</v>
      </c>
      <c r="J1389" s="44" t="s">
        <v>41</v>
      </c>
      <c r="K1389" s="42" t="s">
        <v>42</v>
      </c>
      <c r="L1389" s="44" t="s">
        <v>43</v>
      </c>
      <c r="M1389" s="44" t="s">
        <v>44</v>
      </c>
      <c r="N1389" s="45" t="s">
        <v>45</v>
      </c>
    </row>
    <row r="1390" spans="1:14" ht="15.75" x14ac:dyDescent="0.25">
      <c r="A1390" s="46" t="s">
        <v>269</v>
      </c>
      <c r="B1390" s="47" t="s">
        <v>49</v>
      </c>
      <c r="C1390" s="48">
        <v>1310491</v>
      </c>
      <c r="D1390" s="48">
        <v>0</v>
      </c>
      <c r="E1390" s="48">
        <v>0</v>
      </c>
      <c r="F1390" s="48">
        <v>0</v>
      </c>
      <c r="G1390" s="48">
        <v>0</v>
      </c>
      <c r="H1390" s="48">
        <v>1310491</v>
      </c>
      <c r="I1390" s="48">
        <v>0</v>
      </c>
      <c r="J1390" s="48">
        <v>1310491</v>
      </c>
      <c r="K1390" s="48">
        <v>0</v>
      </c>
      <c r="L1390" s="48">
        <v>0</v>
      </c>
      <c r="M1390" s="48">
        <v>0</v>
      </c>
      <c r="N1390" s="48">
        <v>1310491</v>
      </c>
    </row>
    <row r="1391" spans="1:14" ht="15.75" x14ac:dyDescent="0.25">
      <c r="A1391" s="49" t="s">
        <v>269</v>
      </c>
      <c r="B1391" s="50" t="s">
        <v>50</v>
      </c>
      <c r="C1391" s="51">
        <v>1813889</v>
      </c>
      <c r="D1391" s="51">
        <v>0</v>
      </c>
      <c r="E1391" s="51">
        <v>0</v>
      </c>
      <c r="F1391" s="51">
        <v>0</v>
      </c>
      <c r="G1391" s="51">
        <v>0</v>
      </c>
      <c r="H1391" s="51">
        <v>1813889</v>
      </c>
      <c r="I1391" s="51">
        <v>-1813889</v>
      </c>
      <c r="J1391" s="51">
        <v>0</v>
      </c>
      <c r="K1391" s="51">
        <v>29513</v>
      </c>
      <c r="L1391" s="51">
        <v>-29513</v>
      </c>
      <c r="M1391" s="51">
        <v>0</v>
      </c>
      <c r="N1391" s="51">
        <v>0</v>
      </c>
    </row>
    <row r="1392" spans="1:14" ht="15.75" x14ac:dyDescent="0.25">
      <c r="A1392" s="49" t="s">
        <v>269</v>
      </c>
      <c r="B1392" s="50" t="s">
        <v>51</v>
      </c>
      <c r="C1392" s="51">
        <v>5934759</v>
      </c>
      <c r="D1392" s="51">
        <v>-7349</v>
      </c>
      <c r="E1392" s="51">
        <v>0</v>
      </c>
      <c r="F1392" s="51">
        <v>0</v>
      </c>
      <c r="G1392" s="51">
        <v>0</v>
      </c>
      <c r="H1392" s="51">
        <v>5927410</v>
      </c>
      <c r="I1392" s="51">
        <v>-5927410</v>
      </c>
      <c r="J1392" s="51">
        <v>0</v>
      </c>
      <c r="K1392" s="51">
        <v>0</v>
      </c>
      <c r="L1392" s="51">
        <v>0</v>
      </c>
      <c r="M1392" s="51">
        <v>0</v>
      </c>
      <c r="N1392" s="51">
        <v>0</v>
      </c>
    </row>
    <row r="1393" spans="1:14" ht="15.75" x14ac:dyDescent="0.25">
      <c r="A1393" s="49" t="s">
        <v>269</v>
      </c>
      <c r="B1393" s="50" t="s">
        <v>52</v>
      </c>
      <c r="C1393" s="51">
        <v>3288387</v>
      </c>
      <c r="D1393" s="51">
        <v>0</v>
      </c>
      <c r="E1393" s="51">
        <v>0</v>
      </c>
      <c r="F1393" s="51">
        <v>0</v>
      </c>
      <c r="G1393" s="51">
        <v>0</v>
      </c>
      <c r="H1393" s="51">
        <v>3288387</v>
      </c>
      <c r="I1393" s="51">
        <v>-3288387</v>
      </c>
      <c r="J1393" s="51">
        <v>0</v>
      </c>
      <c r="K1393" s="51">
        <v>814585</v>
      </c>
      <c r="L1393" s="51">
        <v>-814585</v>
      </c>
      <c r="M1393" s="51">
        <v>0</v>
      </c>
      <c r="N1393" s="51">
        <v>0</v>
      </c>
    </row>
    <row r="1394" spans="1:14" ht="15.75" x14ac:dyDescent="0.25">
      <c r="A1394" s="49" t="s">
        <v>269</v>
      </c>
      <c r="B1394" s="50" t="s">
        <v>53</v>
      </c>
      <c r="C1394" s="51">
        <v>3674446</v>
      </c>
      <c r="D1394" s="51">
        <v>-4972</v>
      </c>
      <c r="E1394" s="51">
        <v>0</v>
      </c>
      <c r="F1394" s="51">
        <v>0</v>
      </c>
      <c r="G1394" s="51">
        <v>0</v>
      </c>
      <c r="H1394" s="51">
        <v>3669474</v>
      </c>
      <c r="I1394" s="51">
        <v>-3669474</v>
      </c>
      <c r="J1394" s="51">
        <v>0</v>
      </c>
      <c r="K1394" s="51">
        <v>278758</v>
      </c>
      <c r="L1394" s="51">
        <v>-278758</v>
      </c>
      <c r="M1394" s="51">
        <v>0</v>
      </c>
      <c r="N1394" s="51">
        <v>0</v>
      </c>
    </row>
    <row r="1395" spans="1:14" ht="15.75" x14ac:dyDescent="0.25">
      <c r="A1395" s="49" t="s">
        <v>269</v>
      </c>
      <c r="B1395" s="50" t="s">
        <v>54</v>
      </c>
      <c r="C1395" s="51">
        <v>2308990</v>
      </c>
      <c r="D1395" s="51">
        <v>-22979</v>
      </c>
      <c r="E1395" s="51">
        <v>0</v>
      </c>
      <c r="F1395" s="51">
        <v>0</v>
      </c>
      <c r="G1395" s="51">
        <v>0</v>
      </c>
      <c r="H1395" s="51">
        <v>2286011</v>
      </c>
      <c r="I1395" s="51">
        <v>-2286011</v>
      </c>
      <c r="J1395" s="51">
        <v>0</v>
      </c>
      <c r="K1395" s="51">
        <v>475113</v>
      </c>
      <c r="L1395" s="51">
        <v>-475113</v>
      </c>
      <c r="M1395" s="51">
        <v>0</v>
      </c>
      <c r="N1395" s="51">
        <v>0</v>
      </c>
    </row>
    <row r="1396" spans="1:14" ht="15.75" x14ac:dyDescent="0.25">
      <c r="A1396" s="49" t="s">
        <v>269</v>
      </c>
      <c r="B1396" s="50" t="s">
        <v>55</v>
      </c>
      <c r="C1396" s="51">
        <v>2998325</v>
      </c>
      <c r="D1396" s="51">
        <v>-75181</v>
      </c>
      <c r="E1396" s="51">
        <v>0</v>
      </c>
      <c r="F1396" s="51">
        <v>0</v>
      </c>
      <c r="G1396" s="51">
        <v>0</v>
      </c>
      <c r="H1396" s="51">
        <v>2923144</v>
      </c>
      <c r="I1396" s="51">
        <v>-2923144</v>
      </c>
      <c r="J1396" s="51">
        <v>0</v>
      </c>
      <c r="K1396" s="51">
        <v>0</v>
      </c>
      <c r="L1396" s="51">
        <v>0</v>
      </c>
      <c r="M1396" s="51">
        <v>0</v>
      </c>
      <c r="N1396" s="51">
        <v>0</v>
      </c>
    </row>
    <row r="1397" spans="1:14" ht="15.75" x14ac:dyDescent="0.25">
      <c r="A1397" s="49" t="s">
        <v>269</v>
      </c>
      <c r="B1397" s="50" t="s">
        <v>56</v>
      </c>
      <c r="C1397" s="51">
        <v>1866064</v>
      </c>
      <c r="D1397" s="51">
        <v>-116400</v>
      </c>
      <c r="E1397" s="51">
        <v>0</v>
      </c>
      <c r="F1397" s="51">
        <v>0</v>
      </c>
      <c r="G1397" s="51">
        <v>0</v>
      </c>
      <c r="H1397" s="51">
        <v>1749664</v>
      </c>
      <c r="I1397" s="51">
        <v>-1749664</v>
      </c>
      <c r="J1397" s="51">
        <v>0</v>
      </c>
      <c r="K1397" s="51">
        <v>0</v>
      </c>
      <c r="L1397" s="51">
        <v>0</v>
      </c>
      <c r="M1397" s="51">
        <v>0</v>
      </c>
      <c r="N1397" s="51">
        <v>0</v>
      </c>
    </row>
    <row r="1398" spans="1:14" ht="15.75" x14ac:dyDescent="0.25">
      <c r="A1398" s="49" t="s">
        <v>269</v>
      </c>
      <c r="B1398" s="50" t="s">
        <v>57</v>
      </c>
      <c r="C1398" s="51">
        <v>1205394</v>
      </c>
      <c r="D1398" s="51">
        <v>-1928</v>
      </c>
      <c r="E1398" s="51">
        <v>0</v>
      </c>
      <c r="F1398" s="51">
        <v>0</v>
      </c>
      <c r="G1398" s="51">
        <v>0</v>
      </c>
      <c r="H1398" s="51">
        <v>1203466</v>
      </c>
      <c r="I1398" s="51">
        <v>-1203466</v>
      </c>
      <c r="J1398" s="51">
        <v>0</v>
      </c>
      <c r="K1398" s="51">
        <v>7612</v>
      </c>
      <c r="L1398" s="51">
        <v>-7612</v>
      </c>
      <c r="M1398" s="51">
        <v>0</v>
      </c>
      <c r="N1398" s="51">
        <v>0</v>
      </c>
    </row>
    <row r="1399" spans="1:14" ht="15.75" x14ac:dyDescent="0.25">
      <c r="A1399" s="49" t="s">
        <v>269</v>
      </c>
      <c r="B1399" s="50" t="s">
        <v>58</v>
      </c>
      <c r="C1399" s="51">
        <v>433068</v>
      </c>
      <c r="D1399" s="51">
        <v>-14811</v>
      </c>
      <c r="E1399" s="51">
        <v>0</v>
      </c>
      <c r="F1399" s="51">
        <v>0</v>
      </c>
      <c r="G1399" s="51">
        <v>0</v>
      </c>
      <c r="H1399" s="51">
        <v>418257</v>
      </c>
      <c r="I1399" s="51">
        <v>-418257</v>
      </c>
      <c r="J1399" s="51">
        <v>0</v>
      </c>
      <c r="K1399" s="51">
        <v>61429</v>
      </c>
      <c r="L1399" s="51">
        <v>-61429</v>
      </c>
      <c r="M1399" s="51">
        <v>0</v>
      </c>
      <c r="N1399" s="51">
        <v>0</v>
      </c>
    </row>
    <row r="1400" spans="1:14" ht="15.75" x14ac:dyDescent="0.25">
      <c r="A1400" s="49" t="s">
        <v>269</v>
      </c>
      <c r="B1400" s="50" t="s">
        <v>59</v>
      </c>
      <c r="C1400" s="51">
        <v>449154</v>
      </c>
      <c r="D1400" s="51">
        <v>-3010</v>
      </c>
      <c r="E1400" s="51">
        <v>0</v>
      </c>
      <c r="F1400" s="51">
        <v>0</v>
      </c>
      <c r="G1400" s="51">
        <v>0</v>
      </c>
      <c r="H1400" s="51">
        <v>446144</v>
      </c>
      <c r="I1400" s="51">
        <v>-446144</v>
      </c>
      <c r="J1400" s="51">
        <v>0</v>
      </c>
      <c r="K1400" s="51">
        <v>77643</v>
      </c>
      <c r="L1400" s="51">
        <v>-77643</v>
      </c>
      <c r="M1400" s="51">
        <v>0</v>
      </c>
      <c r="N1400" s="51">
        <v>0</v>
      </c>
    </row>
    <row r="1401" spans="1:14" ht="15.75" x14ac:dyDescent="0.25">
      <c r="A1401" s="49" t="s">
        <v>269</v>
      </c>
      <c r="B1401" s="50" t="s">
        <v>60</v>
      </c>
      <c r="C1401" s="51">
        <v>403851</v>
      </c>
      <c r="D1401" s="51">
        <v>-436</v>
      </c>
      <c r="E1401" s="51">
        <v>0</v>
      </c>
      <c r="F1401" s="51">
        <v>0</v>
      </c>
      <c r="G1401" s="51">
        <v>0</v>
      </c>
      <c r="H1401" s="51">
        <v>403415</v>
      </c>
      <c r="I1401" s="51">
        <v>-403415</v>
      </c>
      <c r="J1401" s="51">
        <v>0</v>
      </c>
      <c r="K1401" s="51">
        <v>79342</v>
      </c>
      <c r="L1401" s="51">
        <v>-79342</v>
      </c>
      <c r="M1401" s="51">
        <v>0</v>
      </c>
      <c r="N1401" s="51">
        <v>0</v>
      </c>
    </row>
    <row r="1402" spans="1:14" ht="15.75" x14ac:dyDescent="0.25">
      <c r="A1402" s="49" t="s">
        <v>269</v>
      </c>
      <c r="B1402" s="50" t="s">
        <v>61</v>
      </c>
      <c r="C1402" s="51">
        <v>370141</v>
      </c>
      <c r="D1402" s="51">
        <v>-506</v>
      </c>
      <c r="E1402" s="51">
        <v>0</v>
      </c>
      <c r="F1402" s="51">
        <v>0</v>
      </c>
      <c r="G1402" s="51">
        <v>0</v>
      </c>
      <c r="H1402" s="51">
        <v>369635</v>
      </c>
      <c r="I1402" s="51">
        <v>-369635</v>
      </c>
      <c r="J1402" s="51">
        <v>0</v>
      </c>
      <c r="K1402" s="51">
        <v>48302</v>
      </c>
      <c r="L1402" s="51">
        <v>-48302</v>
      </c>
      <c r="M1402" s="51">
        <v>0</v>
      </c>
      <c r="N1402" s="51">
        <v>0</v>
      </c>
    </row>
    <row r="1403" spans="1:14" ht="15.75" x14ac:dyDescent="0.25">
      <c r="A1403" s="49" t="s">
        <v>269</v>
      </c>
      <c r="B1403" s="50" t="s">
        <v>62</v>
      </c>
      <c r="C1403" s="51">
        <v>410455</v>
      </c>
      <c r="D1403" s="51">
        <v>0</v>
      </c>
      <c r="E1403" s="51">
        <v>0</v>
      </c>
      <c r="F1403" s="51">
        <v>0</v>
      </c>
      <c r="G1403" s="51">
        <v>0</v>
      </c>
      <c r="H1403" s="51">
        <v>410455</v>
      </c>
      <c r="I1403" s="51">
        <v>-410455</v>
      </c>
      <c r="J1403" s="51">
        <v>0</v>
      </c>
      <c r="K1403" s="51">
        <v>7173</v>
      </c>
      <c r="L1403" s="51">
        <v>-7173</v>
      </c>
      <c r="M1403" s="51">
        <v>0</v>
      </c>
      <c r="N1403" s="51">
        <v>0</v>
      </c>
    </row>
    <row r="1404" spans="1:14" ht="15.75" x14ac:dyDescent="0.25">
      <c r="A1404" s="49" t="s">
        <v>269</v>
      </c>
      <c r="B1404" s="50" t="s">
        <v>63</v>
      </c>
      <c r="C1404" s="51">
        <v>254325</v>
      </c>
      <c r="D1404" s="51">
        <v>-25418</v>
      </c>
      <c r="E1404" s="51">
        <v>0</v>
      </c>
      <c r="F1404" s="51">
        <v>0</v>
      </c>
      <c r="G1404" s="51">
        <v>0</v>
      </c>
      <c r="H1404" s="51">
        <v>228907</v>
      </c>
      <c r="I1404" s="51">
        <v>-228907</v>
      </c>
      <c r="J1404" s="51">
        <v>0</v>
      </c>
      <c r="K1404" s="51">
        <v>66224</v>
      </c>
      <c r="L1404" s="51">
        <v>-66224</v>
      </c>
      <c r="M1404" s="51">
        <v>0</v>
      </c>
      <c r="N1404" s="51">
        <v>0</v>
      </c>
    </row>
    <row r="1405" spans="1:14" ht="15.75" x14ac:dyDescent="0.25">
      <c r="A1405" s="49" t="s">
        <v>269</v>
      </c>
      <c r="B1405" s="50" t="s">
        <v>64</v>
      </c>
      <c r="C1405" s="51">
        <v>239739</v>
      </c>
      <c r="D1405" s="51">
        <v>-4675</v>
      </c>
      <c r="E1405" s="51">
        <v>0</v>
      </c>
      <c r="F1405" s="51">
        <v>0</v>
      </c>
      <c r="G1405" s="51">
        <v>0</v>
      </c>
      <c r="H1405" s="51">
        <v>235064</v>
      </c>
      <c r="I1405" s="51">
        <v>-235064</v>
      </c>
      <c r="J1405" s="51">
        <v>0</v>
      </c>
      <c r="K1405" s="51">
        <v>34371</v>
      </c>
      <c r="L1405" s="51">
        <v>-34371</v>
      </c>
      <c r="M1405" s="51">
        <v>0</v>
      </c>
      <c r="N1405" s="51">
        <v>0</v>
      </c>
    </row>
    <row r="1406" spans="1:14" ht="15.75" x14ac:dyDescent="0.25">
      <c r="A1406" s="49" t="s">
        <v>269</v>
      </c>
      <c r="B1406" s="50" t="s">
        <v>65</v>
      </c>
      <c r="C1406" s="51">
        <v>253287</v>
      </c>
      <c r="D1406" s="51">
        <v>-2397</v>
      </c>
      <c r="E1406" s="51">
        <v>0</v>
      </c>
      <c r="F1406" s="51">
        <v>0</v>
      </c>
      <c r="G1406" s="51">
        <v>0</v>
      </c>
      <c r="H1406" s="51">
        <v>250890</v>
      </c>
      <c r="I1406" s="51">
        <v>-250890</v>
      </c>
      <c r="J1406" s="51">
        <v>0</v>
      </c>
      <c r="K1406" s="51">
        <v>60105</v>
      </c>
      <c r="L1406" s="51">
        <v>-60105</v>
      </c>
      <c r="M1406" s="51">
        <v>0</v>
      </c>
      <c r="N1406" s="51">
        <v>0</v>
      </c>
    </row>
    <row r="1407" spans="1:14" ht="15.75" x14ac:dyDescent="0.25">
      <c r="A1407" s="49" t="s">
        <v>269</v>
      </c>
      <c r="B1407" s="50" t="s">
        <v>66</v>
      </c>
      <c r="C1407" s="51">
        <v>302282</v>
      </c>
      <c r="D1407" s="51">
        <v>-59700</v>
      </c>
      <c r="E1407" s="51">
        <v>0</v>
      </c>
      <c r="F1407" s="51">
        <v>0</v>
      </c>
      <c r="G1407" s="51">
        <v>0</v>
      </c>
      <c r="H1407" s="51">
        <v>242582</v>
      </c>
      <c r="I1407" s="51">
        <v>-242582</v>
      </c>
      <c r="J1407" s="51">
        <v>0</v>
      </c>
      <c r="K1407" s="51">
        <v>5298</v>
      </c>
      <c r="L1407" s="51">
        <v>-5298</v>
      </c>
      <c r="M1407" s="51">
        <v>0</v>
      </c>
      <c r="N1407" s="51">
        <v>0</v>
      </c>
    </row>
    <row r="1408" spans="1:14" ht="15.75" x14ac:dyDescent="0.25">
      <c r="A1408" s="49" t="s">
        <v>269</v>
      </c>
      <c r="B1408" s="50" t="s">
        <v>67</v>
      </c>
      <c r="C1408" s="51">
        <v>462796</v>
      </c>
      <c r="D1408" s="51">
        <v>-45191</v>
      </c>
      <c r="E1408" s="51">
        <v>0</v>
      </c>
      <c r="F1408" s="51">
        <v>0</v>
      </c>
      <c r="G1408" s="51">
        <v>0</v>
      </c>
      <c r="H1408" s="51">
        <v>417605</v>
      </c>
      <c r="I1408" s="51">
        <v>-417605</v>
      </c>
      <c r="J1408" s="51">
        <v>0</v>
      </c>
      <c r="K1408" s="51">
        <v>44191</v>
      </c>
      <c r="L1408" s="51">
        <v>-44191</v>
      </c>
      <c r="M1408" s="51">
        <v>0</v>
      </c>
      <c r="N1408" s="51">
        <v>0</v>
      </c>
    </row>
    <row r="1409" spans="1:14" ht="15.75" x14ac:dyDescent="0.25">
      <c r="A1409" s="49" t="s">
        <v>269</v>
      </c>
      <c r="B1409" s="50" t="s">
        <v>68</v>
      </c>
      <c r="C1409" s="51">
        <v>201638</v>
      </c>
      <c r="D1409" s="51">
        <v>-14878</v>
      </c>
      <c r="E1409" s="51">
        <v>0</v>
      </c>
      <c r="F1409" s="51">
        <v>0</v>
      </c>
      <c r="G1409" s="51">
        <v>0</v>
      </c>
      <c r="H1409" s="51">
        <v>186760</v>
      </c>
      <c r="I1409" s="51">
        <v>-186760</v>
      </c>
      <c r="J1409" s="51">
        <v>0</v>
      </c>
      <c r="K1409" s="51">
        <v>13813</v>
      </c>
      <c r="L1409" s="51">
        <v>-13813</v>
      </c>
      <c r="M1409" s="51">
        <v>0</v>
      </c>
      <c r="N1409" s="51">
        <v>0</v>
      </c>
    </row>
    <row r="1410" spans="1:14" ht="15.75" x14ac:dyDescent="0.25">
      <c r="A1410" s="49" t="s">
        <v>269</v>
      </c>
      <c r="B1410" s="50" t="s">
        <v>69</v>
      </c>
      <c r="C1410" s="51">
        <v>192735</v>
      </c>
      <c r="D1410" s="51">
        <v>-15655</v>
      </c>
      <c r="E1410" s="51">
        <v>0</v>
      </c>
      <c r="F1410" s="51">
        <v>0</v>
      </c>
      <c r="G1410" s="51">
        <v>0</v>
      </c>
      <c r="H1410" s="51">
        <v>177080</v>
      </c>
      <c r="I1410" s="51">
        <v>-177080</v>
      </c>
      <c r="J1410" s="51">
        <v>0</v>
      </c>
      <c r="K1410" s="51">
        <v>40093</v>
      </c>
      <c r="L1410" s="51">
        <v>-40093</v>
      </c>
      <c r="M1410" s="51">
        <v>0</v>
      </c>
      <c r="N1410" s="51">
        <v>0</v>
      </c>
    </row>
    <row r="1411" spans="1:14" ht="15.75" x14ac:dyDescent="0.25">
      <c r="A1411" s="49" t="s">
        <v>269</v>
      </c>
      <c r="B1411" s="50" t="s">
        <v>115</v>
      </c>
      <c r="C1411" s="51">
        <v>192942</v>
      </c>
      <c r="D1411" s="51">
        <v>-18123</v>
      </c>
      <c r="E1411" s="51">
        <v>0</v>
      </c>
      <c r="F1411" s="51">
        <v>0</v>
      </c>
      <c r="G1411" s="51">
        <v>0</v>
      </c>
      <c r="H1411" s="51">
        <v>174819</v>
      </c>
      <c r="I1411" s="51">
        <v>-174819</v>
      </c>
      <c r="J1411" s="51">
        <v>0</v>
      </c>
      <c r="K1411" s="51">
        <v>17123</v>
      </c>
      <c r="L1411" s="51">
        <v>-17123</v>
      </c>
      <c r="M1411" s="51">
        <v>0</v>
      </c>
      <c r="N1411" s="51">
        <v>0</v>
      </c>
    </row>
    <row r="1412" spans="1:14" ht="15.75" x14ac:dyDescent="0.25">
      <c r="A1412" s="52" t="s">
        <v>270</v>
      </c>
      <c r="B1412" s="53" t="s">
        <v>8</v>
      </c>
      <c r="C1412" s="19">
        <f>SUBTOTAL(109,Program083[(C)
Program
Costs])</f>
        <v>28567158</v>
      </c>
      <c r="D1412" s="19">
        <f>SUBTOTAL(109,Program083[(D)
Prior Period Adjustments])</f>
        <v>-433609</v>
      </c>
      <c r="E1412" s="19">
        <f>SUBTOTAL(109,Program083[(E)
Current Period Desk 
Reviews])</f>
        <v>0</v>
      </c>
      <c r="F1412" s="19">
        <f>SUBTOTAL(109,Program083[(F)
Current Period 
Final 
Audits])</f>
        <v>0</v>
      </c>
      <c r="G1412" s="19">
        <f>SUBTOTAL(109,Program083[(G)
Current Period 
Other Adjustments])</f>
        <v>0</v>
      </c>
      <c r="H1412" s="19">
        <f>SUBTOTAL(109,Program083[(H)
Net Program Costs
Sum (C through G)])</f>
        <v>28133549</v>
      </c>
      <c r="I1412" s="19">
        <f>SUBTOTAL(109,Program083[(I)
Payments
 and Offsets])</f>
        <v>-26823058</v>
      </c>
      <c r="J1412" s="19">
        <f>SUBTOTAL(109,Program083[(J)
Accounts Payable Balance
(H + I)])</f>
        <v>1310491</v>
      </c>
      <c r="K1412" s="19">
        <f>SUBTOTAL(109,Program083[(K)
Established 
Accounts Receivable])</f>
        <v>2160688</v>
      </c>
      <c r="L1412" s="19">
        <f>SUBTOTAL(109,Program083[(L)
Recovered
 Accounts Receivable])</f>
        <v>-2160688</v>
      </c>
      <c r="M1412" s="19">
        <f>SUBTOTAL(109,Program083[(M)
Accounts Receivable Balance
(K + L)])</f>
        <v>0</v>
      </c>
      <c r="N1412" s="19">
        <f>SUBTOTAL(109,Program083[(N)
Net Balance
(J minus M)])</f>
        <v>1310491</v>
      </c>
    </row>
    <row r="1413" spans="1:14" ht="15.75" x14ac:dyDescent="0.25">
      <c r="A1413" s="17" t="s">
        <v>13</v>
      </c>
      <c r="B1413" s="54"/>
      <c r="C1413" s="55"/>
      <c r="D1413" s="55"/>
      <c r="E1413" s="55"/>
      <c r="F1413" s="55"/>
      <c r="G1413" s="55"/>
      <c r="H1413" s="55"/>
      <c r="I1413" s="55"/>
      <c r="J1413" s="55"/>
      <c r="K1413" s="55"/>
      <c r="L1413" s="55"/>
      <c r="M1413" s="55"/>
      <c r="N1413" s="55"/>
    </row>
    <row r="1414" spans="1:14" ht="78.75" x14ac:dyDescent="0.25">
      <c r="A1414" s="39" t="s">
        <v>32</v>
      </c>
      <c r="B1414" s="40" t="s">
        <v>33</v>
      </c>
      <c r="C1414" s="41" t="s">
        <v>34</v>
      </c>
      <c r="D1414" s="41" t="s">
        <v>35</v>
      </c>
      <c r="E1414" s="42" t="s">
        <v>36</v>
      </c>
      <c r="F1414" s="42" t="s">
        <v>37</v>
      </c>
      <c r="G1414" s="42" t="s">
        <v>38</v>
      </c>
      <c r="H1414" s="43" t="s">
        <v>39</v>
      </c>
      <c r="I1414" s="44" t="s">
        <v>40</v>
      </c>
      <c r="J1414" s="44" t="s">
        <v>41</v>
      </c>
      <c r="K1414" s="42" t="s">
        <v>42</v>
      </c>
      <c r="L1414" s="44" t="s">
        <v>43</v>
      </c>
      <c r="M1414" s="44" t="s">
        <v>44</v>
      </c>
      <c r="N1414" s="45" t="s">
        <v>45</v>
      </c>
    </row>
    <row r="1415" spans="1:14" ht="15.75" x14ac:dyDescent="0.25">
      <c r="A1415" s="46" t="s">
        <v>271</v>
      </c>
      <c r="B1415" s="47" t="s">
        <v>82</v>
      </c>
      <c r="C1415" s="48">
        <v>5294437</v>
      </c>
      <c r="D1415" s="48">
        <v>-10000</v>
      </c>
      <c r="E1415" s="48">
        <v>0</v>
      </c>
      <c r="F1415" s="48">
        <v>0</v>
      </c>
      <c r="G1415" s="48">
        <v>0</v>
      </c>
      <c r="H1415" s="48">
        <v>5284437</v>
      </c>
      <c r="I1415" s="48">
        <v>0</v>
      </c>
      <c r="J1415" s="48">
        <v>5284437</v>
      </c>
      <c r="K1415" s="48">
        <v>0</v>
      </c>
      <c r="L1415" s="48">
        <v>0</v>
      </c>
      <c r="M1415" s="48">
        <v>0</v>
      </c>
      <c r="N1415" s="48">
        <v>5284437</v>
      </c>
    </row>
    <row r="1416" spans="1:14" ht="15.75" x14ac:dyDescent="0.25">
      <c r="A1416" s="49" t="s">
        <v>271</v>
      </c>
      <c r="B1416" s="50" t="s">
        <v>83</v>
      </c>
      <c r="C1416" s="51">
        <v>4167474</v>
      </c>
      <c r="D1416" s="51">
        <v>-10640</v>
      </c>
      <c r="E1416" s="51">
        <v>0</v>
      </c>
      <c r="F1416" s="51">
        <v>0</v>
      </c>
      <c r="G1416" s="51">
        <v>0</v>
      </c>
      <c r="H1416" s="51">
        <v>4156834</v>
      </c>
      <c r="I1416" s="51">
        <v>0</v>
      </c>
      <c r="J1416" s="51">
        <v>4156834</v>
      </c>
      <c r="K1416" s="51">
        <v>0</v>
      </c>
      <c r="L1416" s="51">
        <v>0</v>
      </c>
      <c r="M1416" s="51">
        <v>0</v>
      </c>
      <c r="N1416" s="51">
        <v>4156834</v>
      </c>
    </row>
    <row r="1417" spans="1:14" ht="15.75" x14ac:dyDescent="0.25">
      <c r="A1417" s="49" t="s">
        <v>271</v>
      </c>
      <c r="B1417" s="50" t="s">
        <v>48</v>
      </c>
      <c r="C1417" s="51">
        <v>2057911</v>
      </c>
      <c r="D1417" s="51">
        <v>-19515</v>
      </c>
      <c r="E1417" s="51">
        <v>0</v>
      </c>
      <c r="F1417" s="51">
        <v>0</v>
      </c>
      <c r="G1417" s="51">
        <v>0</v>
      </c>
      <c r="H1417" s="51">
        <v>2038396</v>
      </c>
      <c r="I1417" s="51">
        <v>0</v>
      </c>
      <c r="J1417" s="51">
        <v>2038396</v>
      </c>
      <c r="K1417" s="51">
        <v>0</v>
      </c>
      <c r="L1417" s="51">
        <v>0</v>
      </c>
      <c r="M1417" s="51">
        <v>0</v>
      </c>
      <c r="N1417" s="51">
        <v>2038396</v>
      </c>
    </row>
    <row r="1418" spans="1:14" ht="15.75" x14ac:dyDescent="0.25">
      <c r="A1418" s="49" t="s">
        <v>271</v>
      </c>
      <c r="B1418" s="50" t="s">
        <v>49</v>
      </c>
      <c r="C1418" s="51">
        <v>121578</v>
      </c>
      <c r="D1418" s="51">
        <v>0</v>
      </c>
      <c r="E1418" s="51">
        <v>0</v>
      </c>
      <c r="F1418" s="51">
        <v>0</v>
      </c>
      <c r="G1418" s="51">
        <v>0</v>
      </c>
      <c r="H1418" s="51">
        <v>121578</v>
      </c>
      <c r="I1418" s="51">
        <v>0</v>
      </c>
      <c r="J1418" s="51">
        <v>121578</v>
      </c>
      <c r="K1418" s="51">
        <v>0</v>
      </c>
      <c r="L1418" s="51">
        <v>0</v>
      </c>
      <c r="M1418" s="51">
        <v>0</v>
      </c>
      <c r="N1418" s="51">
        <v>121578</v>
      </c>
    </row>
    <row r="1419" spans="1:14" ht="15.75" x14ac:dyDescent="0.25">
      <c r="A1419" s="49" t="s">
        <v>271</v>
      </c>
      <c r="B1419" s="50" t="s">
        <v>50</v>
      </c>
      <c r="C1419" s="51">
        <v>191573</v>
      </c>
      <c r="D1419" s="51">
        <v>0</v>
      </c>
      <c r="E1419" s="51">
        <v>0</v>
      </c>
      <c r="F1419" s="51">
        <v>0</v>
      </c>
      <c r="G1419" s="51">
        <v>0</v>
      </c>
      <c r="H1419" s="51">
        <v>191573</v>
      </c>
      <c r="I1419" s="51">
        <v>0</v>
      </c>
      <c r="J1419" s="51">
        <v>191573</v>
      </c>
      <c r="K1419" s="51">
        <v>0</v>
      </c>
      <c r="L1419" s="51">
        <v>0</v>
      </c>
      <c r="M1419" s="51">
        <v>0</v>
      </c>
      <c r="N1419" s="51">
        <v>191573</v>
      </c>
    </row>
    <row r="1420" spans="1:14" ht="15.75" x14ac:dyDescent="0.25">
      <c r="A1420" s="49" t="s">
        <v>271</v>
      </c>
      <c r="B1420" s="50" t="s">
        <v>51</v>
      </c>
      <c r="C1420" s="51">
        <v>18688</v>
      </c>
      <c r="D1420" s="51">
        <v>0</v>
      </c>
      <c r="E1420" s="51">
        <v>0</v>
      </c>
      <c r="F1420" s="51">
        <v>0</v>
      </c>
      <c r="G1420" s="51">
        <v>0</v>
      </c>
      <c r="H1420" s="51">
        <v>18688</v>
      </c>
      <c r="I1420" s="51">
        <v>0</v>
      </c>
      <c r="J1420" s="51">
        <v>18688</v>
      </c>
      <c r="K1420" s="51">
        <v>0</v>
      </c>
      <c r="L1420" s="51">
        <v>0</v>
      </c>
      <c r="M1420" s="51">
        <v>0</v>
      </c>
      <c r="N1420" s="51">
        <v>18688</v>
      </c>
    </row>
    <row r="1421" spans="1:14" ht="15.75" x14ac:dyDescent="0.25">
      <c r="A1421" s="49" t="s">
        <v>271</v>
      </c>
      <c r="B1421" s="50" t="s">
        <v>52</v>
      </c>
      <c r="C1421" s="51">
        <v>24807</v>
      </c>
      <c r="D1421" s="51">
        <v>0</v>
      </c>
      <c r="E1421" s="51">
        <v>0</v>
      </c>
      <c r="F1421" s="51">
        <v>0</v>
      </c>
      <c r="G1421" s="51">
        <v>0</v>
      </c>
      <c r="H1421" s="51">
        <v>24807</v>
      </c>
      <c r="I1421" s="51">
        <v>0</v>
      </c>
      <c r="J1421" s="51">
        <v>24807</v>
      </c>
      <c r="K1421" s="51">
        <v>0</v>
      </c>
      <c r="L1421" s="51">
        <v>0</v>
      </c>
      <c r="M1421" s="51">
        <v>0</v>
      </c>
      <c r="N1421" s="51">
        <v>24807</v>
      </c>
    </row>
    <row r="1422" spans="1:14" ht="15.75" x14ac:dyDescent="0.25">
      <c r="A1422" s="49" t="s">
        <v>271</v>
      </c>
      <c r="B1422" s="50" t="s">
        <v>53</v>
      </c>
      <c r="C1422" s="51">
        <v>21868</v>
      </c>
      <c r="D1422" s="51">
        <v>0</v>
      </c>
      <c r="E1422" s="51">
        <v>0</v>
      </c>
      <c r="F1422" s="51">
        <v>0</v>
      </c>
      <c r="G1422" s="51">
        <v>0</v>
      </c>
      <c r="H1422" s="51">
        <v>21868</v>
      </c>
      <c r="I1422" s="51">
        <v>0</v>
      </c>
      <c r="J1422" s="51">
        <v>21868</v>
      </c>
      <c r="K1422" s="51">
        <v>0</v>
      </c>
      <c r="L1422" s="51">
        <v>0</v>
      </c>
      <c r="M1422" s="51">
        <v>0</v>
      </c>
      <c r="N1422" s="51">
        <v>21868</v>
      </c>
    </row>
    <row r="1423" spans="1:14" ht="15.75" x14ac:dyDescent="0.25">
      <c r="A1423" s="49" t="s">
        <v>271</v>
      </c>
      <c r="B1423" s="50" t="s">
        <v>54</v>
      </c>
      <c r="C1423" s="51">
        <v>24382</v>
      </c>
      <c r="D1423" s="51">
        <v>0</v>
      </c>
      <c r="E1423" s="51">
        <v>0</v>
      </c>
      <c r="F1423" s="51">
        <v>0</v>
      </c>
      <c r="G1423" s="51">
        <v>0</v>
      </c>
      <c r="H1423" s="51">
        <v>24382</v>
      </c>
      <c r="I1423" s="51">
        <v>0</v>
      </c>
      <c r="J1423" s="51">
        <v>24382</v>
      </c>
      <c r="K1423" s="51">
        <v>0</v>
      </c>
      <c r="L1423" s="51">
        <v>0</v>
      </c>
      <c r="M1423" s="51">
        <v>0</v>
      </c>
      <c r="N1423" s="51">
        <v>24382</v>
      </c>
    </row>
    <row r="1424" spans="1:14" ht="15.75" x14ac:dyDescent="0.25">
      <c r="A1424" s="49" t="s">
        <v>271</v>
      </c>
      <c r="B1424" s="50" t="s">
        <v>55</v>
      </c>
      <c r="C1424" s="51">
        <v>14834</v>
      </c>
      <c r="D1424" s="51">
        <v>0</v>
      </c>
      <c r="E1424" s="51">
        <v>0</v>
      </c>
      <c r="F1424" s="51">
        <v>0</v>
      </c>
      <c r="G1424" s="51">
        <v>0</v>
      </c>
      <c r="H1424" s="51">
        <v>14834</v>
      </c>
      <c r="I1424" s="51">
        <v>0</v>
      </c>
      <c r="J1424" s="51">
        <v>14834</v>
      </c>
      <c r="K1424" s="51">
        <v>0</v>
      </c>
      <c r="L1424" s="51">
        <v>0</v>
      </c>
      <c r="M1424" s="51">
        <v>0</v>
      </c>
      <c r="N1424" s="51">
        <v>14834</v>
      </c>
    </row>
    <row r="1425" spans="1:14" ht="15.75" x14ac:dyDescent="0.25">
      <c r="A1425" s="49" t="s">
        <v>271</v>
      </c>
      <c r="B1425" s="50" t="s">
        <v>56</v>
      </c>
      <c r="C1425" s="51">
        <v>9310</v>
      </c>
      <c r="D1425" s="51">
        <v>0</v>
      </c>
      <c r="E1425" s="51">
        <v>0</v>
      </c>
      <c r="F1425" s="51">
        <v>0</v>
      </c>
      <c r="G1425" s="51">
        <v>0</v>
      </c>
      <c r="H1425" s="51">
        <v>9310</v>
      </c>
      <c r="I1425" s="51">
        <v>0</v>
      </c>
      <c r="J1425" s="51">
        <v>9310</v>
      </c>
      <c r="K1425" s="51">
        <v>0</v>
      </c>
      <c r="L1425" s="51">
        <v>0</v>
      </c>
      <c r="M1425" s="51">
        <v>0</v>
      </c>
      <c r="N1425" s="51">
        <v>9310</v>
      </c>
    </row>
    <row r="1426" spans="1:14" ht="15.75" x14ac:dyDescent="0.25">
      <c r="A1426" s="52" t="s">
        <v>272</v>
      </c>
      <c r="B1426" s="53" t="s">
        <v>8</v>
      </c>
      <c r="C1426" s="19">
        <f>SUBTOTAL(109,Program324[(C)
Program
Costs])</f>
        <v>11946862</v>
      </c>
      <c r="D1426" s="19">
        <f>SUBTOTAL(109,Program324[(D)
Prior Period Adjustments])</f>
        <v>-40155</v>
      </c>
      <c r="E1426" s="19">
        <f>SUBTOTAL(109,Program324[(E)
Current Period Desk 
Reviews])</f>
        <v>0</v>
      </c>
      <c r="F1426" s="19">
        <f>SUBTOTAL(109,Program324[(F)
Current Period 
Final 
Audits])</f>
        <v>0</v>
      </c>
      <c r="G1426" s="19">
        <f>SUBTOTAL(109,Program324[(G)
Current Period 
Other Adjustments])</f>
        <v>0</v>
      </c>
      <c r="H1426" s="19">
        <f>SUBTOTAL(109,Program324[(H)
Net Program Costs
Sum (C through G)])</f>
        <v>11906707</v>
      </c>
      <c r="I1426" s="19">
        <f>SUBTOTAL(109,Program324[(I)
Payments
 and Offsets])</f>
        <v>0</v>
      </c>
      <c r="J1426" s="19">
        <f>SUBTOTAL(109,Program324[(J)
Accounts Payable Balance
(H + I)])</f>
        <v>11906707</v>
      </c>
      <c r="K1426" s="19">
        <f>SUBTOTAL(109,Program324[(K)
Established 
Accounts Receivable])</f>
        <v>0</v>
      </c>
      <c r="L1426" s="19">
        <f>SUBTOTAL(109,Program324[(L)
Recovered
 Accounts Receivable])</f>
        <v>0</v>
      </c>
      <c r="M1426" s="19">
        <f>SUBTOTAL(109,Program324[(M)
Accounts Receivable Balance
(K + L)])</f>
        <v>0</v>
      </c>
      <c r="N1426" s="19">
        <f>SUBTOTAL(109,Program324[(N)
Net Balance
(J minus M)])</f>
        <v>11906707</v>
      </c>
    </row>
    <row r="1427" spans="1:14" ht="15.75" x14ac:dyDescent="0.25">
      <c r="A1427" s="17" t="s">
        <v>13</v>
      </c>
      <c r="B1427" s="54"/>
      <c r="C1427" s="55"/>
      <c r="D1427" s="55"/>
      <c r="E1427" s="55"/>
      <c r="F1427" s="55"/>
      <c r="G1427" s="55"/>
      <c r="H1427" s="55"/>
      <c r="I1427" s="55"/>
      <c r="J1427" s="55"/>
      <c r="K1427" s="55"/>
      <c r="L1427" s="55"/>
      <c r="M1427" s="55"/>
      <c r="N1427" s="55"/>
    </row>
    <row r="1428" spans="1:14" ht="78.75" x14ac:dyDescent="0.25">
      <c r="A1428" s="39" t="s">
        <v>32</v>
      </c>
      <c r="B1428" s="40" t="s">
        <v>33</v>
      </c>
      <c r="C1428" s="41" t="s">
        <v>34</v>
      </c>
      <c r="D1428" s="41" t="s">
        <v>35</v>
      </c>
      <c r="E1428" s="42" t="s">
        <v>36</v>
      </c>
      <c r="F1428" s="42" t="s">
        <v>37</v>
      </c>
      <c r="G1428" s="42" t="s">
        <v>38</v>
      </c>
      <c r="H1428" s="43" t="s">
        <v>39</v>
      </c>
      <c r="I1428" s="44" t="s">
        <v>40</v>
      </c>
      <c r="J1428" s="44" t="s">
        <v>41</v>
      </c>
      <c r="K1428" s="42" t="s">
        <v>42</v>
      </c>
      <c r="L1428" s="44" t="s">
        <v>43</v>
      </c>
      <c r="M1428" s="44" t="s">
        <v>44</v>
      </c>
      <c r="N1428" s="45" t="s">
        <v>45</v>
      </c>
    </row>
    <row r="1429" spans="1:14" ht="15.75" x14ac:dyDescent="0.25">
      <c r="A1429" s="46" t="s">
        <v>273</v>
      </c>
      <c r="B1429" s="47" t="s">
        <v>60</v>
      </c>
      <c r="C1429" s="48">
        <v>489234</v>
      </c>
      <c r="D1429" s="48">
        <v>-3609</v>
      </c>
      <c r="E1429" s="48">
        <v>0</v>
      </c>
      <c r="F1429" s="48">
        <v>0</v>
      </c>
      <c r="G1429" s="48">
        <v>0</v>
      </c>
      <c r="H1429" s="48">
        <v>485625</v>
      </c>
      <c r="I1429" s="48">
        <v>-485625</v>
      </c>
      <c r="J1429" s="48">
        <v>0</v>
      </c>
      <c r="K1429" s="48">
        <v>0</v>
      </c>
      <c r="L1429" s="48">
        <v>0</v>
      </c>
      <c r="M1429" s="48">
        <v>0</v>
      </c>
      <c r="N1429" s="48">
        <v>0</v>
      </c>
    </row>
    <row r="1430" spans="1:14" ht="15.75" x14ac:dyDescent="0.25">
      <c r="A1430" s="49" t="s">
        <v>273</v>
      </c>
      <c r="B1430" s="50" t="s">
        <v>61</v>
      </c>
      <c r="C1430" s="51">
        <v>425932</v>
      </c>
      <c r="D1430" s="51">
        <v>-7826</v>
      </c>
      <c r="E1430" s="51">
        <v>0</v>
      </c>
      <c r="F1430" s="51">
        <v>0</v>
      </c>
      <c r="G1430" s="51">
        <v>0</v>
      </c>
      <c r="H1430" s="51">
        <v>418106</v>
      </c>
      <c r="I1430" s="51">
        <v>-418106</v>
      </c>
      <c r="J1430" s="51">
        <v>0</v>
      </c>
      <c r="K1430" s="51">
        <v>17668</v>
      </c>
      <c r="L1430" s="51">
        <v>-17668</v>
      </c>
      <c r="M1430" s="51">
        <v>0</v>
      </c>
      <c r="N1430" s="51">
        <v>0</v>
      </c>
    </row>
    <row r="1431" spans="1:14" ht="15.75" x14ac:dyDescent="0.25">
      <c r="A1431" s="49" t="s">
        <v>273</v>
      </c>
      <c r="B1431" s="50" t="s">
        <v>66</v>
      </c>
      <c r="C1431" s="51">
        <v>727706</v>
      </c>
      <c r="D1431" s="51">
        <v>-5579</v>
      </c>
      <c r="E1431" s="51">
        <v>0</v>
      </c>
      <c r="F1431" s="51">
        <v>0</v>
      </c>
      <c r="G1431" s="51">
        <v>0</v>
      </c>
      <c r="H1431" s="51">
        <v>722127</v>
      </c>
      <c r="I1431" s="51">
        <v>-722127</v>
      </c>
      <c r="J1431" s="51">
        <v>0</v>
      </c>
      <c r="K1431" s="51">
        <v>2253</v>
      </c>
      <c r="L1431" s="51">
        <v>0</v>
      </c>
      <c r="M1431" s="51">
        <v>2253</v>
      </c>
      <c r="N1431" s="51">
        <v>-2253</v>
      </c>
    </row>
    <row r="1432" spans="1:14" ht="15.75" x14ac:dyDescent="0.25">
      <c r="A1432" s="49" t="s">
        <v>273</v>
      </c>
      <c r="B1432" s="50" t="s">
        <v>67</v>
      </c>
      <c r="C1432" s="51">
        <v>4000067</v>
      </c>
      <c r="D1432" s="51">
        <v>-52713</v>
      </c>
      <c r="E1432" s="51">
        <v>0</v>
      </c>
      <c r="F1432" s="51">
        <v>0</v>
      </c>
      <c r="G1432" s="51">
        <v>0</v>
      </c>
      <c r="H1432" s="51">
        <v>3947354</v>
      </c>
      <c r="I1432" s="51">
        <v>-3947354</v>
      </c>
      <c r="J1432" s="51">
        <v>0</v>
      </c>
      <c r="K1432" s="51">
        <v>43742</v>
      </c>
      <c r="L1432" s="51">
        <v>-43742</v>
      </c>
      <c r="M1432" s="51">
        <v>0</v>
      </c>
      <c r="N1432" s="51">
        <v>0</v>
      </c>
    </row>
    <row r="1433" spans="1:14" ht="15.75" x14ac:dyDescent="0.25">
      <c r="A1433" s="49" t="s">
        <v>273</v>
      </c>
      <c r="B1433" s="50" t="s">
        <v>68</v>
      </c>
      <c r="C1433" s="51">
        <v>0</v>
      </c>
      <c r="D1433" s="51">
        <v>0</v>
      </c>
      <c r="E1433" s="51">
        <v>0</v>
      </c>
      <c r="F1433" s="51">
        <v>0</v>
      </c>
      <c r="G1433" s="51">
        <v>0</v>
      </c>
      <c r="H1433" s="51">
        <v>0</v>
      </c>
      <c r="I1433" s="51">
        <v>0</v>
      </c>
      <c r="J1433" s="51">
        <v>0</v>
      </c>
      <c r="K1433" s="51">
        <v>72907</v>
      </c>
      <c r="L1433" s="51">
        <v>-72907</v>
      </c>
      <c r="M1433" s="51">
        <v>0</v>
      </c>
      <c r="N1433" s="51">
        <v>0</v>
      </c>
    </row>
    <row r="1434" spans="1:14" ht="15.75" x14ac:dyDescent="0.25">
      <c r="A1434" s="49" t="s">
        <v>273</v>
      </c>
      <c r="B1434" s="50" t="s">
        <v>69</v>
      </c>
      <c r="C1434" s="51">
        <v>0</v>
      </c>
      <c r="D1434" s="51">
        <v>0</v>
      </c>
      <c r="E1434" s="51">
        <v>0</v>
      </c>
      <c r="F1434" s="51">
        <v>0</v>
      </c>
      <c r="G1434" s="51">
        <v>0</v>
      </c>
      <c r="H1434" s="51">
        <v>0</v>
      </c>
      <c r="I1434" s="51">
        <v>0</v>
      </c>
      <c r="J1434" s="51">
        <v>0</v>
      </c>
      <c r="K1434" s="51">
        <v>7184</v>
      </c>
      <c r="L1434" s="51">
        <v>-7184</v>
      </c>
      <c r="M1434" s="51">
        <v>0</v>
      </c>
      <c r="N1434" s="51">
        <v>0</v>
      </c>
    </row>
    <row r="1435" spans="1:14" ht="15.75" x14ac:dyDescent="0.25">
      <c r="A1435" s="49" t="s">
        <v>273</v>
      </c>
      <c r="B1435" s="50" t="s">
        <v>115</v>
      </c>
      <c r="C1435" s="51">
        <v>0</v>
      </c>
      <c r="D1435" s="51">
        <v>0</v>
      </c>
      <c r="E1435" s="51">
        <v>0</v>
      </c>
      <c r="F1435" s="51">
        <v>0</v>
      </c>
      <c r="G1435" s="51">
        <v>0</v>
      </c>
      <c r="H1435" s="51">
        <v>0</v>
      </c>
      <c r="I1435" s="51">
        <v>0</v>
      </c>
      <c r="J1435" s="51">
        <v>0</v>
      </c>
      <c r="K1435" s="51">
        <v>228</v>
      </c>
      <c r="L1435" s="51">
        <v>-228</v>
      </c>
      <c r="M1435" s="51">
        <v>0</v>
      </c>
      <c r="N1435" s="51">
        <v>0</v>
      </c>
    </row>
    <row r="1436" spans="1:14" ht="15.75" x14ac:dyDescent="0.25">
      <c r="A1436" s="49" t="s">
        <v>273</v>
      </c>
      <c r="B1436" s="50" t="s">
        <v>99</v>
      </c>
      <c r="C1436" s="51">
        <v>0</v>
      </c>
      <c r="D1436" s="51">
        <v>0</v>
      </c>
      <c r="E1436" s="51">
        <v>0</v>
      </c>
      <c r="F1436" s="51">
        <v>0</v>
      </c>
      <c r="G1436" s="51">
        <v>0</v>
      </c>
      <c r="H1436" s="51">
        <v>0</v>
      </c>
      <c r="I1436" s="51">
        <v>0</v>
      </c>
      <c r="J1436" s="51">
        <v>0</v>
      </c>
      <c r="K1436" s="51">
        <v>2442</v>
      </c>
      <c r="L1436" s="51">
        <v>-2442</v>
      </c>
      <c r="M1436" s="51">
        <v>0</v>
      </c>
      <c r="N1436" s="51">
        <v>0</v>
      </c>
    </row>
    <row r="1437" spans="1:14" ht="15.75" x14ac:dyDescent="0.25">
      <c r="A1437" s="49" t="s">
        <v>273</v>
      </c>
      <c r="B1437" s="50" t="s">
        <v>100</v>
      </c>
      <c r="C1437" s="51">
        <v>0</v>
      </c>
      <c r="D1437" s="51">
        <v>0</v>
      </c>
      <c r="E1437" s="51">
        <v>0</v>
      </c>
      <c r="F1437" s="51">
        <v>0</v>
      </c>
      <c r="G1437" s="51">
        <v>0</v>
      </c>
      <c r="H1437" s="51">
        <v>0</v>
      </c>
      <c r="I1437" s="51">
        <v>0</v>
      </c>
      <c r="J1437" s="51">
        <v>0</v>
      </c>
      <c r="K1437" s="51">
        <v>17383</v>
      </c>
      <c r="L1437" s="51">
        <v>-17383</v>
      </c>
      <c r="M1437" s="51">
        <v>0</v>
      </c>
      <c r="N1437" s="51">
        <v>0</v>
      </c>
    </row>
    <row r="1438" spans="1:14" ht="15.75" x14ac:dyDescent="0.25">
      <c r="A1438" s="49" t="s">
        <v>273</v>
      </c>
      <c r="B1438" s="50" t="s">
        <v>176</v>
      </c>
      <c r="C1438" s="51">
        <v>0</v>
      </c>
      <c r="D1438" s="51">
        <v>0</v>
      </c>
      <c r="E1438" s="51">
        <v>0</v>
      </c>
      <c r="F1438" s="51">
        <v>0</v>
      </c>
      <c r="G1438" s="51">
        <v>0</v>
      </c>
      <c r="H1438" s="51">
        <v>0</v>
      </c>
      <c r="I1438" s="51">
        <v>0</v>
      </c>
      <c r="J1438" s="51">
        <v>0</v>
      </c>
      <c r="K1438" s="51">
        <v>103</v>
      </c>
      <c r="L1438" s="51">
        <v>-103</v>
      </c>
      <c r="M1438" s="51">
        <v>0</v>
      </c>
      <c r="N1438" s="51">
        <v>0</v>
      </c>
    </row>
    <row r="1439" spans="1:14" ht="15.75" x14ac:dyDescent="0.25">
      <c r="A1439" s="52" t="s">
        <v>274</v>
      </c>
      <c r="B1439" s="53" t="s">
        <v>8</v>
      </c>
      <c r="C1439" s="19">
        <f>SUBTOTAL(109,Program024[(C)
Program
Costs])</f>
        <v>5642939</v>
      </c>
      <c r="D1439" s="19">
        <f>SUBTOTAL(109,Program024[(D)
Prior Period Adjustments])</f>
        <v>-69727</v>
      </c>
      <c r="E1439" s="19">
        <f>SUBTOTAL(109,Program024[(E)
Current Period Desk 
Reviews])</f>
        <v>0</v>
      </c>
      <c r="F1439" s="19">
        <f>SUBTOTAL(109,Program024[(F)
Current Period 
Final 
Audits])</f>
        <v>0</v>
      </c>
      <c r="G1439" s="19">
        <f>SUBTOTAL(109,Program024[(G)
Current Period 
Other Adjustments])</f>
        <v>0</v>
      </c>
      <c r="H1439" s="19">
        <f>SUBTOTAL(109,Program024[(H)
Net Program Costs
Sum (C through G)])</f>
        <v>5573212</v>
      </c>
      <c r="I1439" s="19">
        <f>SUBTOTAL(109,Program024[(I)
Payments
 and Offsets])</f>
        <v>-5573212</v>
      </c>
      <c r="J1439" s="19">
        <f>SUBTOTAL(109,Program024[(J)
Accounts Payable Balance
(H + I)])</f>
        <v>0</v>
      </c>
      <c r="K1439" s="19">
        <f>SUBTOTAL(109,Program024[(K)
Established 
Accounts Receivable])</f>
        <v>163910</v>
      </c>
      <c r="L1439" s="19">
        <f>SUBTOTAL(109,Program024[(L)
Recovered
 Accounts Receivable])</f>
        <v>-161657</v>
      </c>
      <c r="M1439" s="19">
        <f>SUBTOTAL(109,Program024[(M)
Accounts Receivable Balance
(K + L)])</f>
        <v>2253</v>
      </c>
      <c r="N1439" s="19">
        <f>SUBTOTAL(109,Program024[(N)
Net Balance
(J minus M)])</f>
        <v>-2253</v>
      </c>
    </row>
    <row r="1440" spans="1:14" ht="15.75" x14ac:dyDescent="0.25">
      <c r="A1440" s="17" t="s">
        <v>13</v>
      </c>
      <c r="B1440" s="54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ht="78.75" x14ac:dyDescent="0.25">
      <c r="A1441" s="39" t="s">
        <v>32</v>
      </c>
      <c r="B1441" s="40" t="s">
        <v>33</v>
      </c>
      <c r="C1441" s="41" t="s">
        <v>34</v>
      </c>
      <c r="D1441" s="41" t="s">
        <v>35</v>
      </c>
      <c r="E1441" s="42" t="s">
        <v>36</v>
      </c>
      <c r="F1441" s="42" t="s">
        <v>37</v>
      </c>
      <c r="G1441" s="42" t="s">
        <v>38</v>
      </c>
      <c r="H1441" s="43" t="s">
        <v>39</v>
      </c>
      <c r="I1441" s="44" t="s">
        <v>40</v>
      </c>
      <c r="J1441" s="44" t="s">
        <v>41</v>
      </c>
      <c r="K1441" s="42" t="s">
        <v>42</v>
      </c>
      <c r="L1441" s="44" t="s">
        <v>43</v>
      </c>
      <c r="M1441" s="44" t="s">
        <v>44</v>
      </c>
      <c r="N1441" s="45" t="s">
        <v>45</v>
      </c>
    </row>
    <row r="1442" spans="1:14" ht="15.75" x14ac:dyDescent="0.25">
      <c r="A1442" s="46" t="s">
        <v>275</v>
      </c>
      <c r="B1442" s="47" t="s">
        <v>76</v>
      </c>
      <c r="C1442" s="48">
        <v>65987</v>
      </c>
      <c r="D1442" s="48">
        <v>0</v>
      </c>
      <c r="E1442" s="48">
        <v>0</v>
      </c>
      <c r="F1442" s="48">
        <v>0</v>
      </c>
      <c r="G1442" s="48">
        <v>0</v>
      </c>
      <c r="H1442" s="48">
        <v>65987</v>
      </c>
      <c r="I1442" s="48">
        <v>0</v>
      </c>
      <c r="J1442" s="48">
        <v>65987</v>
      </c>
      <c r="K1442" s="48">
        <v>0</v>
      </c>
      <c r="L1442" s="48">
        <v>0</v>
      </c>
      <c r="M1442" s="48">
        <v>0</v>
      </c>
      <c r="N1442" s="48">
        <v>65987</v>
      </c>
    </row>
    <row r="1443" spans="1:14" ht="15.75" x14ac:dyDescent="0.25">
      <c r="A1443" s="49" t="s">
        <v>275</v>
      </c>
      <c r="B1443" s="50" t="s">
        <v>77</v>
      </c>
      <c r="C1443" s="51">
        <v>64723</v>
      </c>
      <c r="D1443" s="51">
        <v>0</v>
      </c>
      <c r="E1443" s="51">
        <v>0</v>
      </c>
      <c r="F1443" s="51">
        <v>0</v>
      </c>
      <c r="G1443" s="51">
        <v>0</v>
      </c>
      <c r="H1443" s="51">
        <v>64723</v>
      </c>
      <c r="I1443" s="51">
        <v>-46000</v>
      </c>
      <c r="J1443" s="51">
        <v>18723</v>
      </c>
      <c r="K1443" s="51">
        <v>0</v>
      </c>
      <c r="L1443" s="51">
        <v>0</v>
      </c>
      <c r="M1443" s="51">
        <v>0</v>
      </c>
      <c r="N1443" s="51">
        <v>18723</v>
      </c>
    </row>
    <row r="1444" spans="1:14" ht="15.75" x14ac:dyDescent="0.25">
      <c r="A1444" s="49" t="s">
        <v>275</v>
      </c>
      <c r="B1444" s="50" t="s">
        <v>78</v>
      </c>
      <c r="C1444" s="51">
        <v>43051</v>
      </c>
      <c r="D1444" s="51">
        <v>0</v>
      </c>
      <c r="E1444" s="51">
        <v>0</v>
      </c>
      <c r="F1444" s="51">
        <v>0</v>
      </c>
      <c r="G1444" s="51">
        <v>0</v>
      </c>
      <c r="H1444" s="51">
        <v>43051</v>
      </c>
      <c r="I1444" s="51">
        <v>-43051</v>
      </c>
      <c r="J1444" s="51">
        <v>0</v>
      </c>
      <c r="K1444" s="51">
        <v>0</v>
      </c>
      <c r="L1444" s="51">
        <v>0</v>
      </c>
      <c r="M1444" s="51">
        <v>0</v>
      </c>
      <c r="N1444" s="51">
        <v>0</v>
      </c>
    </row>
    <row r="1445" spans="1:14" ht="15.75" x14ac:dyDescent="0.25">
      <c r="A1445" s="49" t="s">
        <v>275</v>
      </c>
      <c r="B1445" s="50" t="s">
        <v>47</v>
      </c>
      <c r="C1445" s="51">
        <v>54992</v>
      </c>
      <c r="D1445" s="51">
        <v>0</v>
      </c>
      <c r="E1445" s="51">
        <v>0</v>
      </c>
      <c r="F1445" s="51">
        <v>0</v>
      </c>
      <c r="G1445" s="51">
        <v>0</v>
      </c>
      <c r="H1445" s="51">
        <v>54992</v>
      </c>
      <c r="I1445" s="51">
        <v>-54992</v>
      </c>
      <c r="J1445" s="51">
        <v>0</v>
      </c>
      <c r="K1445" s="51">
        <v>0</v>
      </c>
      <c r="L1445" s="51">
        <v>0</v>
      </c>
      <c r="M1445" s="51">
        <v>0</v>
      </c>
      <c r="N1445" s="51">
        <v>0</v>
      </c>
    </row>
    <row r="1446" spans="1:14" ht="15.75" x14ac:dyDescent="0.25">
      <c r="A1446" s="49" t="s">
        <v>275</v>
      </c>
      <c r="B1446" s="50" t="s">
        <v>79</v>
      </c>
      <c r="C1446" s="51">
        <v>55019</v>
      </c>
      <c r="D1446" s="51">
        <v>-6011</v>
      </c>
      <c r="E1446" s="51">
        <v>0</v>
      </c>
      <c r="F1446" s="51">
        <v>0</v>
      </c>
      <c r="G1446" s="51">
        <v>0</v>
      </c>
      <c r="H1446" s="51">
        <v>49008</v>
      </c>
      <c r="I1446" s="51">
        <v>-49008</v>
      </c>
      <c r="J1446" s="51">
        <v>0</v>
      </c>
      <c r="K1446" s="51">
        <v>0</v>
      </c>
      <c r="L1446" s="51">
        <v>0</v>
      </c>
      <c r="M1446" s="51">
        <v>0</v>
      </c>
      <c r="N1446" s="51">
        <v>0</v>
      </c>
    </row>
    <row r="1447" spans="1:14" ht="15.75" x14ac:dyDescent="0.25">
      <c r="A1447" s="49" t="s">
        <v>275</v>
      </c>
      <c r="B1447" s="50" t="s">
        <v>80</v>
      </c>
      <c r="C1447" s="51">
        <v>47316</v>
      </c>
      <c r="D1447" s="51">
        <v>-3609</v>
      </c>
      <c r="E1447" s="51">
        <v>0</v>
      </c>
      <c r="F1447" s="51">
        <v>0</v>
      </c>
      <c r="G1447" s="51">
        <v>0</v>
      </c>
      <c r="H1447" s="51">
        <v>43707</v>
      </c>
      <c r="I1447" s="51">
        <v>-43707</v>
      </c>
      <c r="J1447" s="51">
        <v>0</v>
      </c>
      <c r="K1447" s="51">
        <v>0</v>
      </c>
      <c r="L1447" s="51">
        <v>0</v>
      </c>
      <c r="M1447" s="51">
        <v>0</v>
      </c>
      <c r="N1447" s="51">
        <v>0</v>
      </c>
    </row>
    <row r="1448" spans="1:14" ht="15.75" x14ac:dyDescent="0.25">
      <c r="A1448" s="49" t="s">
        <v>275</v>
      </c>
      <c r="B1448" s="50" t="s">
        <v>81</v>
      </c>
      <c r="C1448" s="51">
        <v>34205</v>
      </c>
      <c r="D1448" s="51">
        <v>-8474</v>
      </c>
      <c r="E1448" s="51">
        <v>0</v>
      </c>
      <c r="F1448" s="51">
        <v>0</v>
      </c>
      <c r="G1448" s="51">
        <v>0</v>
      </c>
      <c r="H1448" s="51">
        <v>25731</v>
      </c>
      <c r="I1448" s="51">
        <v>-25731</v>
      </c>
      <c r="J1448" s="51">
        <v>0</v>
      </c>
      <c r="K1448" s="51">
        <v>0</v>
      </c>
      <c r="L1448" s="51">
        <v>0</v>
      </c>
      <c r="M1448" s="51">
        <v>0</v>
      </c>
      <c r="N1448" s="51">
        <v>0</v>
      </c>
    </row>
    <row r="1449" spans="1:14" ht="15.75" x14ac:dyDescent="0.25">
      <c r="A1449" s="49" t="s">
        <v>275</v>
      </c>
      <c r="B1449" s="50" t="s">
        <v>82</v>
      </c>
      <c r="C1449" s="51">
        <v>29777</v>
      </c>
      <c r="D1449" s="51">
        <v>-6867</v>
      </c>
      <c r="E1449" s="51">
        <v>0</v>
      </c>
      <c r="F1449" s="51">
        <v>0</v>
      </c>
      <c r="G1449" s="51">
        <v>0</v>
      </c>
      <c r="H1449" s="51">
        <v>22910</v>
      </c>
      <c r="I1449" s="51">
        <v>-22910</v>
      </c>
      <c r="J1449" s="51">
        <v>0</v>
      </c>
      <c r="K1449" s="51">
        <v>0</v>
      </c>
      <c r="L1449" s="51">
        <v>0</v>
      </c>
      <c r="M1449" s="51">
        <v>0</v>
      </c>
      <c r="N1449" s="51">
        <v>0</v>
      </c>
    </row>
    <row r="1450" spans="1:14" ht="15.75" x14ac:dyDescent="0.25">
      <c r="A1450" s="49" t="s">
        <v>275</v>
      </c>
      <c r="B1450" s="50" t="s">
        <v>83</v>
      </c>
      <c r="C1450" s="51">
        <v>38671</v>
      </c>
      <c r="D1450" s="51">
        <v>-4261</v>
      </c>
      <c r="E1450" s="51">
        <v>0</v>
      </c>
      <c r="F1450" s="51">
        <v>0</v>
      </c>
      <c r="G1450" s="51">
        <v>0</v>
      </c>
      <c r="H1450" s="51">
        <v>34410</v>
      </c>
      <c r="I1450" s="51">
        <v>-34410</v>
      </c>
      <c r="J1450" s="51">
        <v>0</v>
      </c>
      <c r="K1450" s="51">
        <v>0</v>
      </c>
      <c r="L1450" s="51">
        <v>0</v>
      </c>
      <c r="M1450" s="51">
        <v>0</v>
      </c>
      <c r="N1450" s="51">
        <v>0</v>
      </c>
    </row>
    <row r="1451" spans="1:14" ht="15.75" x14ac:dyDescent="0.25">
      <c r="A1451" s="49" t="s">
        <v>275</v>
      </c>
      <c r="B1451" s="50" t="s">
        <v>48</v>
      </c>
      <c r="C1451" s="51">
        <v>32229</v>
      </c>
      <c r="D1451" s="51">
        <v>-14153</v>
      </c>
      <c r="E1451" s="51">
        <v>0</v>
      </c>
      <c r="F1451" s="51">
        <v>0</v>
      </c>
      <c r="G1451" s="51">
        <v>0</v>
      </c>
      <c r="H1451" s="51">
        <v>18076</v>
      </c>
      <c r="I1451" s="51">
        <v>-18076</v>
      </c>
      <c r="J1451" s="51">
        <v>0</v>
      </c>
      <c r="K1451" s="51">
        <v>0</v>
      </c>
      <c r="L1451" s="51">
        <v>0</v>
      </c>
      <c r="M1451" s="51">
        <v>0</v>
      </c>
      <c r="N1451" s="51">
        <v>0</v>
      </c>
    </row>
    <row r="1452" spans="1:14" ht="15.75" x14ac:dyDescent="0.25">
      <c r="A1452" s="49" t="s">
        <v>275</v>
      </c>
      <c r="B1452" s="50" t="s">
        <v>49</v>
      </c>
      <c r="C1452" s="51">
        <v>48630</v>
      </c>
      <c r="D1452" s="51">
        <v>-1561</v>
      </c>
      <c r="E1452" s="51">
        <v>0</v>
      </c>
      <c r="F1452" s="51">
        <v>0</v>
      </c>
      <c r="G1452" s="51">
        <v>0</v>
      </c>
      <c r="H1452" s="51">
        <v>47069</v>
      </c>
      <c r="I1452" s="51">
        <v>-47069</v>
      </c>
      <c r="J1452" s="51">
        <v>0</v>
      </c>
      <c r="K1452" s="51">
        <v>0</v>
      </c>
      <c r="L1452" s="51">
        <v>0</v>
      </c>
      <c r="M1452" s="51">
        <v>0</v>
      </c>
      <c r="N1452" s="51">
        <v>0</v>
      </c>
    </row>
    <row r="1453" spans="1:14" ht="15.75" x14ac:dyDescent="0.25">
      <c r="A1453" s="49" t="s">
        <v>275</v>
      </c>
      <c r="B1453" s="50" t="s">
        <v>50</v>
      </c>
      <c r="C1453" s="51">
        <v>42925</v>
      </c>
      <c r="D1453" s="51">
        <v>-2328</v>
      </c>
      <c r="E1453" s="51">
        <v>0</v>
      </c>
      <c r="F1453" s="51">
        <v>0</v>
      </c>
      <c r="G1453" s="51">
        <v>0</v>
      </c>
      <c r="H1453" s="51">
        <v>40597</v>
      </c>
      <c r="I1453" s="51">
        <v>-40597</v>
      </c>
      <c r="J1453" s="51">
        <v>0</v>
      </c>
      <c r="K1453" s="51">
        <v>0</v>
      </c>
      <c r="L1453" s="51">
        <v>0</v>
      </c>
      <c r="M1453" s="51">
        <v>0</v>
      </c>
      <c r="N1453" s="51">
        <v>0</v>
      </c>
    </row>
    <row r="1454" spans="1:14" ht="15.75" x14ac:dyDescent="0.25">
      <c r="A1454" s="49" t="s">
        <v>275</v>
      </c>
      <c r="B1454" s="50" t="s">
        <v>51</v>
      </c>
      <c r="C1454" s="51">
        <v>117357</v>
      </c>
      <c r="D1454" s="51">
        <v>-73024</v>
      </c>
      <c r="E1454" s="51">
        <v>0</v>
      </c>
      <c r="F1454" s="51">
        <v>0</v>
      </c>
      <c r="G1454" s="51">
        <v>0</v>
      </c>
      <c r="H1454" s="51">
        <v>44333</v>
      </c>
      <c r="I1454" s="51">
        <v>-44333</v>
      </c>
      <c r="J1454" s="51">
        <v>0</v>
      </c>
      <c r="K1454" s="51">
        <v>1004</v>
      </c>
      <c r="L1454" s="51">
        <v>-1004</v>
      </c>
      <c r="M1454" s="51">
        <v>0</v>
      </c>
      <c r="N1454" s="51">
        <v>0</v>
      </c>
    </row>
    <row r="1455" spans="1:14" ht="15.75" x14ac:dyDescent="0.25">
      <c r="A1455" s="49" t="s">
        <v>275</v>
      </c>
      <c r="B1455" s="50" t="s">
        <v>52</v>
      </c>
      <c r="C1455" s="51">
        <v>81525</v>
      </c>
      <c r="D1455" s="51">
        <v>0</v>
      </c>
      <c r="E1455" s="51">
        <v>0</v>
      </c>
      <c r="F1455" s="51">
        <v>0</v>
      </c>
      <c r="G1455" s="51">
        <v>0</v>
      </c>
      <c r="H1455" s="51">
        <v>81525</v>
      </c>
      <c r="I1455" s="51">
        <v>-81525</v>
      </c>
      <c r="J1455" s="51">
        <v>0</v>
      </c>
      <c r="K1455" s="51">
        <v>10000</v>
      </c>
      <c r="L1455" s="51">
        <v>-10000</v>
      </c>
      <c r="M1455" s="51">
        <v>0</v>
      </c>
      <c r="N1455" s="51">
        <v>0</v>
      </c>
    </row>
    <row r="1456" spans="1:14" ht="15.75" x14ac:dyDescent="0.25">
      <c r="A1456" s="49" t="s">
        <v>275</v>
      </c>
      <c r="B1456" s="50" t="s">
        <v>53</v>
      </c>
      <c r="C1456" s="51">
        <v>89763</v>
      </c>
      <c r="D1456" s="51">
        <v>-26391</v>
      </c>
      <c r="E1456" s="51">
        <v>0</v>
      </c>
      <c r="F1456" s="51">
        <v>0</v>
      </c>
      <c r="G1456" s="51">
        <v>0</v>
      </c>
      <c r="H1456" s="51">
        <v>63372</v>
      </c>
      <c r="I1456" s="51">
        <v>-63372</v>
      </c>
      <c r="J1456" s="51">
        <v>0</v>
      </c>
      <c r="K1456" s="51">
        <v>26391</v>
      </c>
      <c r="L1456" s="51">
        <v>-26391</v>
      </c>
      <c r="M1456" s="51">
        <v>0</v>
      </c>
      <c r="N1456" s="51">
        <v>0</v>
      </c>
    </row>
    <row r="1457" spans="1:14" ht="15.75" x14ac:dyDescent="0.25">
      <c r="A1457" s="49" t="s">
        <v>275</v>
      </c>
      <c r="B1457" s="50" t="s">
        <v>54</v>
      </c>
      <c r="C1457" s="51">
        <v>219173</v>
      </c>
      <c r="D1457" s="51">
        <v>-60674</v>
      </c>
      <c r="E1457" s="51">
        <v>0</v>
      </c>
      <c r="F1457" s="51">
        <v>0</v>
      </c>
      <c r="G1457" s="51">
        <v>0</v>
      </c>
      <c r="H1457" s="51">
        <v>158499</v>
      </c>
      <c r="I1457" s="51">
        <v>-158499</v>
      </c>
      <c r="J1457" s="51">
        <v>0</v>
      </c>
      <c r="K1457" s="51">
        <v>85734</v>
      </c>
      <c r="L1457" s="51">
        <v>-85734</v>
      </c>
      <c r="M1457" s="51">
        <v>0</v>
      </c>
      <c r="N1457" s="51">
        <v>0</v>
      </c>
    </row>
    <row r="1458" spans="1:14" ht="15.75" x14ac:dyDescent="0.25">
      <c r="A1458" s="49" t="s">
        <v>275</v>
      </c>
      <c r="B1458" s="50" t="s">
        <v>55</v>
      </c>
      <c r="C1458" s="51">
        <v>165114</v>
      </c>
      <c r="D1458" s="51">
        <v>-87629</v>
      </c>
      <c r="E1458" s="51">
        <v>0</v>
      </c>
      <c r="F1458" s="51">
        <v>0</v>
      </c>
      <c r="G1458" s="51">
        <v>0</v>
      </c>
      <c r="H1458" s="51">
        <v>77485</v>
      </c>
      <c r="I1458" s="51">
        <v>-77485</v>
      </c>
      <c r="J1458" s="51">
        <v>0</v>
      </c>
      <c r="K1458" s="51">
        <v>87629</v>
      </c>
      <c r="L1458" s="51">
        <v>-87629</v>
      </c>
      <c r="M1458" s="51">
        <v>0</v>
      </c>
      <c r="N1458" s="51">
        <v>0</v>
      </c>
    </row>
    <row r="1459" spans="1:14" ht="15.75" x14ac:dyDescent="0.25">
      <c r="A1459" s="49" t="s">
        <v>275</v>
      </c>
      <c r="B1459" s="50" t="s">
        <v>56</v>
      </c>
      <c r="C1459" s="51">
        <v>158487</v>
      </c>
      <c r="D1459" s="51">
        <v>-70769</v>
      </c>
      <c r="E1459" s="51">
        <v>0</v>
      </c>
      <c r="F1459" s="51">
        <v>0</v>
      </c>
      <c r="G1459" s="51">
        <v>0</v>
      </c>
      <c r="H1459" s="51">
        <v>87718</v>
      </c>
      <c r="I1459" s="51">
        <v>-87718</v>
      </c>
      <c r="J1459" s="51">
        <v>0</v>
      </c>
      <c r="K1459" s="51">
        <v>70769</v>
      </c>
      <c r="L1459" s="51">
        <v>-70769</v>
      </c>
      <c r="M1459" s="51">
        <v>0</v>
      </c>
      <c r="N1459" s="51">
        <v>0</v>
      </c>
    </row>
    <row r="1460" spans="1:14" ht="15.75" x14ac:dyDescent="0.25">
      <c r="A1460" s="49" t="s">
        <v>275</v>
      </c>
      <c r="B1460" s="50" t="s">
        <v>57</v>
      </c>
      <c r="C1460" s="51">
        <v>178762</v>
      </c>
      <c r="D1460" s="51">
        <v>-66171</v>
      </c>
      <c r="E1460" s="51">
        <v>0</v>
      </c>
      <c r="F1460" s="51">
        <v>0</v>
      </c>
      <c r="G1460" s="51">
        <v>0</v>
      </c>
      <c r="H1460" s="51">
        <v>112591</v>
      </c>
      <c r="I1460" s="51">
        <v>-112591</v>
      </c>
      <c r="J1460" s="51">
        <v>0</v>
      </c>
      <c r="K1460" s="51">
        <v>72578</v>
      </c>
      <c r="L1460" s="51">
        <v>-72578</v>
      </c>
      <c r="M1460" s="51">
        <v>0</v>
      </c>
      <c r="N1460" s="51">
        <v>0</v>
      </c>
    </row>
    <row r="1461" spans="1:14" ht="15.75" x14ac:dyDescent="0.25">
      <c r="A1461" s="49" t="s">
        <v>275</v>
      </c>
      <c r="B1461" s="50" t="s">
        <v>58</v>
      </c>
      <c r="C1461" s="51">
        <v>187655</v>
      </c>
      <c r="D1461" s="51">
        <v>-107062</v>
      </c>
      <c r="E1461" s="51">
        <v>0</v>
      </c>
      <c r="F1461" s="51">
        <v>0</v>
      </c>
      <c r="G1461" s="51">
        <v>0</v>
      </c>
      <c r="H1461" s="51">
        <v>80593</v>
      </c>
      <c r="I1461" s="51">
        <v>-80593</v>
      </c>
      <c r="J1461" s="51">
        <v>0</v>
      </c>
      <c r="K1461" s="51">
        <v>138062</v>
      </c>
      <c r="L1461" s="51">
        <v>-138062</v>
      </c>
      <c r="M1461" s="51">
        <v>0</v>
      </c>
      <c r="N1461" s="51">
        <v>0</v>
      </c>
    </row>
    <row r="1462" spans="1:14" ht="15.75" x14ac:dyDescent="0.25">
      <c r="A1462" s="49" t="s">
        <v>275</v>
      </c>
      <c r="B1462" s="50" t="s">
        <v>59</v>
      </c>
      <c r="C1462" s="51">
        <v>207821</v>
      </c>
      <c r="D1462" s="51">
        <v>-130632</v>
      </c>
      <c r="E1462" s="51">
        <v>0</v>
      </c>
      <c r="F1462" s="51">
        <v>0</v>
      </c>
      <c r="G1462" s="51">
        <v>0</v>
      </c>
      <c r="H1462" s="51">
        <v>77189</v>
      </c>
      <c r="I1462" s="51">
        <v>-77189</v>
      </c>
      <c r="J1462" s="51">
        <v>0</v>
      </c>
      <c r="K1462" s="51">
        <v>130632</v>
      </c>
      <c r="L1462" s="51">
        <v>-130632</v>
      </c>
      <c r="M1462" s="51">
        <v>0</v>
      </c>
      <c r="N1462" s="51">
        <v>0</v>
      </c>
    </row>
    <row r="1463" spans="1:14" ht="15.75" x14ac:dyDescent="0.25">
      <c r="A1463" s="49" t="s">
        <v>275</v>
      </c>
      <c r="B1463" s="50" t="s">
        <v>60</v>
      </c>
      <c r="C1463" s="51">
        <v>327793</v>
      </c>
      <c r="D1463" s="51">
        <v>-322731</v>
      </c>
      <c r="E1463" s="51">
        <v>0</v>
      </c>
      <c r="F1463" s="51">
        <v>0</v>
      </c>
      <c r="G1463" s="51">
        <v>0</v>
      </c>
      <c r="H1463" s="51">
        <v>5062</v>
      </c>
      <c r="I1463" s="51">
        <v>-5062</v>
      </c>
      <c r="J1463" s="51">
        <v>0</v>
      </c>
      <c r="K1463" s="51">
        <v>395472</v>
      </c>
      <c r="L1463" s="51">
        <v>-395472</v>
      </c>
      <c r="M1463" s="51">
        <v>0</v>
      </c>
      <c r="N1463" s="51">
        <v>0</v>
      </c>
    </row>
    <row r="1464" spans="1:14" ht="15.75" x14ac:dyDescent="0.25">
      <c r="A1464" s="49" t="s">
        <v>275</v>
      </c>
      <c r="B1464" s="50" t="s">
        <v>61</v>
      </c>
      <c r="C1464" s="51">
        <v>431885</v>
      </c>
      <c r="D1464" s="51">
        <v>-402563</v>
      </c>
      <c r="E1464" s="51">
        <v>0</v>
      </c>
      <c r="F1464" s="51">
        <v>0</v>
      </c>
      <c r="G1464" s="51">
        <v>0</v>
      </c>
      <c r="H1464" s="51">
        <v>29322</v>
      </c>
      <c r="I1464" s="51">
        <v>-29322</v>
      </c>
      <c r="J1464" s="51">
        <v>0</v>
      </c>
      <c r="K1464" s="51">
        <v>402563</v>
      </c>
      <c r="L1464" s="51">
        <v>-402563</v>
      </c>
      <c r="M1464" s="51">
        <v>0</v>
      </c>
      <c r="N1464" s="51">
        <v>0</v>
      </c>
    </row>
    <row r="1465" spans="1:14" ht="15.75" x14ac:dyDescent="0.25">
      <c r="A1465" s="49" t="s">
        <v>275</v>
      </c>
      <c r="B1465" s="50" t="s">
        <v>62</v>
      </c>
      <c r="C1465" s="51">
        <v>463624</v>
      </c>
      <c r="D1465" s="51">
        <v>-461619</v>
      </c>
      <c r="E1465" s="51">
        <v>0</v>
      </c>
      <c r="F1465" s="51">
        <v>0</v>
      </c>
      <c r="G1465" s="51">
        <v>0</v>
      </c>
      <c r="H1465" s="51">
        <v>2005</v>
      </c>
      <c r="I1465" s="51">
        <v>-2005</v>
      </c>
      <c r="J1465" s="51">
        <v>0</v>
      </c>
      <c r="K1465" s="51">
        <v>468219</v>
      </c>
      <c r="L1465" s="51">
        <v>-468219</v>
      </c>
      <c r="M1465" s="51">
        <v>0</v>
      </c>
      <c r="N1465" s="51">
        <v>0</v>
      </c>
    </row>
    <row r="1466" spans="1:14" ht="15.75" x14ac:dyDescent="0.25">
      <c r="A1466" s="49" t="s">
        <v>275</v>
      </c>
      <c r="B1466" s="50" t="s">
        <v>63</v>
      </c>
      <c r="C1466" s="51">
        <v>193481</v>
      </c>
      <c r="D1466" s="51">
        <v>-191280</v>
      </c>
      <c r="E1466" s="51">
        <v>0</v>
      </c>
      <c r="F1466" s="51">
        <v>0</v>
      </c>
      <c r="G1466" s="51">
        <v>0</v>
      </c>
      <c r="H1466" s="51">
        <v>2201</v>
      </c>
      <c r="I1466" s="51">
        <v>-2201</v>
      </c>
      <c r="J1466" s="51">
        <v>0</v>
      </c>
      <c r="K1466" s="51">
        <v>191280</v>
      </c>
      <c r="L1466" s="51">
        <v>-191280</v>
      </c>
      <c r="M1466" s="51">
        <v>0</v>
      </c>
      <c r="N1466" s="51">
        <v>0</v>
      </c>
    </row>
    <row r="1467" spans="1:14" ht="15.75" x14ac:dyDescent="0.25">
      <c r="A1467" s="49" t="s">
        <v>275</v>
      </c>
      <c r="B1467" s="50" t="s">
        <v>64</v>
      </c>
      <c r="C1467" s="51">
        <v>233426</v>
      </c>
      <c r="D1467" s="51">
        <v>0</v>
      </c>
      <c r="E1467" s="51">
        <v>0</v>
      </c>
      <c r="F1467" s="51">
        <v>0</v>
      </c>
      <c r="G1467" s="51">
        <v>0</v>
      </c>
      <c r="H1467" s="51">
        <v>233426</v>
      </c>
      <c r="I1467" s="51">
        <v>-233426</v>
      </c>
      <c r="J1467" s="51">
        <v>0</v>
      </c>
      <c r="K1467" s="51">
        <v>0</v>
      </c>
      <c r="L1467" s="51">
        <v>0</v>
      </c>
      <c r="M1467" s="51">
        <v>0</v>
      </c>
      <c r="N1467" s="51">
        <v>0</v>
      </c>
    </row>
    <row r="1468" spans="1:14" ht="15.75" x14ac:dyDescent="0.25">
      <c r="A1468" s="49" t="s">
        <v>275</v>
      </c>
      <c r="B1468" s="50" t="s">
        <v>65</v>
      </c>
      <c r="C1468" s="51">
        <v>250506</v>
      </c>
      <c r="D1468" s="51">
        <v>0</v>
      </c>
      <c r="E1468" s="51">
        <v>0</v>
      </c>
      <c r="F1468" s="51">
        <v>0</v>
      </c>
      <c r="G1468" s="51">
        <v>0</v>
      </c>
      <c r="H1468" s="51">
        <v>250506</v>
      </c>
      <c r="I1468" s="51">
        <v>-250506</v>
      </c>
      <c r="J1468" s="51">
        <v>0</v>
      </c>
      <c r="K1468" s="51">
        <v>0</v>
      </c>
      <c r="L1468" s="51">
        <v>0</v>
      </c>
      <c r="M1468" s="51">
        <v>0</v>
      </c>
      <c r="N1468" s="51">
        <v>0</v>
      </c>
    </row>
    <row r="1469" spans="1:14" ht="15.75" x14ac:dyDescent="0.25">
      <c r="A1469" s="49" t="s">
        <v>275</v>
      </c>
      <c r="B1469" s="50" t="s">
        <v>66</v>
      </c>
      <c r="C1469" s="51">
        <v>275186</v>
      </c>
      <c r="D1469" s="51">
        <v>0</v>
      </c>
      <c r="E1469" s="51">
        <v>0</v>
      </c>
      <c r="F1469" s="51">
        <v>0</v>
      </c>
      <c r="G1469" s="51">
        <v>0</v>
      </c>
      <c r="H1469" s="51">
        <v>275186</v>
      </c>
      <c r="I1469" s="51">
        <v>-275186</v>
      </c>
      <c r="J1469" s="51">
        <v>0</v>
      </c>
      <c r="K1469" s="51">
        <v>0</v>
      </c>
      <c r="L1469" s="51">
        <v>0</v>
      </c>
      <c r="M1469" s="51">
        <v>0</v>
      </c>
      <c r="N1469" s="51">
        <v>0</v>
      </c>
    </row>
    <row r="1470" spans="1:14" ht="15.75" x14ac:dyDescent="0.25">
      <c r="A1470" s="49" t="s">
        <v>275</v>
      </c>
      <c r="B1470" s="50" t="s">
        <v>67</v>
      </c>
      <c r="C1470" s="51">
        <v>234265</v>
      </c>
      <c r="D1470" s="51">
        <v>0</v>
      </c>
      <c r="E1470" s="51">
        <v>0</v>
      </c>
      <c r="F1470" s="51">
        <v>0</v>
      </c>
      <c r="G1470" s="51">
        <v>0</v>
      </c>
      <c r="H1470" s="51">
        <v>234265</v>
      </c>
      <c r="I1470" s="51">
        <v>-234265</v>
      </c>
      <c r="J1470" s="51">
        <v>0</v>
      </c>
      <c r="K1470" s="51">
        <v>0</v>
      </c>
      <c r="L1470" s="51">
        <v>0</v>
      </c>
      <c r="M1470" s="51">
        <v>0</v>
      </c>
      <c r="N1470" s="51">
        <v>0</v>
      </c>
    </row>
    <row r="1471" spans="1:14" ht="15.75" x14ac:dyDescent="0.25">
      <c r="A1471" s="49" t="s">
        <v>275</v>
      </c>
      <c r="B1471" s="50" t="s">
        <v>68</v>
      </c>
      <c r="C1471" s="51">
        <v>203225</v>
      </c>
      <c r="D1471" s="51">
        <v>0</v>
      </c>
      <c r="E1471" s="51">
        <v>0</v>
      </c>
      <c r="F1471" s="51">
        <v>0</v>
      </c>
      <c r="G1471" s="51">
        <v>0</v>
      </c>
      <c r="H1471" s="51">
        <v>203225</v>
      </c>
      <c r="I1471" s="51">
        <v>-203225</v>
      </c>
      <c r="J1471" s="51">
        <v>0</v>
      </c>
      <c r="K1471" s="51">
        <v>0</v>
      </c>
      <c r="L1471" s="51">
        <v>0</v>
      </c>
      <c r="M1471" s="51">
        <v>0</v>
      </c>
      <c r="N1471" s="51">
        <v>0</v>
      </c>
    </row>
    <row r="1472" spans="1:14" ht="15.75" x14ac:dyDescent="0.25">
      <c r="A1472" s="52" t="s">
        <v>276</v>
      </c>
      <c r="B1472" s="53" t="s">
        <v>8</v>
      </c>
      <c r="C1472" s="19">
        <f>SUBTOTAL(109,Program121[(C)
Program
Costs])</f>
        <v>4576573</v>
      </c>
      <c r="D1472" s="19">
        <f>SUBTOTAL(109,Program121[(D)
Prior Period Adjustments])</f>
        <v>-2047809</v>
      </c>
      <c r="E1472" s="19">
        <f>SUBTOTAL(109,Program121[(E)
Current Period Desk 
Reviews])</f>
        <v>0</v>
      </c>
      <c r="F1472" s="19">
        <f>SUBTOTAL(109,Program121[(F)
Current Period 
Final 
Audits])</f>
        <v>0</v>
      </c>
      <c r="G1472" s="19">
        <f>SUBTOTAL(109,Program121[(G)
Current Period 
Other Adjustments])</f>
        <v>0</v>
      </c>
      <c r="H1472" s="19">
        <f>SUBTOTAL(109,Program121[(H)
Net Program Costs
Sum (C through G)])</f>
        <v>2528764</v>
      </c>
      <c r="I1472" s="19">
        <f>SUBTOTAL(109,Program121[(I)
Payments
 and Offsets])</f>
        <v>-2444054</v>
      </c>
      <c r="J1472" s="19">
        <f>SUBTOTAL(109,Program121[(J)
Accounts Payable Balance
(H + I)])</f>
        <v>84710</v>
      </c>
      <c r="K1472" s="19">
        <f>SUBTOTAL(109,Program121[(K)
Established 
Accounts Receivable])</f>
        <v>2080333</v>
      </c>
      <c r="L1472" s="19">
        <f>SUBTOTAL(109,Program121[(L)
Recovered
 Accounts Receivable])</f>
        <v>-2080333</v>
      </c>
      <c r="M1472" s="19">
        <f>SUBTOTAL(109,Program121[(M)
Accounts Receivable Balance
(K + L)])</f>
        <v>0</v>
      </c>
      <c r="N1472" s="19">
        <f>SUBTOTAL(109,Program121[(N)
Net Balance
(J minus M)])</f>
        <v>84710</v>
      </c>
    </row>
    <row r="1473" spans="1:14" ht="15.75" x14ac:dyDescent="0.25">
      <c r="A1473" s="17" t="s">
        <v>13</v>
      </c>
      <c r="B1473" s="54"/>
      <c r="C1473" s="55"/>
      <c r="D1473" s="55"/>
      <c r="E1473" s="55"/>
      <c r="F1473" s="55"/>
      <c r="G1473" s="55"/>
      <c r="H1473" s="55"/>
      <c r="I1473" s="55"/>
      <c r="J1473" s="55"/>
      <c r="K1473" s="55"/>
      <c r="L1473" s="55"/>
      <c r="M1473" s="55"/>
      <c r="N1473" s="55"/>
    </row>
    <row r="1474" spans="1:14" ht="78.75" x14ac:dyDescent="0.25">
      <c r="A1474" s="39" t="s">
        <v>32</v>
      </c>
      <c r="B1474" s="40" t="s">
        <v>33</v>
      </c>
      <c r="C1474" s="41" t="s">
        <v>34</v>
      </c>
      <c r="D1474" s="41" t="s">
        <v>35</v>
      </c>
      <c r="E1474" s="42" t="s">
        <v>36</v>
      </c>
      <c r="F1474" s="42" t="s">
        <v>37</v>
      </c>
      <c r="G1474" s="42" t="s">
        <v>38</v>
      </c>
      <c r="H1474" s="43" t="s">
        <v>39</v>
      </c>
      <c r="I1474" s="44" t="s">
        <v>40</v>
      </c>
      <c r="J1474" s="44" t="s">
        <v>41</v>
      </c>
      <c r="K1474" s="42" t="s">
        <v>42</v>
      </c>
      <c r="L1474" s="44" t="s">
        <v>43</v>
      </c>
      <c r="M1474" s="44" t="s">
        <v>44</v>
      </c>
      <c r="N1474" s="45" t="s">
        <v>45</v>
      </c>
    </row>
    <row r="1475" spans="1:14" ht="15.75" x14ac:dyDescent="0.25">
      <c r="A1475" s="46" t="s">
        <v>277</v>
      </c>
      <c r="B1475" s="47" t="s">
        <v>49</v>
      </c>
      <c r="C1475" s="48">
        <v>2177</v>
      </c>
      <c r="D1475" s="48">
        <v>0</v>
      </c>
      <c r="E1475" s="48">
        <v>0</v>
      </c>
      <c r="F1475" s="48">
        <v>0</v>
      </c>
      <c r="G1475" s="48">
        <v>0</v>
      </c>
      <c r="H1475" s="48">
        <v>2177</v>
      </c>
      <c r="I1475" s="48">
        <v>0</v>
      </c>
      <c r="J1475" s="48">
        <v>2177</v>
      </c>
      <c r="K1475" s="48">
        <v>0</v>
      </c>
      <c r="L1475" s="48">
        <v>0</v>
      </c>
      <c r="M1475" s="48">
        <v>0</v>
      </c>
      <c r="N1475" s="48">
        <v>2177</v>
      </c>
    </row>
    <row r="1476" spans="1:14" ht="15.75" x14ac:dyDescent="0.25">
      <c r="A1476" s="49" t="s">
        <v>277</v>
      </c>
      <c r="B1476" s="50" t="s">
        <v>50</v>
      </c>
      <c r="C1476" s="51">
        <v>112982</v>
      </c>
      <c r="D1476" s="51">
        <v>0</v>
      </c>
      <c r="E1476" s="51">
        <v>0</v>
      </c>
      <c r="F1476" s="51">
        <v>0</v>
      </c>
      <c r="G1476" s="51">
        <v>0</v>
      </c>
      <c r="H1476" s="51">
        <v>112982</v>
      </c>
      <c r="I1476" s="51">
        <v>0</v>
      </c>
      <c r="J1476" s="51">
        <v>112982</v>
      </c>
      <c r="K1476" s="51">
        <v>0</v>
      </c>
      <c r="L1476" s="51">
        <v>0</v>
      </c>
      <c r="M1476" s="51">
        <v>0</v>
      </c>
      <c r="N1476" s="51">
        <v>112982</v>
      </c>
    </row>
    <row r="1477" spans="1:14" ht="15.75" x14ac:dyDescent="0.25">
      <c r="A1477" s="49" t="s">
        <v>277</v>
      </c>
      <c r="B1477" s="50" t="s">
        <v>51</v>
      </c>
      <c r="C1477" s="51">
        <v>163955</v>
      </c>
      <c r="D1477" s="51">
        <v>0</v>
      </c>
      <c r="E1477" s="51">
        <v>0</v>
      </c>
      <c r="F1477" s="51">
        <v>0</v>
      </c>
      <c r="G1477" s="51">
        <v>0</v>
      </c>
      <c r="H1477" s="51">
        <v>163955</v>
      </c>
      <c r="I1477" s="51">
        <v>0</v>
      </c>
      <c r="J1477" s="51">
        <v>163955</v>
      </c>
      <c r="K1477" s="51">
        <v>0</v>
      </c>
      <c r="L1477" s="51">
        <v>0</v>
      </c>
      <c r="M1477" s="51">
        <v>0</v>
      </c>
      <c r="N1477" s="51">
        <v>163955</v>
      </c>
    </row>
    <row r="1478" spans="1:14" ht="15.75" x14ac:dyDescent="0.25">
      <c r="A1478" s="49" t="s">
        <v>277</v>
      </c>
      <c r="B1478" s="50" t="s">
        <v>52</v>
      </c>
      <c r="C1478" s="51">
        <v>417669</v>
      </c>
      <c r="D1478" s="51">
        <v>-107861</v>
      </c>
      <c r="E1478" s="51">
        <v>0</v>
      </c>
      <c r="F1478" s="51">
        <v>0</v>
      </c>
      <c r="G1478" s="51">
        <v>0</v>
      </c>
      <c r="H1478" s="51">
        <v>309808</v>
      </c>
      <c r="I1478" s="51">
        <v>-298328</v>
      </c>
      <c r="J1478" s="51">
        <v>11480</v>
      </c>
      <c r="K1478" s="51">
        <v>224111</v>
      </c>
      <c r="L1478" s="51">
        <v>-224111</v>
      </c>
      <c r="M1478" s="51">
        <v>0</v>
      </c>
      <c r="N1478" s="51">
        <v>11480</v>
      </c>
    </row>
    <row r="1479" spans="1:14" ht="15.75" x14ac:dyDescent="0.25">
      <c r="A1479" s="49" t="s">
        <v>277</v>
      </c>
      <c r="B1479" s="50" t="s">
        <v>53</v>
      </c>
      <c r="C1479" s="51">
        <v>503030</v>
      </c>
      <c r="D1479" s="51">
        <v>-210473</v>
      </c>
      <c r="E1479" s="51">
        <v>0</v>
      </c>
      <c r="F1479" s="51">
        <v>0</v>
      </c>
      <c r="G1479" s="51">
        <v>0</v>
      </c>
      <c r="H1479" s="51">
        <v>292557</v>
      </c>
      <c r="I1479" s="51">
        <v>-292557</v>
      </c>
      <c r="J1479" s="51">
        <v>0</v>
      </c>
      <c r="K1479" s="51">
        <v>215089</v>
      </c>
      <c r="L1479" s="51">
        <v>-215089</v>
      </c>
      <c r="M1479" s="51">
        <v>0</v>
      </c>
      <c r="N1479" s="51">
        <v>0</v>
      </c>
    </row>
    <row r="1480" spans="1:14" ht="15.75" x14ac:dyDescent="0.25">
      <c r="A1480" s="49" t="s">
        <v>277</v>
      </c>
      <c r="B1480" s="50" t="s">
        <v>54</v>
      </c>
      <c r="C1480" s="51">
        <v>617362</v>
      </c>
      <c r="D1480" s="51">
        <v>-277211</v>
      </c>
      <c r="E1480" s="51">
        <v>0</v>
      </c>
      <c r="F1480" s="51">
        <v>0</v>
      </c>
      <c r="G1480" s="51">
        <v>0</v>
      </c>
      <c r="H1480" s="51">
        <v>340151</v>
      </c>
      <c r="I1480" s="51">
        <v>-340151</v>
      </c>
      <c r="J1480" s="51">
        <v>0</v>
      </c>
      <c r="K1480" s="51">
        <v>381207</v>
      </c>
      <c r="L1480" s="51">
        <v>-381207</v>
      </c>
      <c r="M1480" s="51">
        <v>0</v>
      </c>
      <c r="N1480" s="51">
        <v>0</v>
      </c>
    </row>
    <row r="1481" spans="1:14" ht="15.75" x14ac:dyDescent="0.25">
      <c r="A1481" s="49" t="s">
        <v>277</v>
      </c>
      <c r="B1481" s="50" t="s">
        <v>55</v>
      </c>
      <c r="C1481" s="51">
        <v>696985</v>
      </c>
      <c r="D1481" s="51">
        <v>-286983</v>
      </c>
      <c r="E1481" s="51">
        <v>0</v>
      </c>
      <c r="F1481" s="51">
        <v>0</v>
      </c>
      <c r="G1481" s="51">
        <v>0</v>
      </c>
      <c r="H1481" s="51">
        <v>410002</v>
      </c>
      <c r="I1481" s="51">
        <v>-410002</v>
      </c>
      <c r="J1481" s="51">
        <v>0</v>
      </c>
      <c r="K1481" s="51">
        <v>0</v>
      </c>
      <c r="L1481" s="51">
        <v>0</v>
      </c>
      <c r="M1481" s="51">
        <v>0</v>
      </c>
      <c r="N1481" s="51">
        <v>0</v>
      </c>
    </row>
    <row r="1482" spans="1:14" ht="15.75" x14ac:dyDescent="0.25">
      <c r="A1482" s="49" t="s">
        <v>277</v>
      </c>
      <c r="B1482" s="50" t="s">
        <v>56</v>
      </c>
      <c r="C1482" s="51">
        <v>362200</v>
      </c>
      <c r="D1482" s="51">
        <v>-121067</v>
      </c>
      <c r="E1482" s="51">
        <v>0</v>
      </c>
      <c r="F1482" s="51">
        <v>0</v>
      </c>
      <c r="G1482" s="51">
        <v>0</v>
      </c>
      <c r="H1482" s="51">
        <v>241133</v>
      </c>
      <c r="I1482" s="51">
        <v>-241133</v>
      </c>
      <c r="J1482" s="51">
        <v>0</v>
      </c>
      <c r="K1482" s="51">
        <v>0</v>
      </c>
      <c r="L1482" s="51">
        <v>0</v>
      </c>
      <c r="M1482" s="51">
        <v>0</v>
      </c>
      <c r="N1482" s="51">
        <v>0</v>
      </c>
    </row>
    <row r="1483" spans="1:14" ht="15.75" x14ac:dyDescent="0.25">
      <c r="A1483" s="49" t="s">
        <v>277</v>
      </c>
      <c r="B1483" s="50" t="s">
        <v>57</v>
      </c>
      <c r="C1483" s="51">
        <v>444384</v>
      </c>
      <c r="D1483" s="51">
        <v>-3760</v>
      </c>
      <c r="E1483" s="51">
        <v>0</v>
      </c>
      <c r="F1483" s="51">
        <v>0</v>
      </c>
      <c r="G1483" s="51">
        <v>0</v>
      </c>
      <c r="H1483" s="51">
        <v>440624</v>
      </c>
      <c r="I1483" s="51">
        <v>-440624</v>
      </c>
      <c r="J1483" s="51">
        <v>0</v>
      </c>
      <c r="K1483" s="51">
        <v>0</v>
      </c>
      <c r="L1483" s="51">
        <v>0</v>
      </c>
      <c r="M1483" s="51">
        <v>0</v>
      </c>
      <c r="N1483" s="51">
        <v>0</v>
      </c>
    </row>
    <row r="1484" spans="1:14" ht="15.75" x14ac:dyDescent="0.25">
      <c r="A1484" s="49" t="s">
        <v>277</v>
      </c>
      <c r="B1484" s="50" t="s">
        <v>58</v>
      </c>
      <c r="C1484" s="51">
        <v>342725</v>
      </c>
      <c r="D1484" s="51">
        <v>-701</v>
      </c>
      <c r="E1484" s="51">
        <v>0</v>
      </c>
      <c r="F1484" s="51">
        <v>0</v>
      </c>
      <c r="G1484" s="51">
        <v>0</v>
      </c>
      <c r="H1484" s="51">
        <v>342024</v>
      </c>
      <c r="I1484" s="51">
        <v>-342024</v>
      </c>
      <c r="J1484" s="51">
        <v>0</v>
      </c>
      <c r="K1484" s="51">
        <v>0</v>
      </c>
      <c r="L1484" s="51">
        <v>0</v>
      </c>
      <c r="M1484" s="51">
        <v>0</v>
      </c>
      <c r="N1484" s="51">
        <v>0</v>
      </c>
    </row>
    <row r="1485" spans="1:14" ht="15.75" x14ac:dyDescent="0.25">
      <c r="A1485" s="49" t="s">
        <v>277</v>
      </c>
      <c r="B1485" s="50" t="s">
        <v>59</v>
      </c>
      <c r="C1485" s="51">
        <v>282850</v>
      </c>
      <c r="D1485" s="51">
        <v>-206</v>
      </c>
      <c r="E1485" s="51">
        <v>0</v>
      </c>
      <c r="F1485" s="51">
        <v>0</v>
      </c>
      <c r="G1485" s="51">
        <v>0</v>
      </c>
      <c r="H1485" s="51">
        <v>282644</v>
      </c>
      <c r="I1485" s="51">
        <v>-282644</v>
      </c>
      <c r="J1485" s="51">
        <v>0</v>
      </c>
      <c r="K1485" s="51">
        <v>0</v>
      </c>
      <c r="L1485" s="51">
        <v>0</v>
      </c>
      <c r="M1485" s="51">
        <v>0</v>
      </c>
      <c r="N1485" s="51">
        <v>0</v>
      </c>
    </row>
    <row r="1486" spans="1:14" ht="15.75" x14ac:dyDescent="0.25">
      <c r="A1486" s="49" t="s">
        <v>277</v>
      </c>
      <c r="B1486" s="50" t="s">
        <v>60</v>
      </c>
      <c r="C1486" s="51">
        <v>263289</v>
      </c>
      <c r="D1486" s="51">
        <v>0</v>
      </c>
      <c r="E1486" s="51">
        <v>0</v>
      </c>
      <c r="F1486" s="51">
        <v>0</v>
      </c>
      <c r="G1486" s="51">
        <v>0</v>
      </c>
      <c r="H1486" s="51">
        <v>263289</v>
      </c>
      <c r="I1486" s="51">
        <v>-263289</v>
      </c>
      <c r="J1486" s="51">
        <v>0</v>
      </c>
      <c r="K1486" s="51">
        <v>0</v>
      </c>
      <c r="L1486" s="51">
        <v>0</v>
      </c>
      <c r="M1486" s="51">
        <v>0</v>
      </c>
      <c r="N1486" s="51">
        <v>0</v>
      </c>
    </row>
    <row r="1487" spans="1:14" ht="15.75" x14ac:dyDescent="0.25">
      <c r="A1487" s="49" t="s">
        <v>277</v>
      </c>
      <c r="B1487" s="50" t="s">
        <v>61</v>
      </c>
      <c r="C1487" s="51">
        <v>281025</v>
      </c>
      <c r="D1487" s="51">
        <v>0</v>
      </c>
      <c r="E1487" s="51">
        <v>0</v>
      </c>
      <c r="F1487" s="51">
        <v>0</v>
      </c>
      <c r="G1487" s="51">
        <v>0</v>
      </c>
      <c r="H1487" s="51">
        <v>281025</v>
      </c>
      <c r="I1487" s="51">
        <v>-281025</v>
      </c>
      <c r="J1487" s="51">
        <v>0</v>
      </c>
      <c r="K1487" s="51">
        <v>0</v>
      </c>
      <c r="L1487" s="51">
        <v>0</v>
      </c>
      <c r="M1487" s="51">
        <v>0</v>
      </c>
      <c r="N1487" s="51">
        <v>0</v>
      </c>
    </row>
    <row r="1488" spans="1:14" ht="15.75" x14ac:dyDescent="0.25">
      <c r="A1488" s="52" t="s">
        <v>278</v>
      </c>
      <c r="B1488" s="53" t="s">
        <v>8</v>
      </c>
      <c r="C1488" s="19">
        <f>SUBTOTAL(109,Program215[(C)
Program
Costs])</f>
        <v>4490633</v>
      </c>
      <c r="D1488" s="19">
        <f>SUBTOTAL(109,Program215[(D)
Prior Period Adjustments])</f>
        <v>-1008262</v>
      </c>
      <c r="E1488" s="19">
        <f>SUBTOTAL(109,Program215[(E)
Current Period Desk 
Reviews])</f>
        <v>0</v>
      </c>
      <c r="F1488" s="19">
        <f>SUBTOTAL(109,Program215[(F)
Current Period 
Final 
Audits])</f>
        <v>0</v>
      </c>
      <c r="G1488" s="19">
        <f>SUBTOTAL(109,Program215[(G)
Current Period 
Other Adjustments])</f>
        <v>0</v>
      </c>
      <c r="H1488" s="19">
        <f>SUBTOTAL(109,Program215[(H)
Net Program Costs
Sum (C through G)])</f>
        <v>3482371</v>
      </c>
      <c r="I1488" s="19">
        <f>SUBTOTAL(109,Program215[(I)
Payments
 and Offsets])</f>
        <v>-3191777</v>
      </c>
      <c r="J1488" s="19">
        <f>SUBTOTAL(109,Program215[(J)
Accounts Payable Balance
(H + I)])</f>
        <v>290594</v>
      </c>
      <c r="K1488" s="19">
        <f>SUBTOTAL(109,Program215[(K)
Established 
Accounts Receivable])</f>
        <v>820407</v>
      </c>
      <c r="L1488" s="19">
        <f>SUBTOTAL(109,Program215[(L)
Recovered
 Accounts Receivable])</f>
        <v>-820407</v>
      </c>
      <c r="M1488" s="19">
        <f>SUBTOTAL(109,Program215[(M)
Accounts Receivable Balance
(K + L)])</f>
        <v>0</v>
      </c>
      <c r="N1488" s="19">
        <f>SUBTOTAL(109,Program215[(N)
Net Balance
(J minus M)])</f>
        <v>290594</v>
      </c>
    </row>
    <row r="1489" spans="1:14" ht="15.75" x14ac:dyDescent="0.25">
      <c r="A1489" s="17" t="s">
        <v>13</v>
      </c>
      <c r="B1489" s="54"/>
      <c r="C1489" s="55"/>
      <c r="D1489" s="55"/>
      <c r="E1489" s="55"/>
      <c r="F1489" s="55"/>
      <c r="G1489" s="55"/>
      <c r="H1489" s="55"/>
      <c r="I1489" s="55"/>
      <c r="J1489" s="55"/>
      <c r="K1489" s="55"/>
      <c r="L1489" s="55"/>
      <c r="M1489" s="55"/>
      <c r="N1489" s="55"/>
    </row>
    <row r="1490" spans="1:14" ht="78.75" x14ac:dyDescent="0.25">
      <c r="A1490" s="39" t="s">
        <v>32</v>
      </c>
      <c r="B1490" s="40" t="s">
        <v>33</v>
      </c>
      <c r="C1490" s="41" t="s">
        <v>34</v>
      </c>
      <c r="D1490" s="41" t="s">
        <v>35</v>
      </c>
      <c r="E1490" s="42" t="s">
        <v>36</v>
      </c>
      <c r="F1490" s="42" t="s">
        <v>37</v>
      </c>
      <c r="G1490" s="42" t="s">
        <v>38</v>
      </c>
      <c r="H1490" s="43" t="s">
        <v>39</v>
      </c>
      <c r="I1490" s="44" t="s">
        <v>40</v>
      </c>
      <c r="J1490" s="44" t="s">
        <v>41</v>
      </c>
      <c r="K1490" s="42" t="s">
        <v>42</v>
      </c>
      <c r="L1490" s="44" t="s">
        <v>43</v>
      </c>
      <c r="M1490" s="44" t="s">
        <v>44</v>
      </c>
      <c r="N1490" s="45" t="s">
        <v>45</v>
      </c>
    </row>
    <row r="1491" spans="1:14" x14ac:dyDescent="0.25">
      <c r="A1491" s="56" t="s">
        <v>279</v>
      </c>
      <c r="B1491" s="57" t="s">
        <v>60</v>
      </c>
      <c r="C1491" s="58">
        <v>814</v>
      </c>
      <c r="D1491" s="58">
        <v>0</v>
      </c>
      <c r="E1491" s="58">
        <v>0</v>
      </c>
      <c r="F1491" s="58">
        <v>0</v>
      </c>
      <c r="G1491" s="58">
        <v>0</v>
      </c>
      <c r="H1491" s="58">
        <v>814</v>
      </c>
      <c r="I1491" s="58">
        <v>-814</v>
      </c>
      <c r="J1491" s="58">
        <v>0</v>
      </c>
      <c r="K1491" s="58">
        <v>0</v>
      </c>
      <c r="L1491" s="58">
        <v>0</v>
      </c>
      <c r="M1491" s="58">
        <v>0</v>
      </c>
      <c r="N1491" s="58">
        <v>0</v>
      </c>
    </row>
    <row r="1492" spans="1:14" x14ac:dyDescent="0.25">
      <c r="A1492" s="59" t="s">
        <v>279</v>
      </c>
      <c r="B1492" s="60" t="s">
        <v>61</v>
      </c>
      <c r="C1492" s="61">
        <v>232</v>
      </c>
      <c r="D1492" s="61">
        <v>0</v>
      </c>
      <c r="E1492" s="61">
        <v>0</v>
      </c>
      <c r="F1492" s="61">
        <v>0</v>
      </c>
      <c r="G1492" s="61">
        <v>0</v>
      </c>
      <c r="H1492" s="61">
        <v>232</v>
      </c>
      <c r="I1492" s="61">
        <v>-232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</row>
    <row r="1493" spans="1:14" x14ac:dyDescent="0.25">
      <c r="A1493" s="59" t="s">
        <v>279</v>
      </c>
      <c r="B1493" s="60" t="s">
        <v>66</v>
      </c>
      <c r="C1493" s="61">
        <v>36851</v>
      </c>
      <c r="D1493" s="61">
        <v>0</v>
      </c>
      <c r="E1493" s="61">
        <v>0</v>
      </c>
      <c r="F1493" s="61">
        <v>0</v>
      </c>
      <c r="G1493" s="61">
        <v>0</v>
      </c>
      <c r="H1493" s="61">
        <v>36851</v>
      </c>
      <c r="I1493" s="61">
        <v>-36851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</row>
    <row r="1494" spans="1:14" x14ac:dyDescent="0.25">
      <c r="A1494" s="59" t="s">
        <v>279</v>
      </c>
      <c r="B1494" s="60" t="s">
        <v>67</v>
      </c>
      <c r="C1494" s="61">
        <v>343413</v>
      </c>
      <c r="D1494" s="61">
        <v>-7750</v>
      </c>
      <c r="E1494" s="61">
        <v>0</v>
      </c>
      <c r="F1494" s="61">
        <v>0</v>
      </c>
      <c r="G1494" s="61">
        <v>0</v>
      </c>
      <c r="H1494" s="61">
        <v>335663</v>
      </c>
      <c r="I1494" s="61">
        <v>-335663</v>
      </c>
      <c r="J1494" s="61">
        <v>0</v>
      </c>
      <c r="K1494" s="61">
        <v>104659</v>
      </c>
      <c r="L1494" s="61">
        <v>-104659</v>
      </c>
      <c r="M1494" s="61">
        <v>0</v>
      </c>
      <c r="N1494" s="61">
        <v>0</v>
      </c>
    </row>
    <row r="1495" spans="1:14" ht="15.75" x14ac:dyDescent="0.25">
      <c r="A1495" s="52" t="s">
        <v>280</v>
      </c>
      <c r="B1495" s="53" t="s">
        <v>8</v>
      </c>
      <c r="C1495" s="19">
        <f>SUBTOTAL(109,Program028[(C)
Program
Costs])</f>
        <v>381310</v>
      </c>
      <c r="D1495" s="19">
        <f>SUBTOTAL(109,Program028[(D)
Prior Period Adjustments])</f>
        <v>-7750</v>
      </c>
      <c r="E1495" s="19">
        <f>SUBTOTAL(109,Program028[(E)
Current Period Desk 
Reviews])</f>
        <v>0</v>
      </c>
      <c r="F1495" s="19">
        <f>SUBTOTAL(109,Program028[(F)
Current Period 
Final 
Audits])</f>
        <v>0</v>
      </c>
      <c r="G1495" s="19">
        <f>SUBTOTAL(109,Program028[(G)
Current Period 
Other Adjustments])</f>
        <v>0</v>
      </c>
      <c r="H1495" s="19">
        <f>SUBTOTAL(109,Program028[(H)
Net Program Costs
Sum (C through G)])</f>
        <v>373560</v>
      </c>
      <c r="I1495" s="19">
        <f>SUBTOTAL(109,Program028[(I)
Payments
 and Offsets])</f>
        <v>-373560</v>
      </c>
      <c r="J1495" s="19">
        <f>SUBTOTAL(109,Program028[(J)
Accounts Payable Balance
(H + I)])</f>
        <v>0</v>
      </c>
      <c r="K1495" s="19">
        <f>SUBTOTAL(109,Program028[(K)
Established 
Accounts Receivable])</f>
        <v>104659</v>
      </c>
      <c r="L1495" s="19">
        <f>SUBTOTAL(109,Program028[(L)
Recovered
 Accounts Receivable])</f>
        <v>-104659</v>
      </c>
      <c r="M1495" s="19">
        <f>SUBTOTAL(109,Program028[(M)
Accounts Receivable Balance
(K + L)])</f>
        <v>0</v>
      </c>
      <c r="N1495" s="19">
        <f>SUBTOTAL(109,Program028[(N)
Net Balance
(J minus M)])</f>
        <v>0</v>
      </c>
    </row>
    <row r="1496" spans="1:14" ht="15.75" x14ac:dyDescent="0.25">
      <c r="A1496" s="17" t="s">
        <v>13</v>
      </c>
      <c r="B1496" s="54"/>
      <c r="C1496" s="55"/>
      <c r="D1496" s="55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</row>
    <row r="1497" spans="1:14" ht="78.75" x14ac:dyDescent="0.25">
      <c r="A1497" s="39" t="s">
        <v>32</v>
      </c>
      <c r="B1497" s="40" t="s">
        <v>33</v>
      </c>
      <c r="C1497" s="41" t="s">
        <v>34</v>
      </c>
      <c r="D1497" s="41" t="s">
        <v>35</v>
      </c>
      <c r="E1497" s="42" t="s">
        <v>36</v>
      </c>
      <c r="F1497" s="42" t="s">
        <v>37</v>
      </c>
      <c r="G1497" s="42" t="s">
        <v>38</v>
      </c>
      <c r="H1497" s="43" t="s">
        <v>39</v>
      </c>
      <c r="I1497" s="44" t="s">
        <v>40</v>
      </c>
      <c r="J1497" s="44" t="s">
        <v>41</v>
      </c>
      <c r="K1497" s="42" t="s">
        <v>42</v>
      </c>
      <c r="L1497" s="44" t="s">
        <v>43</v>
      </c>
      <c r="M1497" s="44" t="s">
        <v>44</v>
      </c>
      <c r="N1497" s="45" t="s">
        <v>45</v>
      </c>
    </row>
    <row r="1498" spans="1:14" ht="15.75" x14ac:dyDescent="0.25">
      <c r="A1498" s="46" t="s">
        <v>281</v>
      </c>
      <c r="B1498" s="47" t="s">
        <v>49</v>
      </c>
      <c r="C1498" s="48">
        <v>14883</v>
      </c>
      <c r="D1498" s="48">
        <v>-7079</v>
      </c>
      <c r="E1498" s="48">
        <v>0</v>
      </c>
      <c r="F1498" s="48">
        <v>0</v>
      </c>
      <c r="G1498" s="48">
        <v>0</v>
      </c>
      <c r="H1498" s="48">
        <v>7804</v>
      </c>
      <c r="I1498" s="48">
        <v>0</v>
      </c>
      <c r="J1498" s="48">
        <v>7804</v>
      </c>
      <c r="K1498" s="48">
        <v>0</v>
      </c>
      <c r="L1498" s="48">
        <v>0</v>
      </c>
      <c r="M1498" s="48">
        <v>0</v>
      </c>
      <c r="N1498" s="48">
        <v>7804</v>
      </c>
    </row>
    <row r="1499" spans="1:14" ht="15.75" x14ac:dyDescent="0.25">
      <c r="A1499" s="49" t="s">
        <v>281</v>
      </c>
      <c r="B1499" s="50" t="s">
        <v>50</v>
      </c>
      <c r="C1499" s="51">
        <v>142938</v>
      </c>
      <c r="D1499" s="51">
        <v>-480</v>
      </c>
      <c r="E1499" s="51">
        <v>0</v>
      </c>
      <c r="F1499" s="51">
        <v>0</v>
      </c>
      <c r="G1499" s="51">
        <v>0</v>
      </c>
      <c r="H1499" s="51">
        <v>142458</v>
      </c>
      <c r="I1499" s="51">
        <v>0</v>
      </c>
      <c r="J1499" s="51">
        <v>142458</v>
      </c>
      <c r="K1499" s="51">
        <v>0</v>
      </c>
      <c r="L1499" s="51">
        <v>0</v>
      </c>
      <c r="M1499" s="51">
        <v>0</v>
      </c>
      <c r="N1499" s="51">
        <v>142458</v>
      </c>
    </row>
    <row r="1500" spans="1:14" ht="15.75" x14ac:dyDescent="0.25">
      <c r="A1500" s="49" t="s">
        <v>281</v>
      </c>
      <c r="B1500" s="50" t="s">
        <v>51</v>
      </c>
      <c r="C1500" s="51">
        <v>130667</v>
      </c>
      <c r="D1500" s="51">
        <v>-6990</v>
      </c>
      <c r="E1500" s="51">
        <v>0</v>
      </c>
      <c r="F1500" s="51">
        <v>0</v>
      </c>
      <c r="G1500" s="51">
        <v>0</v>
      </c>
      <c r="H1500" s="51">
        <v>123677</v>
      </c>
      <c r="I1500" s="51">
        <v>0</v>
      </c>
      <c r="J1500" s="51">
        <v>123677</v>
      </c>
      <c r="K1500" s="51">
        <v>0</v>
      </c>
      <c r="L1500" s="51">
        <v>0</v>
      </c>
      <c r="M1500" s="51">
        <v>0</v>
      </c>
      <c r="N1500" s="51">
        <v>123677</v>
      </c>
    </row>
    <row r="1501" spans="1:14" ht="15.75" x14ac:dyDescent="0.25">
      <c r="A1501" s="49" t="s">
        <v>281</v>
      </c>
      <c r="B1501" s="50" t="s">
        <v>52</v>
      </c>
      <c r="C1501" s="51">
        <v>362028</v>
      </c>
      <c r="D1501" s="51">
        <v>-2723</v>
      </c>
      <c r="E1501" s="51">
        <v>0</v>
      </c>
      <c r="F1501" s="51">
        <v>0</v>
      </c>
      <c r="G1501" s="51">
        <v>0</v>
      </c>
      <c r="H1501" s="51">
        <v>359305</v>
      </c>
      <c r="I1501" s="51">
        <v>-334797</v>
      </c>
      <c r="J1501" s="51">
        <v>24508</v>
      </c>
      <c r="K1501" s="51">
        <v>0</v>
      </c>
      <c r="L1501" s="51">
        <v>0</v>
      </c>
      <c r="M1501" s="51">
        <v>0</v>
      </c>
      <c r="N1501" s="51">
        <v>24508</v>
      </c>
    </row>
    <row r="1502" spans="1:14" ht="15.75" x14ac:dyDescent="0.25">
      <c r="A1502" s="49" t="s">
        <v>281</v>
      </c>
      <c r="B1502" s="50" t="s">
        <v>53</v>
      </c>
      <c r="C1502" s="51">
        <v>177684</v>
      </c>
      <c r="D1502" s="51">
        <v>-4312</v>
      </c>
      <c r="E1502" s="51">
        <v>0</v>
      </c>
      <c r="F1502" s="51">
        <v>0</v>
      </c>
      <c r="G1502" s="51">
        <v>0</v>
      </c>
      <c r="H1502" s="51">
        <v>173372</v>
      </c>
      <c r="I1502" s="51">
        <v>-134566</v>
      </c>
      <c r="J1502" s="51">
        <v>38806</v>
      </c>
      <c r="K1502" s="51">
        <v>0</v>
      </c>
      <c r="L1502" s="51">
        <v>0</v>
      </c>
      <c r="M1502" s="51">
        <v>0</v>
      </c>
      <c r="N1502" s="51">
        <v>38806</v>
      </c>
    </row>
    <row r="1503" spans="1:14" ht="15.75" x14ac:dyDescent="0.25">
      <c r="A1503" s="49" t="s">
        <v>281</v>
      </c>
      <c r="B1503" s="50" t="s">
        <v>54</v>
      </c>
      <c r="C1503" s="51">
        <v>32753</v>
      </c>
      <c r="D1503" s="51">
        <v>-1570</v>
      </c>
      <c r="E1503" s="51">
        <v>0</v>
      </c>
      <c r="F1503" s="51">
        <v>0</v>
      </c>
      <c r="G1503" s="51">
        <v>0</v>
      </c>
      <c r="H1503" s="51">
        <v>31183</v>
      </c>
      <c r="I1503" s="51">
        <v>-17053</v>
      </c>
      <c r="J1503" s="51">
        <v>14130</v>
      </c>
      <c r="K1503" s="51">
        <v>0</v>
      </c>
      <c r="L1503" s="51">
        <v>0</v>
      </c>
      <c r="M1503" s="51">
        <v>0</v>
      </c>
      <c r="N1503" s="51">
        <v>14130</v>
      </c>
    </row>
    <row r="1504" spans="1:14" ht="15.75" x14ac:dyDescent="0.25">
      <c r="A1504" s="49" t="s">
        <v>281</v>
      </c>
      <c r="B1504" s="50" t="s">
        <v>55</v>
      </c>
      <c r="C1504" s="51">
        <v>151451</v>
      </c>
      <c r="D1504" s="51">
        <v>-2740</v>
      </c>
      <c r="E1504" s="51">
        <v>0</v>
      </c>
      <c r="F1504" s="51">
        <v>0</v>
      </c>
      <c r="G1504" s="51">
        <v>0</v>
      </c>
      <c r="H1504" s="51">
        <v>148711</v>
      </c>
      <c r="I1504" s="51">
        <v>-124059</v>
      </c>
      <c r="J1504" s="51">
        <v>24652</v>
      </c>
      <c r="K1504" s="51">
        <v>0</v>
      </c>
      <c r="L1504" s="51">
        <v>0</v>
      </c>
      <c r="M1504" s="51">
        <v>0</v>
      </c>
      <c r="N1504" s="51">
        <v>24652</v>
      </c>
    </row>
    <row r="1505" spans="1:14" ht="15.75" x14ac:dyDescent="0.25">
      <c r="A1505" s="49" t="s">
        <v>281</v>
      </c>
      <c r="B1505" s="50" t="s">
        <v>56</v>
      </c>
      <c r="C1505" s="51">
        <v>138015</v>
      </c>
      <c r="D1505" s="51">
        <v>-2533</v>
      </c>
      <c r="E1505" s="51">
        <v>0</v>
      </c>
      <c r="F1505" s="51">
        <v>0</v>
      </c>
      <c r="G1505" s="51">
        <v>0</v>
      </c>
      <c r="H1505" s="51">
        <v>135482</v>
      </c>
      <c r="I1505" s="51">
        <v>-112687</v>
      </c>
      <c r="J1505" s="51">
        <v>22795</v>
      </c>
      <c r="K1505" s="51">
        <v>0</v>
      </c>
      <c r="L1505" s="51">
        <v>0</v>
      </c>
      <c r="M1505" s="51">
        <v>0</v>
      </c>
      <c r="N1505" s="51">
        <v>22795</v>
      </c>
    </row>
    <row r="1506" spans="1:14" ht="15.75" x14ac:dyDescent="0.25">
      <c r="A1506" s="49" t="s">
        <v>281</v>
      </c>
      <c r="B1506" s="50" t="s">
        <v>57</v>
      </c>
      <c r="C1506" s="51">
        <v>75025</v>
      </c>
      <c r="D1506" s="51">
        <v>-1250</v>
      </c>
      <c r="E1506" s="51">
        <v>0</v>
      </c>
      <c r="F1506" s="51">
        <v>0</v>
      </c>
      <c r="G1506" s="51">
        <v>0</v>
      </c>
      <c r="H1506" s="51">
        <v>73775</v>
      </c>
      <c r="I1506" s="51">
        <v>-62375</v>
      </c>
      <c r="J1506" s="51">
        <v>11400</v>
      </c>
      <c r="K1506" s="51">
        <v>0</v>
      </c>
      <c r="L1506" s="51">
        <v>0</v>
      </c>
      <c r="M1506" s="51">
        <v>0</v>
      </c>
      <c r="N1506" s="51">
        <v>11400</v>
      </c>
    </row>
    <row r="1507" spans="1:14" ht="15.75" x14ac:dyDescent="0.25">
      <c r="A1507" s="52" t="s">
        <v>282</v>
      </c>
      <c r="B1507" s="53" t="s">
        <v>8</v>
      </c>
      <c r="C1507" s="19">
        <f>SUBTOTAL(109,Program279[(C)
Program
Costs])</f>
        <v>1225444</v>
      </c>
      <c r="D1507" s="19">
        <f>SUBTOTAL(109,Program279[(D)
Prior Period Adjustments])</f>
        <v>-29677</v>
      </c>
      <c r="E1507" s="19">
        <f>SUBTOTAL(109,Program279[(E)
Current Period Desk 
Reviews])</f>
        <v>0</v>
      </c>
      <c r="F1507" s="19">
        <f>SUBTOTAL(109,Program279[(F)
Current Period 
Final 
Audits])</f>
        <v>0</v>
      </c>
      <c r="G1507" s="19">
        <f>SUBTOTAL(109,Program279[(G)
Current Period 
Other Adjustments])</f>
        <v>0</v>
      </c>
      <c r="H1507" s="19">
        <f>SUBTOTAL(109,Program279[(H)
Net Program Costs
Sum (C through G)])</f>
        <v>1195767</v>
      </c>
      <c r="I1507" s="19">
        <f>SUBTOTAL(109,Program279[(I)
Payments
 and Offsets])</f>
        <v>-785537</v>
      </c>
      <c r="J1507" s="19">
        <f>SUBTOTAL(109,Program279[(J)
Accounts Payable Balance
(H + I)])</f>
        <v>410230</v>
      </c>
      <c r="K1507" s="19">
        <f>SUBTOTAL(109,Program279[(K)
Established 
Accounts Receivable])</f>
        <v>0</v>
      </c>
      <c r="L1507" s="19">
        <f>SUBTOTAL(109,Program279[(L)
Recovered
 Accounts Receivable])</f>
        <v>0</v>
      </c>
      <c r="M1507" s="19">
        <f>SUBTOTAL(109,Program279[(M)
Accounts Receivable Balance
(K + L)])</f>
        <v>0</v>
      </c>
      <c r="N1507" s="19">
        <f>SUBTOTAL(109,Program279[(N)
Net Balance
(J minus M)])</f>
        <v>410230</v>
      </c>
    </row>
    <row r="1508" spans="1:14" ht="15.75" x14ac:dyDescent="0.25">
      <c r="A1508" s="17" t="s">
        <v>13</v>
      </c>
      <c r="B1508" s="54"/>
      <c r="C1508" s="55"/>
      <c r="D1508" s="55"/>
      <c r="E1508" s="55"/>
      <c r="F1508" s="55"/>
      <c r="G1508" s="55"/>
      <c r="H1508" s="55"/>
      <c r="I1508" s="55"/>
      <c r="J1508" s="55"/>
      <c r="K1508" s="55"/>
      <c r="L1508" s="55"/>
      <c r="M1508" s="55"/>
      <c r="N1508" s="55"/>
    </row>
    <row r="1509" spans="1:14" ht="78.75" x14ac:dyDescent="0.25">
      <c r="A1509" s="39" t="s">
        <v>32</v>
      </c>
      <c r="B1509" s="40" t="s">
        <v>33</v>
      </c>
      <c r="C1509" s="41" t="s">
        <v>34</v>
      </c>
      <c r="D1509" s="41" t="s">
        <v>35</v>
      </c>
      <c r="E1509" s="42" t="s">
        <v>36</v>
      </c>
      <c r="F1509" s="42" t="s">
        <v>37</v>
      </c>
      <c r="G1509" s="42" t="s">
        <v>38</v>
      </c>
      <c r="H1509" s="43" t="s">
        <v>39</v>
      </c>
      <c r="I1509" s="44" t="s">
        <v>40</v>
      </c>
      <c r="J1509" s="44" t="s">
        <v>41</v>
      </c>
      <c r="K1509" s="42" t="s">
        <v>42</v>
      </c>
      <c r="L1509" s="44" t="s">
        <v>43</v>
      </c>
      <c r="M1509" s="44" t="s">
        <v>44</v>
      </c>
      <c r="N1509" s="45" t="s">
        <v>45</v>
      </c>
    </row>
    <row r="1510" spans="1:14" ht="15.75" x14ac:dyDescent="0.25">
      <c r="A1510" s="46" t="s">
        <v>283</v>
      </c>
      <c r="B1510" s="47" t="s">
        <v>50</v>
      </c>
      <c r="C1510" s="48">
        <v>625288</v>
      </c>
      <c r="D1510" s="48">
        <v>0</v>
      </c>
      <c r="E1510" s="48">
        <v>0</v>
      </c>
      <c r="F1510" s="48">
        <v>0</v>
      </c>
      <c r="G1510" s="48">
        <v>0</v>
      </c>
      <c r="H1510" s="48">
        <v>625288</v>
      </c>
      <c r="I1510" s="48">
        <v>-625288</v>
      </c>
      <c r="J1510" s="48">
        <v>0</v>
      </c>
      <c r="K1510" s="48">
        <v>0</v>
      </c>
      <c r="L1510" s="48">
        <v>0</v>
      </c>
      <c r="M1510" s="48">
        <v>0</v>
      </c>
      <c r="N1510" s="48">
        <v>0</v>
      </c>
    </row>
    <row r="1511" spans="1:14" ht="15.75" x14ac:dyDescent="0.25">
      <c r="A1511" s="52" t="s">
        <v>284</v>
      </c>
      <c r="B1511" s="53" t="s">
        <v>8</v>
      </c>
      <c r="C1511" s="19">
        <f>SUBTOTAL(109,Program363[(C)
Program
Costs])</f>
        <v>625288</v>
      </c>
      <c r="D1511" s="19">
        <f>SUBTOTAL(109,Program363[(D)
Prior Period Adjustments])</f>
        <v>0</v>
      </c>
      <c r="E1511" s="19">
        <f>SUBTOTAL(109,Program363[(E)
Current Period Desk 
Reviews])</f>
        <v>0</v>
      </c>
      <c r="F1511" s="19">
        <f>SUBTOTAL(109,Program363[(F)
Current Period 
Final 
Audits])</f>
        <v>0</v>
      </c>
      <c r="G1511" s="19">
        <f>SUBTOTAL(109,Program363[(G)
Current Period 
Other Adjustments])</f>
        <v>0</v>
      </c>
      <c r="H1511" s="19">
        <f>SUBTOTAL(109,Program363[(H)
Net Program Costs
Sum (C through G)])</f>
        <v>625288</v>
      </c>
      <c r="I1511" s="19">
        <f>SUBTOTAL(109,Program363[(I)
Payments
 and Offsets])</f>
        <v>-625288</v>
      </c>
      <c r="J1511" s="19">
        <f>SUBTOTAL(109,Program363[(J)
Accounts Payable Balance
(H + I)])</f>
        <v>0</v>
      </c>
      <c r="K1511" s="19">
        <f>SUBTOTAL(109,Program363[(K)
Established 
Accounts Receivable])</f>
        <v>0</v>
      </c>
      <c r="L1511" s="19">
        <f>SUBTOTAL(109,Program363[(L)
Recovered
 Accounts Receivable])</f>
        <v>0</v>
      </c>
      <c r="M1511" s="19">
        <f>SUBTOTAL(109,Program363[(M)
Accounts Receivable Balance
(K + L)])</f>
        <v>0</v>
      </c>
      <c r="N1511" s="19">
        <f>SUBTOTAL(109,Program363[(N)
Net Balance
(J minus M)])</f>
        <v>0</v>
      </c>
    </row>
    <row r="1512" spans="1:14" ht="15.75" x14ac:dyDescent="0.25">
      <c r="A1512" s="17" t="s">
        <v>13</v>
      </c>
      <c r="B1512" s="54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</row>
    <row r="1513" spans="1:14" ht="78.75" x14ac:dyDescent="0.25">
      <c r="A1513" s="39" t="s">
        <v>32</v>
      </c>
      <c r="B1513" s="40" t="s">
        <v>33</v>
      </c>
      <c r="C1513" s="41" t="s">
        <v>34</v>
      </c>
      <c r="D1513" s="41" t="s">
        <v>35</v>
      </c>
      <c r="E1513" s="42" t="s">
        <v>36</v>
      </c>
      <c r="F1513" s="42" t="s">
        <v>37</v>
      </c>
      <c r="G1513" s="42" t="s">
        <v>38</v>
      </c>
      <c r="H1513" s="43" t="s">
        <v>39</v>
      </c>
      <c r="I1513" s="44" t="s">
        <v>40</v>
      </c>
      <c r="J1513" s="44" t="s">
        <v>41</v>
      </c>
      <c r="K1513" s="42" t="s">
        <v>42</v>
      </c>
      <c r="L1513" s="44" t="s">
        <v>43</v>
      </c>
      <c r="M1513" s="44" t="s">
        <v>44</v>
      </c>
      <c r="N1513" s="45" t="s">
        <v>45</v>
      </c>
    </row>
    <row r="1514" spans="1:14" ht="30" x14ac:dyDescent="0.25">
      <c r="A1514" s="67" t="s">
        <v>285</v>
      </c>
      <c r="B1514" s="57" t="s">
        <v>50</v>
      </c>
      <c r="C1514" s="58">
        <v>641608</v>
      </c>
      <c r="D1514" s="58">
        <v>-640486</v>
      </c>
      <c r="E1514" s="58">
        <v>0</v>
      </c>
      <c r="F1514" s="58">
        <v>0</v>
      </c>
      <c r="G1514" s="58">
        <v>0</v>
      </c>
      <c r="H1514" s="58">
        <v>1122</v>
      </c>
      <c r="I1514" s="58">
        <v>0</v>
      </c>
      <c r="J1514" s="58">
        <v>1122</v>
      </c>
      <c r="K1514" s="58">
        <v>0</v>
      </c>
      <c r="L1514" s="58">
        <v>0</v>
      </c>
      <c r="M1514" s="58">
        <v>0</v>
      </c>
      <c r="N1514" s="58">
        <v>1122</v>
      </c>
    </row>
    <row r="1515" spans="1:14" ht="30" x14ac:dyDescent="0.25">
      <c r="A1515" s="68" t="s">
        <v>285</v>
      </c>
      <c r="B1515" s="60" t="s">
        <v>51</v>
      </c>
      <c r="C1515" s="61">
        <v>538415</v>
      </c>
      <c r="D1515" s="61">
        <v>-534077</v>
      </c>
      <c r="E1515" s="61">
        <v>0</v>
      </c>
      <c r="F1515" s="61">
        <v>0</v>
      </c>
      <c r="G1515" s="61">
        <v>0</v>
      </c>
      <c r="H1515" s="61">
        <v>4338</v>
      </c>
      <c r="I1515" s="61">
        <v>0</v>
      </c>
      <c r="J1515" s="61">
        <v>4338</v>
      </c>
      <c r="K1515" s="61">
        <v>0</v>
      </c>
      <c r="L1515" s="61">
        <v>0</v>
      </c>
      <c r="M1515" s="61">
        <v>0</v>
      </c>
      <c r="N1515" s="61">
        <v>4338</v>
      </c>
    </row>
    <row r="1516" spans="1:14" ht="30" x14ac:dyDescent="0.25">
      <c r="A1516" s="68" t="s">
        <v>285</v>
      </c>
      <c r="B1516" s="60" t="s">
        <v>52</v>
      </c>
      <c r="C1516" s="61">
        <v>472590</v>
      </c>
      <c r="D1516" s="61">
        <v>-471136</v>
      </c>
      <c r="E1516" s="61">
        <v>0</v>
      </c>
      <c r="F1516" s="61">
        <v>0</v>
      </c>
      <c r="G1516" s="61">
        <v>0</v>
      </c>
      <c r="H1516" s="61">
        <v>1454</v>
      </c>
      <c r="I1516" s="61">
        <v>-1454</v>
      </c>
      <c r="J1516" s="61">
        <v>0</v>
      </c>
      <c r="K1516" s="61">
        <v>569162</v>
      </c>
      <c r="L1516" s="61">
        <v>-569162</v>
      </c>
      <c r="M1516" s="61">
        <v>0</v>
      </c>
      <c r="N1516" s="61">
        <v>0</v>
      </c>
    </row>
    <row r="1517" spans="1:14" ht="30" x14ac:dyDescent="0.25">
      <c r="A1517" s="68" t="s">
        <v>285</v>
      </c>
      <c r="B1517" s="60" t="s">
        <v>53</v>
      </c>
      <c r="C1517" s="61">
        <v>518742</v>
      </c>
      <c r="D1517" s="61">
        <v>-515314</v>
      </c>
      <c r="E1517" s="61">
        <v>0</v>
      </c>
      <c r="F1517" s="61">
        <v>0</v>
      </c>
      <c r="G1517" s="61">
        <v>0</v>
      </c>
      <c r="H1517" s="61">
        <v>3428</v>
      </c>
      <c r="I1517" s="61">
        <v>-3428</v>
      </c>
      <c r="J1517" s="61">
        <v>0</v>
      </c>
      <c r="K1517" s="61">
        <v>515314</v>
      </c>
      <c r="L1517" s="61">
        <v>-515314</v>
      </c>
      <c r="M1517" s="61">
        <v>0</v>
      </c>
      <c r="N1517" s="61">
        <v>0</v>
      </c>
    </row>
    <row r="1518" spans="1:14" ht="30" x14ac:dyDescent="0.25">
      <c r="A1518" s="68" t="s">
        <v>285</v>
      </c>
      <c r="B1518" s="60" t="s">
        <v>54</v>
      </c>
      <c r="C1518" s="61">
        <v>465399</v>
      </c>
      <c r="D1518" s="61">
        <v>-456868</v>
      </c>
      <c r="E1518" s="61">
        <v>0</v>
      </c>
      <c r="F1518" s="61">
        <v>0</v>
      </c>
      <c r="G1518" s="61">
        <v>0</v>
      </c>
      <c r="H1518" s="61">
        <v>8531</v>
      </c>
      <c r="I1518" s="61">
        <v>-8531</v>
      </c>
      <c r="J1518" s="61">
        <v>0</v>
      </c>
      <c r="K1518" s="61">
        <v>456868</v>
      </c>
      <c r="L1518" s="61">
        <v>-456868</v>
      </c>
      <c r="M1518" s="61">
        <v>0</v>
      </c>
      <c r="N1518" s="61">
        <v>0</v>
      </c>
    </row>
    <row r="1519" spans="1:14" ht="30" x14ac:dyDescent="0.25">
      <c r="A1519" s="68" t="s">
        <v>285</v>
      </c>
      <c r="B1519" s="60" t="s">
        <v>55</v>
      </c>
      <c r="C1519" s="61">
        <v>522420</v>
      </c>
      <c r="D1519" s="61">
        <v>-519092</v>
      </c>
      <c r="E1519" s="61">
        <v>0</v>
      </c>
      <c r="F1519" s="61">
        <v>0</v>
      </c>
      <c r="G1519" s="61">
        <v>0</v>
      </c>
      <c r="H1519" s="61">
        <v>3328</v>
      </c>
      <c r="I1519" s="61">
        <v>-3328</v>
      </c>
      <c r="J1519" s="61">
        <v>0</v>
      </c>
      <c r="K1519" s="61">
        <v>519092</v>
      </c>
      <c r="L1519" s="61">
        <v>-519092</v>
      </c>
      <c r="M1519" s="61">
        <v>0</v>
      </c>
      <c r="N1519" s="61">
        <v>0</v>
      </c>
    </row>
    <row r="1520" spans="1:14" ht="30" x14ac:dyDescent="0.25">
      <c r="A1520" s="68" t="s">
        <v>285</v>
      </c>
      <c r="B1520" s="60" t="s">
        <v>56</v>
      </c>
      <c r="C1520" s="61">
        <v>526592</v>
      </c>
      <c r="D1520" s="61">
        <v>-522802</v>
      </c>
      <c r="E1520" s="61">
        <v>0</v>
      </c>
      <c r="F1520" s="61">
        <v>0</v>
      </c>
      <c r="G1520" s="61">
        <v>0</v>
      </c>
      <c r="H1520" s="61">
        <v>3790</v>
      </c>
      <c r="I1520" s="61">
        <v>-3790</v>
      </c>
      <c r="J1520" s="61">
        <v>0</v>
      </c>
      <c r="K1520" s="61">
        <v>522802</v>
      </c>
      <c r="L1520" s="61">
        <v>-522802</v>
      </c>
      <c r="M1520" s="61">
        <v>0</v>
      </c>
      <c r="N1520" s="61">
        <v>0</v>
      </c>
    </row>
    <row r="1521" spans="1:14" ht="30" x14ac:dyDescent="0.25">
      <c r="A1521" s="68" t="s">
        <v>285</v>
      </c>
      <c r="B1521" s="60" t="s">
        <v>57</v>
      </c>
      <c r="C1521" s="61">
        <v>506833</v>
      </c>
      <c r="D1521" s="61">
        <v>-504671</v>
      </c>
      <c r="E1521" s="61">
        <v>0</v>
      </c>
      <c r="F1521" s="61">
        <v>0</v>
      </c>
      <c r="G1521" s="61">
        <v>0</v>
      </c>
      <c r="H1521" s="61">
        <v>2162</v>
      </c>
      <c r="I1521" s="61">
        <v>-2162</v>
      </c>
      <c r="J1521" s="61">
        <v>0</v>
      </c>
      <c r="K1521" s="61">
        <v>504671</v>
      </c>
      <c r="L1521" s="61">
        <v>-504671</v>
      </c>
      <c r="M1521" s="61">
        <v>0</v>
      </c>
      <c r="N1521" s="61">
        <v>0</v>
      </c>
    </row>
    <row r="1522" spans="1:14" ht="30" x14ac:dyDescent="0.25">
      <c r="A1522" s="68" t="s">
        <v>285</v>
      </c>
      <c r="B1522" s="60" t="s">
        <v>58</v>
      </c>
      <c r="C1522" s="61">
        <v>243898</v>
      </c>
      <c r="D1522" s="61">
        <v>0</v>
      </c>
      <c r="E1522" s="61">
        <v>0</v>
      </c>
      <c r="F1522" s="61">
        <v>0</v>
      </c>
      <c r="G1522" s="61">
        <v>0</v>
      </c>
      <c r="H1522" s="61">
        <v>243898</v>
      </c>
      <c r="I1522" s="61">
        <v>-243898</v>
      </c>
      <c r="J1522" s="61">
        <v>0</v>
      </c>
      <c r="K1522" s="61">
        <v>0</v>
      </c>
      <c r="L1522" s="61">
        <v>0</v>
      </c>
      <c r="M1522" s="61">
        <v>0</v>
      </c>
      <c r="N1522" s="61">
        <v>0</v>
      </c>
    </row>
    <row r="1523" spans="1:14" ht="15.75" x14ac:dyDescent="0.25">
      <c r="A1523" s="52" t="s">
        <v>286</v>
      </c>
      <c r="B1523" s="53" t="s">
        <v>8</v>
      </c>
      <c r="C1523" s="19">
        <f>SUBTOTAL(109,Program255[(C)
Program
Costs])</f>
        <v>4436497</v>
      </c>
      <c r="D1523" s="19">
        <f>SUBTOTAL(109,Program255[(D)
Prior Period Adjustments])</f>
        <v>-4164446</v>
      </c>
      <c r="E1523" s="19">
        <f>SUBTOTAL(109,Program255[(E)
Current Period Desk 
Reviews])</f>
        <v>0</v>
      </c>
      <c r="F1523" s="19">
        <f>SUBTOTAL(109,Program255[(F)
Current Period 
Final 
Audits])</f>
        <v>0</v>
      </c>
      <c r="G1523" s="19">
        <f>SUBTOTAL(109,Program255[(G)
Current Period 
Other Adjustments])</f>
        <v>0</v>
      </c>
      <c r="H1523" s="19">
        <f>SUBTOTAL(109,Program255[(H)
Net Program Costs
Sum (C through G)])</f>
        <v>272051</v>
      </c>
      <c r="I1523" s="19">
        <f>SUBTOTAL(109,Program255[(I)
Payments
 and Offsets])</f>
        <v>-266591</v>
      </c>
      <c r="J1523" s="19">
        <f>SUBTOTAL(109,Program255[(J)
Accounts Payable Balance
(H + I)])</f>
        <v>5460</v>
      </c>
      <c r="K1523" s="19">
        <f>SUBTOTAL(109,Program255[(K)
Established 
Accounts Receivable])</f>
        <v>3087909</v>
      </c>
      <c r="L1523" s="19">
        <f>SUBTOTAL(109,Program255[(L)
Recovered
 Accounts Receivable])</f>
        <v>-3087909</v>
      </c>
      <c r="M1523" s="19">
        <f>SUBTOTAL(109,Program255[(M)
Accounts Receivable Balance
(K + L)])</f>
        <v>0</v>
      </c>
      <c r="N1523" s="19">
        <f>SUBTOTAL(109,Program255[(N)
Net Balance
(J minus M)])</f>
        <v>5460</v>
      </c>
    </row>
    <row r="1524" spans="1:14" ht="15.75" x14ac:dyDescent="0.25">
      <c r="A1524" s="17" t="s">
        <v>13</v>
      </c>
      <c r="B1524" s="54"/>
      <c r="C1524" s="55"/>
      <c r="D1524" s="55"/>
      <c r="E1524" s="55"/>
      <c r="F1524" s="55"/>
      <c r="G1524" s="55"/>
      <c r="H1524" s="55"/>
      <c r="I1524" s="55"/>
      <c r="J1524" s="55"/>
      <c r="K1524" s="55"/>
      <c r="L1524" s="55"/>
      <c r="M1524" s="55"/>
      <c r="N1524" s="55"/>
    </row>
    <row r="1525" spans="1:14" ht="78.75" x14ac:dyDescent="0.25">
      <c r="A1525" s="39" t="s">
        <v>32</v>
      </c>
      <c r="B1525" s="40" t="s">
        <v>33</v>
      </c>
      <c r="C1525" s="41" t="s">
        <v>34</v>
      </c>
      <c r="D1525" s="41" t="s">
        <v>35</v>
      </c>
      <c r="E1525" s="42" t="s">
        <v>36</v>
      </c>
      <c r="F1525" s="42" t="s">
        <v>37</v>
      </c>
      <c r="G1525" s="42" t="s">
        <v>38</v>
      </c>
      <c r="H1525" s="43" t="s">
        <v>39</v>
      </c>
      <c r="I1525" s="44" t="s">
        <v>40</v>
      </c>
      <c r="J1525" s="44" t="s">
        <v>41</v>
      </c>
      <c r="K1525" s="42" t="s">
        <v>42</v>
      </c>
      <c r="L1525" s="44" t="s">
        <v>43</v>
      </c>
      <c r="M1525" s="44" t="s">
        <v>44</v>
      </c>
      <c r="N1525" s="45" t="s">
        <v>45</v>
      </c>
    </row>
    <row r="1526" spans="1:14" ht="15.75" x14ac:dyDescent="0.25">
      <c r="A1526" s="46" t="s">
        <v>287</v>
      </c>
      <c r="B1526" s="47" t="s">
        <v>55</v>
      </c>
      <c r="C1526" s="48">
        <v>170703</v>
      </c>
      <c r="D1526" s="48">
        <v>0</v>
      </c>
      <c r="E1526" s="48">
        <v>0</v>
      </c>
      <c r="F1526" s="48">
        <v>0</v>
      </c>
      <c r="G1526" s="48">
        <v>0</v>
      </c>
      <c r="H1526" s="48">
        <v>170703</v>
      </c>
      <c r="I1526" s="48">
        <v>-170703</v>
      </c>
      <c r="J1526" s="48">
        <v>0</v>
      </c>
      <c r="K1526" s="48">
        <v>0</v>
      </c>
      <c r="L1526" s="48">
        <v>0</v>
      </c>
      <c r="M1526" s="48">
        <v>0</v>
      </c>
      <c r="N1526" s="48">
        <v>0</v>
      </c>
    </row>
    <row r="1527" spans="1:14" ht="15.75" x14ac:dyDescent="0.25">
      <c r="A1527" s="49" t="s">
        <v>287</v>
      </c>
      <c r="B1527" s="50" t="s">
        <v>57</v>
      </c>
      <c r="C1527" s="51">
        <v>163639</v>
      </c>
      <c r="D1527" s="51">
        <v>-163639</v>
      </c>
      <c r="E1527" s="51">
        <v>0</v>
      </c>
      <c r="F1527" s="51">
        <v>0</v>
      </c>
      <c r="G1527" s="51">
        <v>0</v>
      </c>
      <c r="H1527" s="51">
        <v>0</v>
      </c>
      <c r="I1527" s="51">
        <v>0</v>
      </c>
      <c r="J1527" s="51">
        <v>0</v>
      </c>
      <c r="K1527" s="51">
        <v>0</v>
      </c>
      <c r="L1527" s="51">
        <v>0</v>
      </c>
      <c r="M1527" s="51">
        <v>0</v>
      </c>
      <c r="N1527" s="51">
        <v>0</v>
      </c>
    </row>
    <row r="1528" spans="1:14" ht="15.75" x14ac:dyDescent="0.25">
      <c r="A1528" s="49" t="s">
        <v>287</v>
      </c>
      <c r="B1528" s="50" t="s">
        <v>58</v>
      </c>
      <c r="C1528" s="51">
        <v>7168</v>
      </c>
      <c r="D1528" s="51">
        <v>0</v>
      </c>
      <c r="E1528" s="51">
        <v>0</v>
      </c>
      <c r="F1528" s="51">
        <v>0</v>
      </c>
      <c r="G1528" s="51">
        <v>0</v>
      </c>
      <c r="H1528" s="51">
        <v>7168</v>
      </c>
      <c r="I1528" s="51">
        <v>-7168</v>
      </c>
      <c r="J1528" s="51">
        <v>0</v>
      </c>
      <c r="K1528" s="51">
        <v>0</v>
      </c>
      <c r="L1528" s="51">
        <v>0</v>
      </c>
      <c r="M1528" s="51">
        <v>0</v>
      </c>
      <c r="N1528" s="51">
        <v>0</v>
      </c>
    </row>
    <row r="1529" spans="1:14" ht="15.75" x14ac:dyDescent="0.25">
      <c r="A1529" s="49" t="s">
        <v>287</v>
      </c>
      <c r="B1529" s="50" t="s">
        <v>59</v>
      </c>
      <c r="C1529" s="51">
        <v>1360934</v>
      </c>
      <c r="D1529" s="51">
        <v>-44306</v>
      </c>
      <c r="E1529" s="51">
        <v>0</v>
      </c>
      <c r="F1529" s="51">
        <v>0</v>
      </c>
      <c r="G1529" s="51">
        <v>0</v>
      </c>
      <c r="H1529" s="51">
        <v>1316628</v>
      </c>
      <c r="I1529" s="51">
        <v>-1316628</v>
      </c>
      <c r="J1529" s="51">
        <v>0</v>
      </c>
      <c r="K1529" s="51">
        <v>0</v>
      </c>
      <c r="L1529" s="51">
        <v>0</v>
      </c>
      <c r="M1529" s="51">
        <v>0</v>
      </c>
      <c r="N1529" s="51">
        <v>0</v>
      </c>
    </row>
    <row r="1530" spans="1:14" ht="15.75" x14ac:dyDescent="0.25">
      <c r="A1530" s="52" t="s">
        <v>288</v>
      </c>
      <c r="B1530" s="53" t="s">
        <v>8</v>
      </c>
      <c r="C1530" s="19">
        <f>SUBTOTAL(109,Program222[(C)
Program
Costs])</f>
        <v>1702444</v>
      </c>
      <c r="D1530" s="19">
        <f>SUBTOTAL(109,Program222[(D)
Prior Period Adjustments])</f>
        <v>-207945</v>
      </c>
      <c r="E1530" s="19">
        <f>SUBTOTAL(109,Program222[(E)
Current Period Desk 
Reviews])</f>
        <v>0</v>
      </c>
      <c r="F1530" s="19">
        <f>SUBTOTAL(109,Program222[(F)
Current Period 
Final 
Audits])</f>
        <v>0</v>
      </c>
      <c r="G1530" s="19">
        <f>SUBTOTAL(109,Program222[(G)
Current Period 
Other Adjustments])</f>
        <v>0</v>
      </c>
      <c r="H1530" s="19">
        <f>SUBTOTAL(109,Program222[(H)
Net Program Costs
Sum (C through G)])</f>
        <v>1494499</v>
      </c>
      <c r="I1530" s="19">
        <f>SUBTOTAL(109,Program222[(I)
Payments
 and Offsets])</f>
        <v>-1494499</v>
      </c>
      <c r="J1530" s="19">
        <f>SUBTOTAL(109,Program222[(J)
Accounts Payable Balance
(H + I)])</f>
        <v>0</v>
      </c>
      <c r="K1530" s="19">
        <f>SUBTOTAL(109,Program222[(K)
Established 
Accounts Receivable])</f>
        <v>0</v>
      </c>
      <c r="L1530" s="19">
        <f>SUBTOTAL(109,Program222[(L)
Recovered
 Accounts Receivable])</f>
        <v>0</v>
      </c>
      <c r="M1530" s="19">
        <f>SUBTOTAL(109,Program222[(M)
Accounts Receivable Balance
(K + L)])</f>
        <v>0</v>
      </c>
      <c r="N1530" s="19">
        <f>SUBTOTAL(109,Program222[(N)
Net Balance
(J minus M)])</f>
        <v>0</v>
      </c>
    </row>
    <row r="1531" spans="1:14" ht="15.75" x14ac:dyDescent="0.25">
      <c r="A1531" s="17" t="s">
        <v>13</v>
      </c>
      <c r="B1531" s="54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78.75" x14ac:dyDescent="0.25">
      <c r="A1532" s="39" t="s">
        <v>32</v>
      </c>
      <c r="B1532" s="40" t="s">
        <v>33</v>
      </c>
      <c r="C1532" s="41" t="s">
        <v>34</v>
      </c>
      <c r="D1532" s="41" t="s">
        <v>35</v>
      </c>
      <c r="E1532" s="42" t="s">
        <v>36</v>
      </c>
      <c r="F1532" s="42" t="s">
        <v>37</v>
      </c>
      <c r="G1532" s="42" t="s">
        <v>38</v>
      </c>
      <c r="H1532" s="43" t="s">
        <v>39</v>
      </c>
      <c r="I1532" s="44" t="s">
        <v>40</v>
      </c>
      <c r="J1532" s="44" t="s">
        <v>41</v>
      </c>
      <c r="K1532" s="42" t="s">
        <v>42</v>
      </c>
      <c r="L1532" s="44" t="s">
        <v>43</v>
      </c>
      <c r="M1532" s="44" t="s">
        <v>44</v>
      </c>
      <c r="N1532" s="45" t="s">
        <v>45</v>
      </c>
    </row>
    <row r="1533" spans="1:14" ht="15.75" x14ac:dyDescent="0.25">
      <c r="A1533" s="46" t="s">
        <v>289</v>
      </c>
      <c r="B1533" s="47" t="s">
        <v>54</v>
      </c>
      <c r="C1533" s="48">
        <v>3680040</v>
      </c>
      <c r="D1533" s="48">
        <v>-6501</v>
      </c>
      <c r="E1533" s="48">
        <v>0</v>
      </c>
      <c r="F1533" s="48">
        <v>0</v>
      </c>
      <c r="G1533" s="48">
        <v>0</v>
      </c>
      <c r="H1533" s="48">
        <v>3673539</v>
      </c>
      <c r="I1533" s="48">
        <v>-3673539</v>
      </c>
      <c r="J1533" s="48">
        <v>0</v>
      </c>
      <c r="K1533" s="48">
        <v>5501</v>
      </c>
      <c r="L1533" s="48">
        <v>-5501</v>
      </c>
      <c r="M1533" s="48">
        <v>0</v>
      </c>
      <c r="N1533" s="48">
        <v>0</v>
      </c>
    </row>
    <row r="1534" spans="1:14" ht="15.75" x14ac:dyDescent="0.25">
      <c r="A1534" s="49" t="s">
        <v>289</v>
      </c>
      <c r="B1534" s="50" t="s">
        <v>55</v>
      </c>
      <c r="C1534" s="51">
        <v>2914936</v>
      </c>
      <c r="D1534" s="51">
        <v>-9061</v>
      </c>
      <c r="E1534" s="51">
        <v>0</v>
      </c>
      <c r="F1534" s="51">
        <v>0</v>
      </c>
      <c r="G1534" s="51">
        <v>0</v>
      </c>
      <c r="H1534" s="51">
        <v>2905875</v>
      </c>
      <c r="I1534" s="51">
        <v>-2905875</v>
      </c>
      <c r="J1534" s="51">
        <v>0</v>
      </c>
      <c r="K1534" s="51">
        <v>0</v>
      </c>
      <c r="L1534" s="51">
        <v>0</v>
      </c>
      <c r="M1534" s="51">
        <v>0</v>
      </c>
      <c r="N1534" s="51">
        <v>0</v>
      </c>
    </row>
    <row r="1535" spans="1:14" ht="15.75" x14ac:dyDescent="0.25">
      <c r="A1535" s="49" t="s">
        <v>289</v>
      </c>
      <c r="B1535" s="50" t="s">
        <v>56</v>
      </c>
      <c r="C1535" s="51">
        <v>2792636</v>
      </c>
      <c r="D1535" s="51">
        <v>-2036</v>
      </c>
      <c r="E1535" s="51">
        <v>0</v>
      </c>
      <c r="F1535" s="51">
        <v>0</v>
      </c>
      <c r="G1535" s="51">
        <v>0</v>
      </c>
      <c r="H1535" s="51">
        <v>2790600</v>
      </c>
      <c r="I1535" s="51">
        <v>-2790600</v>
      </c>
      <c r="J1535" s="51">
        <v>0</v>
      </c>
      <c r="K1535" s="51">
        <v>1</v>
      </c>
      <c r="L1535" s="51">
        <v>-1</v>
      </c>
      <c r="M1535" s="51">
        <v>0</v>
      </c>
      <c r="N1535" s="51">
        <v>0</v>
      </c>
    </row>
    <row r="1536" spans="1:14" ht="15.75" x14ac:dyDescent="0.25">
      <c r="A1536" s="49" t="s">
        <v>289</v>
      </c>
      <c r="B1536" s="50" t="s">
        <v>57</v>
      </c>
      <c r="C1536" s="51">
        <v>2272112</v>
      </c>
      <c r="D1536" s="51">
        <v>-17116</v>
      </c>
      <c r="E1536" s="51">
        <v>0</v>
      </c>
      <c r="F1536" s="51">
        <v>0</v>
      </c>
      <c r="G1536" s="51">
        <v>0</v>
      </c>
      <c r="H1536" s="51">
        <v>2254996</v>
      </c>
      <c r="I1536" s="51">
        <v>-2254996</v>
      </c>
      <c r="J1536" s="51">
        <v>0</v>
      </c>
      <c r="K1536" s="51">
        <v>186548</v>
      </c>
      <c r="L1536" s="51">
        <v>-186548</v>
      </c>
      <c r="M1536" s="51">
        <v>0</v>
      </c>
      <c r="N1536" s="51">
        <v>0</v>
      </c>
    </row>
    <row r="1537" spans="1:14" ht="15.75" x14ac:dyDescent="0.25">
      <c r="A1537" s="49" t="s">
        <v>289</v>
      </c>
      <c r="B1537" s="50" t="s">
        <v>58</v>
      </c>
      <c r="C1537" s="51">
        <v>2357820</v>
      </c>
      <c r="D1537" s="51">
        <v>-61255</v>
      </c>
      <c r="E1537" s="51">
        <v>0</v>
      </c>
      <c r="F1537" s="51">
        <v>0</v>
      </c>
      <c r="G1537" s="51">
        <v>0</v>
      </c>
      <c r="H1537" s="51">
        <v>2296565</v>
      </c>
      <c r="I1537" s="51">
        <v>-2296565</v>
      </c>
      <c r="J1537" s="51">
        <v>0</v>
      </c>
      <c r="K1537" s="51">
        <v>476975</v>
      </c>
      <c r="L1537" s="51">
        <v>-476975</v>
      </c>
      <c r="M1537" s="51">
        <v>0</v>
      </c>
      <c r="N1537" s="51">
        <v>0</v>
      </c>
    </row>
    <row r="1538" spans="1:14" ht="15.75" x14ac:dyDescent="0.25">
      <c r="A1538" s="49" t="s">
        <v>289</v>
      </c>
      <c r="B1538" s="50" t="s">
        <v>59</v>
      </c>
      <c r="C1538" s="51">
        <v>2182090</v>
      </c>
      <c r="D1538" s="51">
        <v>-54263</v>
      </c>
      <c r="E1538" s="51">
        <v>0</v>
      </c>
      <c r="F1538" s="51">
        <v>0</v>
      </c>
      <c r="G1538" s="51">
        <v>0</v>
      </c>
      <c r="H1538" s="51">
        <v>2127827</v>
      </c>
      <c r="I1538" s="51">
        <v>-2127827</v>
      </c>
      <c r="J1538" s="51">
        <v>0</v>
      </c>
      <c r="K1538" s="51">
        <v>320053</v>
      </c>
      <c r="L1538" s="51">
        <v>-320053</v>
      </c>
      <c r="M1538" s="51">
        <v>0</v>
      </c>
      <c r="N1538" s="51">
        <v>0</v>
      </c>
    </row>
    <row r="1539" spans="1:14" ht="15.75" x14ac:dyDescent="0.25">
      <c r="A1539" s="49" t="s">
        <v>289</v>
      </c>
      <c r="B1539" s="50" t="s">
        <v>60</v>
      </c>
      <c r="C1539" s="51">
        <v>2253749</v>
      </c>
      <c r="D1539" s="51">
        <v>-79079</v>
      </c>
      <c r="E1539" s="51">
        <v>0</v>
      </c>
      <c r="F1539" s="51">
        <v>0</v>
      </c>
      <c r="G1539" s="51">
        <v>0</v>
      </c>
      <c r="H1539" s="51">
        <v>2174670</v>
      </c>
      <c r="I1539" s="51">
        <v>-2174670</v>
      </c>
      <c r="J1539" s="51">
        <v>0</v>
      </c>
      <c r="K1539" s="51">
        <v>102219</v>
      </c>
      <c r="L1539" s="51">
        <v>-102219</v>
      </c>
      <c r="M1539" s="51">
        <v>0</v>
      </c>
      <c r="N1539" s="51">
        <v>0</v>
      </c>
    </row>
    <row r="1540" spans="1:14" ht="15.75" x14ac:dyDescent="0.25">
      <c r="A1540" s="49" t="s">
        <v>289</v>
      </c>
      <c r="B1540" s="50" t="s">
        <v>61</v>
      </c>
      <c r="C1540" s="51">
        <v>1620431</v>
      </c>
      <c r="D1540" s="51">
        <v>-3697</v>
      </c>
      <c r="E1540" s="51">
        <v>0</v>
      </c>
      <c r="F1540" s="51">
        <v>0</v>
      </c>
      <c r="G1540" s="51">
        <v>0</v>
      </c>
      <c r="H1540" s="51">
        <v>1616734</v>
      </c>
      <c r="I1540" s="51">
        <v>-1616734</v>
      </c>
      <c r="J1540" s="51">
        <v>0</v>
      </c>
      <c r="K1540" s="51">
        <v>98438</v>
      </c>
      <c r="L1540" s="51">
        <v>-98438</v>
      </c>
      <c r="M1540" s="51">
        <v>0</v>
      </c>
      <c r="N1540" s="51">
        <v>0</v>
      </c>
    </row>
    <row r="1541" spans="1:14" ht="15.75" x14ac:dyDescent="0.25">
      <c r="A1541" s="49" t="s">
        <v>289</v>
      </c>
      <c r="B1541" s="50" t="s">
        <v>62</v>
      </c>
      <c r="C1541" s="51">
        <v>1129898</v>
      </c>
      <c r="D1541" s="51">
        <v>-4076</v>
      </c>
      <c r="E1541" s="51">
        <v>0</v>
      </c>
      <c r="F1541" s="51">
        <v>0</v>
      </c>
      <c r="G1541" s="51">
        <v>0</v>
      </c>
      <c r="H1541" s="51">
        <v>1125822</v>
      </c>
      <c r="I1541" s="51">
        <v>-1125822</v>
      </c>
      <c r="J1541" s="51">
        <v>0</v>
      </c>
      <c r="K1541" s="51">
        <v>0</v>
      </c>
      <c r="L1541" s="51">
        <v>0</v>
      </c>
      <c r="M1541" s="51">
        <v>0</v>
      </c>
      <c r="N1541" s="51">
        <v>0</v>
      </c>
    </row>
    <row r="1542" spans="1:14" ht="15.75" x14ac:dyDescent="0.25">
      <c r="A1542" s="49" t="s">
        <v>289</v>
      </c>
      <c r="B1542" s="50" t="s">
        <v>63</v>
      </c>
      <c r="C1542" s="51">
        <v>999325</v>
      </c>
      <c r="D1542" s="51">
        <v>-5027</v>
      </c>
      <c r="E1542" s="51">
        <v>0</v>
      </c>
      <c r="F1542" s="51">
        <v>0</v>
      </c>
      <c r="G1542" s="51">
        <v>0</v>
      </c>
      <c r="H1542" s="51">
        <v>994298</v>
      </c>
      <c r="I1542" s="51">
        <v>-994298</v>
      </c>
      <c r="J1542" s="51">
        <v>0</v>
      </c>
      <c r="K1542" s="51">
        <v>0</v>
      </c>
      <c r="L1542" s="51">
        <v>0</v>
      </c>
      <c r="M1542" s="51">
        <v>0</v>
      </c>
      <c r="N1542" s="51">
        <v>0</v>
      </c>
    </row>
    <row r="1543" spans="1:14" ht="15.75" x14ac:dyDescent="0.25">
      <c r="A1543" s="49" t="s">
        <v>289</v>
      </c>
      <c r="B1543" s="50" t="s">
        <v>64</v>
      </c>
      <c r="C1543" s="51">
        <v>604614</v>
      </c>
      <c r="D1543" s="51">
        <v>-3999</v>
      </c>
      <c r="E1543" s="51">
        <v>0</v>
      </c>
      <c r="F1543" s="51">
        <v>0</v>
      </c>
      <c r="G1543" s="51">
        <v>0</v>
      </c>
      <c r="H1543" s="51">
        <v>600615</v>
      </c>
      <c r="I1543" s="51">
        <v>-600615</v>
      </c>
      <c r="J1543" s="51">
        <v>0</v>
      </c>
      <c r="K1543" s="51">
        <v>0</v>
      </c>
      <c r="L1543" s="51">
        <v>0</v>
      </c>
      <c r="M1543" s="51">
        <v>0</v>
      </c>
      <c r="N1543" s="51">
        <v>0</v>
      </c>
    </row>
    <row r="1544" spans="1:14" ht="15.75" x14ac:dyDescent="0.25">
      <c r="A1544" s="49" t="s">
        <v>289</v>
      </c>
      <c r="B1544" s="50" t="s">
        <v>65</v>
      </c>
      <c r="C1544" s="51">
        <v>599855</v>
      </c>
      <c r="D1544" s="51">
        <v>-3745</v>
      </c>
      <c r="E1544" s="51">
        <v>0</v>
      </c>
      <c r="F1544" s="51">
        <v>0</v>
      </c>
      <c r="G1544" s="51">
        <v>0</v>
      </c>
      <c r="H1544" s="51">
        <v>596110</v>
      </c>
      <c r="I1544" s="51">
        <v>-596110</v>
      </c>
      <c r="J1544" s="51">
        <v>0</v>
      </c>
      <c r="K1544" s="51">
        <v>0</v>
      </c>
      <c r="L1544" s="51">
        <v>0</v>
      </c>
      <c r="M1544" s="51">
        <v>0</v>
      </c>
      <c r="N1544" s="51">
        <v>0</v>
      </c>
    </row>
    <row r="1545" spans="1:14" ht="15.75" x14ac:dyDescent="0.25">
      <c r="A1545" s="49" t="s">
        <v>289</v>
      </c>
      <c r="B1545" s="50" t="s">
        <v>66</v>
      </c>
      <c r="C1545" s="51">
        <v>484808</v>
      </c>
      <c r="D1545" s="51">
        <v>-4204</v>
      </c>
      <c r="E1545" s="51">
        <v>0</v>
      </c>
      <c r="F1545" s="51">
        <v>0</v>
      </c>
      <c r="G1545" s="51">
        <v>0</v>
      </c>
      <c r="H1545" s="51">
        <v>480604</v>
      </c>
      <c r="I1545" s="51">
        <v>-480604</v>
      </c>
      <c r="J1545" s="51">
        <v>0</v>
      </c>
      <c r="K1545" s="51">
        <v>0</v>
      </c>
      <c r="L1545" s="51">
        <v>0</v>
      </c>
      <c r="M1545" s="51">
        <v>0</v>
      </c>
      <c r="N1545" s="51">
        <v>0</v>
      </c>
    </row>
    <row r="1546" spans="1:14" ht="15.75" x14ac:dyDescent="0.25">
      <c r="A1546" s="49" t="s">
        <v>289</v>
      </c>
      <c r="B1546" s="50" t="s">
        <v>67</v>
      </c>
      <c r="C1546" s="51">
        <v>93444</v>
      </c>
      <c r="D1546" s="51">
        <v>-243</v>
      </c>
      <c r="E1546" s="51">
        <v>0</v>
      </c>
      <c r="F1546" s="51">
        <v>0</v>
      </c>
      <c r="G1546" s="51">
        <v>0</v>
      </c>
      <c r="H1546" s="51">
        <v>93201</v>
      </c>
      <c r="I1546" s="51">
        <v>-93201</v>
      </c>
      <c r="J1546" s="51">
        <v>0</v>
      </c>
      <c r="K1546" s="51">
        <v>0</v>
      </c>
      <c r="L1546" s="51">
        <v>0</v>
      </c>
      <c r="M1546" s="51">
        <v>0</v>
      </c>
      <c r="N1546" s="51">
        <v>0</v>
      </c>
    </row>
    <row r="1547" spans="1:14" ht="15.75" x14ac:dyDescent="0.25">
      <c r="A1547" s="52" t="s">
        <v>290</v>
      </c>
      <c r="B1547" s="53" t="s">
        <v>8</v>
      </c>
      <c r="C1547" s="19">
        <f>SUBTOTAL(109,Program128[(C)
Program
Costs])</f>
        <v>23985758</v>
      </c>
      <c r="D1547" s="19">
        <f>SUBTOTAL(109,Program128[(D)
Prior Period Adjustments])</f>
        <v>-254302</v>
      </c>
      <c r="E1547" s="19">
        <f>SUBTOTAL(109,Program128[(E)
Current Period Desk 
Reviews])</f>
        <v>0</v>
      </c>
      <c r="F1547" s="19">
        <f>SUBTOTAL(109,Program128[(F)
Current Period 
Final 
Audits])</f>
        <v>0</v>
      </c>
      <c r="G1547" s="19">
        <f>SUBTOTAL(109,Program128[(G)
Current Period 
Other Adjustments])</f>
        <v>0</v>
      </c>
      <c r="H1547" s="19">
        <f>SUBTOTAL(109,Program128[(H)
Net Program Costs
Sum (C through G)])</f>
        <v>23731456</v>
      </c>
      <c r="I1547" s="19">
        <f>SUBTOTAL(109,Program128[(I)
Payments
 and Offsets])</f>
        <v>-23731456</v>
      </c>
      <c r="J1547" s="19">
        <f>SUBTOTAL(109,Program128[(J)
Accounts Payable Balance
(H + I)])</f>
        <v>0</v>
      </c>
      <c r="K1547" s="19">
        <f>SUBTOTAL(109,Program128[(K)
Established 
Accounts Receivable])</f>
        <v>1189735</v>
      </c>
      <c r="L1547" s="19">
        <f>SUBTOTAL(109,Program128[(L)
Recovered
 Accounts Receivable])</f>
        <v>-1189735</v>
      </c>
      <c r="M1547" s="19">
        <f>SUBTOTAL(109,Program128[(M)
Accounts Receivable Balance
(K + L)])</f>
        <v>0</v>
      </c>
      <c r="N1547" s="19">
        <f>SUBTOTAL(109,Program128[(N)
Net Balance
(J minus M)])</f>
        <v>0</v>
      </c>
    </row>
    <row r="1548" spans="1:14" ht="15.75" x14ac:dyDescent="0.25">
      <c r="A1548" s="17" t="s">
        <v>13</v>
      </c>
      <c r="B1548" s="54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78.75" x14ac:dyDescent="0.25">
      <c r="A1549" s="39" t="s">
        <v>32</v>
      </c>
      <c r="B1549" s="40" t="s">
        <v>33</v>
      </c>
      <c r="C1549" s="41" t="s">
        <v>34</v>
      </c>
      <c r="D1549" s="41" t="s">
        <v>35</v>
      </c>
      <c r="E1549" s="42" t="s">
        <v>36</v>
      </c>
      <c r="F1549" s="42" t="s">
        <v>37</v>
      </c>
      <c r="G1549" s="42" t="s">
        <v>38</v>
      </c>
      <c r="H1549" s="43" t="s">
        <v>39</v>
      </c>
      <c r="I1549" s="44" t="s">
        <v>40</v>
      </c>
      <c r="J1549" s="44" t="s">
        <v>41</v>
      </c>
      <c r="K1549" s="42" t="s">
        <v>42</v>
      </c>
      <c r="L1549" s="44" t="s">
        <v>43</v>
      </c>
      <c r="M1549" s="44" t="s">
        <v>44</v>
      </c>
      <c r="N1549" s="45" t="s">
        <v>45</v>
      </c>
    </row>
    <row r="1550" spans="1:14" ht="15.75" x14ac:dyDescent="0.25">
      <c r="A1550" s="46" t="s">
        <v>291</v>
      </c>
      <c r="B1550" s="47" t="s">
        <v>60</v>
      </c>
      <c r="C1550" s="48">
        <v>8856</v>
      </c>
      <c r="D1550" s="48">
        <v>0</v>
      </c>
      <c r="E1550" s="48">
        <v>0</v>
      </c>
      <c r="F1550" s="48">
        <v>0</v>
      </c>
      <c r="G1550" s="48">
        <v>0</v>
      </c>
      <c r="H1550" s="48">
        <v>8856</v>
      </c>
      <c r="I1550" s="48">
        <v>-8856</v>
      </c>
      <c r="J1550" s="48">
        <v>0</v>
      </c>
      <c r="K1550" s="48">
        <v>0</v>
      </c>
      <c r="L1550" s="48">
        <v>0</v>
      </c>
      <c r="M1550" s="48">
        <v>0</v>
      </c>
      <c r="N1550" s="48">
        <v>0</v>
      </c>
    </row>
    <row r="1551" spans="1:14" ht="15.75" x14ac:dyDescent="0.25">
      <c r="A1551" s="49" t="s">
        <v>291</v>
      </c>
      <c r="B1551" s="50" t="s">
        <v>61</v>
      </c>
      <c r="C1551" s="51">
        <v>15506</v>
      </c>
      <c r="D1551" s="51">
        <v>-699</v>
      </c>
      <c r="E1551" s="51">
        <v>0</v>
      </c>
      <c r="F1551" s="51">
        <v>0</v>
      </c>
      <c r="G1551" s="51">
        <v>0</v>
      </c>
      <c r="H1551" s="51">
        <v>14807</v>
      </c>
      <c r="I1551" s="51">
        <v>-14807</v>
      </c>
      <c r="J1551" s="51">
        <v>0</v>
      </c>
      <c r="K1551" s="51">
        <v>0</v>
      </c>
      <c r="L1551" s="51">
        <v>0</v>
      </c>
      <c r="M1551" s="51">
        <v>0</v>
      </c>
      <c r="N1551" s="51">
        <v>0</v>
      </c>
    </row>
    <row r="1552" spans="1:14" ht="15.75" x14ac:dyDescent="0.25">
      <c r="A1552" s="49" t="s">
        <v>291</v>
      </c>
      <c r="B1552" s="50" t="s">
        <v>66</v>
      </c>
      <c r="C1552" s="51">
        <v>40223</v>
      </c>
      <c r="D1552" s="51">
        <v>-22</v>
      </c>
      <c r="E1552" s="51">
        <v>0</v>
      </c>
      <c r="F1552" s="51">
        <v>0</v>
      </c>
      <c r="G1552" s="51">
        <v>0</v>
      </c>
      <c r="H1552" s="51">
        <v>40201</v>
      </c>
      <c r="I1552" s="51">
        <v>-40201</v>
      </c>
      <c r="J1552" s="51">
        <v>0</v>
      </c>
      <c r="K1552" s="51">
        <v>0</v>
      </c>
      <c r="L1552" s="51">
        <v>0</v>
      </c>
      <c r="M1552" s="51">
        <v>0</v>
      </c>
      <c r="N1552" s="51">
        <v>0</v>
      </c>
    </row>
    <row r="1553" spans="1:14" ht="15.75" x14ac:dyDescent="0.25">
      <c r="A1553" s="49" t="s">
        <v>291</v>
      </c>
      <c r="B1553" s="50" t="s">
        <v>67</v>
      </c>
      <c r="C1553" s="51">
        <v>258945</v>
      </c>
      <c r="D1553" s="51">
        <v>-62395</v>
      </c>
      <c r="E1553" s="51">
        <v>0</v>
      </c>
      <c r="F1553" s="51">
        <v>0</v>
      </c>
      <c r="G1553" s="51">
        <v>0</v>
      </c>
      <c r="H1553" s="51">
        <v>196550</v>
      </c>
      <c r="I1553" s="51">
        <v>-196550</v>
      </c>
      <c r="J1553" s="51">
        <v>0</v>
      </c>
      <c r="K1553" s="51">
        <v>58331</v>
      </c>
      <c r="L1553" s="51">
        <v>-58331</v>
      </c>
      <c r="M1553" s="51">
        <v>0</v>
      </c>
      <c r="N1553" s="51">
        <v>0</v>
      </c>
    </row>
    <row r="1554" spans="1:14" ht="15.75" x14ac:dyDescent="0.25">
      <c r="A1554" s="49" t="s">
        <v>291</v>
      </c>
      <c r="B1554" s="50" t="s">
        <v>68</v>
      </c>
      <c r="C1554" s="51">
        <v>4307</v>
      </c>
      <c r="D1554" s="51">
        <v>-431</v>
      </c>
      <c r="E1554" s="51">
        <v>0</v>
      </c>
      <c r="F1554" s="51">
        <v>0</v>
      </c>
      <c r="G1554" s="51">
        <v>0</v>
      </c>
      <c r="H1554" s="51">
        <v>3876</v>
      </c>
      <c r="I1554" s="51">
        <v>-3876</v>
      </c>
      <c r="J1554" s="51">
        <v>0</v>
      </c>
      <c r="K1554" s="51">
        <v>713</v>
      </c>
      <c r="L1554" s="51">
        <v>-713</v>
      </c>
      <c r="M1554" s="51">
        <v>0</v>
      </c>
      <c r="N1554" s="51">
        <v>0</v>
      </c>
    </row>
    <row r="1555" spans="1:14" ht="15.75" x14ac:dyDescent="0.25">
      <c r="A1555" s="52" t="s">
        <v>292</v>
      </c>
      <c r="B1555" s="53" t="s">
        <v>8</v>
      </c>
      <c r="C1555" s="19">
        <f>SUBTOTAL(109,Program052[(C)
Program
Costs])</f>
        <v>327837</v>
      </c>
      <c r="D1555" s="19">
        <f>SUBTOTAL(109,Program052[(D)
Prior Period Adjustments])</f>
        <v>-63547</v>
      </c>
      <c r="E1555" s="19">
        <f>SUBTOTAL(109,Program052[(E)
Current Period Desk 
Reviews])</f>
        <v>0</v>
      </c>
      <c r="F1555" s="19">
        <f>SUBTOTAL(109,Program052[(F)
Current Period 
Final 
Audits])</f>
        <v>0</v>
      </c>
      <c r="G1555" s="19">
        <f>SUBTOTAL(109,Program052[(G)
Current Period 
Other Adjustments])</f>
        <v>0</v>
      </c>
      <c r="H1555" s="19">
        <f>SUBTOTAL(109,Program052[(H)
Net Program Costs
Sum (C through G)])</f>
        <v>264290</v>
      </c>
      <c r="I1555" s="19">
        <f>SUBTOTAL(109,Program052[(I)
Payments
 and Offsets])</f>
        <v>-264290</v>
      </c>
      <c r="J1555" s="19">
        <f>SUBTOTAL(109,Program052[(J)
Accounts Payable Balance
(H + I)])</f>
        <v>0</v>
      </c>
      <c r="K1555" s="19">
        <f>SUBTOTAL(109,Program052[(K)
Established 
Accounts Receivable])</f>
        <v>59044</v>
      </c>
      <c r="L1555" s="19">
        <f>SUBTOTAL(109,Program052[(L)
Recovered
 Accounts Receivable])</f>
        <v>-59044</v>
      </c>
      <c r="M1555" s="19">
        <f>SUBTOTAL(109,Program052[(M)
Accounts Receivable Balance
(K + L)])</f>
        <v>0</v>
      </c>
      <c r="N1555" s="19">
        <f>SUBTOTAL(109,Program052[(N)
Net Balance
(J minus M)])</f>
        <v>0</v>
      </c>
    </row>
    <row r="1556" spans="1:14" ht="15.75" x14ac:dyDescent="0.25">
      <c r="A1556" s="17" t="s">
        <v>13</v>
      </c>
      <c r="B1556" s="54"/>
      <c r="C1556" s="55"/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</row>
    <row r="1557" spans="1:14" ht="78.75" x14ac:dyDescent="0.25">
      <c r="A1557" s="39" t="s">
        <v>32</v>
      </c>
      <c r="B1557" s="40" t="s">
        <v>33</v>
      </c>
      <c r="C1557" s="41" t="s">
        <v>34</v>
      </c>
      <c r="D1557" s="41" t="s">
        <v>35</v>
      </c>
      <c r="E1557" s="42" t="s">
        <v>36</v>
      </c>
      <c r="F1557" s="42" t="s">
        <v>37</v>
      </c>
      <c r="G1557" s="42" t="s">
        <v>38</v>
      </c>
      <c r="H1557" s="43" t="s">
        <v>39</v>
      </c>
      <c r="I1557" s="44" t="s">
        <v>40</v>
      </c>
      <c r="J1557" s="44" t="s">
        <v>41</v>
      </c>
      <c r="K1557" s="42" t="s">
        <v>42</v>
      </c>
      <c r="L1557" s="44" t="s">
        <v>43</v>
      </c>
      <c r="M1557" s="44" t="s">
        <v>44</v>
      </c>
      <c r="N1557" s="45" t="s">
        <v>45</v>
      </c>
    </row>
    <row r="1558" spans="1:14" x14ac:dyDescent="0.25">
      <c r="A1558" s="56" t="s">
        <v>293</v>
      </c>
      <c r="B1558" s="57" t="s">
        <v>51</v>
      </c>
      <c r="C1558" s="58">
        <v>3399</v>
      </c>
      <c r="D1558" s="58">
        <v>-3399</v>
      </c>
      <c r="E1558" s="58">
        <v>0</v>
      </c>
      <c r="F1558" s="58">
        <v>0</v>
      </c>
      <c r="G1558" s="58">
        <v>0</v>
      </c>
      <c r="H1558" s="58">
        <v>0</v>
      </c>
      <c r="I1558" s="58">
        <v>0</v>
      </c>
      <c r="J1558" s="58">
        <v>0</v>
      </c>
      <c r="K1558" s="58">
        <v>0</v>
      </c>
      <c r="L1558" s="58">
        <v>0</v>
      </c>
      <c r="M1558" s="58">
        <v>0</v>
      </c>
      <c r="N1558" s="58">
        <v>0</v>
      </c>
    </row>
    <row r="1559" spans="1:14" x14ac:dyDescent="0.25">
      <c r="A1559" s="59" t="s">
        <v>293</v>
      </c>
      <c r="B1559" s="60" t="s">
        <v>54</v>
      </c>
      <c r="C1559" s="61">
        <v>126355</v>
      </c>
      <c r="D1559" s="61">
        <v>0</v>
      </c>
      <c r="E1559" s="61">
        <v>0</v>
      </c>
      <c r="F1559" s="61">
        <v>0</v>
      </c>
      <c r="G1559" s="61">
        <v>0</v>
      </c>
      <c r="H1559" s="61">
        <v>126355</v>
      </c>
      <c r="I1559" s="61">
        <v>-126355</v>
      </c>
      <c r="J1559" s="61">
        <v>0</v>
      </c>
      <c r="K1559" s="61">
        <v>0</v>
      </c>
      <c r="L1559" s="61">
        <v>0</v>
      </c>
      <c r="M1559" s="61">
        <v>0</v>
      </c>
      <c r="N1559" s="61">
        <v>0</v>
      </c>
    </row>
    <row r="1560" spans="1:14" x14ac:dyDescent="0.25">
      <c r="A1560" s="59" t="s">
        <v>293</v>
      </c>
      <c r="B1560" s="60" t="s">
        <v>55</v>
      </c>
      <c r="C1560" s="61">
        <v>6740993</v>
      </c>
      <c r="D1560" s="61">
        <v>-65795</v>
      </c>
      <c r="E1560" s="61">
        <v>0</v>
      </c>
      <c r="F1560" s="61">
        <v>0</v>
      </c>
      <c r="G1560" s="61">
        <v>0</v>
      </c>
      <c r="H1560" s="61">
        <v>6675198</v>
      </c>
      <c r="I1560" s="61">
        <v>-6675198</v>
      </c>
      <c r="J1560" s="61">
        <v>0</v>
      </c>
      <c r="K1560" s="61">
        <v>0</v>
      </c>
      <c r="L1560" s="61">
        <v>0</v>
      </c>
      <c r="M1560" s="61">
        <v>0</v>
      </c>
      <c r="N1560" s="61">
        <v>0</v>
      </c>
    </row>
    <row r="1561" spans="1:14" x14ac:dyDescent="0.25">
      <c r="A1561" s="59" t="s">
        <v>293</v>
      </c>
      <c r="B1561" s="60" t="s">
        <v>56</v>
      </c>
      <c r="C1561" s="61">
        <v>3038640</v>
      </c>
      <c r="D1561" s="61">
        <v>-30022</v>
      </c>
      <c r="E1561" s="61">
        <v>0</v>
      </c>
      <c r="F1561" s="61">
        <v>0</v>
      </c>
      <c r="G1561" s="61">
        <v>0</v>
      </c>
      <c r="H1561" s="61">
        <v>3008618</v>
      </c>
      <c r="I1561" s="61">
        <v>-3008618</v>
      </c>
      <c r="J1561" s="61">
        <v>0</v>
      </c>
      <c r="K1561" s="61">
        <v>0</v>
      </c>
      <c r="L1561" s="61">
        <v>0</v>
      </c>
      <c r="M1561" s="61">
        <v>0</v>
      </c>
      <c r="N1561" s="61">
        <v>0</v>
      </c>
    </row>
    <row r="1562" spans="1:14" x14ac:dyDescent="0.25">
      <c r="A1562" s="59" t="s">
        <v>293</v>
      </c>
      <c r="B1562" s="60" t="s">
        <v>57</v>
      </c>
      <c r="C1562" s="61">
        <v>70053</v>
      </c>
      <c r="D1562" s="61">
        <v>0</v>
      </c>
      <c r="E1562" s="61">
        <v>0</v>
      </c>
      <c r="F1562" s="61">
        <v>0</v>
      </c>
      <c r="G1562" s="61">
        <v>0</v>
      </c>
      <c r="H1562" s="61">
        <v>70053</v>
      </c>
      <c r="I1562" s="61">
        <v>-70053</v>
      </c>
      <c r="J1562" s="61">
        <v>0</v>
      </c>
      <c r="K1562" s="61">
        <v>0</v>
      </c>
      <c r="L1562" s="61">
        <v>0</v>
      </c>
      <c r="M1562" s="61">
        <v>0</v>
      </c>
      <c r="N1562" s="61">
        <v>0</v>
      </c>
    </row>
    <row r="1563" spans="1:14" x14ac:dyDescent="0.25">
      <c r="A1563" s="59" t="s">
        <v>293</v>
      </c>
      <c r="B1563" s="60" t="s">
        <v>58</v>
      </c>
      <c r="C1563" s="61">
        <v>4292</v>
      </c>
      <c r="D1563" s="61">
        <v>0</v>
      </c>
      <c r="E1563" s="61">
        <v>0</v>
      </c>
      <c r="F1563" s="61">
        <v>0</v>
      </c>
      <c r="G1563" s="61">
        <v>0</v>
      </c>
      <c r="H1563" s="61">
        <v>4292</v>
      </c>
      <c r="I1563" s="61">
        <v>-4292</v>
      </c>
      <c r="J1563" s="61">
        <v>0</v>
      </c>
      <c r="K1563" s="61">
        <v>0</v>
      </c>
      <c r="L1563" s="61">
        <v>0</v>
      </c>
      <c r="M1563" s="61">
        <v>0</v>
      </c>
      <c r="N1563" s="61">
        <v>0</v>
      </c>
    </row>
    <row r="1564" spans="1:14" ht="15.75" x14ac:dyDescent="0.25">
      <c r="A1564" s="52" t="s">
        <v>294</v>
      </c>
      <c r="B1564" s="53" t="s">
        <v>8</v>
      </c>
      <c r="C1564" s="19">
        <f>SUBTOTAL(109,Program282[(C)
Program
Costs])</f>
        <v>9983732</v>
      </c>
      <c r="D1564" s="19">
        <f>SUBTOTAL(109,Program282[(D)
Prior Period Adjustments])</f>
        <v>-99216</v>
      </c>
      <c r="E1564" s="19">
        <f>SUBTOTAL(109,Program282[(E)
Current Period Desk 
Reviews])</f>
        <v>0</v>
      </c>
      <c r="F1564" s="19">
        <f>SUBTOTAL(109,Program282[(F)
Current Period 
Final 
Audits])</f>
        <v>0</v>
      </c>
      <c r="G1564" s="19">
        <f>SUBTOTAL(109,Program282[(G)
Current Period 
Other Adjustments])</f>
        <v>0</v>
      </c>
      <c r="H1564" s="19">
        <f>SUBTOTAL(109,Program282[(H)
Net Program Costs
Sum (C through G)])</f>
        <v>9884516</v>
      </c>
      <c r="I1564" s="19">
        <f>SUBTOTAL(109,Program282[(I)
Payments
 and Offsets])</f>
        <v>-9884516</v>
      </c>
      <c r="J1564" s="19">
        <f>SUBTOTAL(109,Program282[(J)
Accounts Payable Balance
(H + I)])</f>
        <v>0</v>
      </c>
      <c r="K1564" s="19">
        <f>SUBTOTAL(109,Program282[(K)
Established 
Accounts Receivable])</f>
        <v>0</v>
      </c>
      <c r="L1564" s="19">
        <f>SUBTOTAL(109,Program282[(L)
Recovered
 Accounts Receivable])</f>
        <v>0</v>
      </c>
      <c r="M1564" s="19">
        <f>SUBTOTAL(109,Program282[(M)
Accounts Receivable Balance
(K + L)])</f>
        <v>0</v>
      </c>
      <c r="N1564" s="19">
        <f>SUBTOTAL(109,Program282[(N)
Net Balance
(J minus M)])</f>
        <v>0</v>
      </c>
    </row>
    <row r="1565" spans="1:14" ht="15.75" x14ac:dyDescent="0.25">
      <c r="A1565" s="17" t="s">
        <v>13</v>
      </c>
      <c r="B1565" s="54"/>
      <c r="C1565" s="55"/>
      <c r="D1565" s="55"/>
      <c r="E1565" s="55"/>
      <c r="F1565" s="55"/>
      <c r="G1565" s="55"/>
      <c r="H1565" s="55"/>
      <c r="I1565" s="55"/>
      <c r="J1565" s="55"/>
      <c r="K1565" s="55"/>
      <c r="L1565" s="55"/>
      <c r="M1565" s="55"/>
      <c r="N1565" s="55"/>
    </row>
    <row r="1566" spans="1:14" ht="78.75" x14ac:dyDescent="0.25">
      <c r="A1566" s="39" t="s">
        <v>32</v>
      </c>
      <c r="B1566" s="40" t="s">
        <v>33</v>
      </c>
      <c r="C1566" s="41" t="s">
        <v>34</v>
      </c>
      <c r="D1566" s="41" t="s">
        <v>35</v>
      </c>
      <c r="E1566" s="42" t="s">
        <v>36</v>
      </c>
      <c r="F1566" s="42" t="s">
        <v>37</v>
      </c>
      <c r="G1566" s="42" t="s">
        <v>38</v>
      </c>
      <c r="H1566" s="43" t="s">
        <v>39</v>
      </c>
      <c r="I1566" s="44" t="s">
        <v>40</v>
      </c>
      <c r="J1566" s="44" t="s">
        <v>41</v>
      </c>
      <c r="K1566" s="42" t="s">
        <v>42</v>
      </c>
      <c r="L1566" s="44" t="s">
        <v>43</v>
      </c>
      <c r="M1566" s="44" t="s">
        <v>44</v>
      </c>
      <c r="N1566" s="45" t="s">
        <v>45</v>
      </c>
    </row>
    <row r="1567" spans="1:14" ht="15.75" x14ac:dyDescent="0.25">
      <c r="A1567" s="46" t="s">
        <v>295</v>
      </c>
      <c r="B1567" s="47" t="s">
        <v>76</v>
      </c>
      <c r="C1567" s="48">
        <v>544861</v>
      </c>
      <c r="D1567" s="48">
        <v>0</v>
      </c>
      <c r="E1567" s="48">
        <v>0</v>
      </c>
      <c r="F1567" s="48">
        <v>0</v>
      </c>
      <c r="G1567" s="48">
        <v>0</v>
      </c>
      <c r="H1567" s="48">
        <v>544861</v>
      </c>
      <c r="I1567" s="48">
        <v>0</v>
      </c>
      <c r="J1567" s="48">
        <v>544861</v>
      </c>
      <c r="K1567" s="48">
        <v>0</v>
      </c>
      <c r="L1567" s="48">
        <v>0</v>
      </c>
      <c r="M1567" s="48">
        <v>0</v>
      </c>
      <c r="N1567" s="48">
        <v>544861</v>
      </c>
    </row>
    <row r="1568" spans="1:14" ht="15.75" x14ac:dyDescent="0.25">
      <c r="A1568" s="49" t="s">
        <v>295</v>
      </c>
      <c r="B1568" s="50" t="s">
        <v>77</v>
      </c>
      <c r="C1568" s="51">
        <v>589679</v>
      </c>
      <c r="D1568" s="51">
        <v>0</v>
      </c>
      <c r="E1568" s="51">
        <v>0</v>
      </c>
      <c r="F1568" s="51">
        <v>0</v>
      </c>
      <c r="G1568" s="51">
        <v>-595</v>
      </c>
      <c r="H1568" s="51">
        <v>589084</v>
      </c>
      <c r="I1568" s="51">
        <v>-583727</v>
      </c>
      <c r="J1568" s="51">
        <v>5357</v>
      </c>
      <c r="K1568" s="51">
        <v>0</v>
      </c>
      <c r="L1568" s="51">
        <v>0</v>
      </c>
      <c r="M1568" s="51">
        <v>0</v>
      </c>
      <c r="N1568" s="51">
        <v>5357</v>
      </c>
    </row>
    <row r="1569" spans="1:14" ht="15.75" x14ac:dyDescent="0.25">
      <c r="A1569" s="49" t="s">
        <v>295</v>
      </c>
      <c r="B1569" s="50" t="s">
        <v>78</v>
      </c>
      <c r="C1569" s="51">
        <v>604972</v>
      </c>
      <c r="D1569" s="51">
        <v>-1678</v>
      </c>
      <c r="E1569" s="51">
        <v>0</v>
      </c>
      <c r="F1569" s="51">
        <v>0</v>
      </c>
      <c r="G1569" s="51">
        <v>0</v>
      </c>
      <c r="H1569" s="51">
        <v>603294</v>
      </c>
      <c r="I1569" s="51">
        <v>-603294</v>
      </c>
      <c r="J1569" s="51">
        <v>0</v>
      </c>
      <c r="K1569" s="51">
        <v>0</v>
      </c>
      <c r="L1569" s="51">
        <v>0</v>
      </c>
      <c r="M1569" s="51">
        <v>0</v>
      </c>
      <c r="N1569" s="51">
        <v>0</v>
      </c>
    </row>
    <row r="1570" spans="1:14" ht="15.75" x14ac:dyDescent="0.25">
      <c r="A1570" s="49" t="s">
        <v>295</v>
      </c>
      <c r="B1570" s="50" t="s">
        <v>47</v>
      </c>
      <c r="C1570" s="51">
        <v>518312</v>
      </c>
      <c r="D1570" s="51">
        <v>-9007</v>
      </c>
      <c r="E1570" s="51">
        <v>0</v>
      </c>
      <c r="F1570" s="51">
        <v>0</v>
      </c>
      <c r="G1570" s="51">
        <v>0</v>
      </c>
      <c r="H1570" s="51">
        <v>509305</v>
      </c>
      <c r="I1570" s="51">
        <v>-509305</v>
      </c>
      <c r="J1570" s="51">
        <v>0</v>
      </c>
      <c r="K1570" s="51">
        <v>8247</v>
      </c>
      <c r="L1570" s="51">
        <v>-8247</v>
      </c>
      <c r="M1570" s="51">
        <v>0</v>
      </c>
      <c r="N1570" s="51">
        <v>0</v>
      </c>
    </row>
    <row r="1571" spans="1:14" ht="15.75" x14ac:dyDescent="0.25">
      <c r="A1571" s="49" t="s">
        <v>295</v>
      </c>
      <c r="B1571" s="50" t="s">
        <v>79</v>
      </c>
      <c r="C1571" s="51">
        <v>488062</v>
      </c>
      <c r="D1571" s="51">
        <v>-354</v>
      </c>
      <c r="E1571" s="51">
        <v>0</v>
      </c>
      <c r="F1571" s="51">
        <v>0</v>
      </c>
      <c r="G1571" s="51">
        <v>0</v>
      </c>
      <c r="H1571" s="51">
        <v>487708</v>
      </c>
      <c r="I1571" s="51">
        <v>-487708</v>
      </c>
      <c r="J1571" s="51">
        <v>0</v>
      </c>
      <c r="K1571" s="51">
        <v>0</v>
      </c>
      <c r="L1571" s="51">
        <v>0</v>
      </c>
      <c r="M1571" s="51">
        <v>0</v>
      </c>
      <c r="N1571" s="51">
        <v>0</v>
      </c>
    </row>
    <row r="1572" spans="1:14" ht="15.75" x14ac:dyDescent="0.25">
      <c r="A1572" s="49" t="s">
        <v>295</v>
      </c>
      <c r="B1572" s="50" t="s">
        <v>80</v>
      </c>
      <c r="C1572" s="51">
        <v>438526</v>
      </c>
      <c r="D1572" s="51">
        <v>2290</v>
      </c>
      <c r="E1572" s="51">
        <v>0</v>
      </c>
      <c r="F1572" s="51">
        <v>0</v>
      </c>
      <c r="G1572" s="51">
        <v>0</v>
      </c>
      <c r="H1572" s="51">
        <v>440816</v>
      </c>
      <c r="I1572" s="51">
        <v>-440816</v>
      </c>
      <c r="J1572" s="51">
        <v>0</v>
      </c>
      <c r="K1572" s="51">
        <v>0</v>
      </c>
      <c r="L1572" s="51">
        <v>0</v>
      </c>
      <c r="M1572" s="51">
        <v>0</v>
      </c>
      <c r="N1572" s="51">
        <v>0</v>
      </c>
    </row>
    <row r="1573" spans="1:14" ht="15.75" x14ac:dyDescent="0.25">
      <c r="A1573" s="49" t="s">
        <v>295</v>
      </c>
      <c r="B1573" s="50" t="s">
        <v>81</v>
      </c>
      <c r="C1573" s="51">
        <v>399463</v>
      </c>
      <c r="D1573" s="51">
        <v>-5731</v>
      </c>
      <c r="E1573" s="51">
        <v>0</v>
      </c>
      <c r="F1573" s="51">
        <v>0</v>
      </c>
      <c r="G1573" s="51">
        <v>0</v>
      </c>
      <c r="H1573" s="51">
        <v>393732</v>
      </c>
      <c r="I1573" s="51">
        <v>-393732</v>
      </c>
      <c r="J1573" s="51">
        <v>0</v>
      </c>
      <c r="K1573" s="51">
        <v>0</v>
      </c>
      <c r="L1573" s="51">
        <v>0</v>
      </c>
      <c r="M1573" s="51">
        <v>0</v>
      </c>
      <c r="N1573" s="51">
        <v>0</v>
      </c>
    </row>
    <row r="1574" spans="1:14" ht="15.75" x14ac:dyDescent="0.25">
      <c r="A1574" s="49" t="s">
        <v>295</v>
      </c>
      <c r="B1574" s="50" t="s">
        <v>82</v>
      </c>
      <c r="C1574" s="51">
        <v>331735</v>
      </c>
      <c r="D1574" s="51">
        <v>-249</v>
      </c>
      <c r="E1574" s="51">
        <v>0</v>
      </c>
      <c r="F1574" s="51">
        <v>0</v>
      </c>
      <c r="G1574" s="51">
        <v>0</v>
      </c>
      <c r="H1574" s="51">
        <v>331486</v>
      </c>
      <c r="I1574" s="51">
        <v>-331486</v>
      </c>
      <c r="J1574" s="51">
        <v>0</v>
      </c>
      <c r="K1574" s="51">
        <v>0</v>
      </c>
      <c r="L1574" s="51">
        <v>0</v>
      </c>
      <c r="M1574" s="51">
        <v>0</v>
      </c>
      <c r="N1574" s="51">
        <v>0</v>
      </c>
    </row>
    <row r="1575" spans="1:14" ht="15.75" x14ac:dyDescent="0.25">
      <c r="A1575" s="49" t="s">
        <v>295</v>
      </c>
      <c r="B1575" s="50" t="s">
        <v>83</v>
      </c>
      <c r="C1575" s="51">
        <v>335968</v>
      </c>
      <c r="D1575" s="51">
        <v>-1619</v>
      </c>
      <c r="E1575" s="51">
        <v>0</v>
      </c>
      <c r="F1575" s="51">
        <v>0</v>
      </c>
      <c r="G1575" s="51">
        <v>0</v>
      </c>
      <c r="H1575" s="51">
        <v>334349</v>
      </c>
      <c r="I1575" s="51">
        <v>-334349</v>
      </c>
      <c r="J1575" s="51">
        <v>0</v>
      </c>
      <c r="K1575" s="51">
        <v>0</v>
      </c>
      <c r="L1575" s="51">
        <v>0</v>
      </c>
      <c r="M1575" s="51">
        <v>0</v>
      </c>
      <c r="N1575" s="51">
        <v>0</v>
      </c>
    </row>
    <row r="1576" spans="1:14" ht="15.75" x14ac:dyDescent="0.25">
      <c r="A1576" s="49" t="s">
        <v>295</v>
      </c>
      <c r="B1576" s="50" t="s">
        <v>48</v>
      </c>
      <c r="C1576" s="51">
        <v>328736</v>
      </c>
      <c r="D1576" s="51">
        <v>-1405</v>
      </c>
      <c r="E1576" s="51">
        <v>0</v>
      </c>
      <c r="F1576" s="51">
        <v>0</v>
      </c>
      <c r="G1576" s="51">
        <v>0</v>
      </c>
      <c r="H1576" s="51">
        <v>327331</v>
      </c>
      <c r="I1576" s="51">
        <v>-327331</v>
      </c>
      <c r="J1576" s="51">
        <v>0</v>
      </c>
      <c r="K1576" s="51">
        <v>1264</v>
      </c>
      <c r="L1576" s="51">
        <v>-1264</v>
      </c>
      <c r="M1576" s="51">
        <v>0</v>
      </c>
      <c r="N1576" s="51">
        <v>0</v>
      </c>
    </row>
    <row r="1577" spans="1:14" ht="15.75" x14ac:dyDescent="0.25">
      <c r="A1577" s="49" t="s">
        <v>295</v>
      </c>
      <c r="B1577" s="50" t="s">
        <v>49</v>
      </c>
      <c r="C1577" s="51">
        <v>346269</v>
      </c>
      <c r="D1577" s="51">
        <v>-1438</v>
      </c>
      <c r="E1577" s="51">
        <v>0</v>
      </c>
      <c r="F1577" s="51">
        <v>0</v>
      </c>
      <c r="G1577" s="51">
        <v>0</v>
      </c>
      <c r="H1577" s="51">
        <v>344831</v>
      </c>
      <c r="I1577" s="51">
        <v>-344831</v>
      </c>
      <c r="J1577" s="51">
        <v>0</v>
      </c>
      <c r="K1577" s="51">
        <v>0</v>
      </c>
      <c r="L1577" s="51">
        <v>0</v>
      </c>
      <c r="M1577" s="51">
        <v>0</v>
      </c>
      <c r="N1577" s="51">
        <v>0</v>
      </c>
    </row>
    <row r="1578" spans="1:14" ht="15.75" x14ac:dyDescent="0.25">
      <c r="A1578" s="49" t="s">
        <v>295</v>
      </c>
      <c r="B1578" s="50" t="s">
        <v>50</v>
      </c>
      <c r="C1578" s="51">
        <v>361215</v>
      </c>
      <c r="D1578" s="51">
        <v>-636</v>
      </c>
      <c r="E1578" s="51">
        <v>0</v>
      </c>
      <c r="F1578" s="51">
        <v>0</v>
      </c>
      <c r="G1578" s="51">
        <v>0</v>
      </c>
      <c r="H1578" s="51">
        <v>360579</v>
      </c>
      <c r="I1578" s="51">
        <v>-360579</v>
      </c>
      <c r="J1578" s="51">
        <v>0</v>
      </c>
      <c r="K1578" s="51">
        <v>0</v>
      </c>
      <c r="L1578" s="51">
        <v>0</v>
      </c>
      <c r="M1578" s="51">
        <v>0</v>
      </c>
      <c r="N1578" s="51">
        <v>0</v>
      </c>
    </row>
    <row r="1579" spans="1:14" ht="15.75" x14ac:dyDescent="0.25">
      <c r="A1579" s="49" t="s">
        <v>295</v>
      </c>
      <c r="B1579" s="50" t="s">
        <v>51</v>
      </c>
      <c r="C1579" s="51">
        <v>366031</v>
      </c>
      <c r="D1579" s="51">
        <v>-4301</v>
      </c>
      <c r="E1579" s="51">
        <v>0</v>
      </c>
      <c r="F1579" s="51">
        <v>0</v>
      </c>
      <c r="G1579" s="51">
        <v>0</v>
      </c>
      <c r="H1579" s="51">
        <v>361730</v>
      </c>
      <c r="I1579" s="51">
        <v>-361730</v>
      </c>
      <c r="J1579" s="51">
        <v>0</v>
      </c>
      <c r="K1579" s="51">
        <v>12360</v>
      </c>
      <c r="L1579" s="51">
        <v>-12360</v>
      </c>
      <c r="M1579" s="51">
        <v>0</v>
      </c>
      <c r="N1579" s="51">
        <v>0</v>
      </c>
    </row>
    <row r="1580" spans="1:14" ht="15.75" x14ac:dyDescent="0.25">
      <c r="A1580" s="49" t="s">
        <v>295</v>
      </c>
      <c r="B1580" s="50" t="s">
        <v>52</v>
      </c>
      <c r="C1580" s="51">
        <v>416373</v>
      </c>
      <c r="D1580" s="51">
        <v>-5367</v>
      </c>
      <c r="E1580" s="51">
        <v>0</v>
      </c>
      <c r="F1580" s="51">
        <v>0</v>
      </c>
      <c r="G1580" s="51">
        <v>0</v>
      </c>
      <c r="H1580" s="51">
        <v>411006</v>
      </c>
      <c r="I1580" s="51">
        <v>-411006</v>
      </c>
      <c r="J1580" s="51">
        <v>0</v>
      </c>
      <c r="K1580" s="51">
        <v>32764</v>
      </c>
      <c r="L1580" s="51">
        <v>-32764</v>
      </c>
      <c r="M1580" s="51">
        <v>0</v>
      </c>
      <c r="N1580" s="51">
        <v>0</v>
      </c>
    </row>
    <row r="1581" spans="1:14" ht="15.75" x14ac:dyDescent="0.25">
      <c r="A1581" s="49" t="s">
        <v>295</v>
      </c>
      <c r="B1581" s="50" t="s">
        <v>53</v>
      </c>
      <c r="C1581" s="51">
        <v>322955</v>
      </c>
      <c r="D1581" s="51">
        <v>-255</v>
      </c>
      <c r="E1581" s="51">
        <v>0</v>
      </c>
      <c r="F1581" s="51">
        <v>0</v>
      </c>
      <c r="G1581" s="51">
        <v>0</v>
      </c>
      <c r="H1581" s="51">
        <v>322700</v>
      </c>
      <c r="I1581" s="51">
        <v>-322700</v>
      </c>
      <c r="J1581" s="51">
        <v>0</v>
      </c>
      <c r="K1581" s="51">
        <v>4145</v>
      </c>
      <c r="L1581" s="51">
        <v>-4145</v>
      </c>
      <c r="M1581" s="51">
        <v>0</v>
      </c>
      <c r="N1581" s="51">
        <v>0</v>
      </c>
    </row>
    <row r="1582" spans="1:14" ht="15.75" x14ac:dyDescent="0.25">
      <c r="A1582" s="49" t="s">
        <v>295</v>
      </c>
      <c r="B1582" s="50" t="s">
        <v>54</v>
      </c>
      <c r="C1582" s="51">
        <v>267087</v>
      </c>
      <c r="D1582" s="51">
        <v>-851</v>
      </c>
      <c r="E1582" s="51">
        <v>0</v>
      </c>
      <c r="F1582" s="51">
        <v>0</v>
      </c>
      <c r="G1582" s="51">
        <v>0</v>
      </c>
      <c r="H1582" s="51">
        <v>266236</v>
      </c>
      <c r="I1582" s="51">
        <v>-266236</v>
      </c>
      <c r="J1582" s="51">
        <v>0</v>
      </c>
      <c r="K1582" s="51">
        <v>44454</v>
      </c>
      <c r="L1582" s="51">
        <v>-44454</v>
      </c>
      <c r="M1582" s="51">
        <v>0</v>
      </c>
      <c r="N1582" s="51">
        <v>0</v>
      </c>
    </row>
    <row r="1583" spans="1:14" ht="15.75" x14ac:dyDescent="0.25">
      <c r="A1583" s="49" t="s">
        <v>295</v>
      </c>
      <c r="B1583" s="50" t="s">
        <v>55</v>
      </c>
      <c r="C1583" s="51">
        <v>279011</v>
      </c>
      <c r="D1583" s="51">
        <v>-1384</v>
      </c>
      <c r="E1583" s="51">
        <v>0</v>
      </c>
      <c r="F1583" s="51">
        <v>0</v>
      </c>
      <c r="G1583" s="51">
        <v>0</v>
      </c>
      <c r="H1583" s="51">
        <v>277627</v>
      </c>
      <c r="I1583" s="51">
        <v>-277627</v>
      </c>
      <c r="J1583" s="51">
        <v>0</v>
      </c>
      <c r="K1583" s="51">
        <v>0</v>
      </c>
      <c r="L1583" s="51">
        <v>0</v>
      </c>
      <c r="M1583" s="51">
        <v>0</v>
      </c>
      <c r="N1583" s="51">
        <v>0</v>
      </c>
    </row>
    <row r="1584" spans="1:14" ht="15.75" x14ac:dyDescent="0.25">
      <c r="A1584" s="49" t="s">
        <v>295</v>
      </c>
      <c r="B1584" s="50" t="s">
        <v>56</v>
      </c>
      <c r="C1584" s="51">
        <v>255323</v>
      </c>
      <c r="D1584" s="51">
        <v>-982</v>
      </c>
      <c r="E1584" s="51">
        <v>0</v>
      </c>
      <c r="F1584" s="51">
        <v>0</v>
      </c>
      <c r="G1584" s="51">
        <v>0</v>
      </c>
      <c r="H1584" s="51">
        <v>254341</v>
      </c>
      <c r="I1584" s="51">
        <v>-254341</v>
      </c>
      <c r="J1584" s="51">
        <v>0</v>
      </c>
      <c r="K1584" s="51">
        <v>0</v>
      </c>
      <c r="L1584" s="51">
        <v>0</v>
      </c>
      <c r="M1584" s="51">
        <v>0</v>
      </c>
      <c r="N1584" s="51">
        <v>0</v>
      </c>
    </row>
    <row r="1585" spans="1:14" ht="15.75" x14ac:dyDescent="0.25">
      <c r="A1585" s="49" t="s">
        <v>295</v>
      </c>
      <c r="B1585" s="50" t="s">
        <v>57</v>
      </c>
      <c r="C1585" s="51">
        <v>344147</v>
      </c>
      <c r="D1585" s="51">
        <v>-55298</v>
      </c>
      <c r="E1585" s="51">
        <v>0</v>
      </c>
      <c r="F1585" s="51">
        <v>0</v>
      </c>
      <c r="G1585" s="51">
        <v>0</v>
      </c>
      <c r="H1585" s="51">
        <v>288849</v>
      </c>
      <c r="I1585" s="51">
        <v>-288849</v>
      </c>
      <c r="J1585" s="51">
        <v>0</v>
      </c>
      <c r="K1585" s="51">
        <v>30632</v>
      </c>
      <c r="L1585" s="51">
        <v>-30632</v>
      </c>
      <c r="M1585" s="51">
        <v>0</v>
      </c>
      <c r="N1585" s="51">
        <v>0</v>
      </c>
    </row>
    <row r="1586" spans="1:14" ht="15.75" x14ac:dyDescent="0.25">
      <c r="A1586" s="49" t="s">
        <v>295</v>
      </c>
      <c r="B1586" s="50" t="s">
        <v>58</v>
      </c>
      <c r="C1586" s="51">
        <v>323013</v>
      </c>
      <c r="D1586" s="51">
        <v>-2449</v>
      </c>
      <c r="E1586" s="51">
        <v>0</v>
      </c>
      <c r="F1586" s="51">
        <v>0</v>
      </c>
      <c r="G1586" s="51">
        <v>0</v>
      </c>
      <c r="H1586" s="51">
        <v>320564</v>
      </c>
      <c r="I1586" s="51">
        <v>-320564</v>
      </c>
      <c r="J1586" s="51">
        <v>0</v>
      </c>
      <c r="K1586" s="51">
        <v>9997</v>
      </c>
      <c r="L1586" s="51">
        <v>-9997</v>
      </c>
      <c r="M1586" s="51">
        <v>0</v>
      </c>
      <c r="N1586" s="51">
        <v>0</v>
      </c>
    </row>
    <row r="1587" spans="1:14" ht="15.75" x14ac:dyDescent="0.25">
      <c r="A1587" s="49" t="s">
        <v>295</v>
      </c>
      <c r="B1587" s="50" t="s">
        <v>59</v>
      </c>
      <c r="C1587" s="51">
        <v>262348</v>
      </c>
      <c r="D1587" s="51">
        <v>-1625</v>
      </c>
      <c r="E1587" s="51">
        <v>0</v>
      </c>
      <c r="F1587" s="51">
        <v>0</v>
      </c>
      <c r="G1587" s="51">
        <v>0</v>
      </c>
      <c r="H1587" s="51">
        <v>260723</v>
      </c>
      <c r="I1587" s="51">
        <v>-260723</v>
      </c>
      <c r="J1587" s="51">
        <v>0</v>
      </c>
      <c r="K1587" s="51">
        <v>15897</v>
      </c>
      <c r="L1587" s="51">
        <v>-15897</v>
      </c>
      <c r="M1587" s="51">
        <v>0</v>
      </c>
      <c r="N1587" s="51">
        <v>0</v>
      </c>
    </row>
    <row r="1588" spans="1:14" ht="15.75" x14ac:dyDescent="0.25">
      <c r="A1588" s="49" t="s">
        <v>295</v>
      </c>
      <c r="B1588" s="50" t="s">
        <v>60</v>
      </c>
      <c r="C1588" s="51">
        <v>241993</v>
      </c>
      <c r="D1588" s="51">
        <v>-482</v>
      </c>
      <c r="E1588" s="51">
        <v>0</v>
      </c>
      <c r="F1588" s="51">
        <v>0</v>
      </c>
      <c r="G1588" s="51">
        <v>0</v>
      </c>
      <c r="H1588" s="51">
        <v>241511</v>
      </c>
      <c r="I1588" s="51">
        <v>-241511</v>
      </c>
      <c r="J1588" s="51">
        <v>0</v>
      </c>
      <c r="K1588" s="51">
        <v>36767</v>
      </c>
      <c r="L1588" s="51">
        <v>-36767</v>
      </c>
      <c r="M1588" s="51">
        <v>0</v>
      </c>
      <c r="N1588" s="51">
        <v>0</v>
      </c>
    </row>
    <row r="1589" spans="1:14" ht="15.75" x14ac:dyDescent="0.25">
      <c r="A1589" s="49" t="s">
        <v>295</v>
      </c>
      <c r="B1589" s="50" t="s">
        <v>61</v>
      </c>
      <c r="C1589" s="51">
        <v>235246</v>
      </c>
      <c r="D1589" s="51">
        <v>-2559</v>
      </c>
      <c r="E1589" s="51">
        <v>0</v>
      </c>
      <c r="F1589" s="51">
        <v>0</v>
      </c>
      <c r="G1589" s="51">
        <v>0</v>
      </c>
      <c r="H1589" s="51">
        <v>232687</v>
      </c>
      <c r="I1589" s="51">
        <v>-232687</v>
      </c>
      <c r="J1589" s="51">
        <v>0</v>
      </c>
      <c r="K1589" s="51">
        <v>8651</v>
      </c>
      <c r="L1589" s="51">
        <v>-8651</v>
      </c>
      <c r="M1589" s="51">
        <v>0</v>
      </c>
      <c r="N1589" s="51">
        <v>0</v>
      </c>
    </row>
    <row r="1590" spans="1:14" ht="15.75" x14ac:dyDescent="0.25">
      <c r="A1590" s="49" t="s">
        <v>295</v>
      </c>
      <c r="B1590" s="50" t="s">
        <v>62</v>
      </c>
      <c r="C1590" s="51">
        <v>207606</v>
      </c>
      <c r="D1590" s="51">
        <v>-4026</v>
      </c>
      <c r="E1590" s="51">
        <v>0</v>
      </c>
      <c r="F1590" s="51">
        <v>0</v>
      </c>
      <c r="G1590" s="51">
        <v>0</v>
      </c>
      <c r="H1590" s="51">
        <v>203580</v>
      </c>
      <c r="I1590" s="51">
        <v>-203580</v>
      </c>
      <c r="J1590" s="51">
        <v>0</v>
      </c>
      <c r="K1590" s="51">
        <v>41288</v>
      </c>
      <c r="L1590" s="51">
        <v>-41288</v>
      </c>
      <c r="M1590" s="51">
        <v>0</v>
      </c>
      <c r="N1590" s="51">
        <v>0</v>
      </c>
    </row>
    <row r="1591" spans="1:14" ht="15.75" x14ac:dyDescent="0.25">
      <c r="A1591" s="49" t="s">
        <v>295</v>
      </c>
      <c r="B1591" s="50" t="s">
        <v>63</v>
      </c>
      <c r="C1591" s="51">
        <v>252659</v>
      </c>
      <c r="D1591" s="51">
        <v>-74109</v>
      </c>
      <c r="E1591" s="51">
        <v>0</v>
      </c>
      <c r="F1591" s="51">
        <v>0</v>
      </c>
      <c r="G1591" s="51">
        <v>0</v>
      </c>
      <c r="H1591" s="51">
        <v>178550</v>
      </c>
      <c r="I1591" s="51">
        <v>-178550</v>
      </c>
      <c r="J1591" s="51">
        <v>0</v>
      </c>
      <c r="K1591" s="51">
        <v>60264</v>
      </c>
      <c r="L1591" s="51">
        <v>-60264</v>
      </c>
      <c r="M1591" s="51">
        <v>0</v>
      </c>
      <c r="N1591" s="51">
        <v>0</v>
      </c>
    </row>
    <row r="1592" spans="1:14" ht="15.75" x14ac:dyDescent="0.25">
      <c r="A1592" s="49" t="s">
        <v>295</v>
      </c>
      <c r="B1592" s="50" t="s">
        <v>64</v>
      </c>
      <c r="C1592" s="51">
        <v>176616</v>
      </c>
      <c r="D1592" s="51">
        <v>-3521</v>
      </c>
      <c r="E1592" s="51">
        <v>0</v>
      </c>
      <c r="F1592" s="51">
        <v>0</v>
      </c>
      <c r="G1592" s="51">
        <v>0</v>
      </c>
      <c r="H1592" s="51">
        <v>173095</v>
      </c>
      <c r="I1592" s="51">
        <v>-173095</v>
      </c>
      <c r="J1592" s="51">
        <v>0</v>
      </c>
      <c r="K1592" s="51">
        <v>2621</v>
      </c>
      <c r="L1592" s="51">
        <v>-2621</v>
      </c>
      <c r="M1592" s="51">
        <v>0</v>
      </c>
      <c r="N1592" s="51">
        <v>0</v>
      </c>
    </row>
    <row r="1593" spans="1:14" ht="15.75" x14ac:dyDescent="0.25">
      <c r="A1593" s="49" t="s">
        <v>295</v>
      </c>
      <c r="B1593" s="50" t="s">
        <v>65</v>
      </c>
      <c r="C1593" s="51">
        <v>143444</v>
      </c>
      <c r="D1593" s="51">
        <v>-3121</v>
      </c>
      <c r="E1593" s="51">
        <v>0</v>
      </c>
      <c r="F1593" s="51">
        <v>0</v>
      </c>
      <c r="G1593" s="51">
        <v>0</v>
      </c>
      <c r="H1593" s="51">
        <v>140323</v>
      </c>
      <c r="I1593" s="51">
        <v>-140323</v>
      </c>
      <c r="J1593" s="51">
        <v>0</v>
      </c>
      <c r="K1593" s="51">
        <v>3746</v>
      </c>
      <c r="L1593" s="51">
        <v>-3746</v>
      </c>
      <c r="M1593" s="51">
        <v>0</v>
      </c>
      <c r="N1593" s="51">
        <v>0</v>
      </c>
    </row>
    <row r="1594" spans="1:14" ht="15.75" x14ac:dyDescent="0.25">
      <c r="A1594" s="49" t="s">
        <v>295</v>
      </c>
      <c r="B1594" s="50" t="s">
        <v>66</v>
      </c>
      <c r="C1594" s="51">
        <v>154805</v>
      </c>
      <c r="D1594" s="51">
        <v>-3386</v>
      </c>
      <c r="E1594" s="51">
        <v>0</v>
      </c>
      <c r="F1594" s="51">
        <v>0</v>
      </c>
      <c r="G1594" s="51">
        <v>0</v>
      </c>
      <c r="H1594" s="51">
        <v>151419</v>
      </c>
      <c r="I1594" s="51">
        <v>-151419</v>
      </c>
      <c r="J1594" s="51">
        <v>0</v>
      </c>
      <c r="K1594" s="51">
        <v>2478</v>
      </c>
      <c r="L1594" s="51">
        <v>-2478</v>
      </c>
      <c r="M1594" s="51">
        <v>0</v>
      </c>
      <c r="N1594" s="51">
        <v>0</v>
      </c>
    </row>
    <row r="1595" spans="1:14" ht="15.75" x14ac:dyDescent="0.25">
      <c r="A1595" s="49" t="s">
        <v>295</v>
      </c>
      <c r="B1595" s="50" t="s">
        <v>67</v>
      </c>
      <c r="C1595" s="51">
        <v>77461</v>
      </c>
      <c r="D1595" s="51">
        <v>-554</v>
      </c>
      <c r="E1595" s="51">
        <v>0</v>
      </c>
      <c r="F1595" s="51">
        <v>0</v>
      </c>
      <c r="G1595" s="51">
        <v>0</v>
      </c>
      <c r="H1595" s="51">
        <v>76907</v>
      </c>
      <c r="I1595" s="51">
        <v>-76907</v>
      </c>
      <c r="J1595" s="51">
        <v>0</v>
      </c>
      <c r="K1595" s="51">
        <v>880</v>
      </c>
      <c r="L1595" s="51">
        <v>-880</v>
      </c>
      <c r="M1595" s="51">
        <v>0</v>
      </c>
      <c r="N1595" s="51">
        <v>0</v>
      </c>
    </row>
    <row r="1596" spans="1:14" ht="15.75" x14ac:dyDescent="0.25">
      <c r="A1596" s="52" t="s">
        <v>296</v>
      </c>
      <c r="B1596" s="53" t="s">
        <v>8</v>
      </c>
      <c r="C1596" s="19">
        <f>SUBTOTAL(109,Program127[(C)
Program
Costs])</f>
        <v>9613916</v>
      </c>
      <c r="D1596" s="19">
        <f>SUBTOTAL(109,Program127[(D)
Prior Period Adjustments])</f>
        <v>-184097</v>
      </c>
      <c r="E1596" s="19">
        <f>SUBTOTAL(109,Program127[(E)
Current Period Desk 
Reviews])</f>
        <v>0</v>
      </c>
      <c r="F1596" s="19">
        <f>SUBTOTAL(109,Program127[(F)
Current Period 
Final 
Audits])</f>
        <v>0</v>
      </c>
      <c r="G1596" s="19">
        <f>SUBTOTAL(109,Program127[(G)
Current Period 
Other Adjustments])</f>
        <v>-595</v>
      </c>
      <c r="H1596" s="19">
        <f>SUBTOTAL(109,Program127[(H)
Net Program Costs
Sum (C through G)])</f>
        <v>9429224</v>
      </c>
      <c r="I1596" s="19">
        <f>SUBTOTAL(109,Program127[(I)
Payments
 and Offsets])</f>
        <v>-8879006</v>
      </c>
      <c r="J1596" s="19">
        <f>SUBTOTAL(109,Program127[(J)
Accounts Payable Balance
(H + I)])</f>
        <v>550218</v>
      </c>
      <c r="K1596" s="19">
        <f>SUBTOTAL(109,Program127[(K)
Established 
Accounts Receivable])</f>
        <v>316455</v>
      </c>
      <c r="L1596" s="19">
        <f>SUBTOTAL(109,Program127[(L)
Recovered
 Accounts Receivable])</f>
        <v>-316455</v>
      </c>
      <c r="M1596" s="19">
        <f>SUBTOTAL(109,Program127[(M)
Accounts Receivable Balance
(K + L)])</f>
        <v>0</v>
      </c>
      <c r="N1596" s="19">
        <f>SUBTOTAL(109,Program127[(N)
Net Balance
(J minus M)])</f>
        <v>550218</v>
      </c>
    </row>
    <row r="1597" spans="1:14" ht="15.75" x14ac:dyDescent="0.25">
      <c r="A1597" s="17" t="s">
        <v>13</v>
      </c>
      <c r="B1597" s="54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78.75" x14ac:dyDescent="0.25">
      <c r="A1598" s="39" t="s">
        <v>32</v>
      </c>
      <c r="B1598" s="40" t="s">
        <v>33</v>
      </c>
      <c r="C1598" s="41" t="s">
        <v>34</v>
      </c>
      <c r="D1598" s="41" t="s">
        <v>35</v>
      </c>
      <c r="E1598" s="42" t="s">
        <v>36</v>
      </c>
      <c r="F1598" s="42" t="s">
        <v>37</v>
      </c>
      <c r="G1598" s="42" t="s">
        <v>38</v>
      </c>
      <c r="H1598" s="43" t="s">
        <v>39</v>
      </c>
      <c r="I1598" s="44" t="s">
        <v>40</v>
      </c>
      <c r="J1598" s="44" t="s">
        <v>41</v>
      </c>
      <c r="K1598" s="42" t="s">
        <v>42</v>
      </c>
      <c r="L1598" s="44" t="s">
        <v>43</v>
      </c>
      <c r="M1598" s="44" t="s">
        <v>44</v>
      </c>
      <c r="N1598" s="45" t="s">
        <v>45</v>
      </c>
    </row>
    <row r="1599" spans="1:14" ht="30" x14ac:dyDescent="0.25">
      <c r="A1599" s="67" t="s">
        <v>297</v>
      </c>
      <c r="B1599" s="57" t="s">
        <v>54</v>
      </c>
      <c r="C1599" s="58">
        <v>15266</v>
      </c>
      <c r="D1599" s="58">
        <v>0</v>
      </c>
      <c r="E1599" s="58">
        <v>0</v>
      </c>
      <c r="F1599" s="58">
        <v>0</v>
      </c>
      <c r="G1599" s="58">
        <v>0</v>
      </c>
      <c r="H1599" s="58">
        <v>15266</v>
      </c>
      <c r="I1599" s="58">
        <v>-15266</v>
      </c>
      <c r="J1599" s="58">
        <v>0</v>
      </c>
      <c r="K1599" s="58">
        <v>0</v>
      </c>
      <c r="L1599" s="58">
        <v>0</v>
      </c>
      <c r="M1599" s="58">
        <v>0</v>
      </c>
      <c r="N1599" s="58">
        <v>0</v>
      </c>
    </row>
    <row r="1600" spans="1:14" ht="30" x14ac:dyDescent="0.25">
      <c r="A1600" s="68" t="s">
        <v>297</v>
      </c>
      <c r="B1600" s="60" t="s">
        <v>55</v>
      </c>
      <c r="C1600" s="61">
        <v>15382</v>
      </c>
      <c r="D1600" s="61">
        <v>-2307</v>
      </c>
      <c r="E1600" s="61">
        <v>0</v>
      </c>
      <c r="F1600" s="61">
        <v>0</v>
      </c>
      <c r="G1600" s="61">
        <v>0</v>
      </c>
      <c r="H1600" s="61">
        <v>13075</v>
      </c>
      <c r="I1600" s="61">
        <v>-13075</v>
      </c>
      <c r="J1600" s="61">
        <v>0</v>
      </c>
      <c r="K1600" s="61">
        <v>0</v>
      </c>
      <c r="L1600" s="61">
        <v>0</v>
      </c>
      <c r="M1600" s="61">
        <v>0</v>
      </c>
      <c r="N1600" s="61">
        <v>0</v>
      </c>
    </row>
    <row r="1601" spans="1:14" ht="30" x14ac:dyDescent="0.25">
      <c r="A1601" s="68" t="s">
        <v>297</v>
      </c>
      <c r="B1601" s="60" t="s">
        <v>56</v>
      </c>
      <c r="C1601" s="61">
        <v>14005</v>
      </c>
      <c r="D1601" s="61">
        <v>-5611</v>
      </c>
      <c r="E1601" s="61">
        <v>0</v>
      </c>
      <c r="F1601" s="61">
        <v>0</v>
      </c>
      <c r="G1601" s="61">
        <v>0</v>
      </c>
      <c r="H1601" s="61">
        <v>8394</v>
      </c>
      <c r="I1601" s="61">
        <v>-8394</v>
      </c>
      <c r="J1601" s="61">
        <v>0</v>
      </c>
      <c r="K1601" s="61">
        <v>0</v>
      </c>
      <c r="L1601" s="61">
        <v>0</v>
      </c>
      <c r="M1601" s="61">
        <v>0</v>
      </c>
      <c r="N1601" s="61">
        <v>0</v>
      </c>
    </row>
    <row r="1602" spans="1:14" ht="30" x14ac:dyDescent="0.25">
      <c r="A1602" s="68" t="s">
        <v>297</v>
      </c>
      <c r="B1602" s="60" t="s">
        <v>57</v>
      </c>
      <c r="C1602" s="61">
        <v>13654</v>
      </c>
      <c r="D1602" s="61">
        <v>-5442</v>
      </c>
      <c r="E1602" s="61">
        <v>0</v>
      </c>
      <c r="F1602" s="61">
        <v>0</v>
      </c>
      <c r="G1602" s="61">
        <v>0</v>
      </c>
      <c r="H1602" s="61">
        <v>8212</v>
      </c>
      <c r="I1602" s="61">
        <v>-8212</v>
      </c>
      <c r="J1602" s="61">
        <v>0</v>
      </c>
      <c r="K1602" s="61">
        <v>0</v>
      </c>
      <c r="L1602" s="61">
        <v>0</v>
      </c>
      <c r="M1602" s="61">
        <v>0</v>
      </c>
      <c r="N1602" s="61">
        <v>0</v>
      </c>
    </row>
    <row r="1603" spans="1:14" ht="30" x14ac:dyDescent="0.25">
      <c r="A1603" s="68" t="s">
        <v>297</v>
      </c>
      <c r="B1603" s="60" t="s">
        <v>58</v>
      </c>
      <c r="C1603" s="61">
        <v>12843</v>
      </c>
      <c r="D1603" s="61">
        <v>-4911</v>
      </c>
      <c r="E1603" s="61">
        <v>0</v>
      </c>
      <c r="F1603" s="61">
        <v>0</v>
      </c>
      <c r="G1603" s="61">
        <v>0</v>
      </c>
      <c r="H1603" s="61">
        <v>7932</v>
      </c>
      <c r="I1603" s="61">
        <v>-7932</v>
      </c>
      <c r="J1603" s="61">
        <v>0</v>
      </c>
      <c r="K1603" s="61">
        <v>0</v>
      </c>
      <c r="L1603" s="61">
        <v>0</v>
      </c>
      <c r="M1603" s="61">
        <v>0</v>
      </c>
      <c r="N1603" s="61">
        <v>0</v>
      </c>
    </row>
    <row r="1604" spans="1:14" ht="30" x14ac:dyDescent="0.25">
      <c r="A1604" s="68" t="s">
        <v>297</v>
      </c>
      <c r="B1604" s="60" t="s">
        <v>59</v>
      </c>
      <c r="C1604" s="61">
        <v>12586</v>
      </c>
      <c r="D1604" s="61">
        <v>0</v>
      </c>
      <c r="E1604" s="61">
        <v>0</v>
      </c>
      <c r="F1604" s="61">
        <v>0</v>
      </c>
      <c r="G1604" s="61">
        <v>0</v>
      </c>
      <c r="H1604" s="61">
        <v>12586</v>
      </c>
      <c r="I1604" s="61">
        <v>-12586</v>
      </c>
      <c r="J1604" s="61">
        <v>0</v>
      </c>
      <c r="K1604" s="61">
        <v>0</v>
      </c>
      <c r="L1604" s="61">
        <v>0</v>
      </c>
      <c r="M1604" s="61">
        <v>0</v>
      </c>
      <c r="N1604" s="61">
        <v>0</v>
      </c>
    </row>
    <row r="1605" spans="1:14" ht="30" x14ac:dyDescent="0.25">
      <c r="A1605" s="68" t="s">
        <v>297</v>
      </c>
      <c r="B1605" s="60" t="s">
        <v>60</v>
      </c>
      <c r="C1605" s="61">
        <v>10734</v>
      </c>
      <c r="D1605" s="61">
        <v>-3028</v>
      </c>
      <c r="E1605" s="61">
        <v>0</v>
      </c>
      <c r="F1605" s="61">
        <v>0</v>
      </c>
      <c r="G1605" s="61">
        <v>0</v>
      </c>
      <c r="H1605" s="61">
        <v>7706</v>
      </c>
      <c r="I1605" s="61">
        <v>-7706</v>
      </c>
      <c r="J1605" s="61">
        <v>0</v>
      </c>
      <c r="K1605" s="61">
        <v>0</v>
      </c>
      <c r="L1605" s="61">
        <v>0</v>
      </c>
      <c r="M1605" s="61">
        <v>0</v>
      </c>
      <c r="N1605" s="61">
        <v>0</v>
      </c>
    </row>
    <row r="1606" spans="1:14" ht="15.75" x14ac:dyDescent="0.25">
      <c r="A1606" s="52" t="s">
        <v>298</v>
      </c>
      <c r="B1606" s="53" t="s">
        <v>8</v>
      </c>
      <c r="C1606" s="19">
        <f>SUBTOTAL(109,Program245[(C)
Program
Costs])</f>
        <v>94470</v>
      </c>
      <c r="D1606" s="19">
        <f>SUBTOTAL(109,Program245[(D)
Prior Period Adjustments])</f>
        <v>-21299</v>
      </c>
      <c r="E1606" s="19">
        <f>SUBTOTAL(109,Program245[(E)
Current Period Desk 
Reviews])</f>
        <v>0</v>
      </c>
      <c r="F1606" s="19">
        <f>SUBTOTAL(109,Program245[(F)
Current Period 
Final 
Audits])</f>
        <v>0</v>
      </c>
      <c r="G1606" s="19">
        <f>SUBTOTAL(109,Program245[(G)
Current Period 
Other Adjustments])</f>
        <v>0</v>
      </c>
      <c r="H1606" s="19">
        <f>SUBTOTAL(109,Program245[(H)
Net Program Costs
Sum (C through G)])</f>
        <v>73171</v>
      </c>
      <c r="I1606" s="19">
        <f>SUBTOTAL(109,Program245[(I)
Payments
 and Offsets])</f>
        <v>-73171</v>
      </c>
      <c r="J1606" s="19">
        <f>SUBTOTAL(109,Program245[(J)
Accounts Payable Balance
(H + I)])</f>
        <v>0</v>
      </c>
      <c r="K1606" s="19">
        <f>SUBTOTAL(109,Program245[(K)
Established 
Accounts Receivable])</f>
        <v>0</v>
      </c>
      <c r="L1606" s="19">
        <f>SUBTOTAL(109,Program245[(L)
Recovered
 Accounts Receivable])</f>
        <v>0</v>
      </c>
      <c r="M1606" s="19">
        <f>SUBTOTAL(109,Program245[(M)
Accounts Receivable Balance
(K + L)])</f>
        <v>0</v>
      </c>
      <c r="N1606" s="19">
        <f>SUBTOTAL(109,Program245[(N)
Net Balance
(J minus M)])</f>
        <v>0</v>
      </c>
    </row>
    <row r="1607" spans="1:14" ht="15.75" x14ac:dyDescent="0.25">
      <c r="A1607" s="17" t="s">
        <v>13</v>
      </c>
      <c r="B1607" s="54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78.75" x14ac:dyDescent="0.25">
      <c r="A1608" s="39" t="s">
        <v>32</v>
      </c>
      <c r="B1608" s="40" t="s">
        <v>33</v>
      </c>
      <c r="C1608" s="41" t="s">
        <v>34</v>
      </c>
      <c r="D1608" s="41" t="s">
        <v>35</v>
      </c>
      <c r="E1608" s="42" t="s">
        <v>36</v>
      </c>
      <c r="F1608" s="42" t="s">
        <v>37</v>
      </c>
      <c r="G1608" s="42" t="s">
        <v>38</v>
      </c>
      <c r="H1608" s="43" t="s">
        <v>39</v>
      </c>
      <c r="I1608" s="44" t="s">
        <v>40</v>
      </c>
      <c r="J1608" s="44" t="s">
        <v>41</v>
      </c>
      <c r="K1608" s="42" t="s">
        <v>42</v>
      </c>
      <c r="L1608" s="44" t="s">
        <v>43</v>
      </c>
      <c r="M1608" s="44" t="s">
        <v>44</v>
      </c>
      <c r="N1608" s="45" t="s">
        <v>45</v>
      </c>
    </row>
    <row r="1609" spans="1:14" ht="15.75" x14ac:dyDescent="0.25">
      <c r="A1609" s="46" t="s">
        <v>299</v>
      </c>
      <c r="B1609" s="47" t="s">
        <v>54</v>
      </c>
      <c r="C1609" s="48">
        <v>3995</v>
      </c>
      <c r="D1609" s="48">
        <v>-400</v>
      </c>
      <c r="E1609" s="48">
        <v>0</v>
      </c>
      <c r="F1609" s="48">
        <v>0</v>
      </c>
      <c r="G1609" s="48">
        <v>0</v>
      </c>
      <c r="H1609" s="48">
        <v>3595</v>
      </c>
      <c r="I1609" s="48">
        <v>-3595</v>
      </c>
      <c r="J1609" s="48">
        <v>0</v>
      </c>
      <c r="K1609" s="48">
        <v>0</v>
      </c>
      <c r="L1609" s="48">
        <v>0</v>
      </c>
      <c r="M1609" s="48">
        <v>0</v>
      </c>
      <c r="N1609" s="48">
        <v>0</v>
      </c>
    </row>
    <row r="1610" spans="1:14" ht="15.75" x14ac:dyDescent="0.25">
      <c r="A1610" s="49" t="s">
        <v>299</v>
      </c>
      <c r="B1610" s="50" t="s">
        <v>55</v>
      </c>
      <c r="C1610" s="51">
        <v>2245591</v>
      </c>
      <c r="D1610" s="51">
        <v>-97568</v>
      </c>
      <c r="E1610" s="51">
        <v>0</v>
      </c>
      <c r="F1610" s="51">
        <v>0</v>
      </c>
      <c r="G1610" s="51">
        <v>0</v>
      </c>
      <c r="H1610" s="51">
        <v>2148023</v>
      </c>
      <c r="I1610" s="51">
        <v>-2148023</v>
      </c>
      <c r="J1610" s="51">
        <v>0</v>
      </c>
      <c r="K1610" s="51">
        <v>0</v>
      </c>
      <c r="L1610" s="51">
        <v>0</v>
      </c>
      <c r="M1610" s="51">
        <v>0</v>
      </c>
      <c r="N1610" s="51">
        <v>0</v>
      </c>
    </row>
    <row r="1611" spans="1:14" ht="15.75" x14ac:dyDescent="0.25">
      <c r="A1611" s="49" t="s">
        <v>299</v>
      </c>
      <c r="B1611" s="50" t="s">
        <v>56</v>
      </c>
      <c r="C1611" s="51">
        <v>3419288</v>
      </c>
      <c r="D1611" s="51">
        <v>-341711</v>
      </c>
      <c r="E1611" s="51">
        <v>0</v>
      </c>
      <c r="F1611" s="51">
        <v>0</v>
      </c>
      <c r="G1611" s="51">
        <v>0</v>
      </c>
      <c r="H1611" s="51">
        <v>3077577</v>
      </c>
      <c r="I1611" s="51">
        <v>-3077577</v>
      </c>
      <c r="J1611" s="51">
        <v>0</v>
      </c>
      <c r="K1611" s="51">
        <v>0</v>
      </c>
      <c r="L1611" s="51">
        <v>0</v>
      </c>
      <c r="M1611" s="51">
        <v>0</v>
      </c>
      <c r="N1611" s="51">
        <v>0</v>
      </c>
    </row>
    <row r="1612" spans="1:14" ht="15.75" x14ac:dyDescent="0.25">
      <c r="A1612" s="49" t="s">
        <v>299</v>
      </c>
      <c r="B1612" s="50" t="s">
        <v>57</v>
      </c>
      <c r="C1612" s="51">
        <v>4706575</v>
      </c>
      <c r="D1612" s="51">
        <v>-660262</v>
      </c>
      <c r="E1612" s="51">
        <v>0</v>
      </c>
      <c r="F1612" s="51">
        <v>0</v>
      </c>
      <c r="G1612" s="51">
        <v>0</v>
      </c>
      <c r="H1612" s="51">
        <v>4046313</v>
      </c>
      <c r="I1612" s="51">
        <v>-4046313</v>
      </c>
      <c r="J1612" s="51">
        <v>0</v>
      </c>
      <c r="K1612" s="51">
        <v>114232</v>
      </c>
      <c r="L1612" s="51">
        <v>-114232</v>
      </c>
      <c r="M1612" s="51">
        <v>0</v>
      </c>
      <c r="N1612" s="51">
        <v>0</v>
      </c>
    </row>
    <row r="1613" spans="1:14" ht="15.75" x14ac:dyDescent="0.25">
      <c r="A1613" s="49" t="s">
        <v>299</v>
      </c>
      <c r="B1613" s="50" t="s">
        <v>58</v>
      </c>
      <c r="C1613" s="51">
        <v>4977359</v>
      </c>
      <c r="D1613" s="51">
        <v>-318603</v>
      </c>
      <c r="E1613" s="51">
        <v>0</v>
      </c>
      <c r="F1613" s="51">
        <v>0</v>
      </c>
      <c r="G1613" s="51">
        <v>0</v>
      </c>
      <c r="H1613" s="51">
        <v>4658756</v>
      </c>
      <c r="I1613" s="51">
        <v>-4658756</v>
      </c>
      <c r="J1613" s="51">
        <v>0</v>
      </c>
      <c r="K1613" s="51">
        <v>266505</v>
      </c>
      <c r="L1613" s="51">
        <v>-266505</v>
      </c>
      <c r="M1613" s="51">
        <v>0</v>
      </c>
      <c r="N1613" s="51">
        <v>0</v>
      </c>
    </row>
    <row r="1614" spans="1:14" ht="15.75" x14ac:dyDescent="0.25">
      <c r="A1614" s="49" t="s">
        <v>299</v>
      </c>
      <c r="B1614" s="50" t="s">
        <v>59</v>
      </c>
      <c r="C1614" s="51">
        <v>2993290</v>
      </c>
      <c r="D1614" s="51">
        <v>-10207</v>
      </c>
      <c r="E1614" s="51">
        <v>0</v>
      </c>
      <c r="F1614" s="51">
        <v>0</v>
      </c>
      <c r="G1614" s="51">
        <v>0</v>
      </c>
      <c r="H1614" s="51">
        <v>2983083</v>
      </c>
      <c r="I1614" s="51">
        <v>-2983083</v>
      </c>
      <c r="J1614" s="51">
        <v>0</v>
      </c>
      <c r="K1614" s="51">
        <v>57912</v>
      </c>
      <c r="L1614" s="51">
        <v>-57912</v>
      </c>
      <c r="M1614" s="51">
        <v>0</v>
      </c>
      <c r="N1614" s="51">
        <v>0</v>
      </c>
    </row>
    <row r="1615" spans="1:14" ht="15.75" x14ac:dyDescent="0.25">
      <c r="A1615" s="49" t="s">
        <v>299</v>
      </c>
      <c r="B1615" s="50" t="s">
        <v>60</v>
      </c>
      <c r="C1615" s="51">
        <v>1324944</v>
      </c>
      <c r="D1615" s="51">
        <v>-1125</v>
      </c>
      <c r="E1615" s="51">
        <v>0</v>
      </c>
      <c r="F1615" s="51">
        <v>0</v>
      </c>
      <c r="G1615" s="51">
        <v>0</v>
      </c>
      <c r="H1615" s="51">
        <v>1323819</v>
      </c>
      <c r="I1615" s="51">
        <v>-1323819</v>
      </c>
      <c r="J1615" s="51">
        <v>0</v>
      </c>
      <c r="K1615" s="51">
        <v>647104</v>
      </c>
      <c r="L1615" s="51">
        <v>-481403</v>
      </c>
      <c r="M1615" s="51">
        <v>165701</v>
      </c>
      <c r="N1615" s="51">
        <v>-165701</v>
      </c>
    </row>
    <row r="1616" spans="1:14" ht="15.75" x14ac:dyDescent="0.25">
      <c r="A1616" s="49" t="s">
        <v>299</v>
      </c>
      <c r="B1616" s="50" t="s">
        <v>66</v>
      </c>
      <c r="C1616" s="51">
        <v>197844</v>
      </c>
      <c r="D1616" s="51">
        <v>-23687</v>
      </c>
      <c r="E1616" s="51">
        <v>0</v>
      </c>
      <c r="F1616" s="51">
        <v>0</v>
      </c>
      <c r="G1616" s="51">
        <v>0</v>
      </c>
      <c r="H1616" s="51">
        <v>174157</v>
      </c>
      <c r="I1616" s="51">
        <v>-174157</v>
      </c>
      <c r="J1616" s="51">
        <v>0</v>
      </c>
      <c r="K1616" s="51">
        <v>0</v>
      </c>
      <c r="L1616" s="51">
        <v>0</v>
      </c>
      <c r="M1616" s="51">
        <v>0</v>
      </c>
      <c r="N1616" s="51">
        <v>0</v>
      </c>
    </row>
    <row r="1617" spans="1:14" ht="15.75" x14ac:dyDescent="0.25">
      <c r="A1617" s="49" t="s">
        <v>299</v>
      </c>
      <c r="B1617" s="50" t="s">
        <v>67</v>
      </c>
      <c r="C1617" s="51">
        <v>1611244</v>
      </c>
      <c r="D1617" s="51">
        <v>-281714</v>
      </c>
      <c r="E1617" s="51">
        <v>0</v>
      </c>
      <c r="F1617" s="51">
        <v>0</v>
      </c>
      <c r="G1617" s="51">
        <v>0</v>
      </c>
      <c r="H1617" s="51">
        <v>1329530</v>
      </c>
      <c r="I1617" s="51">
        <v>-1329530</v>
      </c>
      <c r="J1617" s="51">
        <v>0</v>
      </c>
      <c r="K1617" s="51">
        <v>167850</v>
      </c>
      <c r="L1617" s="51">
        <v>-167850</v>
      </c>
      <c r="M1617" s="51">
        <v>0</v>
      </c>
      <c r="N1617" s="51">
        <v>0</v>
      </c>
    </row>
    <row r="1618" spans="1:14" ht="15.75" x14ac:dyDescent="0.25">
      <c r="A1618" s="49" t="s">
        <v>299</v>
      </c>
      <c r="B1618" s="50" t="s">
        <v>68</v>
      </c>
      <c r="C1618" s="51">
        <v>11401</v>
      </c>
      <c r="D1618" s="51">
        <v>-11401</v>
      </c>
      <c r="E1618" s="51">
        <v>0</v>
      </c>
      <c r="F1618" s="51">
        <v>0</v>
      </c>
      <c r="G1618" s="51">
        <v>0</v>
      </c>
      <c r="H1618" s="51">
        <v>0</v>
      </c>
      <c r="I1618" s="51">
        <v>0</v>
      </c>
      <c r="J1618" s="51">
        <v>0</v>
      </c>
      <c r="K1618" s="51">
        <v>36487</v>
      </c>
      <c r="L1618" s="51">
        <v>-36487</v>
      </c>
      <c r="M1618" s="51">
        <v>0</v>
      </c>
      <c r="N1618" s="51">
        <v>0</v>
      </c>
    </row>
    <row r="1619" spans="1:14" ht="15.75" x14ac:dyDescent="0.25">
      <c r="A1619" s="49" t="s">
        <v>299</v>
      </c>
      <c r="B1619" s="50" t="s">
        <v>69</v>
      </c>
      <c r="C1619" s="51">
        <v>0</v>
      </c>
      <c r="D1619" s="51">
        <v>0</v>
      </c>
      <c r="E1619" s="51">
        <v>0</v>
      </c>
      <c r="F1619" s="51">
        <v>0</v>
      </c>
      <c r="G1619" s="51">
        <v>0</v>
      </c>
      <c r="H1619" s="51">
        <v>0</v>
      </c>
      <c r="I1619" s="51">
        <v>0</v>
      </c>
      <c r="J1619" s="51">
        <v>0</v>
      </c>
      <c r="K1619" s="51">
        <v>20214</v>
      </c>
      <c r="L1619" s="51">
        <v>-20214</v>
      </c>
      <c r="M1619" s="51">
        <v>0</v>
      </c>
      <c r="N1619" s="51">
        <v>0</v>
      </c>
    </row>
    <row r="1620" spans="1:14" ht="15.75" x14ac:dyDescent="0.25">
      <c r="A1620" s="49" t="s">
        <v>299</v>
      </c>
      <c r="B1620" s="50" t="s">
        <v>115</v>
      </c>
      <c r="C1620" s="51">
        <v>0</v>
      </c>
      <c r="D1620" s="51">
        <v>0</v>
      </c>
      <c r="E1620" s="51">
        <v>0</v>
      </c>
      <c r="F1620" s="51">
        <v>0</v>
      </c>
      <c r="G1620" s="51">
        <v>0</v>
      </c>
      <c r="H1620" s="51">
        <v>0</v>
      </c>
      <c r="I1620" s="51">
        <v>0</v>
      </c>
      <c r="J1620" s="51">
        <v>0</v>
      </c>
      <c r="K1620" s="51">
        <v>3471</v>
      </c>
      <c r="L1620" s="51">
        <v>-3471</v>
      </c>
      <c r="M1620" s="51">
        <v>0</v>
      </c>
      <c r="N1620" s="51">
        <v>0</v>
      </c>
    </row>
    <row r="1621" spans="1:14" ht="15.75" x14ac:dyDescent="0.25">
      <c r="A1621" s="49" t="s">
        <v>299</v>
      </c>
      <c r="B1621" s="50" t="s">
        <v>99</v>
      </c>
      <c r="C1621" s="51">
        <v>0</v>
      </c>
      <c r="D1621" s="51">
        <v>0</v>
      </c>
      <c r="E1621" s="51">
        <v>0</v>
      </c>
      <c r="F1621" s="51">
        <v>0</v>
      </c>
      <c r="G1621" s="51">
        <v>0</v>
      </c>
      <c r="H1621" s="51">
        <v>0</v>
      </c>
      <c r="I1621" s="51">
        <v>0</v>
      </c>
      <c r="J1621" s="51">
        <v>0</v>
      </c>
      <c r="K1621" s="51">
        <v>10000</v>
      </c>
      <c r="L1621" s="51">
        <v>-10000</v>
      </c>
      <c r="M1621" s="51">
        <v>0</v>
      </c>
      <c r="N1621" s="51">
        <v>0</v>
      </c>
    </row>
    <row r="1622" spans="1:14" ht="15.75" x14ac:dyDescent="0.25">
      <c r="A1622" s="49" t="s">
        <v>299</v>
      </c>
      <c r="B1622" s="50" t="s">
        <v>243</v>
      </c>
      <c r="C1622" s="51">
        <v>0</v>
      </c>
      <c r="D1622" s="51">
        <v>0</v>
      </c>
      <c r="E1622" s="51">
        <v>0</v>
      </c>
      <c r="F1622" s="51">
        <v>0</v>
      </c>
      <c r="G1622" s="51">
        <v>0</v>
      </c>
      <c r="H1622" s="51">
        <v>0</v>
      </c>
      <c r="I1622" s="51">
        <v>0</v>
      </c>
      <c r="J1622" s="51">
        <v>0</v>
      </c>
      <c r="K1622" s="51">
        <v>2785</v>
      </c>
      <c r="L1622" s="51">
        <v>-2785</v>
      </c>
      <c r="M1622" s="51">
        <v>0</v>
      </c>
      <c r="N1622" s="51">
        <v>0</v>
      </c>
    </row>
    <row r="1623" spans="1:14" ht="15.75" x14ac:dyDescent="0.25">
      <c r="A1623" s="52" t="s">
        <v>300</v>
      </c>
      <c r="B1623" s="53" t="s">
        <v>8</v>
      </c>
      <c r="C1623" s="19">
        <f>SUBTOTAL(109,Program055[(C)
Program
Costs])</f>
        <v>21491531</v>
      </c>
      <c r="D1623" s="19">
        <f>SUBTOTAL(109,Program055[(D)
Prior Period Adjustments])</f>
        <v>-1746678</v>
      </c>
      <c r="E1623" s="19">
        <f>SUBTOTAL(109,Program055[(E)
Current Period Desk 
Reviews])</f>
        <v>0</v>
      </c>
      <c r="F1623" s="19">
        <f>SUBTOTAL(109,Program055[(F)
Current Period 
Final 
Audits])</f>
        <v>0</v>
      </c>
      <c r="G1623" s="19">
        <f>SUBTOTAL(109,Program055[(G)
Current Period 
Other Adjustments])</f>
        <v>0</v>
      </c>
      <c r="H1623" s="19">
        <f>SUBTOTAL(109,Program055[(H)
Net Program Costs
Sum (C through G)])</f>
        <v>19744853</v>
      </c>
      <c r="I1623" s="19">
        <f>SUBTOTAL(109,Program055[(I)
Payments
 and Offsets])</f>
        <v>-19744853</v>
      </c>
      <c r="J1623" s="19">
        <f>SUBTOTAL(109,Program055[(J)
Accounts Payable Balance
(H + I)])</f>
        <v>0</v>
      </c>
      <c r="K1623" s="19">
        <f>SUBTOTAL(109,Program055[(K)
Established 
Accounts Receivable])</f>
        <v>1326560</v>
      </c>
      <c r="L1623" s="19">
        <f>SUBTOTAL(109,Program055[(L)
Recovered
 Accounts Receivable])</f>
        <v>-1160859</v>
      </c>
      <c r="M1623" s="19">
        <f>SUBTOTAL(109,Program055[(M)
Accounts Receivable Balance
(K + L)])</f>
        <v>165701</v>
      </c>
      <c r="N1623" s="19">
        <f>SUBTOTAL(109,Program055[(N)
Net Balance
(J minus M)])</f>
        <v>-165701</v>
      </c>
    </row>
    <row r="1624" spans="1:14" ht="15.75" x14ac:dyDescent="0.25">
      <c r="A1624" s="17" t="s">
        <v>13</v>
      </c>
      <c r="B1624" s="54"/>
      <c r="C1624" s="55"/>
      <c r="D1624" s="55"/>
      <c r="E1624" s="55"/>
      <c r="F1624" s="55"/>
      <c r="G1624" s="55"/>
      <c r="H1624" s="55"/>
      <c r="I1624" s="55"/>
      <c r="J1624" s="55"/>
      <c r="K1624" s="55"/>
      <c r="L1624" s="55"/>
      <c r="M1624" s="55"/>
      <c r="N1624" s="55"/>
    </row>
    <row r="1625" spans="1:14" ht="78.75" x14ac:dyDescent="0.25">
      <c r="A1625" s="39" t="s">
        <v>32</v>
      </c>
      <c r="B1625" s="40" t="s">
        <v>33</v>
      </c>
      <c r="C1625" s="41" t="s">
        <v>34</v>
      </c>
      <c r="D1625" s="41" t="s">
        <v>35</v>
      </c>
      <c r="E1625" s="42" t="s">
        <v>36</v>
      </c>
      <c r="F1625" s="42" t="s">
        <v>37</v>
      </c>
      <c r="G1625" s="42" t="s">
        <v>38</v>
      </c>
      <c r="H1625" s="43" t="s">
        <v>39</v>
      </c>
      <c r="I1625" s="44" t="s">
        <v>40</v>
      </c>
      <c r="J1625" s="44" t="s">
        <v>41</v>
      </c>
      <c r="K1625" s="42" t="s">
        <v>42</v>
      </c>
      <c r="L1625" s="44" t="s">
        <v>43</v>
      </c>
      <c r="M1625" s="44" t="s">
        <v>44</v>
      </c>
      <c r="N1625" s="45" t="s">
        <v>45</v>
      </c>
    </row>
    <row r="1626" spans="1:14" ht="15.75" x14ac:dyDescent="0.25">
      <c r="A1626" s="46" t="s">
        <v>301</v>
      </c>
      <c r="B1626" s="47" t="s">
        <v>49</v>
      </c>
      <c r="C1626" s="48">
        <v>48097</v>
      </c>
      <c r="D1626" s="48">
        <v>-7</v>
      </c>
      <c r="E1626" s="48">
        <v>0</v>
      </c>
      <c r="F1626" s="48">
        <v>0</v>
      </c>
      <c r="G1626" s="48">
        <v>0</v>
      </c>
      <c r="H1626" s="48">
        <v>48090</v>
      </c>
      <c r="I1626" s="48">
        <v>0</v>
      </c>
      <c r="J1626" s="48">
        <v>48090</v>
      </c>
      <c r="K1626" s="48">
        <v>0</v>
      </c>
      <c r="L1626" s="48">
        <v>0</v>
      </c>
      <c r="M1626" s="48">
        <v>0</v>
      </c>
      <c r="N1626" s="48">
        <v>48090</v>
      </c>
    </row>
    <row r="1627" spans="1:14" ht="15.75" x14ac:dyDescent="0.25">
      <c r="A1627" s="49" t="s">
        <v>301</v>
      </c>
      <c r="B1627" s="50" t="s">
        <v>50</v>
      </c>
      <c r="C1627" s="51">
        <v>717831</v>
      </c>
      <c r="D1627" s="51">
        <v>-18028</v>
      </c>
      <c r="E1627" s="51">
        <v>0</v>
      </c>
      <c r="F1627" s="51">
        <v>0</v>
      </c>
      <c r="G1627" s="51">
        <v>0</v>
      </c>
      <c r="H1627" s="51">
        <v>699803</v>
      </c>
      <c r="I1627" s="51">
        <v>0</v>
      </c>
      <c r="J1627" s="51">
        <v>699803</v>
      </c>
      <c r="K1627" s="51">
        <v>0</v>
      </c>
      <c r="L1627" s="51">
        <v>0</v>
      </c>
      <c r="M1627" s="51">
        <v>0</v>
      </c>
      <c r="N1627" s="51">
        <v>699803</v>
      </c>
    </row>
    <row r="1628" spans="1:14" ht="15.75" x14ac:dyDescent="0.25">
      <c r="A1628" s="49" t="s">
        <v>301</v>
      </c>
      <c r="B1628" s="50" t="s">
        <v>51</v>
      </c>
      <c r="C1628" s="51">
        <v>847301</v>
      </c>
      <c r="D1628" s="51">
        <v>-12879</v>
      </c>
      <c r="E1628" s="51">
        <v>0</v>
      </c>
      <c r="F1628" s="51">
        <v>0</v>
      </c>
      <c r="G1628" s="51">
        <v>0</v>
      </c>
      <c r="H1628" s="51">
        <v>834422</v>
      </c>
      <c r="I1628" s="51">
        <v>0</v>
      </c>
      <c r="J1628" s="51">
        <v>834422</v>
      </c>
      <c r="K1628" s="51">
        <v>0</v>
      </c>
      <c r="L1628" s="51">
        <v>0</v>
      </c>
      <c r="M1628" s="51">
        <v>0</v>
      </c>
      <c r="N1628" s="51">
        <v>834422</v>
      </c>
    </row>
    <row r="1629" spans="1:14" ht="15.75" x14ac:dyDescent="0.25">
      <c r="A1629" s="49" t="s">
        <v>301</v>
      </c>
      <c r="B1629" s="50" t="s">
        <v>52</v>
      </c>
      <c r="C1629" s="51">
        <v>886232</v>
      </c>
      <c r="D1629" s="51">
        <v>-10668</v>
      </c>
      <c r="E1629" s="51">
        <v>0</v>
      </c>
      <c r="F1629" s="51">
        <v>0</v>
      </c>
      <c r="G1629" s="51">
        <v>0</v>
      </c>
      <c r="H1629" s="51">
        <v>875564</v>
      </c>
      <c r="I1629" s="51">
        <v>-875564</v>
      </c>
      <c r="J1629" s="51">
        <v>0</v>
      </c>
      <c r="K1629" s="51">
        <v>81902</v>
      </c>
      <c r="L1629" s="51">
        <v>-81902</v>
      </c>
      <c r="M1629" s="51">
        <v>0</v>
      </c>
      <c r="N1629" s="51">
        <v>0</v>
      </c>
    </row>
    <row r="1630" spans="1:14" ht="15.75" x14ac:dyDescent="0.25">
      <c r="A1630" s="49" t="s">
        <v>301</v>
      </c>
      <c r="B1630" s="50" t="s">
        <v>53</v>
      </c>
      <c r="C1630" s="51">
        <v>893018</v>
      </c>
      <c r="D1630" s="51">
        <v>-1071</v>
      </c>
      <c r="E1630" s="51">
        <v>0</v>
      </c>
      <c r="F1630" s="51">
        <v>0</v>
      </c>
      <c r="G1630" s="51">
        <v>0</v>
      </c>
      <c r="H1630" s="51">
        <v>891947</v>
      </c>
      <c r="I1630" s="51">
        <v>-891947</v>
      </c>
      <c r="J1630" s="51">
        <v>0</v>
      </c>
      <c r="K1630" s="51">
        <v>33727</v>
      </c>
      <c r="L1630" s="51">
        <v>-33727</v>
      </c>
      <c r="M1630" s="51">
        <v>0</v>
      </c>
      <c r="N1630" s="51">
        <v>0</v>
      </c>
    </row>
    <row r="1631" spans="1:14" ht="15.75" x14ac:dyDescent="0.25">
      <c r="A1631" s="49" t="s">
        <v>301</v>
      </c>
      <c r="B1631" s="50" t="s">
        <v>54</v>
      </c>
      <c r="C1631" s="51">
        <v>1353626</v>
      </c>
      <c r="D1631" s="51">
        <v>-1972</v>
      </c>
      <c r="E1631" s="51">
        <v>0</v>
      </c>
      <c r="F1631" s="51">
        <v>0</v>
      </c>
      <c r="G1631" s="51">
        <v>0</v>
      </c>
      <c r="H1631" s="51">
        <v>1351654</v>
      </c>
      <c r="I1631" s="51">
        <v>-1351654</v>
      </c>
      <c r="J1631" s="51">
        <v>0</v>
      </c>
      <c r="K1631" s="51">
        <v>268079</v>
      </c>
      <c r="L1631" s="51">
        <v>-268079</v>
      </c>
      <c r="M1631" s="51">
        <v>0</v>
      </c>
      <c r="N1631" s="51">
        <v>0</v>
      </c>
    </row>
    <row r="1632" spans="1:14" ht="15.75" x14ac:dyDescent="0.25">
      <c r="A1632" s="49" t="s">
        <v>301</v>
      </c>
      <c r="B1632" s="50" t="s">
        <v>55</v>
      </c>
      <c r="C1632" s="51">
        <v>1593768</v>
      </c>
      <c r="D1632" s="51">
        <v>-85366</v>
      </c>
      <c r="E1632" s="51">
        <v>0</v>
      </c>
      <c r="F1632" s="51">
        <v>0</v>
      </c>
      <c r="G1632" s="51">
        <v>0</v>
      </c>
      <c r="H1632" s="51">
        <v>1508402</v>
      </c>
      <c r="I1632" s="51">
        <v>-1508402</v>
      </c>
      <c r="J1632" s="51">
        <v>0</v>
      </c>
      <c r="K1632" s="51">
        <v>0</v>
      </c>
      <c r="L1632" s="51">
        <v>0</v>
      </c>
      <c r="M1632" s="51">
        <v>0</v>
      </c>
      <c r="N1632" s="51">
        <v>0</v>
      </c>
    </row>
    <row r="1633" spans="1:14" ht="15.75" x14ac:dyDescent="0.25">
      <c r="A1633" s="49" t="s">
        <v>301</v>
      </c>
      <c r="B1633" s="50" t="s">
        <v>56</v>
      </c>
      <c r="C1633" s="51">
        <v>1351725</v>
      </c>
      <c r="D1633" s="51">
        <v>-41408</v>
      </c>
      <c r="E1633" s="51">
        <v>0</v>
      </c>
      <c r="F1633" s="51">
        <v>0</v>
      </c>
      <c r="G1633" s="51">
        <v>0</v>
      </c>
      <c r="H1633" s="51">
        <v>1310317</v>
      </c>
      <c r="I1633" s="51">
        <v>-1310317</v>
      </c>
      <c r="J1633" s="51">
        <v>0</v>
      </c>
      <c r="K1633" s="51">
        <v>4</v>
      </c>
      <c r="L1633" s="51">
        <v>-4</v>
      </c>
      <c r="M1633" s="51">
        <v>0</v>
      </c>
      <c r="N1633" s="51">
        <v>0</v>
      </c>
    </row>
    <row r="1634" spans="1:14" ht="15.75" x14ac:dyDescent="0.25">
      <c r="A1634" s="49" t="s">
        <v>301</v>
      </c>
      <c r="B1634" s="50" t="s">
        <v>57</v>
      </c>
      <c r="C1634" s="51">
        <v>1213708</v>
      </c>
      <c r="D1634" s="51">
        <v>-19270</v>
      </c>
      <c r="E1634" s="51">
        <v>0</v>
      </c>
      <c r="F1634" s="51">
        <v>0</v>
      </c>
      <c r="G1634" s="51">
        <v>0</v>
      </c>
      <c r="H1634" s="51">
        <v>1194438</v>
      </c>
      <c r="I1634" s="51">
        <v>-1194438</v>
      </c>
      <c r="J1634" s="51">
        <v>0</v>
      </c>
      <c r="K1634" s="51">
        <v>88138</v>
      </c>
      <c r="L1634" s="51">
        <v>-88138</v>
      </c>
      <c r="M1634" s="51">
        <v>0</v>
      </c>
      <c r="N1634" s="51">
        <v>0</v>
      </c>
    </row>
    <row r="1635" spans="1:14" ht="15.75" x14ac:dyDescent="0.25">
      <c r="A1635" s="49" t="s">
        <v>301</v>
      </c>
      <c r="B1635" s="50" t="s">
        <v>58</v>
      </c>
      <c r="C1635" s="51">
        <v>1299390</v>
      </c>
      <c r="D1635" s="51">
        <v>0</v>
      </c>
      <c r="E1635" s="51">
        <v>0</v>
      </c>
      <c r="F1635" s="51">
        <v>0</v>
      </c>
      <c r="G1635" s="51">
        <v>0</v>
      </c>
      <c r="H1635" s="51">
        <v>1299390</v>
      </c>
      <c r="I1635" s="51">
        <v>-1299390</v>
      </c>
      <c r="J1635" s="51">
        <v>0</v>
      </c>
      <c r="K1635" s="51">
        <v>31816</v>
      </c>
      <c r="L1635" s="51">
        <v>-31816</v>
      </c>
      <c r="M1635" s="51">
        <v>0</v>
      </c>
      <c r="N1635" s="51">
        <v>0</v>
      </c>
    </row>
    <row r="1636" spans="1:14" ht="15.75" x14ac:dyDescent="0.25">
      <c r="A1636" s="49" t="s">
        <v>301</v>
      </c>
      <c r="B1636" s="50" t="s">
        <v>59</v>
      </c>
      <c r="C1636" s="51">
        <v>1285896</v>
      </c>
      <c r="D1636" s="51">
        <v>-2547</v>
      </c>
      <c r="E1636" s="51">
        <v>0</v>
      </c>
      <c r="F1636" s="51">
        <v>0</v>
      </c>
      <c r="G1636" s="51">
        <v>0</v>
      </c>
      <c r="H1636" s="51">
        <v>1283349</v>
      </c>
      <c r="I1636" s="51">
        <v>-1283349</v>
      </c>
      <c r="J1636" s="51">
        <v>0</v>
      </c>
      <c r="K1636" s="51">
        <v>645633</v>
      </c>
      <c r="L1636" s="51">
        <v>-645633</v>
      </c>
      <c r="M1636" s="51">
        <v>0</v>
      </c>
      <c r="N1636" s="51">
        <v>0</v>
      </c>
    </row>
    <row r="1637" spans="1:14" ht="15.75" x14ac:dyDescent="0.25">
      <c r="A1637" s="49" t="s">
        <v>301</v>
      </c>
      <c r="B1637" s="50" t="s">
        <v>60</v>
      </c>
      <c r="C1637" s="51">
        <v>1450395</v>
      </c>
      <c r="D1637" s="51">
        <v>-1622</v>
      </c>
      <c r="E1637" s="51">
        <v>0</v>
      </c>
      <c r="F1637" s="51">
        <v>0</v>
      </c>
      <c r="G1637" s="51">
        <v>0</v>
      </c>
      <c r="H1637" s="51">
        <v>1448773</v>
      </c>
      <c r="I1637" s="51">
        <v>-1448773</v>
      </c>
      <c r="J1637" s="51">
        <v>0</v>
      </c>
      <c r="K1637" s="51">
        <v>140368</v>
      </c>
      <c r="L1637" s="51">
        <v>-140368</v>
      </c>
      <c r="M1637" s="51">
        <v>0</v>
      </c>
      <c r="N1637" s="51">
        <v>0</v>
      </c>
    </row>
    <row r="1638" spans="1:14" ht="15.75" x14ac:dyDescent="0.25">
      <c r="A1638" s="49" t="s">
        <v>301</v>
      </c>
      <c r="B1638" s="50" t="s">
        <v>61</v>
      </c>
      <c r="C1638" s="51">
        <v>1493294</v>
      </c>
      <c r="D1638" s="51">
        <v>-250939</v>
      </c>
      <c r="E1638" s="51">
        <v>0</v>
      </c>
      <c r="F1638" s="51">
        <v>0</v>
      </c>
      <c r="G1638" s="51">
        <v>0</v>
      </c>
      <c r="H1638" s="51">
        <v>1242355</v>
      </c>
      <c r="I1638" s="51">
        <v>-1242355</v>
      </c>
      <c r="J1638" s="51">
        <v>0</v>
      </c>
      <c r="K1638" s="51">
        <v>202267</v>
      </c>
      <c r="L1638" s="51">
        <v>-202267</v>
      </c>
      <c r="M1638" s="51">
        <v>0</v>
      </c>
      <c r="N1638" s="51">
        <v>0</v>
      </c>
    </row>
    <row r="1639" spans="1:14" ht="15.75" x14ac:dyDescent="0.25">
      <c r="A1639" s="49" t="s">
        <v>301</v>
      </c>
      <c r="B1639" s="50" t="s">
        <v>62</v>
      </c>
      <c r="C1639" s="51">
        <v>1058053</v>
      </c>
      <c r="D1639" s="51">
        <v>-13783</v>
      </c>
      <c r="E1639" s="51">
        <v>0</v>
      </c>
      <c r="F1639" s="51">
        <v>0</v>
      </c>
      <c r="G1639" s="51">
        <v>0</v>
      </c>
      <c r="H1639" s="51">
        <v>1044270</v>
      </c>
      <c r="I1639" s="51">
        <v>-1044270</v>
      </c>
      <c r="J1639" s="51">
        <v>0</v>
      </c>
      <c r="K1639" s="51">
        <v>132872</v>
      </c>
      <c r="L1639" s="51">
        <v>-132872</v>
      </c>
      <c r="M1639" s="51">
        <v>0</v>
      </c>
      <c r="N1639" s="51">
        <v>0</v>
      </c>
    </row>
    <row r="1640" spans="1:14" ht="15.75" x14ac:dyDescent="0.25">
      <c r="A1640" s="49" t="s">
        <v>301</v>
      </c>
      <c r="B1640" s="50" t="s">
        <v>63</v>
      </c>
      <c r="C1640" s="51">
        <v>977116</v>
      </c>
      <c r="D1640" s="51">
        <v>-7150</v>
      </c>
      <c r="E1640" s="51">
        <v>0</v>
      </c>
      <c r="F1640" s="51">
        <v>0</v>
      </c>
      <c r="G1640" s="51">
        <v>0</v>
      </c>
      <c r="H1640" s="51">
        <v>969966</v>
      </c>
      <c r="I1640" s="51">
        <v>-969966</v>
      </c>
      <c r="J1640" s="51">
        <v>0</v>
      </c>
      <c r="K1640" s="51">
        <v>25893</v>
      </c>
      <c r="L1640" s="51">
        <v>-25893</v>
      </c>
      <c r="M1640" s="51">
        <v>0</v>
      </c>
      <c r="N1640" s="51">
        <v>0</v>
      </c>
    </row>
    <row r="1641" spans="1:14" ht="15.75" x14ac:dyDescent="0.25">
      <c r="A1641" s="49" t="s">
        <v>301</v>
      </c>
      <c r="B1641" s="50" t="s">
        <v>64</v>
      </c>
      <c r="C1641" s="51">
        <v>634786</v>
      </c>
      <c r="D1641" s="51">
        <v>-1000</v>
      </c>
      <c r="E1641" s="51">
        <v>0</v>
      </c>
      <c r="F1641" s="51">
        <v>0</v>
      </c>
      <c r="G1641" s="51">
        <v>0</v>
      </c>
      <c r="H1641" s="51">
        <v>633786</v>
      </c>
      <c r="I1641" s="51">
        <v>-633786</v>
      </c>
      <c r="J1641" s="51">
        <v>0</v>
      </c>
      <c r="K1641" s="51">
        <v>23400</v>
      </c>
      <c r="L1641" s="51">
        <v>-23400</v>
      </c>
      <c r="M1641" s="51">
        <v>0</v>
      </c>
      <c r="N1641" s="51">
        <v>0</v>
      </c>
    </row>
    <row r="1642" spans="1:14" ht="15.75" x14ac:dyDescent="0.25">
      <c r="A1642" s="49" t="s">
        <v>301</v>
      </c>
      <c r="B1642" s="50" t="s">
        <v>65</v>
      </c>
      <c r="C1642" s="51">
        <v>490258</v>
      </c>
      <c r="D1642" s="51">
        <v>-822</v>
      </c>
      <c r="E1642" s="51">
        <v>0</v>
      </c>
      <c r="F1642" s="51">
        <v>0</v>
      </c>
      <c r="G1642" s="51">
        <v>0</v>
      </c>
      <c r="H1642" s="51">
        <v>489436</v>
      </c>
      <c r="I1642" s="51">
        <v>-489436</v>
      </c>
      <c r="J1642" s="51">
        <v>0</v>
      </c>
      <c r="K1642" s="51">
        <v>12097</v>
      </c>
      <c r="L1642" s="51">
        <v>-12097</v>
      </c>
      <c r="M1642" s="51">
        <v>0</v>
      </c>
      <c r="N1642" s="51">
        <v>0</v>
      </c>
    </row>
    <row r="1643" spans="1:14" ht="15.75" x14ac:dyDescent="0.25">
      <c r="A1643" s="49" t="s">
        <v>301</v>
      </c>
      <c r="B1643" s="50" t="s">
        <v>66</v>
      </c>
      <c r="C1643" s="51">
        <v>337325</v>
      </c>
      <c r="D1643" s="51">
        <v>-27197</v>
      </c>
      <c r="E1643" s="51">
        <v>0</v>
      </c>
      <c r="F1643" s="51">
        <v>0</v>
      </c>
      <c r="G1643" s="51">
        <v>0</v>
      </c>
      <c r="H1643" s="51">
        <v>310128</v>
      </c>
      <c r="I1643" s="51">
        <v>-310128</v>
      </c>
      <c r="J1643" s="51">
        <v>0</v>
      </c>
      <c r="K1643" s="51">
        <v>156854</v>
      </c>
      <c r="L1643" s="51">
        <v>-156854</v>
      </c>
      <c r="M1643" s="51">
        <v>0</v>
      </c>
      <c r="N1643" s="51">
        <v>0</v>
      </c>
    </row>
    <row r="1644" spans="1:14" ht="15.75" x14ac:dyDescent="0.25">
      <c r="A1644" s="49" t="s">
        <v>301</v>
      </c>
      <c r="B1644" s="50" t="s">
        <v>67</v>
      </c>
      <c r="C1644" s="51">
        <v>256987</v>
      </c>
      <c r="D1644" s="51">
        <v>-18530</v>
      </c>
      <c r="E1644" s="51">
        <v>0</v>
      </c>
      <c r="F1644" s="51">
        <v>0</v>
      </c>
      <c r="G1644" s="51">
        <v>0</v>
      </c>
      <c r="H1644" s="51">
        <v>238457</v>
      </c>
      <c r="I1644" s="51">
        <v>-238457</v>
      </c>
      <c r="J1644" s="51">
        <v>0</v>
      </c>
      <c r="K1644" s="51">
        <v>17288</v>
      </c>
      <c r="L1644" s="51">
        <v>-17288</v>
      </c>
      <c r="M1644" s="51">
        <v>0</v>
      </c>
      <c r="N1644" s="51">
        <v>0</v>
      </c>
    </row>
    <row r="1645" spans="1:14" ht="15.75" x14ac:dyDescent="0.25">
      <c r="A1645" s="49" t="s">
        <v>301</v>
      </c>
      <c r="B1645" s="50" t="s">
        <v>68</v>
      </c>
      <c r="C1645" s="51">
        <v>217278</v>
      </c>
      <c r="D1645" s="51">
        <v>-16489</v>
      </c>
      <c r="E1645" s="51">
        <v>0</v>
      </c>
      <c r="F1645" s="51">
        <v>0</v>
      </c>
      <c r="G1645" s="51">
        <v>0</v>
      </c>
      <c r="H1645" s="51">
        <v>200789</v>
      </c>
      <c r="I1645" s="51">
        <v>-200789</v>
      </c>
      <c r="J1645" s="51">
        <v>0</v>
      </c>
      <c r="K1645" s="51">
        <v>15049</v>
      </c>
      <c r="L1645" s="51">
        <v>-15049</v>
      </c>
      <c r="M1645" s="51">
        <v>0</v>
      </c>
      <c r="N1645" s="51">
        <v>0</v>
      </c>
    </row>
    <row r="1646" spans="1:14" ht="15.75" x14ac:dyDescent="0.25">
      <c r="A1646" s="49" t="s">
        <v>301</v>
      </c>
      <c r="B1646" s="50" t="s">
        <v>69</v>
      </c>
      <c r="C1646" s="51">
        <v>173397</v>
      </c>
      <c r="D1646" s="51">
        <v>-3549</v>
      </c>
      <c r="E1646" s="51">
        <v>0</v>
      </c>
      <c r="F1646" s="51">
        <v>0</v>
      </c>
      <c r="G1646" s="51">
        <v>0</v>
      </c>
      <c r="H1646" s="51">
        <v>169848</v>
      </c>
      <c r="I1646" s="51">
        <v>-169848</v>
      </c>
      <c r="J1646" s="51">
        <v>0</v>
      </c>
      <c r="K1646" s="51">
        <v>3549</v>
      </c>
      <c r="L1646" s="51">
        <v>-3549</v>
      </c>
      <c r="M1646" s="51">
        <v>0</v>
      </c>
      <c r="N1646" s="51">
        <v>0</v>
      </c>
    </row>
    <row r="1647" spans="1:14" ht="15.75" x14ac:dyDescent="0.25">
      <c r="A1647" s="52" t="s">
        <v>302</v>
      </c>
      <c r="B1647" s="53" t="s">
        <v>8</v>
      </c>
      <c r="C1647" s="19">
        <f>SUBTOTAL(109,Program073[(C)
Program
Costs])</f>
        <v>18579481</v>
      </c>
      <c r="D1647" s="19">
        <f>SUBTOTAL(109,Program073[(D)
Prior Period Adjustments])</f>
        <v>-534297</v>
      </c>
      <c r="E1647" s="19">
        <f>SUBTOTAL(109,Program073[(E)
Current Period Desk 
Reviews])</f>
        <v>0</v>
      </c>
      <c r="F1647" s="19">
        <f>SUBTOTAL(109,Program073[(F)
Current Period 
Final 
Audits])</f>
        <v>0</v>
      </c>
      <c r="G1647" s="19">
        <f>SUBTOTAL(109,Program073[(G)
Current Period 
Other Adjustments])</f>
        <v>0</v>
      </c>
      <c r="H1647" s="19">
        <f>SUBTOTAL(109,Program073[(H)
Net Program Costs
Sum (C through G)])</f>
        <v>18045184</v>
      </c>
      <c r="I1647" s="19">
        <f>SUBTOTAL(109,Program073[(I)
Payments
 and Offsets])</f>
        <v>-16462869</v>
      </c>
      <c r="J1647" s="19">
        <f>SUBTOTAL(109,Program073[(J)
Accounts Payable Balance
(H + I)])</f>
        <v>1582315</v>
      </c>
      <c r="K1647" s="19">
        <f>SUBTOTAL(109,Program073[(K)
Established 
Accounts Receivable])</f>
        <v>1878936</v>
      </c>
      <c r="L1647" s="19">
        <f>SUBTOTAL(109,Program073[(L)
Recovered
 Accounts Receivable])</f>
        <v>-1878936</v>
      </c>
      <c r="M1647" s="19">
        <f>SUBTOTAL(109,Program073[(M)
Accounts Receivable Balance
(K + L)])</f>
        <v>0</v>
      </c>
      <c r="N1647" s="19">
        <f>SUBTOTAL(109,Program073[(N)
Net Balance
(J minus M)])</f>
        <v>1582315</v>
      </c>
    </row>
    <row r="1648" spans="1:14" ht="15.75" x14ac:dyDescent="0.25">
      <c r="A1648" s="17" t="s">
        <v>13</v>
      </c>
      <c r="B1648" s="54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</row>
    <row r="1649" spans="1:14" ht="78.75" x14ac:dyDescent="0.25">
      <c r="A1649" s="39" t="s">
        <v>32</v>
      </c>
      <c r="B1649" s="40" t="s">
        <v>33</v>
      </c>
      <c r="C1649" s="41" t="s">
        <v>34</v>
      </c>
      <c r="D1649" s="41" t="s">
        <v>35</v>
      </c>
      <c r="E1649" s="42" t="s">
        <v>36</v>
      </c>
      <c r="F1649" s="42" t="s">
        <v>37</v>
      </c>
      <c r="G1649" s="42" t="s">
        <v>38</v>
      </c>
      <c r="H1649" s="43" t="s">
        <v>39</v>
      </c>
      <c r="I1649" s="44" t="s">
        <v>40</v>
      </c>
      <c r="J1649" s="44" t="s">
        <v>41</v>
      </c>
      <c r="K1649" s="42" t="s">
        <v>42</v>
      </c>
      <c r="L1649" s="44" t="s">
        <v>43</v>
      </c>
      <c r="M1649" s="44" t="s">
        <v>44</v>
      </c>
      <c r="N1649" s="45" t="s">
        <v>45</v>
      </c>
    </row>
    <row r="1650" spans="1:14" x14ac:dyDescent="0.25">
      <c r="A1650" s="56" t="s">
        <v>303</v>
      </c>
      <c r="B1650" s="57" t="s">
        <v>50</v>
      </c>
      <c r="C1650" s="58">
        <v>299585</v>
      </c>
      <c r="D1650" s="58">
        <v>-104212</v>
      </c>
      <c r="E1650" s="58">
        <v>0</v>
      </c>
      <c r="F1650" s="58">
        <v>0</v>
      </c>
      <c r="G1650" s="58">
        <v>0</v>
      </c>
      <c r="H1650" s="58">
        <v>195373</v>
      </c>
      <c r="I1650" s="58">
        <v>0</v>
      </c>
      <c r="J1650" s="58">
        <v>195373</v>
      </c>
      <c r="K1650" s="58">
        <v>0</v>
      </c>
      <c r="L1650" s="58">
        <v>0</v>
      </c>
      <c r="M1650" s="58">
        <v>0</v>
      </c>
      <c r="N1650" s="58">
        <v>195373</v>
      </c>
    </row>
    <row r="1651" spans="1:14" x14ac:dyDescent="0.25">
      <c r="A1651" s="59" t="s">
        <v>303</v>
      </c>
      <c r="B1651" s="60" t="s">
        <v>51</v>
      </c>
      <c r="C1651" s="61">
        <v>281792</v>
      </c>
      <c r="D1651" s="61">
        <v>3112</v>
      </c>
      <c r="E1651" s="61">
        <v>0</v>
      </c>
      <c r="F1651" s="61">
        <v>0</v>
      </c>
      <c r="G1651" s="61">
        <v>0</v>
      </c>
      <c r="H1651" s="61">
        <v>284904</v>
      </c>
      <c r="I1651" s="61">
        <v>0</v>
      </c>
      <c r="J1651" s="61">
        <v>284904</v>
      </c>
      <c r="K1651" s="61">
        <v>0</v>
      </c>
      <c r="L1651" s="61">
        <v>0</v>
      </c>
      <c r="M1651" s="61">
        <v>0</v>
      </c>
      <c r="N1651" s="61">
        <v>284904</v>
      </c>
    </row>
    <row r="1652" spans="1:14" x14ac:dyDescent="0.25">
      <c r="A1652" s="59" t="s">
        <v>303</v>
      </c>
      <c r="B1652" s="60" t="s">
        <v>52</v>
      </c>
      <c r="C1652" s="61">
        <v>270048</v>
      </c>
      <c r="D1652" s="61">
        <v>3420</v>
      </c>
      <c r="E1652" s="61">
        <v>0</v>
      </c>
      <c r="F1652" s="61">
        <v>0</v>
      </c>
      <c r="G1652" s="61">
        <v>0</v>
      </c>
      <c r="H1652" s="61">
        <v>273468</v>
      </c>
      <c r="I1652" s="61">
        <v>-273084</v>
      </c>
      <c r="J1652" s="61">
        <v>384</v>
      </c>
      <c r="K1652" s="61">
        <v>384</v>
      </c>
      <c r="L1652" s="61">
        <v>-384</v>
      </c>
      <c r="M1652" s="61">
        <v>0</v>
      </c>
      <c r="N1652" s="61">
        <v>384</v>
      </c>
    </row>
    <row r="1653" spans="1:14" x14ac:dyDescent="0.25">
      <c r="A1653" s="59" t="s">
        <v>303</v>
      </c>
      <c r="B1653" s="60" t="s">
        <v>53</v>
      </c>
      <c r="C1653" s="61">
        <v>256985</v>
      </c>
      <c r="D1653" s="61">
        <v>1180</v>
      </c>
      <c r="E1653" s="61">
        <v>0</v>
      </c>
      <c r="F1653" s="61">
        <v>0</v>
      </c>
      <c r="G1653" s="61">
        <v>0</v>
      </c>
      <c r="H1653" s="61">
        <v>258165</v>
      </c>
      <c r="I1653" s="61">
        <v>-258032</v>
      </c>
      <c r="J1653" s="61">
        <v>133</v>
      </c>
      <c r="K1653" s="61">
        <v>133</v>
      </c>
      <c r="L1653" s="61">
        <v>-133</v>
      </c>
      <c r="M1653" s="61">
        <v>0</v>
      </c>
      <c r="N1653" s="61">
        <v>133</v>
      </c>
    </row>
    <row r="1654" spans="1:14" x14ac:dyDescent="0.25">
      <c r="A1654" s="59" t="s">
        <v>303</v>
      </c>
      <c r="B1654" s="60" t="s">
        <v>54</v>
      </c>
      <c r="C1654" s="61">
        <v>244457</v>
      </c>
      <c r="D1654" s="61">
        <v>-925</v>
      </c>
      <c r="E1654" s="61">
        <v>0</v>
      </c>
      <c r="F1654" s="61">
        <v>0</v>
      </c>
      <c r="G1654" s="61">
        <v>0</v>
      </c>
      <c r="H1654" s="61">
        <v>243532</v>
      </c>
      <c r="I1654" s="61">
        <v>-243532</v>
      </c>
      <c r="J1654" s="61">
        <v>0</v>
      </c>
      <c r="K1654" s="61">
        <v>0</v>
      </c>
      <c r="L1654" s="61">
        <v>0</v>
      </c>
      <c r="M1654" s="61">
        <v>0</v>
      </c>
      <c r="N1654" s="61">
        <v>0</v>
      </c>
    </row>
    <row r="1655" spans="1:14" x14ac:dyDescent="0.25">
      <c r="A1655" s="59" t="s">
        <v>303</v>
      </c>
      <c r="B1655" s="60" t="s">
        <v>55</v>
      </c>
      <c r="C1655" s="61">
        <v>241097</v>
      </c>
      <c r="D1655" s="61">
        <v>-3020</v>
      </c>
      <c r="E1655" s="61">
        <v>0</v>
      </c>
      <c r="F1655" s="61">
        <v>0</v>
      </c>
      <c r="G1655" s="61">
        <v>0</v>
      </c>
      <c r="H1655" s="61">
        <v>238077</v>
      </c>
      <c r="I1655" s="61">
        <v>-238077</v>
      </c>
      <c r="J1655" s="61">
        <v>0</v>
      </c>
      <c r="K1655" s="61">
        <v>0</v>
      </c>
      <c r="L1655" s="61">
        <v>0</v>
      </c>
      <c r="M1655" s="61">
        <v>0</v>
      </c>
      <c r="N1655" s="61">
        <v>0</v>
      </c>
    </row>
    <row r="1656" spans="1:14" x14ac:dyDescent="0.25">
      <c r="A1656" s="59" t="s">
        <v>303</v>
      </c>
      <c r="B1656" s="60" t="s">
        <v>56</v>
      </c>
      <c r="C1656" s="61">
        <v>234997</v>
      </c>
      <c r="D1656" s="61">
        <v>-4807</v>
      </c>
      <c r="E1656" s="61">
        <v>0</v>
      </c>
      <c r="F1656" s="61">
        <v>0</v>
      </c>
      <c r="G1656" s="61">
        <v>0</v>
      </c>
      <c r="H1656" s="61">
        <v>230190</v>
      </c>
      <c r="I1656" s="61">
        <v>-230190</v>
      </c>
      <c r="J1656" s="61">
        <v>0</v>
      </c>
      <c r="K1656" s="61">
        <v>3</v>
      </c>
      <c r="L1656" s="61">
        <v>-3</v>
      </c>
      <c r="M1656" s="61">
        <v>0</v>
      </c>
      <c r="N1656" s="61">
        <v>0</v>
      </c>
    </row>
    <row r="1657" spans="1:14" x14ac:dyDescent="0.25">
      <c r="A1657" s="59" t="s">
        <v>303</v>
      </c>
      <c r="B1657" s="60" t="s">
        <v>57</v>
      </c>
      <c r="C1657" s="61">
        <v>233361</v>
      </c>
      <c r="D1657" s="61">
        <v>-189</v>
      </c>
      <c r="E1657" s="61">
        <v>0</v>
      </c>
      <c r="F1657" s="61">
        <v>0</v>
      </c>
      <c r="G1657" s="61">
        <v>0</v>
      </c>
      <c r="H1657" s="61">
        <v>233172</v>
      </c>
      <c r="I1657" s="61">
        <v>-233172</v>
      </c>
      <c r="J1657" s="61">
        <v>0</v>
      </c>
      <c r="K1657" s="61">
        <v>1717</v>
      </c>
      <c r="L1657" s="61">
        <v>-1717</v>
      </c>
      <c r="M1657" s="61">
        <v>0</v>
      </c>
      <c r="N1657" s="61">
        <v>0</v>
      </c>
    </row>
    <row r="1658" spans="1:14" x14ac:dyDescent="0.25">
      <c r="A1658" s="59" t="s">
        <v>303</v>
      </c>
      <c r="B1658" s="60" t="s">
        <v>58</v>
      </c>
      <c r="C1658" s="61">
        <v>224075</v>
      </c>
      <c r="D1658" s="61">
        <v>2043</v>
      </c>
      <c r="E1658" s="61">
        <v>0</v>
      </c>
      <c r="F1658" s="61">
        <v>0</v>
      </c>
      <c r="G1658" s="61">
        <v>0</v>
      </c>
      <c r="H1658" s="61">
        <v>226118</v>
      </c>
      <c r="I1658" s="61">
        <v>-226118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</row>
    <row r="1659" spans="1:14" x14ac:dyDescent="0.25">
      <c r="A1659" s="59" t="s">
        <v>303</v>
      </c>
      <c r="B1659" s="60" t="s">
        <v>59</v>
      </c>
      <c r="C1659" s="61">
        <v>214194</v>
      </c>
      <c r="D1659" s="61">
        <v>-1500</v>
      </c>
      <c r="E1659" s="61">
        <v>0</v>
      </c>
      <c r="F1659" s="61">
        <v>0</v>
      </c>
      <c r="G1659" s="61">
        <v>0</v>
      </c>
      <c r="H1659" s="61">
        <v>212694</v>
      </c>
      <c r="I1659" s="61">
        <v>-212694</v>
      </c>
      <c r="J1659" s="61">
        <v>0</v>
      </c>
      <c r="K1659" s="61">
        <v>974</v>
      </c>
      <c r="L1659" s="61">
        <v>-974</v>
      </c>
      <c r="M1659" s="61">
        <v>0</v>
      </c>
      <c r="N1659" s="61">
        <v>0</v>
      </c>
    </row>
    <row r="1660" spans="1:14" x14ac:dyDescent="0.25">
      <c r="A1660" s="59" t="s">
        <v>303</v>
      </c>
      <c r="B1660" s="60" t="s">
        <v>60</v>
      </c>
      <c r="C1660" s="61">
        <v>209951</v>
      </c>
      <c r="D1660" s="61">
        <v>-1426</v>
      </c>
      <c r="E1660" s="61">
        <v>0</v>
      </c>
      <c r="F1660" s="61">
        <v>0</v>
      </c>
      <c r="G1660" s="61">
        <v>0</v>
      </c>
      <c r="H1660" s="61">
        <v>208525</v>
      </c>
      <c r="I1660" s="61">
        <v>-208525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</row>
    <row r="1661" spans="1:14" x14ac:dyDescent="0.25">
      <c r="A1661" s="59" t="s">
        <v>303</v>
      </c>
      <c r="B1661" s="60" t="s">
        <v>61</v>
      </c>
      <c r="C1661" s="61">
        <v>206698</v>
      </c>
      <c r="D1661" s="61">
        <v>0</v>
      </c>
      <c r="E1661" s="61">
        <v>0</v>
      </c>
      <c r="F1661" s="61">
        <v>0</v>
      </c>
      <c r="G1661" s="61">
        <v>0</v>
      </c>
      <c r="H1661" s="61">
        <v>206698</v>
      </c>
      <c r="I1661" s="61">
        <v>-206698</v>
      </c>
      <c r="J1661" s="61">
        <v>0</v>
      </c>
      <c r="K1661" s="61">
        <v>77</v>
      </c>
      <c r="L1661" s="61">
        <v>-77</v>
      </c>
      <c r="M1661" s="61">
        <v>0</v>
      </c>
      <c r="N1661" s="61">
        <v>0</v>
      </c>
    </row>
    <row r="1662" spans="1:14" x14ac:dyDescent="0.25">
      <c r="A1662" s="59" t="s">
        <v>303</v>
      </c>
      <c r="B1662" s="60" t="s">
        <v>62</v>
      </c>
      <c r="C1662" s="61">
        <v>201847</v>
      </c>
      <c r="D1662" s="61">
        <v>0</v>
      </c>
      <c r="E1662" s="61">
        <v>0</v>
      </c>
      <c r="F1662" s="61">
        <v>0</v>
      </c>
      <c r="G1662" s="61">
        <v>0</v>
      </c>
      <c r="H1662" s="61">
        <v>201847</v>
      </c>
      <c r="I1662" s="61">
        <v>-201847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</row>
    <row r="1663" spans="1:14" x14ac:dyDescent="0.25">
      <c r="A1663" s="59" t="s">
        <v>303</v>
      </c>
      <c r="B1663" s="60" t="s">
        <v>63</v>
      </c>
      <c r="C1663" s="61">
        <v>197015</v>
      </c>
      <c r="D1663" s="61">
        <v>0</v>
      </c>
      <c r="E1663" s="61">
        <v>0</v>
      </c>
      <c r="F1663" s="61">
        <v>0</v>
      </c>
      <c r="G1663" s="61">
        <v>0</v>
      </c>
      <c r="H1663" s="61">
        <v>197015</v>
      </c>
      <c r="I1663" s="61">
        <v>-197015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</row>
    <row r="1664" spans="1:14" x14ac:dyDescent="0.25">
      <c r="A1664" s="59" t="s">
        <v>303</v>
      </c>
      <c r="B1664" s="60" t="s">
        <v>64</v>
      </c>
      <c r="C1664" s="61">
        <v>189873</v>
      </c>
      <c r="D1664" s="61">
        <v>0</v>
      </c>
      <c r="E1664" s="61">
        <v>0</v>
      </c>
      <c r="F1664" s="61">
        <v>0</v>
      </c>
      <c r="G1664" s="61">
        <v>0</v>
      </c>
      <c r="H1664" s="61">
        <v>189873</v>
      </c>
      <c r="I1664" s="61">
        <v>-189873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</row>
    <row r="1665" spans="1:14" x14ac:dyDescent="0.25">
      <c r="A1665" s="59" t="s">
        <v>303</v>
      </c>
      <c r="B1665" s="60" t="s">
        <v>67</v>
      </c>
      <c r="C1665" s="61">
        <v>1065</v>
      </c>
      <c r="D1665" s="61">
        <v>-831</v>
      </c>
      <c r="E1665" s="61">
        <v>0</v>
      </c>
      <c r="F1665" s="61">
        <v>0</v>
      </c>
      <c r="G1665" s="61">
        <v>0</v>
      </c>
      <c r="H1665" s="61">
        <v>234</v>
      </c>
      <c r="I1665" s="61">
        <v>-234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</row>
    <row r="1666" spans="1:14" x14ac:dyDescent="0.25">
      <c r="A1666" s="59" t="s">
        <v>303</v>
      </c>
      <c r="B1666" s="60" t="s">
        <v>68</v>
      </c>
      <c r="C1666" s="61">
        <v>0</v>
      </c>
      <c r="D1666" s="61">
        <v>0</v>
      </c>
      <c r="E1666" s="61">
        <v>0</v>
      </c>
      <c r="F1666" s="61">
        <v>0</v>
      </c>
      <c r="G1666" s="61">
        <v>0</v>
      </c>
      <c r="H1666" s="61">
        <v>0</v>
      </c>
      <c r="I1666" s="61">
        <v>0</v>
      </c>
      <c r="J1666" s="61">
        <v>0</v>
      </c>
      <c r="K1666" s="61">
        <v>5.4</v>
      </c>
      <c r="L1666" s="61">
        <v>-5.4</v>
      </c>
      <c r="M1666" s="61">
        <v>0</v>
      </c>
      <c r="N1666" s="61">
        <v>0</v>
      </c>
    </row>
    <row r="1667" spans="1:14" ht="15.75" x14ac:dyDescent="0.25">
      <c r="A1667" s="52" t="s">
        <v>304</v>
      </c>
      <c r="B1667" s="53" t="s">
        <v>8</v>
      </c>
      <c r="C1667" s="19">
        <f>SUBTOTAL(109,Program018[(C)
Program
Costs])</f>
        <v>3507040</v>
      </c>
      <c r="D1667" s="19">
        <f>SUBTOTAL(109,Program018[(D)
Prior Period Adjustments])</f>
        <v>-107155</v>
      </c>
      <c r="E1667" s="19">
        <f>SUBTOTAL(109,Program018[(E)
Current Period Desk 
Reviews])</f>
        <v>0</v>
      </c>
      <c r="F1667" s="19">
        <f>SUBTOTAL(109,Program018[(F)
Current Period 
Final 
Audits])</f>
        <v>0</v>
      </c>
      <c r="G1667" s="19">
        <f>SUBTOTAL(109,Program018[(G)
Current Period 
Other Adjustments])</f>
        <v>0</v>
      </c>
      <c r="H1667" s="19">
        <f>SUBTOTAL(109,Program018[(H)
Net Program Costs
Sum (C through G)])</f>
        <v>3399885</v>
      </c>
      <c r="I1667" s="19">
        <f>SUBTOTAL(109,Program018[(I)
Payments
 and Offsets])</f>
        <v>-2919091</v>
      </c>
      <c r="J1667" s="19">
        <f>SUBTOTAL(109,Program018[(J)
Accounts Payable Balance
(H + I)])</f>
        <v>480794</v>
      </c>
      <c r="K1667" s="19">
        <f>SUBTOTAL(109,Program018[(K)
Established 
Accounts Receivable])</f>
        <v>3293.4</v>
      </c>
      <c r="L1667" s="19">
        <f>SUBTOTAL(109,Program018[(L)
Recovered
 Accounts Receivable])</f>
        <v>-3293.4</v>
      </c>
      <c r="M1667" s="19">
        <f>SUBTOTAL(109,Program018[(M)
Accounts Receivable Balance
(K + L)])</f>
        <v>0</v>
      </c>
      <c r="N1667" s="19">
        <f>SUBTOTAL(109,Program018[(N)
Net Balance
(J minus M)])</f>
        <v>480794</v>
      </c>
    </row>
    <row r="1668" spans="1:14" ht="15.75" x14ac:dyDescent="0.25">
      <c r="A1668" s="17" t="s">
        <v>13</v>
      </c>
      <c r="B1668" s="54"/>
      <c r="C1668" s="55"/>
      <c r="D1668" s="55"/>
      <c r="E1668" s="55"/>
      <c r="F1668" s="55"/>
      <c r="G1668" s="55"/>
      <c r="H1668" s="55"/>
      <c r="I1668" s="55"/>
      <c r="J1668" s="55"/>
      <c r="K1668" s="55"/>
      <c r="L1668" s="55"/>
      <c r="M1668" s="55"/>
      <c r="N1668" s="55"/>
    </row>
    <row r="1669" spans="1:14" ht="78.75" x14ac:dyDescent="0.25">
      <c r="A1669" s="39" t="s">
        <v>32</v>
      </c>
      <c r="B1669" s="40" t="s">
        <v>33</v>
      </c>
      <c r="C1669" s="41" t="s">
        <v>34</v>
      </c>
      <c r="D1669" s="41" t="s">
        <v>35</v>
      </c>
      <c r="E1669" s="42" t="s">
        <v>36</v>
      </c>
      <c r="F1669" s="42" t="s">
        <v>37</v>
      </c>
      <c r="G1669" s="42" t="s">
        <v>38</v>
      </c>
      <c r="H1669" s="43" t="s">
        <v>39</v>
      </c>
      <c r="I1669" s="44" t="s">
        <v>40</v>
      </c>
      <c r="J1669" s="44" t="s">
        <v>41</v>
      </c>
      <c r="K1669" s="42" t="s">
        <v>42</v>
      </c>
      <c r="L1669" s="44" t="s">
        <v>43</v>
      </c>
      <c r="M1669" s="44" t="s">
        <v>44</v>
      </c>
      <c r="N1669" s="45" t="s">
        <v>45</v>
      </c>
    </row>
    <row r="1670" spans="1:14" ht="30" x14ac:dyDescent="0.25">
      <c r="A1670" s="67" t="s">
        <v>305</v>
      </c>
      <c r="B1670" s="57" t="s">
        <v>52</v>
      </c>
      <c r="C1670" s="58">
        <v>27886666</v>
      </c>
      <c r="D1670" s="58">
        <v>-27886666</v>
      </c>
      <c r="E1670" s="58">
        <v>0</v>
      </c>
      <c r="F1670" s="58">
        <v>0</v>
      </c>
      <c r="G1670" s="58">
        <v>0</v>
      </c>
      <c r="H1670" s="58">
        <v>0</v>
      </c>
      <c r="I1670" s="58">
        <v>0</v>
      </c>
      <c r="J1670" s="58">
        <v>0</v>
      </c>
      <c r="K1670" s="58">
        <v>0</v>
      </c>
      <c r="L1670" s="58">
        <v>0</v>
      </c>
      <c r="M1670" s="58">
        <v>0</v>
      </c>
      <c r="N1670" s="58">
        <v>0</v>
      </c>
    </row>
    <row r="1671" spans="1:14" ht="30" x14ac:dyDescent="0.25">
      <c r="A1671" s="68" t="s">
        <v>305</v>
      </c>
      <c r="B1671" s="60" t="s">
        <v>53</v>
      </c>
      <c r="C1671" s="61">
        <v>29797094</v>
      </c>
      <c r="D1671" s="61">
        <v>-6717440</v>
      </c>
      <c r="E1671" s="61">
        <v>0</v>
      </c>
      <c r="F1671" s="61">
        <v>0</v>
      </c>
      <c r="G1671" s="61">
        <v>0</v>
      </c>
      <c r="H1671" s="61">
        <v>23079654</v>
      </c>
      <c r="I1671" s="61">
        <v>-23079654</v>
      </c>
      <c r="J1671" s="61">
        <v>0</v>
      </c>
      <c r="K1671" s="61">
        <v>6785930</v>
      </c>
      <c r="L1671" s="61">
        <v>-6785930</v>
      </c>
      <c r="M1671" s="61">
        <v>0</v>
      </c>
      <c r="N1671" s="61">
        <v>0</v>
      </c>
    </row>
    <row r="1672" spans="1:14" ht="30" x14ac:dyDescent="0.25">
      <c r="A1672" s="68" t="s">
        <v>305</v>
      </c>
      <c r="B1672" s="60" t="s">
        <v>54</v>
      </c>
      <c r="C1672" s="61">
        <v>28297648</v>
      </c>
      <c r="D1672" s="61">
        <v>-6262842</v>
      </c>
      <c r="E1672" s="61">
        <v>0</v>
      </c>
      <c r="F1672" s="61">
        <v>0</v>
      </c>
      <c r="G1672" s="61">
        <v>0</v>
      </c>
      <c r="H1672" s="61">
        <v>22034806</v>
      </c>
      <c r="I1672" s="61">
        <v>-22034806</v>
      </c>
      <c r="J1672" s="61">
        <v>0</v>
      </c>
      <c r="K1672" s="61">
        <v>6917035</v>
      </c>
      <c r="L1672" s="61">
        <v>-6917035</v>
      </c>
      <c r="M1672" s="61">
        <v>0</v>
      </c>
      <c r="N1672" s="61">
        <v>0</v>
      </c>
    </row>
    <row r="1673" spans="1:14" ht="30" x14ac:dyDescent="0.25">
      <c r="A1673" s="68" t="s">
        <v>305</v>
      </c>
      <c r="B1673" s="60" t="s">
        <v>55</v>
      </c>
      <c r="C1673" s="61">
        <v>21791330</v>
      </c>
      <c r="D1673" s="61">
        <v>-5655963</v>
      </c>
      <c r="E1673" s="61">
        <v>0</v>
      </c>
      <c r="F1673" s="61">
        <v>0</v>
      </c>
      <c r="G1673" s="61">
        <v>0</v>
      </c>
      <c r="H1673" s="61">
        <v>16135367</v>
      </c>
      <c r="I1673" s="61">
        <v>-16135367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</row>
    <row r="1674" spans="1:14" ht="30" x14ac:dyDescent="0.25">
      <c r="A1674" s="68" t="s">
        <v>305</v>
      </c>
      <c r="B1674" s="60" t="s">
        <v>56</v>
      </c>
      <c r="C1674" s="61">
        <v>24097179</v>
      </c>
      <c r="D1674" s="61">
        <v>-3066584</v>
      </c>
      <c r="E1674" s="61">
        <v>0</v>
      </c>
      <c r="F1674" s="61">
        <v>0</v>
      </c>
      <c r="G1674" s="61">
        <v>0</v>
      </c>
      <c r="H1674" s="61">
        <v>21030595</v>
      </c>
      <c r="I1674" s="61">
        <v>-21030595</v>
      </c>
      <c r="J1674" s="61">
        <v>0</v>
      </c>
      <c r="K1674" s="61">
        <v>8</v>
      </c>
      <c r="L1674" s="61">
        <v>-8</v>
      </c>
      <c r="M1674" s="61">
        <v>0</v>
      </c>
      <c r="N1674" s="61">
        <v>0</v>
      </c>
    </row>
    <row r="1675" spans="1:14" ht="30" x14ac:dyDescent="0.25">
      <c r="A1675" s="68" t="s">
        <v>305</v>
      </c>
      <c r="B1675" s="60" t="s">
        <v>57</v>
      </c>
      <c r="C1675" s="61">
        <v>16777044</v>
      </c>
      <c r="D1675" s="61">
        <v>-1769497</v>
      </c>
      <c r="E1675" s="61">
        <v>0</v>
      </c>
      <c r="F1675" s="61">
        <v>0</v>
      </c>
      <c r="G1675" s="61">
        <v>0</v>
      </c>
      <c r="H1675" s="61">
        <v>15007547</v>
      </c>
      <c r="I1675" s="61">
        <v>-15007547</v>
      </c>
      <c r="J1675" s="61">
        <v>0</v>
      </c>
      <c r="K1675" s="61">
        <v>0</v>
      </c>
      <c r="L1675" s="61">
        <v>0</v>
      </c>
      <c r="M1675" s="61">
        <v>0</v>
      </c>
      <c r="N1675" s="61">
        <v>0</v>
      </c>
    </row>
    <row r="1676" spans="1:14" ht="30" x14ac:dyDescent="0.25">
      <c r="A1676" s="68" t="s">
        <v>305</v>
      </c>
      <c r="B1676" s="60" t="s">
        <v>58</v>
      </c>
      <c r="C1676" s="61">
        <v>10984937</v>
      </c>
      <c r="D1676" s="61">
        <v>-985758</v>
      </c>
      <c r="E1676" s="61">
        <v>0</v>
      </c>
      <c r="F1676" s="61">
        <v>0</v>
      </c>
      <c r="G1676" s="61">
        <v>0</v>
      </c>
      <c r="H1676" s="61">
        <v>9999179</v>
      </c>
      <c r="I1676" s="61">
        <v>-9999179</v>
      </c>
      <c r="J1676" s="61">
        <v>0</v>
      </c>
      <c r="K1676" s="61">
        <v>614</v>
      </c>
      <c r="L1676" s="61">
        <v>-614</v>
      </c>
      <c r="M1676" s="61">
        <v>0</v>
      </c>
      <c r="N1676" s="61">
        <v>0</v>
      </c>
    </row>
    <row r="1677" spans="1:14" ht="30" x14ac:dyDescent="0.25">
      <c r="A1677" s="68" t="s">
        <v>305</v>
      </c>
      <c r="B1677" s="60" t="s">
        <v>59</v>
      </c>
      <c r="C1677" s="61">
        <v>6819456</v>
      </c>
      <c r="D1677" s="61">
        <v>-473047</v>
      </c>
      <c r="E1677" s="61">
        <v>0</v>
      </c>
      <c r="F1677" s="61">
        <v>0</v>
      </c>
      <c r="G1677" s="61">
        <v>0</v>
      </c>
      <c r="H1677" s="61">
        <v>6346409</v>
      </c>
      <c r="I1677" s="61">
        <v>-6346409</v>
      </c>
      <c r="J1677" s="61">
        <v>0</v>
      </c>
      <c r="K1677" s="61">
        <v>0</v>
      </c>
      <c r="L1677" s="61">
        <v>0</v>
      </c>
      <c r="M1677" s="61">
        <v>0</v>
      </c>
      <c r="N1677" s="61">
        <v>0</v>
      </c>
    </row>
    <row r="1678" spans="1:14" ht="30" x14ac:dyDescent="0.25">
      <c r="A1678" s="68" t="s">
        <v>305</v>
      </c>
      <c r="B1678" s="60" t="s">
        <v>60</v>
      </c>
      <c r="C1678" s="61">
        <v>5029228</v>
      </c>
      <c r="D1678" s="61">
        <v>-128336</v>
      </c>
      <c r="E1678" s="61">
        <v>0</v>
      </c>
      <c r="F1678" s="61">
        <v>0</v>
      </c>
      <c r="G1678" s="61">
        <v>0</v>
      </c>
      <c r="H1678" s="61">
        <v>4900892</v>
      </c>
      <c r="I1678" s="61">
        <v>-4900892</v>
      </c>
      <c r="J1678" s="61">
        <v>0</v>
      </c>
      <c r="K1678" s="61">
        <v>0</v>
      </c>
      <c r="L1678" s="61">
        <v>0</v>
      </c>
      <c r="M1678" s="61">
        <v>0</v>
      </c>
      <c r="N1678" s="61">
        <v>0</v>
      </c>
    </row>
    <row r="1679" spans="1:14" ht="30" x14ac:dyDescent="0.25">
      <c r="A1679" s="68" t="s">
        <v>305</v>
      </c>
      <c r="B1679" s="60" t="s">
        <v>61</v>
      </c>
      <c r="C1679" s="61">
        <v>3769004</v>
      </c>
      <c r="D1679" s="61">
        <v>-263130</v>
      </c>
      <c r="E1679" s="61">
        <v>0</v>
      </c>
      <c r="F1679" s="61">
        <v>0</v>
      </c>
      <c r="G1679" s="61">
        <v>0</v>
      </c>
      <c r="H1679" s="61">
        <v>3505874</v>
      </c>
      <c r="I1679" s="61">
        <v>-3505874</v>
      </c>
      <c r="J1679" s="61">
        <v>0</v>
      </c>
      <c r="K1679" s="61">
        <v>0</v>
      </c>
      <c r="L1679" s="61">
        <v>0</v>
      </c>
      <c r="M1679" s="61">
        <v>0</v>
      </c>
      <c r="N1679" s="61">
        <v>0</v>
      </c>
    </row>
    <row r="1680" spans="1:14" ht="30" x14ac:dyDescent="0.25">
      <c r="A1680" s="68" t="s">
        <v>305</v>
      </c>
      <c r="B1680" s="60" t="s">
        <v>62</v>
      </c>
      <c r="C1680" s="61">
        <v>3439</v>
      </c>
      <c r="D1680" s="61">
        <v>0</v>
      </c>
      <c r="E1680" s="61">
        <v>0</v>
      </c>
      <c r="F1680" s="61">
        <v>0</v>
      </c>
      <c r="G1680" s="61">
        <v>0</v>
      </c>
      <c r="H1680" s="61">
        <v>3439</v>
      </c>
      <c r="I1680" s="61">
        <v>-3439</v>
      </c>
      <c r="J1680" s="61">
        <v>0</v>
      </c>
      <c r="K1680" s="61">
        <v>0</v>
      </c>
      <c r="L1680" s="61">
        <v>0</v>
      </c>
      <c r="M1680" s="61">
        <v>0</v>
      </c>
      <c r="N1680" s="61">
        <v>0</v>
      </c>
    </row>
    <row r="1681" spans="1:14" ht="15.75" x14ac:dyDescent="0.25">
      <c r="A1681" s="52" t="s">
        <v>306</v>
      </c>
      <c r="B1681" s="53" t="s">
        <v>8</v>
      </c>
      <c r="C1681" s="19">
        <f>SUBTOTAL(109,Program191[(C)
Program
Costs])</f>
        <v>175253025</v>
      </c>
      <c r="D1681" s="19">
        <f>SUBTOTAL(109,Program191[(D)
Prior Period Adjustments])</f>
        <v>-53209263</v>
      </c>
      <c r="E1681" s="19">
        <f>SUBTOTAL(109,Program191[(E)
Current Period Desk 
Reviews])</f>
        <v>0</v>
      </c>
      <c r="F1681" s="19">
        <f>SUBTOTAL(109,Program191[(F)
Current Period 
Final 
Audits])</f>
        <v>0</v>
      </c>
      <c r="G1681" s="19">
        <f>SUBTOTAL(109,Program191[(G)
Current Period 
Other Adjustments])</f>
        <v>0</v>
      </c>
      <c r="H1681" s="19">
        <f>SUBTOTAL(109,Program191[(H)
Net Program Costs
Sum (C through G)])</f>
        <v>122043762</v>
      </c>
      <c r="I1681" s="19">
        <f>SUBTOTAL(109,Program191[(I)
Payments
 and Offsets])</f>
        <v>-122043762</v>
      </c>
      <c r="J1681" s="19">
        <f>SUBTOTAL(109,Program191[(J)
Accounts Payable Balance
(H + I)])</f>
        <v>0</v>
      </c>
      <c r="K1681" s="19">
        <f>SUBTOTAL(109,Program191[(K)
Established 
Accounts Receivable])</f>
        <v>13703587</v>
      </c>
      <c r="L1681" s="19">
        <f>SUBTOTAL(109,Program191[(L)
Recovered
 Accounts Receivable])</f>
        <v>-13703587</v>
      </c>
      <c r="M1681" s="19">
        <f>SUBTOTAL(109,Program191[(M)
Accounts Receivable Balance
(K + L)])</f>
        <v>0</v>
      </c>
      <c r="N1681" s="19">
        <f>SUBTOTAL(109,Program191[(N)
Net Balance
(J minus M)])</f>
        <v>0</v>
      </c>
    </row>
    <row r="1682" spans="1:14" ht="15.75" x14ac:dyDescent="0.25">
      <c r="A1682" s="17" t="s">
        <v>13</v>
      </c>
      <c r="B1682" s="54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78.75" x14ac:dyDescent="0.25">
      <c r="A1683" s="39" t="s">
        <v>32</v>
      </c>
      <c r="B1683" s="40" t="s">
        <v>33</v>
      </c>
      <c r="C1683" s="41" t="s">
        <v>34</v>
      </c>
      <c r="D1683" s="41" t="s">
        <v>35</v>
      </c>
      <c r="E1683" s="42" t="s">
        <v>36</v>
      </c>
      <c r="F1683" s="42" t="s">
        <v>37</v>
      </c>
      <c r="G1683" s="42" t="s">
        <v>38</v>
      </c>
      <c r="H1683" s="43" t="s">
        <v>39</v>
      </c>
      <c r="I1683" s="44" t="s">
        <v>40</v>
      </c>
      <c r="J1683" s="44" t="s">
        <v>41</v>
      </c>
      <c r="K1683" s="42" t="s">
        <v>42</v>
      </c>
      <c r="L1683" s="44" t="s">
        <v>43</v>
      </c>
      <c r="M1683" s="44" t="s">
        <v>44</v>
      </c>
      <c r="N1683" s="45" t="s">
        <v>45</v>
      </c>
    </row>
    <row r="1684" spans="1:14" ht="15.75" x14ac:dyDescent="0.25">
      <c r="A1684" s="46" t="s">
        <v>307</v>
      </c>
      <c r="B1684" s="47" t="s">
        <v>55</v>
      </c>
      <c r="C1684" s="48">
        <v>9000</v>
      </c>
      <c r="D1684" s="48">
        <v>-9000</v>
      </c>
      <c r="E1684" s="48">
        <v>0</v>
      </c>
      <c r="F1684" s="48">
        <v>0</v>
      </c>
      <c r="G1684" s="48">
        <v>0</v>
      </c>
      <c r="H1684" s="48">
        <v>0</v>
      </c>
      <c r="I1684" s="48">
        <v>0</v>
      </c>
      <c r="J1684" s="48">
        <v>0</v>
      </c>
      <c r="K1684" s="48">
        <v>0</v>
      </c>
      <c r="L1684" s="48">
        <v>0</v>
      </c>
      <c r="M1684" s="48">
        <v>0</v>
      </c>
      <c r="N1684" s="48">
        <v>0</v>
      </c>
    </row>
    <row r="1685" spans="1:14" ht="15.75" x14ac:dyDescent="0.25">
      <c r="A1685" s="49" t="s">
        <v>307</v>
      </c>
      <c r="B1685" s="50" t="s">
        <v>56</v>
      </c>
      <c r="C1685" s="51">
        <v>805044</v>
      </c>
      <c r="D1685" s="51">
        <v>-1547</v>
      </c>
      <c r="E1685" s="51">
        <v>0</v>
      </c>
      <c r="F1685" s="51">
        <v>0</v>
      </c>
      <c r="G1685" s="51">
        <v>0</v>
      </c>
      <c r="H1685" s="51">
        <v>803497</v>
      </c>
      <c r="I1685" s="51">
        <v>-803497</v>
      </c>
      <c r="J1685" s="51">
        <v>0</v>
      </c>
      <c r="K1685" s="51">
        <v>0</v>
      </c>
      <c r="L1685" s="51">
        <v>0</v>
      </c>
      <c r="M1685" s="51">
        <v>0</v>
      </c>
      <c r="N1685" s="51">
        <v>0</v>
      </c>
    </row>
    <row r="1686" spans="1:14" ht="15.75" x14ac:dyDescent="0.25">
      <c r="A1686" s="49" t="s">
        <v>307</v>
      </c>
      <c r="B1686" s="50" t="s">
        <v>57</v>
      </c>
      <c r="C1686" s="51">
        <v>807069</v>
      </c>
      <c r="D1686" s="51">
        <v>-27860</v>
      </c>
      <c r="E1686" s="51">
        <v>0</v>
      </c>
      <c r="F1686" s="51">
        <v>0</v>
      </c>
      <c r="G1686" s="51">
        <v>0</v>
      </c>
      <c r="H1686" s="51">
        <v>779209</v>
      </c>
      <c r="I1686" s="51">
        <v>-779209</v>
      </c>
      <c r="J1686" s="51">
        <v>0</v>
      </c>
      <c r="K1686" s="51">
        <v>0</v>
      </c>
      <c r="L1686" s="51">
        <v>0</v>
      </c>
      <c r="M1686" s="51">
        <v>0</v>
      </c>
      <c r="N1686" s="51">
        <v>0</v>
      </c>
    </row>
    <row r="1687" spans="1:14" ht="15.75" x14ac:dyDescent="0.25">
      <c r="A1687" s="49" t="s">
        <v>307</v>
      </c>
      <c r="B1687" s="50" t="s">
        <v>58</v>
      </c>
      <c r="C1687" s="51">
        <v>751708</v>
      </c>
      <c r="D1687" s="51">
        <v>-19531</v>
      </c>
      <c r="E1687" s="51">
        <v>0</v>
      </c>
      <c r="F1687" s="51">
        <v>0</v>
      </c>
      <c r="G1687" s="51">
        <v>0</v>
      </c>
      <c r="H1687" s="51">
        <v>732177</v>
      </c>
      <c r="I1687" s="51">
        <v>-732177</v>
      </c>
      <c r="J1687" s="51">
        <v>0</v>
      </c>
      <c r="K1687" s="51">
        <v>0</v>
      </c>
      <c r="L1687" s="51">
        <v>0</v>
      </c>
      <c r="M1687" s="51">
        <v>0</v>
      </c>
      <c r="N1687" s="51">
        <v>0</v>
      </c>
    </row>
    <row r="1688" spans="1:14" ht="15.75" x14ac:dyDescent="0.25">
      <c r="A1688" s="49" t="s">
        <v>307</v>
      </c>
      <c r="B1688" s="50" t="s">
        <v>59</v>
      </c>
      <c r="C1688" s="51">
        <v>650765</v>
      </c>
      <c r="D1688" s="51">
        <v>-18443</v>
      </c>
      <c r="E1688" s="51">
        <v>0</v>
      </c>
      <c r="F1688" s="51">
        <v>0</v>
      </c>
      <c r="G1688" s="51">
        <v>0</v>
      </c>
      <c r="H1688" s="51">
        <v>632322</v>
      </c>
      <c r="I1688" s="51">
        <v>-632322</v>
      </c>
      <c r="J1688" s="51">
        <v>0</v>
      </c>
      <c r="K1688" s="51">
        <v>0</v>
      </c>
      <c r="L1688" s="51">
        <v>0</v>
      </c>
      <c r="M1688" s="51">
        <v>0</v>
      </c>
      <c r="N1688" s="51">
        <v>0</v>
      </c>
    </row>
    <row r="1689" spans="1:14" ht="15.75" x14ac:dyDescent="0.25">
      <c r="A1689" s="49" t="s">
        <v>307</v>
      </c>
      <c r="B1689" s="50" t="s">
        <v>60</v>
      </c>
      <c r="C1689" s="51">
        <v>582022</v>
      </c>
      <c r="D1689" s="51">
        <v>-20856</v>
      </c>
      <c r="E1689" s="51">
        <v>0</v>
      </c>
      <c r="F1689" s="51">
        <v>0</v>
      </c>
      <c r="G1689" s="51">
        <v>0</v>
      </c>
      <c r="H1689" s="51">
        <v>561166</v>
      </c>
      <c r="I1689" s="51">
        <v>-561166</v>
      </c>
      <c r="J1689" s="51">
        <v>0</v>
      </c>
      <c r="K1689" s="51">
        <v>0</v>
      </c>
      <c r="L1689" s="51">
        <v>0</v>
      </c>
      <c r="M1689" s="51">
        <v>0</v>
      </c>
      <c r="N1689" s="51">
        <v>0</v>
      </c>
    </row>
    <row r="1690" spans="1:14" ht="15.75" x14ac:dyDescent="0.25">
      <c r="A1690" s="49" t="s">
        <v>307</v>
      </c>
      <c r="B1690" s="50" t="s">
        <v>61</v>
      </c>
      <c r="C1690" s="51">
        <v>979581</v>
      </c>
      <c r="D1690" s="51">
        <v>-13909</v>
      </c>
      <c r="E1690" s="51">
        <v>0</v>
      </c>
      <c r="F1690" s="51">
        <v>0</v>
      </c>
      <c r="G1690" s="51">
        <v>0</v>
      </c>
      <c r="H1690" s="51">
        <v>965672</v>
      </c>
      <c r="I1690" s="51">
        <v>-965672</v>
      </c>
      <c r="J1690" s="51">
        <v>0</v>
      </c>
      <c r="K1690" s="51">
        <v>0</v>
      </c>
      <c r="L1690" s="51">
        <v>0</v>
      </c>
      <c r="M1690" s="51">
        <v>0</v>
      </c>
      <c r="N1690" s="51">
        <v>0</v>
      </c>
    </row>
    <row r="1691" spans="1:14" ht="15.75" x14ac:dyDescent="0.25">
      <c r="A1691" s="52" t="s">
        <v>308</v>
      </c>
      <c r="B1691" s="53" t="s">
        <v>8</v>
      </c>
      <c r="C1691" s="19">
        <f>SUBTOTAL(109,Program220[(C)
Program
Costs])</f>
        <v>4585189</v>
      </c>
      <c r="D1691" s="19">
        <f>SUBTOTAL(109,Program220[(D)
Prior Period Adjustments])</f>
        <v>-111146</v>
      </c>
      <c r="E1691" s="19">
        <f>SUBTOTAL(109,Program220[(E)
Current Period Desk 
Reviews])</f>
        <v>0</v>
      </c>
      <c r="F1691" s="19">
        <f>SUBTOTAL(109,Program220[(F)
Current Period 
Final 
Audits])</f>
        <v>0</v>
      </c>
      <c r="G1691" s="19">
        <f>SUBTOTAL(109,Program220[(G)
Current Period 
Other Adjustments])</f>
        <v>0</v>
      </c>
      <c r="H1691" s="19">
        <f>SUBTOTAL(109,Program220[(H)
Net Program Costs
Sum (C through G)])</f>
        <v>4474043</v>
      </c>
      <c r="I1691" s="19">
        <f>SUBTOTAL(109,Program220[(I)
Payments
 and Offsets])</f>
        <v>-4474043</v>
      </c>
      <c r="J1691" s="19">
        <f>SUBTOTAL(109,Program220[(J)
Accounts Payable Balance
(H + I)])</f>
        <v>0</v>
      </c>
      <c r="K1691" s="19">
        <f>SUBTOTAL(109,Program220[(K)
Established 
Accounts Receivable])</f>
        <v>0</v>
      </c>
      <c r="L1691" s="19">
        <f>SUBTOTAL(109,Program220[(L)
Recovered
 Accounts Receivable])</f>
        <v>0</v>
      </c>
      <c r="M1691" s="19">
        <f>SUBTOTAL(109,Program220[(M)
Accounts Receivable Balance
(K + L)])</f>
        <v>0</v>
      </c>
      <c r="N1691" s="19">
        <f>SUBTOTAL(109,Program220[(N)
Net Balance
(J minus M)])</f>
        <v>0</v>
      </c>
    </row>
    <row r="1692" spans="1:14" ht="15.75" x14ac:dyDescent="0.25">
      <c r="A1692" s="17" t="s">
        <v>13</v>
      </c>
      <c r="B1692" s="54"/>
      <c r="C1692" s="55"/>
      <c r="D1692" s="55"/>
      <c r="E1692" s="55"/>
      <c r="F1692" s="55"/>
      <c r="G1692" s="55"/>
      <c r="H1692" s="55"/>
      <c r="I1692" s="55"/>
      <c r="J1692" s="55"/>
      <c r="K1692" s="55"/>
      <c r="L1692" s="55"/>
      <c r="M1692" s="55"/>
      <c r="N1692" s="55"/>
    </row>
    <row r="1693" spans="1:14" ht="78.75" x14ac:dyDescent="0.25">
      <c r="A1693" s="39" t="s">
        <v>32</v>
      </c>
      <c r="B1693" s="40" t="s">
        <v>33</v>
      </c>
      <c r="C1693" s="41" t="s">
        <v>34</v>
      </c>
      <c r="D1693" s="41" t="s">
        <v>35</v>
      </c>
      <c r="E1693" s="42" t="s">
        <v>36</v>
      </c>
      <c r="F1693" s="42" t="s">
        <v>37</v>
      </c>
      <c r="G1693" s="42" t="s">
        <v>38</v>
      </c>
      <c r="H1693" s="43" t="s">
        <v>39</v>
      </c>
      <c r="I1693" s="44" t="s">
        <v>40</v>
      </c>
      <c r="J1693" s="44" t="s">
        <v>41</v>
      </c>
      <c r="K1693" s="42" t="s">
        <v>42</v>
      </c>
      <c r="L1693" s="44" t="s">
        <v>43</v>
      </c>
      <c r="M1693" s="44" t="s">
        <v>44</v>
      </c>
      <c r="N1693" s="45" t="s">
        <v>45</v>
      </c>
    </row>
    <row r="1694" spans="1:14" ht="30" x14ac:dyDescent="0.25">
      <c r="A1694" s="67" t="s">
        <v>309</v>
      </c>
      <c r="B1694" s="57" t="s">
        <v>56</v>
      </c>
      <c r="C1694" s="58">
        <v>3968009</v>
      </c>
      <c r="D1694" s="58">
        <v>-7486</v>
      </c>
      <c r="E1694" s="58">
        <v>0</v>
      </c>
      <c r="F1694" s="58">
        <v>0</v>
      </c>
      <c r="G1694" s="58">
        <v>0</v>
      </c>
      <c r="H1694" s="58">
        <v>3960523</v>
      </c>
      <c r="I1694" s="58">
        <v>-3960523</v>
      </c>
      <c r="J1694" s="58">
        <v>0</v>
      </c>
      <c r="K1694" s="58">
        <v>0</v>
      </c>
      <c r="L1694" s="58">
        <v>0</v>
      </c>
      <c r="M1694" s="58">
        <v>0</v>
      </c>
      <c r="N1694" s="58">
        <v>0</v>
      </c>
    </row>
    <row r="1695" spans="1:14" ht="30" x14ac:dyDescent="0.25">
      <c r="A1695" s="68" t="s">
        <v>309</v>
      </c>
      <c r="B1695" s="60" t="s">
        <v>57</v>
      </c>
      <c r="C1695" s="61">
        <v>5802231</v>
      </c>
      <c r="D1695" s="61">
        <v>-60992</v>
      </c>
      <c r="E1695" s="61">
        <v>0</v>
      </c>
      <c r="F1695" s="61">
        <v>0</v>
      </c>
      <c r="G1695" s="61">
        <v>0</v>
      </c>
      <c r="H1695" s="61">
        <v>5741239</v>
      </c>
      <c r="I1695" s="61">
        <v>-5741239</v>
      </c>
      <c r="J1695" s="61">
        <v>0</v>
      </c>
      <c r="K1695" s="61">
        <v>0</v>
      </c>
      <c r="L1695" s="61">
        <v>0</v>
      </c>
      <c r="M1695" s="61">
        <v>0</v>
      </c>
      <c r="N1695" s="61">
        <v>0</v>
      </c>
    </row>
    <row r="1696" spans="1:14" ht="30" x14ac:dyDescent="0.25">
      <c r="A1696" s="68" t="s">
        <v>309</v>
      </c>
      <c r="B1696" s="60" t="s">
        <v>58</v>
      </c>
      <c r="C1696" s="61">
        <v>5331375</v>
      </c>
      <c r="D1696" s="61">
        <v>-31945</v>
      </c>
      <c r="E1696" s="61">
        <v>0</v>
      </c>
      <c r="F1696" s="61">
        <v>0</v>
      </c>
      <c r="G1696" s="61">
        <v>0</v>
      </c>
      <c r="H1696" s="61">
        <v>5299430</v>
      </c>
      <c r="I1696" s="61">
        <v>-5299430</v>
      </c>
      <c r="J1696" s="61">
        <v>0</v>
      </c>
      <c r="K1696" s="61">
        <v>0</v>
      </c>
      <c r="L1696" s="61">
        <v>0</v>
      </c>
      <c r="M1696" s="61">
        <v>0</v>
      </c>
      <c r="N1696" s="61">
        <v>0</v>
      </c>
    </row>
    <row r="1697" spans="1:14" ht="30" x14ac:dyDescent="0.25">
      <c r="A1697" s="68" t="s">
        <v>309</v>
      </c>
      <c r="B1697" s="60" t="s">
        <v>59</v>
      </c>
      <c r="C1697" s="61">
        <v>5088844</v>
      </c>
      <c r="D1697" s="61">
        <v>-49410</v>
      </c>
      <c r="E1697" s="61">
        <v>0</v>
      </c>
      <c r="F1697" s="61">
        <v>0</v>
      </c>
      <c r="G1697" s="61">
        <v>0</v>
      </c>
      <c r="H1697" s="61">
        <v>5039434</v>
      </c>
      <c r="I1697" s="61">
        <v>-5039434</v>
      </c>
      <c r="J1697" s="61">
        <v>0</v>
      </c>
      <c r="K1697" s="61">
        <v>0</v>
      </c>
      <c r="L1697" s="61">
        <v>0</v>
      </c>
      <c r="M1697" s="61">
        <v>0</v>
      </c>
      <c r="N1697" s="61">
        <v>0</v>
      </c>
    </row>
    <row r="1698" spans="1:14" ht="30" x14ac:dyDescent="0.25">
      <c r="A1698" s="68" t="s">
        <v>309</v>
      </c>
      <c r="B1698" s="60" t="s">
        <v>60</v>
      </c>
      <c r="C1698" s="61">
        <v>3831473</v>
      </c>
      <c r="D1698" s="61">
        <v>-36751</v>
      </c>
      <c r="E1698" s="61">
        <v>0</v>
      </c>
      <c r="F1698" s="61">
        <v>0</v>
      </c>
      <c r="G1698" s="61">
        <v>0</v>
      </c>
      <c r="H1698" s="61">
        <v>3794722</v>
      </c>
      <c r="I1698" s="61">
        <v>-3794722</v>
      </c>
      <c r="J1698" s="61">
        <v>0</v>
      </c>
      <c r="K1698" s="61">
        <v>0</v>
      </c>
      <c r="L1698" s="61">
        <v>0</v>
      </c>
      <c r="M1698" s="61">
        <v>0</v>
      </c>
      <c r="N1698" s="61">
        <v>0</v>
      </c>
    </row>
    <row r="1699" spans="1:14" ht="30" x14ac:dyDescent="0.25">
      <c r="A1699" s="68" t="s">
        <v>309</v>
      </c>
      <c r="B1699" s="60" t="s">
        <v>61</v>
      </c>
      <c r="C1699" s="61">
        <v>3667025</v>
      </c>
      <c r="D1699" s="61">
        <v>-36688</v>
      </c>
      <c r="E1699" s="61">
        <v>0</v>
      </c>
      <c r="F1699" s="61">
        <v>0</v>
      </c>
      <c r="G1699" s="61">
        <v>0</v>
      </c>
      <c r="H1699" s="61">
        <v>3630337</v>
      </c>
      <c r="I1699" s="61">
        <v>-3630337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</row>
    <row r="1700" spans="1:14" ht="30" x14ac:dyDescent="0.25">
      <c r="A1700" s="68" t="s">
        <v>309</v>
      </c>
      <c r="B1700" s="60" t="s">
        <v>62</v>
      </c>
      <c r="C1700" s="61">
        <v>1205292</v>
      </c>
      <c r="D1700" s="61">
        <v>-13740</v>
      </c>
      <c r="E1700" s="61">
        <v>0</v>
      </c>
      <c r="F1700" s="61">
        <v>0</v>
      </c>
      <c r="G1700" s="61">
        <v>0</v>
      </c>
      <c r="H1700" s="61">
        <v>1191552</v>
      </c>
      <c r="I1700" s="61">
        <v>-1191552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</row>
    <row r="1701" spans="1:14" ht="15.75" x14ac:dyDescent="0.25">
      <c r="A1701" s="52" t="s">
        <v>310</v>
      </c>
      <c r="B1701" s="53" t="s">
        <v>8</v>
      </c>
      <c r="C1701" s="19">
        <f>SUBTOTAL(109,Program217[(C)
Program
Costs])</f>
        <v>28894249</v>
      </c>
      <c r="D1701" s="19">
        <f>SUBTOTAL(109,Program217[(D)
Prior Period Adjustments])</f>
        <v>-237012</v>
      </c>
      <c r="E1701" s="19">
        <f>SUBTOTAL(109,Program217[(E)
Current Period Desk 
Reviews])</f>
        <v>0</v>
      </c>
      <c r="F1701" s="19">
        <f>SUBTOTAL(109,Program217[(F)
Current Period 
Final 
Audits])</f>
        <v>0</v>
      </c>
      <c r="G1701" s="19">
        <f>SUBTOTAL(109,Program217[(G)
Current Period 
Other Adjustments])</f>
        <v>0</v>
      </c>
      <c r="H1701" s="19">
        <f>SUBTOTAL(109,Program217[(H)
Net Program Costs
Sum (C through G)])</f>
        <v>28657237</v>
      </c>
      <c r="I1701" s="19">
        <f>SUBTOTAL(109,Program217[(I)
Payments
 and Offsets])</f>
        <v>-28657237</v>
      </c>
      <c r="J1701" s="19">
        <f>SUBTOTAL(109,Program217[(J)
Accounts Payable Balance
(H + I)])</f>
        <v>0</v>
      </c>
      <c r="K1701" s="19">
        <f>SUBTOTAL(109,Program217[(K)
Established 
Accounts Receivable])</f>
        <v>0</v>
      </c>
      <c r="L1701" s="19">
        <f>SUBTOTAL(109,Program217[(L)
Recovered
 Accounts Receivable])</f>
        <v>0</v>
      </c>
      <c r="M1701" s="19">
        <f>SUBTOTAL(109,Program217[(M)
Accounts Receivable Balance
(K + L)])</f>
        <v>0</v>
      </c>
      <c r="N1701" s="19">
        <f>SUBTOTAL(109,Program217[(N)
Net Balance
(J minus M)])</f>
        <v>0</v>
      </c>
    </row>
    <row r="1702" spans="1:14" ht="15.75" x14ac:dyDescent="0.25">
      <c r="A1702" s="17" t="s">
        <v>13</v>
      </c>
      <c r="B1702" s="54"/>
      <c r="C1702" s="55"/>
      <c r="D1702" s="55"/>
      <c r="E1702" s="55"/>
      <c r="F1702" s="55"/>
      <c r="G1702" s="55"/>
      <c r="H1702" s="55"/>
      <c r="I1702" s="55"/>
      <c r="J1702" s="55"/>
      <c r="K1702" s="55"/>
      <c r="L1702" s="55"/>
      <c r="M1702" s="55"/>
      <c r="N1702" s="55"/>
    </row>
    <row r="1703" spans="1:14" ht="78.75" x14ac:dyDescent="0.25">
      <c r="A1703" s="39" t="s">
        <v>32</v>
      </c>
      <c r="B1703" s="40" t="s">
        <v>33</v>
      </c>
      <c r="C1703" s="41" t="s">
        <v>34</v>
      </c>
      <c r="D1703" s="41" t="s">
        <v>35</v>
      </c>
      <c r="E1703" s="42" t="s">
        <v>36</v>
      </c>
      <c r="F1703" s="42" t="s">
        <v>37</v>
      </c>
      <c r="G1703" s="42" t="s">
        <v>38</v>
      </c>
      <c r="H1703" s="43" t="s">
        <v>39</v>
      </c>
      <c r="I1703" s="44" t="s">
        <v>40</v>
      </c>
      <c r="J1703" s="44" t="s">
        <v>41</v>
      </c>
      <c r="K1703" s="42" t="s">
        <v>42</v>
      </c>
      <c r="L1703" s="44" t="s">
        <v>43</v>
      </c>
      <c r="M1703" s="44" t="s">
        <v>44</v>
      </c>
      <c r="N1703" s="45" t="s">
        <v>45</v>
      </c>
    </row>
    <row r="1704" spans="1:14" ht="15.75" x14ac:dyDescent="0.25">
      <c r="A1704" s="46" t="s">
        <v>311</v>
      </c>
      <c r="B1704" s="47" t="s">
        <v>76</v>
      </c>
      <c r="C1704" s="48">
        <v>14387906</v>
      </c>
      <c r="D1704" s="48">
        <v>0</v>
      </c>
      <c r="E1704" s="48">
        <v>0</v>
      </c>
      <c r="F1704" s="48">
        <v>0</v>
      </c>
      <c r="G1704" s="48">
        <v>-4661</v>
      </c>
      <c r="H1704" s="48">
        <v>14383245</v>
      </c>
      <c r="I1704" s="48">
        <v>0</v>
      </c>
      <c r="J1704" s="48">
        <v>14383245</v>
      </c>
      <c r="K1704" s="48">
        <v>0</v>
      </c>
      <c r="L1704" s="48">
        <v>0</v>
      </c>
      <c r="M1704" s="48">
        <v>0</v>
      </c>
      <c r="N1704" s="48">
        <v>14383245</v>
      </c>
    </row>
    <row r="1705" spans="1:14" ht="15.75" x14ac:dyDescent="0.25">
      <c r="A1705" s="49" t="s">
        <v>311</v>
      </c>
      <c r="B1705" s="50" t="s">
        <v>77</v>
      </c>
      <c r="C1705" s="51">
        <v>13930917</v>
      </c>
      <c r="D1705" s="51">
        <v>0</v>
      </c>
      <c r="E1705" s="51">
        <v>0</v>
      </c>
      <c r="F1705" s="51">
        <v>0</v>
      </c>
      <c r="G1705" s="51">
        <v>-54445</v>
      </c>
      <c r="H1705" s="51">
        <v>13876472</v>
      </c>
      <c r="I1705" s="51">
        <v>-3688999</v>
      </c>
      <c r="J1705" s="51">
        <v>10187473</v>
      </c>
      <c r="K1705" s="51">
        <v>0</v>
      </c>
      <c r="L1705" s="51">
        <v>0</v>
      </c>
      <c r="M1705" s="51">
        <v>0</v>
      </c>
      <c r="N1705" s="51">
        <v>10187473</v>
      </c>
    </row>
    <row r="1706" spans="1:14" ht="15.75" x14ac:dyDescent="0.25">
      <c r="A1706" s="49" t="s">
        <v>311</v>
      </c>
      <c r="B1706" s="50" t="s">
        <v>78</v>
      </c>
      <c r="C1706" s="51">
        <v>3602336</v>
      </c>
      <c r="D1706" s="51">
        <v>-10000</v>
      </c>
      <c r="E1706" s="51">
        <v>0</v>
      </c>
      <c r="F1706" s="51">
        <v>0</v>
      </c>
      <c r="G1706" s="51">
        <v>0</v>
      </c>
      <c r="H1706" s="51">
        <v>3592336</v>
      </c>
      <c r="I1706" s="51">
        <v>-3592336</v>
      </c>
      <c r="J1706" s="51">
        <v>0</v>
      </c>
      <c r="K1706" s="51">
        <v>0</v>
      </c>
      <c r="L1706" s="51">
        <v>0</v>
      </c>
      <c r="M1706" s="51">
        <v>0</v>
      </c>
      <c r="N1706" s="51">
        <v>0</v>
      </c>
    </row>
    <row r="1707" spans="1:14" ht="15.75" x14ac:dyDescent="0.25">
      <c r="A1707" s="49" t="s">
        <v>311</v>
      </c>
      <c r="B1707" s="50" t="s">
        <v>47</v>
      </c>
      <c r="C1707" s="51">
        <v>3098927</v>
      </c>
      <c r="D1707" s="51">
        <v>-1411</v>
      </c>
      <c r="E1707" s="51">
        <v>0</v>
      </c>
      <c r="F1707" s="51">
        <v>0</v>
      </c>
      <c r="G1707" s="51">
        <v>0</v>
      </c>
      <c r="H1707" s="51">
        <v>3097516</v>
      </c>
      <c r="I1707" s="51">
        <v>-3097516</v>
      </c>
      <c r="J1707" s="51">
        <v>0</v>
      </c>
      <c r="K1707" s="51">
        <v>0</v>
      </c>
      <c r="L1707" s="51">
        <v>0</v>
      </c>
      <c r="M1707" s="51">
        <v>0</v>
      </c>
      <c r="N1707" s="51">
        <v>0</v>
      </c>
    </row>
    <row r="1708" spans="1:14" ht="15.75" x14ac:dyDescent="0.25">
      <c r="A1708" s="49" t="s">
        <v>311</v>
      </c>
      <c r="B1708" s="50" t="s">
        <v>79</v>
      </c>
      <c r="C1708" s="51">
        <v>3537583</v>
      </c>
      <c r="D1708" s="51">
        <v>-8314</v>
      </c>
      <c r="E1708" s="51">
        <v>0</v>
      </c>
      <c r="F1708" s="51">
        <v>0</v>
      </c>
      <c r="G1708" s="51">
        <v>0</v>
      </c>
      <c r="H1708" s="51">
        <v>3529269</v>
      </c>
      <c r="I1708" s="51">
        <v>-3529269</v>
      </c>
      <c r="J1708" s="51">
        <v>0</v>
      </c>
      <c r="K1708" s="51">
        <v>0</v>
      </c>
      <c r="L1708" s="51">
        <v>0</v>
      </c>
      <c r="M1708" s="51">
        <v>0</v>
      </c>
      <c r="N1708" s="51">
        <v>0</v>
      </c>
    </row>
    <row r="1709" spans="1:14" ht="15.75" x14ac:dyDescent="0.25">
      <c r="A1709" s="49" t="s">
        <v>311</v>
      </c>
      <c r="B1709" s="50" t="s">
        <v>80</v>
      </c>
      <c r="C1709" s="51">
        <v>3610126</v>
      </c>
      <c r="D1709" s="51">
        <v>-1941</v>
      </c>
      <c r="E1709" s="51">
        <v>0</v>
      </c>
      <c r="F1709" s="51">
        <v>0</v>
      </c>
      <c r="G1709" s="51">
        <v>0</v>
      </c>
      <c r="H1709" s="51">
        <v>3608185</v>
      </c>
      <c r="I1709" s="51">
        <v>-3608185</v>
      </c>
      <c r="J1709" s="51">
        <v>0</v>
      </c>
      <c r="K1709" s="51">
        <v>1808</v>
      </c>
      <c r="L1709" s="51">
        <v>-1808</v>
      </c>
      <c r="M1709" s="51">
        <v>0</v>
      </c>
      <c r="N1709" s="51">
        <v>0</v>
      </c>
    </row>
    <row r="1710" spans="1:14" ht="15.75" x14ac:dyDescent="0.25">
      <c r="A1710" s="49" t="s">
        <v>311</v>
      </c>
      <c r="B1710" s="50" t="s">
        <v>81</v>
      </c>
      <c r="C1710" s="51">
        <v>5054274</v>
      </c>
      <c r="D1710" s="51">
        <v>-40929</v>
      </c>
      <c r="E1710" s="51">
        <v>0</v>
      </c>
      <c r="F1710" s="51">
        <v>0</v>
      </c>
      <c r="G1710" s="51">
        <v>0</v>
      </c>
      <c r="H1710" s="51">
        <v>5013345</v>
      </c>
      <c r="I1710" s="51">
        <v>-5013345</v>
      </c>
      <c r="J1710" s="51">
        <v>0</v>
      </c>
      <c r="K1710" s="51">
        <v>23994</v>
      </c>
      <c r="L1710" s="51">
        <v>-23994</v>
      </c>
      <c r="M1710" s="51">
        <v>0</v>
      </c>
      <c r="N1710" s="51">
        <v>0</v>
      </c>
    </row>
    <row r="1711" spans="1:14" ht="15.75" x14ac:dyDescent="0.25">
      <c r="A1711" s="49" t="s">
        <v>311</v>
      </c>
      <c r="B1711" s="50" t="s">
        <v>82</v>
      </c>
      <c r="C1711" s="51">
        <v>10853195</v>
      </c>
      <c r="D1711" s="51">
        <v>-3929400</v>
      </c>
      <c r="E1711" s="51">
        <v>0</v>
      </c>
      <c r="F1711" s="51">
        <v>0</v>
      </c>
      <c r="G1711" s="51">
        <v>0</v>
      </c>
      <c r="H1711" s="51">
        <v>6923795</v>
      </c>
      <c r="I1711" s="51">
        <v>-6923795</v>
      </c>
      <c r="J1711" s="51">
        <v>0</v>
      </c>
      <c r="K1711" s="51">
        <v>832360</v>
      </c>
      <c r="L1711" s="51">
        <v>-832360</v>
      </c>
      <c r="M1711" s="51">
        <v>0</v>
      </c>
      <c r="N1711" s="51">
        <v>0</v>
      </c>
    </row>
    <row r="1712" spans="1:14" ht="15.75" x14ac:dyDescent="0.25">
      <c r="A1712" s="49" t="s">
        <v>311</v>
      </c>
      <c r="B1712" s="50" t="s">
        <v>83</v>
      </c>
      <c r="C1712" s="51">
        <v>12315224</v>
      </c>
      <c r="D1712" s="51">
        <v>-5031325</v>
      </c>
      <c r="E1712" s="51">
        <v>0</v>
      </c>
      <c r="F1712" s="51">
        <v>0</v>
      </c>
      <c r="G1712" s="51">
        <v>0</v>
      </c>
      <c r="H1712" s="51">
        <v>7283899</v>
      </c>
      <c r="I1712" s="51">
        <v>-7283899</v>
      </c>
      <c r="J1712" s="51">
        <v>0</v>
      </c>
      <c r="K1712" s="51">
        <v>13619027</v>
      </c>
      <c r="L1712" s="51">
        <v>-13619027</v>
      </c>
      <c r="M1712" s="51">
        <v>0</v>
      </c>
      <c r="N1712" s="51">
        <v>0</v>
      </c>
    </row>
    <row r="1713" spans="1:14" ht="15.75" x14ac:dyDescent="0.25">
      <c r="A1713" s="49" t="s">
        <v>311</v>
      </c>
      <c r="B1713" s="50" t="s">
        <v>48</v>
      </c>
      <c r="C1713" s="51">
        <v>20795311</v>
      </c>
      <c r="D1713" s="51">
        <v>-5756</v>
      </c>
      <c r="E1713" s="51">
        <v>0</v>
      </c>
      <c r="F1713" s="51">
        <v>0</v>
      </c>
      <c r="G1713" s="51">
        <v>0</v>
      </c>
      <c r="H1713" s="51">
        <v>20789555</v>
      </c>
      <c r="I1713" s="51">
        <v>-20789555</v>
      </c>
      <c r="J1713" s="51">
        <v>0</v>
      </c>
      <c r="K1713" s="51">
        <v>0</v>
      </c>
      <c r="L1713" s="51">
        <v>0</v>
      </c>
      <c r="M1713" s="51">
        <v>0</v>
      </c>
      <c r="N1713" s="51">
        <v>0</v>
      </c>
    </row>
    <row r="1714" spans="1:14" ht="15.75" x14ac:dyDescent="0.25">
      <c r="A1714" s="49" t="s">
        <v>311</v>
      </c>
      <c r="B1714" s="50" t="s">
        <v>49</v>
      </c>
      <c r="C1714" s="51">
        <v>19977741</v>
      </c>
      <c r="D1714" s="51">
        <v>-13180</v>
      </c>
      <c r="E1714" s="51">
        <v>0</v>
      </c>
      <c r="F1714" s="51">
        <v>0</v>
      </c>
      <c r="G1714" s="51">
        <v>0</v>
      </c>
      <c r="H1714" s="51">
        <v>19964561</v>
      </c>
      <c r="I1714" s="51">
        <v>-19964561</v>
      </c>
      <c r="J1714" s="51">
        <v>0</v>
      </c>
      <c r="K1714" s="51">
        <v>405</v>
      </c>
      <c r="L1714" s="51">
        <v>-405</v>
      </c>
      <c r="M1714" s="51">
        <v>0</v>
      </c>
      <c r="N1714" s="51">
        <v>0</v>
      </c>
    </row>
    <row r="1715" spans="1:14" ht="15.75" x14ac:dyDescent="0.25">
      <c r="A1715" s="49" t="s">
        <v>311</v>
      </c>
      <c r="B1715" s="50" t="s">
        <v>50</v>
      </c>
      <c r="C1715" s="51">
        <v>21214422</v>
      </c>
      <c r="D1715" s="51">
        <v>-29552</v>
      </c>
      <c r="E1715" s="51">
        <v>0</v>
      </c>
      <c r="F1715" s="51">
        <v>0</v>
      </c>
      <c r="G1715" s="51">
        <v>0</v>
      </c>
      <c r="H1715" s="51">
        <v>21184870</v>
      </c>
      <c r="I1715" s="51">
        <v>-21184870</v>
      </c>
      <c r="J1715" s="51">
        <v>0</v>
      </c>
      <c r="K1715" s="51">
        <v>52609</v>
      </c>
      <c r="L1715" s="51">
        <v>-52609</v>
      </c>
      <c r="M1715" s="51">
        <v>0</v>
      </c>
      <c r="N1715" s="51">
        <v>0</v>
      </c>
    </row>
    <row r="1716" spans="1:14" ht="15.75" x14ac:dyDescent="0.25">
      <c r="A1716" s="49" t="s">
        <v>311</v>
      </c>
      <c r="B1716" s="50" t="s">
        <v>51</v>
      </c>
      <c r="C1716" s="51">
        <v>17534976</v>
      </c>
      <c r="D1716" s="51">
        <v>-142681</v>
      </c>
      <c r="E1716" s="51">
        <v>0</v>
      </c>
      <c r="F1716" s="51">
        <v>0</v>
      </c>
      <c r="G1716" s="51">
        <v>0</v>
      </c>
      <c r="H1716" s="51">
        <v>17392295</v>
      </c>
      <c r="I1716" s="51">
        <v>-17392295</v>
      </c>
      <c r="J1716" s="51">
        <v>0</v>
      </c>
      <c r="K1716" s="51">
        <v>146314</v>
      </c>
      <c r="L1716" s="51">
        <v>-146314</v>
      </c>
      <c r="M1716" s="51">
        <v>0</v>
      </c>
      <c r="N1716" s="51">
        <v>0</v>
      </c>
    </row>
    <row r="1717" spans="1:14" ht="15.75" x14ac:dyDescent="0.25">
      <c r="A1717" s="49" t="s">
        <v>311</v>
      </c>
      <c r="B1717" s="50" t="s">
        <v>52</v>
      </c>
      <c r="C1717" s="51">
        <v>13179987</v>
      </c>
      <c r="D1717" s="51">
        <v>-401311</v>
      </c>
      <c r="E1717" s="51">
        <v>0</v>
      </c>
      <c r="F1717" s="51">
        <v>0</v>
      </c>
      <c r="G1717" s="51">
        <v>0</v>
      </c>
      <c r="H1717" s="51">
        <v>12778676</v>
      </c>
      <c r="I1717" s="51">
        <v>-12778676</v>
      </c>
      <c r="J1717" s="51">
        <v>0</v>
      </c>
      <c r="K1717" s="51">
        <v>904425</v>
      </c>
      <c r="L1717" s="51">
        <v>-904425</v>
      </c>
      <c r="M1717" s="51">
        <v>0</v>
      </c>
      <c r="N1717" s="51">
        <v>0</v>
      </c>
    </row>
    <row r="1718" spans="1:14" ht="15.75" x14ac:dyDescent="0.25">
      <c r="A1718" s="49" t="s">
        <v>311</v>
      </c>
      <c r="B1718" s="50" t="s">
        <v>53</v>
      </c>
      <c r="C1718" s="51">
        <v>11678019</v>
      </c>
      <c r="D1718" s="51">
        <v>-195979</v>
      </c>
      <c r="E1718" s="51">
        <v>0</v>
      </c>
      <c r="F1718" s="51">
        <v>0</v>
      </c>
      <c r="G1718" s="51">
        <v>0</v>
      </c>
      <c r="H1718" s="51">
        <v>11482040</v>
      </c>
      <c r="I1718" s="51">
        <v>-11482040</v>
      </c>
      <c r="J1718" s="51">
        <v>0</v>
      </c>
      <c r="K1718" s="51">
        <v>204843</v>
      </c>
      <c r="L1718" s="51">
        <v>-204843</v>
      </c>
      <c r="M1718" s="51">
        <v>0</v>
      </c>
      <c r="N1718" s="51">
        <v>0</v>
      </c>
    </row>
    <row r="1719" spans="1:14" ht="15.75" x14ac:dyDescent="0.25">
      <c r="A1719" s="49" t="s">
        <v>311</v>
      </c>
      <c r="B1719" s="50" t="s">
        <v>54</v>
      </c>
      <c r="C1719" s="51">
        <v>11547514</v>
      </c>
      <c r="D1719" s="51">
        <v>-151037</v>
      </c>
      <c r="E1719" s="51">
        <v>0</v>
      </c>
      <c r="F1719" s="51">
        <v>0</v>
      </c>
      <c r="G1719" s="51">
        <v>0</v>
      </c>
      <c r="H1719" s="51">
        <v>11396477</v>
      </c>
      <c r="I1719" s="51">
        <v>-11396477</v>
      </c>
      <c r="J1719" s="51">
        <v>0</v>
      </c>
      <c r="K1719" s="51">
        <v>1542149</v>
      </c>
      <c r="L1719" s="51">
        <v>-1542149</v>
      </c>
      <c r="M1719" s="51">
        <v>0</v>
      </c>
      <c r="N1719" s="51">
        <v>0</v>
      </c>
    </row>
    <row r="1720" spans="1:14" ht="15.75" x14ac:dyDescent="0.25">
      <c r="A1720" s="49" t="s">
        <v>311</v>
      </c>
      <c r="B1720" s="50" t="s">
        <v>55</v>
      </c>
      <c r="C1720" s="51">
        <v>12022580</v>
      </c>
      <c r="D1720" s="51">
        <v>-408160</v>
      </c>
      <c r="E1720" s="51">
        <v>0</v>
      </c>
      <c r="F1720" s="51">
        <v>0</v>
      </c>
      <c r="G1720" s="51">
        <v>0</v>
      </c>
      <c r="H1720" s="51">
        <v>11614420</v>
      </c>
      <c r="I1720" s="51">
        <v>-11614420</v>
      </c>
      <c r="J1720" s="51">
        <v>0</v>
      </c>
      <c r="K1720" s="51">
        <v>0</v>
      </c>
      <c r="L1720" s="51">
        <v>0</v>
      </c>
      <c r="M1720" s="51">
        <v>0</v>
      </c>
      <c r="N1720" s="51">
        <v>0</v>
      </c>
    </row>
    <row r="1721" spans="1:14" ht="15.75" x14ac:dyDescent="0.25">
      <c r="A1721" s="49" t="s">
        <v>311</v>
      </c>
      <c r="B1721" s="50" t="s">
        <v>56</v>
      </c>
      <c r="C1721" s="51">
        <v>12696151</v>
      </c>
      <c r="D1721" s="51">
        <v>-830380</v>
      </c>
      <c r="E1721" s="51">
        <v>0</v>
      </c>
      <c r="F1721" s="51">
        <v>0</v>
      </c>
      <c r="G1721" s="51">
        <v>0</v>
      </c>
      <c r="H1721" s="51">
        <v>11865771</v>
      </c>
      <c r="I1721" s="51">
        <v>-11865771</v>
      </c>
      <c r="J1721" s="51">
        <v>0</v>
      </c>
      <c r="K1721" s="51">
        <v>0</v>
      </c>
      <c r="L1721" s="51">
        <v>0</v>
      </c>
      <c r="M1721" s="51">
        <v>0</v>
      </c>
      <c r="N1721" s="51">
        <v>0</v>
      </c>
    </row>
    <row r="1722" spans="1:14" ht="15.75" x14ac:dyDescent="0.25">
      <c r="A1722" s="49" t="s">
        <v>311</v>
      </c>
      <c r="B1722" s="50" t="s">
        <v>57</v>
      </c>
      <c r="C1722" s="51">
        <v>10431196</v>
      </c>
      <c r="D1722" s="51">
        <v>-356383</v>
      </c>
      <c r="E1722" s="51">
        <v>0</v>
      </c>
      <c r="F1722" s="51">
        <v>0</v>
      </c>
      <c r="G1722" s="51">
        <v>0</v>
      </c>
      <c r="H1722" s="51">
        <v>10074813</v>
      </c>
      <c r="I1722" s="51">
        <v>-10074813</v>
      </c>
      <c r="J1722" s="51">
        <v>0</v>
      </c>
      <c r="K1722" s="51">
        <v>10225</v>
      </c>
      <c r="L1722" s="51">
        <v>-10225</v>
      </c>
      <c r="M1722" s="51">
        <v>0</v>
      </c>
      <c r="N1722" s="51">
        <v>0</v>
      </c>
    </row>
    <row r="1723" spans="1:14" ht="15.75" x14ac:dyDescent="0.25">
      <c r="A1723" s="49" t="s">
        <v>311</v>
      </c>
      <c r="B1723" s="50" t="s">
        <v>58</v>
      </c>
      <c r="C1723" s="51">
        <v>8882870</v>
      </c>
      <c r="D1723" s="51">
        <v>-342557</v>
      </c>
      <c r="E1723" s="51">
        <v>0</v>
      </c>
      <c r="F1723" s="51">
        <v>0</v>
      </c>
      <c r="G1723" s="51">
        <v>0</v>
      </c>
      <c r="H1723" s="51">
        <v>8540313</v>
      </c>
      <c r="I1723" s="51">
        <v>-8540313</v>
      </c>
      <c r="J1723" s="51">
        <v>0</v>
      </c>
      <c r="K1723" s="51">
        <v>510604</v>
      </c>
      <c r="L1723" s="51">
        <v>-510604</v>
      </c>
      <c r="M1723" s="51">
        <v>0</v>
      </c>
      <c r="N1723" s="51">
        <v>0</v>
      </c>
    </row>
    <row r="1724" spans="1:14" ht="15.75" x14ac:dyDescent="0.25">
      <c r="A1724" s="49" t="s">
        <v>311</v>
      </c>
      <c r="B1724" s="50" t="s">
        <v>59</v>
      </c>
      <c r="C1724" s="51">
        <v>8781027</v>
      </c>
      <c r="D1724" s="51">
        <v>-538021</v>
      </c>
      <c r="E1724" s="51">
        <v>0</v>
      </c>
      <c r="F1724" s="51">
        <v>0</v>
      </c>
      <c r="G1724" s="51">
        <v>0</v>
      </c>
      <c r="H1724" s="51">
        <v>8243006</v>
      </c>
      <c r="I1724" s="51">
        <v>-8243006</v>
      </c>
      <c r="J1724" s="51">
        <v>0</v>
      </c>
      <c r="K1724" s="51">
        <v>952022</v>
      </c>
      <c r="L1724" s="51">
        <v>-952022</v>
      </c>
      <c r="M1724" s="51">
        <v>0</v>
      </c>
      <c r="N1724" s="51">
        <v>0</v>
      </c>
    </row>
    <row r="1725" spans="1:14" ht="15.75" x14ac:dyDescent="0.25">
      <c r="A1725" s="49" t="s">
        <v>311</v>
      </c>
      <c r="B1725" s="50" t="s">
        <v>60</v>
      </c>
      <c r="C1725" s="51">
        <v>7117478</v>
      </c>
      <c r="D1725" s="51">
        <v>-201791</v>
      </c>
      <c r="E1725" s="51">
        <v>0</v>
      </c>
      <c r="F1725" s="51">
        <v>0</v>
      </c>
      <c r="G1725" s="51">
        <v>0</v>
      </c>
      <c r="H1725" s="51">
        <v>6915687</v>
      </c>
      <c r="I1725" s="51">
        <v>-6915687</v>
      </c>
      <c r="J1725" s="51">
        <v>0</v>
      </c>
      <c r="K1725" s="51">
        <v>220697</v>
      </c>
      <c r="L1725" s="51">
        <v>-220697</v>
      </c>
      <c r="M1725" s="51">
        <v>0</v>
      </c>
      <c r="N1725" s="51">
        <v>0</v>
      </c>
    </row>
    <row r="1726" spans="1:14" ht="15.75" x14ac:dyDescent="0.25">
      <c r="A1726" s="49" t="s">
        <v>311</v>
      </c>
      <c r="B1726" s="50" t="s">
        <v>61</v>
      </c>
      <c r="C1726" s="51">
        <v>4650320</v>
      </c>
      <c r="D1726" s="51">
        <v>-1000</v>
      </c>
      <c r="E1726" s="51">
        <v>0</v>
      </c>
      <c r="F1726" s="51">
        <v>0</v>
      </c>
      <c r="G1726" s="51">
        <v>0</v>
      </c>
      <c r="H1726" s="51">
        <v>4649320</v>
      </c>
      <c r="I1726" s="51">
        <v>-4649320</v>
      </c>
      <c r="J1726" s="51">
        <v>0</v>
      </c>
      <c r="K1726" s="51">
        <v>9316</v>
      </c>
      <c r="L1726" s="51">
        <v>-9316</v>
      </c>
      <c r="M1726" s="51">
        <v>0</v>
      </c>
      <c r="N1726" s="51">
        <v>0</v>
      </c>
    </row>
    <row r="1727" spans="1:14" ht="15.75" x14ac:dyDescent="0.25">
      <c r="A1727" s="49" t="s">
        <v>311</v>
      </c>
      <c r="B1727" s="50" t="s">
        <v>62</v>
      </c>
      <c r="C1727" s="51">
        <v>3101927</v>
      </c>
      <c r="D1727" s="51">
        <v>-1000</v>
      </c>
      <c r="E1727" s="51">
        <v>0</v>
      </c>
      <c r="F1727" s="51">
        <v>0</v>
      </c>
      <c r="G1727" s="51">
        <v>0</v>
      </c>
      <c r="H1727" s="51">
        <v>3100927</v>
      </c>
      <c r="I1727" s="51">
        <v>-3100927</v>
      </c>
      <c r="J1727" s="51">
        <v>0</v>
      </c>
      <c r="K1727" s="51">
        <v>0</v>
      </c>
      <c r="L1727" s="51">
        <v>0</v>
      </c>
      <c r="M1727" s="51">
        <v>0</v>
      </c>
      <c r="N1727" s="51">
        <v>0</v>
      </c>
    </row>
    <row r="1728" spans="1:14" ht="15.75" x14ac:dyDescent="0.25">
      <c r="A1728" s="49" t="s">
        <v>311</v>
      </c>
      <c r="B1728" s="50" t="s">
        <v>63</v>
      </c>
      <c r="C1728" s="51">
        <v>550563</v>
      </c>
      <c r="D1728" s="51">
        <v>-1000</v>
      </c>
      <c r="E1728" s="51">
        <v>0</v>
      </c>
      <c r="F1728" s="51">
        <v>0</v>
      </c>
      <c r="G1728" s="51">
        <v>0</v>
      </c>
      <c r="H1728" s="51">
        <v>549563</v>
      </c>
      <c r="I1728" s="51">
        <v>-549563</v>
      </c>
      <c r="J1728" s="51">
        <v>0</v>
      </c>
      <c r="K1728" s="51">
        <v>0</v>
      </c>
      <c r="L1728" s="51">
        <v>0</v>
      </c>
      <c r="M1728" s="51">
        <v>0</v>
      </c>
      <c r="N1728" s="51">
        <v>0</v>
      </c>
    </row>
    <row r="1729" spans="1:14" ht="15.75" x14ac:dyDescent="0.25">
      <c r="A1729" s="52" t="s">
        <v>312</v>
      </c>
      <c r="B1729" s="53" t="s">
        <v>8</v>
      </c>
      <c r="C1729" s="19">
        <f>SUBTOTAL(109,Program175[(C)
Program
Costs])</f>
        <v>254552570</v>
      </c>
      <c r="D1729" s="19">
        <f>SUBTOTAL(109,Program175[(D)
Prior Period Adjustments])</f>
        <v>-12643108</v>
      </c>
      <c r="E1729" s="19">
        <f>SUBTOTAL(109,Program175[(E)
Current Period Desk 
Reviews])</f>
        <v>0</v>
      </c>
      <c r="F1729" s="19">
        <f>SUBTOTAL(109,Program175[(F)
Current Period 
Final 
Audits])</f>
        <v>0</v>
      </c>
      <c r="G1729" s="19">
        <f>SUBTOTAL(109,Program175[(G)
Current Period 
Other Adjustments])</f>
        <v>-59106</v>
      </c>
      <c r="H1729" s="19">
        <f>SUBTOTAL(109,Program175[(H)
Net Program Costs
Sum (C through G)])</f>
        <v>241850356</v>
      </c>
      <c r="I1729" s="19">
        <f>SUBTOTAL(109,Program175[(I)
Payments
 and Offsets])</f>
        <v>-217279638</v>
      </c>
      <c r="J1729" s="19">
        <f>SUBTOTAL(109,Program175[(J)
Accounts Payable Balance
(H + I)])</f>
        <v>24570718</v>
      </c>
      <c r="K1729" s="19">
        <f>SUBTOTAL(109,Program175[(K)
Established 
Accounts Receivable])</f>
        <v>19030798</v>
      </c>
      <c r="L1729" s="19">
        <f>SUBTOTAL(109,Program175[(L)
Recovered
 Accounts Receivable])</f>
        <v>-19030798</v>
      </c>
      <c r="M1729" s="19">
        <f>SUBTOTAL(109,Program175[(M)
Accounts Receivable Balance
(K + L)])</f>
        <v>0</v>
      </c>
      <c r="N1729" s="19">
        <f>SUBTOTAL(109,Program175[(N)
Net Balance
(J minus M)])</f>
        <v>24570718</v>
      </c>
    </row>
    <row r="1730" spans="1:14" ht="15.75" x14ac:dyDescent="0.25">
      <c r="A1730" s="17" t="s">
        <v>13</v>
      </c>
      <c r="B1730" s="54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ht="78.75" x14ac:dyDescent="0.25">
      <c r="A1731" s="39" t="s">
        <v>32</v>
      </c>
      <c r="B1731" s="40" t="s">
        <v>33</v>
      </c>
      <c r="C1731" s="41" t="s">
        <v>34</v>
      </c>
      <c r="D1731" s="41" t="s">
        <v>35</v>
      </c>
      <c r="E1731" s="42" t="s">
        <v>36</v>
      </c>
      <c r="F1731" s="42" t="s">
        <v>37</v>
      </c>
      <c r="G1731" s="42" t="s">
        <v>38</v>
      </c>
      <c r="H1731" s="43" t="s">
        <v>39</v>
      </c>
      <c r="I1731" s="44" t="s">
        <v>40</v>
      </c>
      <c r="J1731" s="44" t="s">
        <v>41</v>
      </c>
      <c r="K1731" s="42" t="s">
        <v>42</v>
      </c>
      <c r="L1731" s="44" t="s">
        <v>43</v>
      </c>
      <c r="M1731" s="44" t="s">
        <v>44</v>
      </c>
      <c r="N1731" s="45" t="s">
        <v>45</v>
      </c>
    </row>
    <row r="1732" spans="1:14" ht="15.75" x14ac:dyDescent="0.25">
      <c r="A1732" s="46" t="s">
        <v>313</v>
      </c>
      <c r="B1732" s="47" t="s">
        <v>83</v>
      </c>
      <c r="C1732" s="48">
        <v>272130</v>
      </c>
      <c r="D1732" s="48">
        <v>-39141</v>
      </c>
      <c r="E1732" s="48">
        <v>0</v>
      </c>
      <c r="F1732" s="48">
        <v>0</v>
      </c>
      <c r="G1732" s="48">
        <v>0</v>
      </c>
      <c r="H1732" s="48">
        <v>232989</v>
      </c>
      <c r="I1732" s="48">
        <v>-232989</v>
      </c>
      <c r="J1732" s="48">
        <v>0</v>
      </c>
      <c r="K1732" s="48">
        <v>0</v>
      </c>
      <c r="L1732" s="48">
        <v>0</v>
      </c>
      <c r="M1732" s="48">
        <v>0</v>
      </c>
      <c r="N1732" s="48">
        <v>0</v>
      </c>
    </row>
    <row r="1733" spans="1:14" ht="15.75" x14ac:dyDescent="0.25">
      <c r="A1733" s="49" t="s">
        <v>313</v>
      </c>
      <c r="B1733" s="50" t="s">
        <v>48</v>
      </c>
      <c r="C1733" s="51">
        <v>286709</v>
      </c>
      <c r="D1733" s="51">
        <v>-42139</v>
      </c>
      <c r="E1733" s="51">
        <v>0</v>
      </c>
      <c r="F1733" s="51">
        <v>0</v>
      </c>
      <c r="G1733" s="51">
        <v>0</v>
      </c>
      <c r="H1733" s="51">
        <v>244570</v>
      </c>
      <c r="I1733" s="51">
        <v>-244570</v>
      </c>
      <c r="J1733" s="51">
        <v>0</v>
      </c>
      <c r="K1733" s="51">
        <v>0</v>
      </c>
      <c r="L1733" s="51">
        <v>0</v>
      </c>
      <c r="M1733" s="51">
        <v>0</v>
      </c>
      <c r="N1733" s="51">
        <v>0</v>
      </c>
    </row>
    <row r="1734" spans="1:14" ht="15.75" x14ac:dyDescent="0.25">
      <c r="A1734" s="49" t="s">
        <v>313</v>
      </c>
      <c r="B1734" s="50" t="s">
        <v>49</v>
      </c>
      <c r="C1734" s="51">
        <v>244450</v>
      </c>
      <c r="D1734" s="51">
        <v>-36665</v>
      </c>
      <c r="E1734" s="51">
        <v>0</v>
      </c>
      <c r="F1734" s="51">
        <v>0</v>
      </c>
      <c r="G1734" s="51">
        <v>0</v>
      </c>
      <c r="H1734" s="51">
        <v>207785</v>
      </c>
      <c r="I1734" s="51">
        <v>-207785</v>
      </c>
      <c r="J1734" s="51">
        <v>0</v>
      </c>
      <c r="K1734" s="51">
        <v>0</v>
      </c>
      <c r="L1734" s="51">
        <v>0</v>
      </c>
      <c r="M1734" s="51">
        <v>0</v>
      </c>
      <c r="N1734" s="51">
        <v>0</v>
      </c>
    </row>
    <row r="1735" spans="1:14" ht="15.75" x14ac:dyDescent="0.25">
      <c r="A1735" s="52" t="s">
        <v>314</v>
      </c>
      <c r="B1735" s="53" t="s">
        <v>8</v>
      </c>
      <c r="C1735" s="19">
        <f>SUBTOTAL(109,Program364[(C)
Program
Costs])</f>
        <v>803289</v>
      </c>
      <c r="D1735" s="19">
        <f>SUBTOTAL(109,Program364[(D)
Prior Period Adjustments])</f>
        <v>-117945</v>
      </c>
      <c r="E1735" s="19">
        <f>SUBTOTAL(109,Program364[(E)
Current Period Desk 
Reviews])</f>
        <v>0</v>
      </c>
      <c r="F1735" s="19">
        <f>SUBTOTAL(109,Program364[(F)
Current Period 
Final 
Audits])</f>
        <v>0</v>
      </c>
      <c r="G1735" s="19">
        <f>SUBTOTAL(109,Program364[(G)
Current Period 
Other Adjustments])</f>
        <v>0</v>
      </c>
      <c r="H1735" s="19">
        <f>SUBTOTAL(109,Program364[(H)
Net Program Costs
Sum (C through G)])</f>
        <v>685344</v>
      </c>
      <c r="I1735" s="19">
        <f>SUBTOTAL(109,Program364[(I)
Payments
 and Offsets])</f>
        <v>-685344</v>
      </c>
      <c r="J1735" s="19">
        <f>SUBTOTAL(109,Program364[(J)
Accounts Payable Balance
(H + I)])</f>
        <v>0</v>
      </c>
      <c r="K1735" s="19">
        <f>SUBTOTAL(109,Program364[(K)
Established 
Accounts Receivable])</f>
        <v>0</v>
      </c>
      <c r="L1735" s="19">
        <f>SUBTOTAL(109,Program364[(L)
Recovered
 Accounts Receivable])</f>
        <v>0</v>
      </c>
      <c r="M1735" s="19">
        <f>SUBTOTAL(109,Program364[(M)
Accounts Receivable Balance
(K + L)])</f>
        <v>0</v>
      </c>
      <c r="N1735" s="19">
        <f>SUBTOTAL(109,Program364[(N)
Net Balance
(J minus M)])</f>
        <v>0</v>
      </c>
    </row>
    <row r="1736" spans="1:14" ht="15.75" x14ac:dyDescent="0.25">
      <c r="A1736" s="17" t="s">
        <v>13</v>
      </c>
      <c r="B1736" s="54"/>
      <c r="C1736" s="55"/>
      <c r="D1736" s="55"/>
      <c r="E1736" s="55"/>
      <c r="F1736" s="55"/>
      <c r="G1736" s="55"/>
      <c r="H1736" s="55"/>
      <c r="I1736" s="55"/>
      <c r="J1736" s="55"/>
      <c r="K1736" s="55"/>
      <c r="L1736" s="55"/>
      <c r="M1736" s="55"/>
      <c r="N1736" s="55"/>
    </row>
    <row r="1737" spans="1:14" ht="78.75" x14ac:dyDescent="0.25">
      <c r="A1737" s="39" t="s">
        <v>32</v>
      </c>
      <c r="B1737" s="40" t="s">
        <v>33</v>
      </c>
      <c r="C1737" s="41" t="s">
        <v>34</v>
      </c>
      <c r="D1737" s="41" t="s">
        <v>35</v>
      </c>
      <c r="E1737" s="42" t="s">
        <v>36</v>
      </c>
      <c r="F1737" s="42" t="s">
        <v>37</v>
      </c>
      <c r="G1737" s="42" t="s">
        <v>38</v>
      </c>
      <c r="H1737" s="43" t="s">
        <v>39</v>
      </c>
      <c r="I1737" s="44" t="s">
        <v>40</v>
      </c>
      <c r="J1737" s="44" t="s">
        <v>41</v>
      </c>
      <c r="K1737" s="42" t="s">
        <v>42</v>
      </c>
      <c r="L1737" s="44" t="s">
        <v>43</v>
      </c>
      <c r="M1737" s="44" t="s">
        <v>44</v>
      </c>
      <c r="N1737" s="45" t="s">
        <v>45</v>
      </c>
    </row>
    <row r="1738" spans="1:14" ht="15.75" x14ac:dyDescent="0.25">
      <c r="A1738" s="46" t="s">
        <v>315</v>
      </c>
      <c r="B1738" s="47" t="s">
        <v>63</v>
      </c>
      <c r="C1738" s="48">
        <v>382</v>
      </c>
      <c r="D1738" s="48">
        <v>-382</v>
      </c>
      <c r="E1738" s="48">
        <v>0</v>
      </c>
      <c r="F1738" s="48">
        <v>0</v>
      </c>
      <c r="G1738" s="48">
        <v>0</v>
      </c>
      <c r="H1738" s="48">
        <v>0</v>
      </c>
      <c r="I1738" s="48">
        <v>0</v>
      </c>
      <c r="J1738" s="48">
        <v>0</v>
      </c>
      <c r="K1738" s="48">
        <v>7961</v>
      </c>
      <c r="L1738" s="48">
        <v>-7961</v>
      </c>
      <c r="M1738" s="48">
        <v>0</v>
      </c>
      <c r="N1738" s="48">
        <v>0</v>
      </c>
    </row>
    <row r="1739" spans="1:14" ht="15.75" x14ac:dyDescent="0.25">
      <c r="A1739" s="49" t="s">
        <v>315</v>
      </c>
      <c r="B1739" s="50" t="s">
        <v>64</v>
      </c>
      <c r="C1739" s="51">
        <v>8405</v>
      </c>
      <c r="D1739" s="51">
        <v>0</v>
      </c>
      <c r="E1739" s="51">
        <v>0</v>
      </c>
      <c r="F1739" s="51">
        <v>0</v>
      </c>
      <c r="G1739" s="51">
        <v>0</v>
      </c>
      <c r="H1739" s="51">
        <v>8405</v>
      </c>
      <c r="I1739" s="51">
        <v>-8405</v>
      </c>
      <c r="J1739" s="51">
        <v>0</v>
      </c>
      <c r="K1739" s="51">
        <v>0</v>
      </c>
      <c r="L1739" s="51">
        <v>0</v>
      </c>
      <c r="M1739" s="51">
        <v>0</v>
      </c>
      <c r="N1739" s="51">
        <v>0</v>
      </c>
    </row>
    <row r="1740" spans="1:14" ht="15.75" x14ac:dyDescent="0.25">
      <c r="A1740" s="49" t="s">
        <v>315</v>
      </c>
      <c r="B1740" s="50" t="s">
        <v>65</v>
      </c>
      <c r="C1740" s="51">
        <v>250</v>
      </c>
      <c r="D1740" s="51">
        <v>0</v>
      </c>
      <c r="E1740" s="51">
        <v>0</v>
      </c>
      <c r="F1740" s="51">
        <v>0</v>
      </c>
      <c r="G1740" s="51">
        <v>0</v>
      </c>
      <c r="H1740" s="51">
        <v>250</v>
      </c>
      <c r="I1740" s="51">
        <v>-250</v>
      </c>
      <c r="J1740" s="51">
        <v>0</v>
      </c>
      <c r="K1740" s="51">
        <v>0</v>
      </c>
      <c r="L1740" s="51">
        <v>0</v>
      </c>
      <c r="M1740" s="51">
        <v>0</v>
      </c>
      <c r="N1740" s="51">
        <v>0</v>
      </c>
    </row>
    <row r="1741" spans="1:14" ht="15.75" x14ac:dyDescent="0.25">
      <c r="A1741" s="49" t="s">
        <v>315</v>
      </c>
      <c r="B1741" s="50" t="s">
        <v>66</v>
      </c>
      <c r="C1741" s="51">
        <v>601</v>
      </c>
      <c r="D1741" s="51">
        <v>0</v>
      </c>
      <c r="E1741" s="51">
        <v>0</v>
      </c>
      <c r="F1741" s="51">
        <v>0</v>
      </c>
      <c r="G1741" s="51">
        <v>0</v>
      </c>
      <c r="H1741" s="51">
        <v>601</v>
      </c>
      <c r="I1741" s="51">
        <v>-601</v>
      </c>
      <c r="J1741" s="51">
        <v>0</v>
      </c>
      <c r="K1741" s="51">
        <v>0</v>
      </c>
      <c r="L1741" s="51">
        <v>0</v>
      </c>
      <c r="M1741" s="51">
        <v>0</v>
      </c>
      <c r="N1741" s="51">
        <v>0</v>
      </c>
    </row>
    <row r="1742" spans="1:14" ht="15.75" x14ac:dyDescent="0.25">
      <c r="A1742" s="49" t="s">
        <v>315</v>
      </c>
      <c r="B1742" s="50" t="s">
        <v>67</v>
      </c>
      <c r="C1742" s="51">
        <v>247</v>
      </c>
      <c r="D1742" s="51">
        <v>0</v>
      </c>
      <c r="E1742" s="51">
        <v>0</v>
      </c>
      <c r="F1742" s="51">
        <v>0</v>
      </c>
      <c r="G1742" s="51">
        <v>0</v>
      </c>
      <c r="H1742" s="51">
        <v>247</v>
      </c>
      <c r="I1742" s="51">
        <v>-247</v>
      </c>
      <c r="J1742" s="51">
        <v>0</v>
      </c>
      <c r="K1742" s="51">
        <v>0</v>
      </c>
      <c r="L1742" s="51">
        <v>0</v>
      </c>
      <c r="M1742" s="51">
        <v>0</v>
      </c>
      <c r="N1742" s="51">
        <v>0</v>
      </c>
    </row>
    <row r="1743" spans="1:14" ht="15.75" x14ac:dyDescent="0.25">
      <c r="A1743" s="52" t="s">
        <v>316</v>
      </c>
      <c r="B1743" s="53" t="s">
        <v>8</v>
      </c>
      <c r="C1743" s="19">
        <f>SUBTOTAL(109,Program086[(C)
Program
Costs])</f>
        <v>9885</v>
      </c>
      <c r="D1743" s="19">
        <f>SUBTOTAL(109,Program086[(D)
Prior Period Adjustments])</f>
        <v>-382</v>
      </c>
      <c r="E1743" s="19">
        <f>SUBTOTAL(109,Program086[(E)
Current Period Desk 
Reviews])</f>
        <v>0</v>
      </c>
      <c r="F1743" s="19">
        <f>SUBTOTAL(109,Program086[(F)
Current Period 
Final 
Audits])</f>
        <v>0</v>
      </c>
      <c r="G1743" s="19">
        <f>SUBTOTAL(109,Program086[(G)
Current Period 
Other Adjustments])</f>
        <v>0</v>
      </c>
      <c r="H1743" s="19">
        <f>SUBTOTAL(109,Program086[(H)
Net Program Costs
Sum (C through G)])</f>
        <v>9503</v>
      </c>
      <c r="I1743" s="19">
        <f>SUBTOTAL(109,Program086[(I)
Payments
 and Offsets])</f>
        <v>-9503</v>
      </c>
      <c r="J1743" s="19">
        <f>SUBTOTAL(109,Program086[(J)
Accounts Payable Balance
(H + I)])</f>
        <v>0</v>
      </c>
      <c r="K1743" s="19">
        <f>SUBTOTAL(109,Program086[(K)
Established 
Accounts Receivable])</f>
        <v>7961</v>
      </c>
      <c r="L1743" s="19">
        <f>SUBTOTAL(109,Program086[(L)
Recovered
 Accounts Receivable])</f>
        <v>-7961</v>
      </c>
      <c r="M1743" s="19">
        <f>SUBTOTAL(109,Program086[(M)
Accounts Receivable Balance
(K + L)])</f>
        <v>0</v>
      </c>
      <c r="N1743" s="19">
        <f>SUBTOTAL(109,Program086[(N)
Net Balance
(J minus M)])</f>
        <v>0</v>
      </c>
    </row>
    <row r="1744" spans="1:14" ht="15.75" x14ac:dyDescent="0.25">
      <c r="A1744" s="17" t="s">
        <v>13</v>
      </c>
      <c r="B1744" s="54"/>
      <c r="C1744" s="55"/>
      <c r="D1744" s="55"/>
      <c r="E1744" s="55"/>
      <c r="F1744" s="55"/>
      <c r="G1744" s="55"/>
      <c r="H1744" s="55"/>
      <c r="I1744" s="55"/>
      <c r="J1744" s="55"/>
      <c r="K1744" s="55"/>
      <c r="L1744" s="55"/>
      <c r="M1744" s="55"/>
      <c r="N1744" s="55"/>
    </row>
    <row r="1745" spans="1:14" ht="78.75" x14ac:dyDescent="0.25">
      <c r="A1745" s="39" t="s">
        <v>32</v>
      </c>
      <c r="B1745" s="40" t="s">
        <v>33</v>
      </c>
      <c r="C1745" s="41" t="s">
        <v>34</v>
      </c>
      <c r="D1745" s="41" t="s">
        <v>35</v>
      </c>
      <c r="E1745" s="42" t="s">
        <v>36</v>
      </c>
      <c r="F1745" s="42" t="s">
        <v>37</v>
      </c>
      <c r="G1745" s="42" t="s">
        <v>38</v>
      </c>
      <c r="H1745" s="43" t="s">
        <v>39</v>
      </c>
      <c r="I1745" s="44" t="s">
        <v>40</v>
      </c>
      <c r="J1745" s="44" t="s">
        <v>41</v>
      </c>
      <c r="K1745" s="42" t="s">
        <v>42</v>
      </c>
      <c r="L1745" s="44" t="s">
        <v>43</v>
      </c>
      <c r="M1745" s="44" t="s">
        <v>44</v>
      </c>
      <c r="N1745" s="45" t="s">
        <v>45</v>
      </c>
    </row>
    <row r="1746" spans="1:14" ht="15.75" x14ac:dyDescent="0.25">
      <c r="A1746" s="46" t="s">
        <v>317</v>
      </c>
      <c r="B1746" s="47" t="s">
        <v>56</v>
      </c>
      <c r="C1746" s="48">
        <v>63176</v>
      </c>
      <c r="D1746" s="48">
        <v>0</v>
      </c>
      <c r="E1746" s="48">
        <v>0</v>
      </c>
      <c r="F1746" s="48">
        <v>0</v>
      </c>
      <c r="G1746" s="48">
        <v>0</v>
      </c>
      <c r="H1746" s="48">
        <v>63176</v>
      </c>
      <c r="I1746" s="48">
        <v>-63176</v>
      </c>
      <c r="J1746" s="48">
        <v>0</v>
      </c>
      <c r="K1746" s="48">
        <v>0</v>
      </c>
      <c r="L1746" s="48">
        <v>0</v>
      </c>
      <c r="M1746" s="48">
        <v>0</v>
      </c>
      <c r="N1746" s="48">
        <v>0</v>
      </c>
    </row>
    <row r="1747" spans="1:14" ht="15.75" x14ac:dyDescent="0.25">
      <c r="A1747" s="49" t="s">
        <v>317</v>
      </c>
      <c r="B1747" s="50" t="s">
        <v>57</v>
      </c>
      <c r="C1747" s="51">
        <v>112778</v>
      </c>
      <c r="D1747" s="51">
        <v>-7722</v>
      </c>
      <c r="E1747" s="51">
        <v>0</v>
      </c>
      <c r="F1747" s="51">
        <v>0</v>
      </c>
      <c r="G1747" s="51">
        <v>0</v>
      </c>
      <c r="H1747" s="51">
        <v>105056</v>
      </c>
      <c r="I1747" s="51">
        <v>-105056</v>
      </c>
      <c r="J1747" s="51">
        <v>0</v>
      </c>
      <c r="K1747" s="51">
        <v>4175</v>
      </c>
      <c r="L1747" s="51">
        <v>-4175</v>
      </c>
      <c r="M1747" s="51">
        <v>0</v>
      </c>
      <c r="N1747" s="51">
        <v>0</v>
      </c>
    </row>
    <row r="1748" spans="1:14" ht="15.75" x14ac:dyDescent="0.25">
      <c r="A1748" s="49" t="s">
        <v>317</v>
      </c>
      <c r="B1748" s="50" t="s">
        <v>58</v>
      </c>
      <c r="C1748" s="51">
        <v>118895</v>
      </c>
      <c r="D1748" s="51">
        <v>-1516</v>
      </c>
      <c r="E1748" s="51">
        <v>0</v>
      </c>
      <c r="F1748" s="51">
        <v>0</v>
      </c>
      <c r="G1748" s="51">
        <v>0</v>
      </c>
      <c r="H1748" s="51">
        <v>117379</v>
      </c>
      <c r="I1748" s="51">
        <v>-117379</v>
      </c>
      <c r="J1748" s="51">
        <v>0</v>
      </c>
      <c r="K1748" s="51">
        <v>5568</v>
      </c>
      <c r="L1748" s="51">
        <v>-5568</v>
      </c>
      <c r="M1748" s="51">
        <v>0</v>
      </c>
      <c r="N1748" s="51">
        <v>0</v>
      </c>
    </row>
    <row r="1749" spans="1:14" ht="15.75" x14ac:dyDescent="0.25">
      <c r="A1749" s="49" t="s">
        <v>317</v>
      </c>
      <c r="B1749" s="50" t="s">
        <v>59</v>
      </c>
      <c r="C1749" s="51">
        <v>106240</v>
      </c>
      <c r="D1749" s="51">
        <v>-581</v>
      </c>
      <c r="E1749" s="51">
        <v>0</v>
      </c>
      <c r="F1749" s="51">
        <v>0</v>
      </c>
      <c r="G1749" s="51">
        <v>0</v>
      </c>
      <c r="H1749" s="51">
        <v>105659</v>
      </c>
      <c r="I1749" s="51">
        <v>-105659</v>
      </c>
      <c r="J1749" s="51">
        <v>0</v>
      </c>
      <c r="K1749" s="51">
        <v>14707</v>
      </c>
      <c r="L1749" s="51">
        <v>-13726</v>
      </c>
      <c r="M1749" s="51">
        <v>981</v>
      </c>
      <c r="N1749" s="51">
        <v>-981</v>
      </c>
    </row>
    <row r="1750" spans="1:14" ht="15.75" x14ac:dyDescent="0.25">
      <c r="A1750" s="49" t="s">
        <v>317</v>
      </c>
      <c r="B1750" s="50" t="s">
        <v>60</v>
      </c>
      <c r="C1750" s="51">
        <v>205606</v>
      </c>
      <c r="D1750" s="51">
        <v>-1397</v>
      </c>
      <c r="E1750" s="51">
        <v>0</v>
      </c>
      <c r="F1750" s="51">
        <v>0</v>
      </c>
      <c r="G1750" s="51">
        <v>0</v>
      </c>
      <c r="H1750" s="51">
        <v>204209</v>
      </c>
      <c r="I1750" s="51">
        <v>-204209</v>
      </c>
      <c r="J1750" s="51">
        <v>0</v>
      </c>
      <c r="K1750" s="51">
        <v>0</v>
      </c>
      <c r="L1750" s="51">
        <v>0</v>
      </c>
      <c r="M1750" s="51">
        <v>0</v>
      </c>
      <c r="N1750" s="51">
        <v>0</v>
      </c>
    </row>
    <row r="1751" spans="1:14" ht="15.75" x14ac:dyDescent="0.25">
      <c r="A1751" s="49" t="s">
        <v>317</v>
      </c>
      <c r="B1751" s="50" t="s">
        <v>61</v>
      </c>
      <c r="C1751" s="51">
        <v>78433</v>
      </c>
      <c r="D1751" s="51">
        <v>-299</v>
      </c>
      <c r="E1751" s="51">
        <v>0</v>
      </c>
      <c r="F1751" s="51">
        <v>0</v>
      </c>
      <c r="G1751" s="51">
        <v>0</v>
      </c>
      <c r="H1751" s="51">
        <v>78134</v>
      </c>
      <c r="I1751" s="51">
        <v>-78134</v>
      </c>
      <c r="J1751" s="51">
        <v>0</v>
      </c>
      <c r="K1751" s="51">
        <v>0</v>
      </c>
      <c r="L1751" s="51">
        <v>0</v>
      </c>
      <c r="M1751" s="51">
        <v>0</v>
      </c>
      <c r="N1751" s="51">
        <v>0</v>
      </c>
    </row>
    <row r="1752" spans="1:14" ht="15.75" x14ac:dyDescent="0.25">
      <c r="A1752" s="49" t="s">
        <v>317</v>
      </c>
      <c r="B1752" s="50" t="s">
        <v>62</v>
      </c>
      <c r="C1752" s="51">
        <v>56005</v>
      </c>
      <c r="D1752" s="51">
        <v>-332</v>
      </c>
      <c r="E1752" s="51">
        <v>0</v>
      </c>
      <c r="F1752" s="51">
        <v>0</v>
      </c>
      <c r="G1752" s="51">
        <v>0</v>
      </c>
      <c r="H1752" s="51">
        <v>55673</v>
      </c>
      <c r="I1752" s="51">
        <v>-55673</v>
      </c>
      <c r="J1752" s="51">
        <v>0</v>
      </c>
      <c r="K1752" s="51">
        <v>0</v>
      </c>
      <c r="L1752" s="51">
        <v>0</v>
      </c>
      <c r="M1752" s="51">
        <v>0</v>
      </c>
      <c r="N1752" s="51">
        <v>0</v>
      </c>
    </row>
    <row r="1753" spans="1:14" ht="15.75" x14ac:dyDescent="0.25">
      <c r="A1753" s="49" t="s">
        <v>317</v>
      </c>
      <c r="B1753" s="50" t="s">
        <v>63</v>
      </c>
      <c r="C1753" s="51">
        <v>123697</v>
      </c>
      <c r="D1753" s="51">
        <v>-380</v>
      </c>
      <c r="E1753" s="51">
        <v>0</v>
      </c>
      <c r="F1753" s="51">
        <v>0</v>
      </c>
      <c r="G1753" s="51">
        <v>0</v>
      </c>
      <c r="H1753" s="51">
        <v>123317</v>
      </c>
      <c r="I1753" s="51">
        <v>-123317</v>
      </c>
      <c r="J1753" s="51">
        <v>0</v>
      </c>
      <c r="K1753" s="51">
        <v>1171</v>
      </c>
      <c r="L1753" s="51">
        <v>-1171</v>
      </c>
      <c r="M1753" s="51">
        <v>0</v>
      </c>
      <c r="N1753" s="51">
        <v>0</v>
      </c>
    </row>
    <row r="1754" spans="1:14" ht="15.75" x14ac:dyDescent="0.25">
      <c r="A1754" s="49" t="s">
        <v>317</v>
      </c>
      <c r="B1754" s="50" t="s">
        <v>64</v>
      </c>
      <c r="C1754" s="51">
        <v>58551</v>
      </c>
      <c r="D1754" s="51">
        <v>-388</v>
      </c>
      <c r="E1754" s="51">
        <v>0</v>
      </c>
      <c r="F1754" s="51">
        <v>0</v>
      </c>
      <c r="G1754" s="51">
        <v>0</v>
      </c>
      <c r="H1754" s="51">
        <v>58163</v>
      </c>
      <c r="I1754" s="51">
        <v>-58163</v>
      </c>
      <c r="J1754" s="51">
        <v>0</v>
      </c>
      <c r="K1754" s="51">
        <v>0</v>
      </c>
      <c r="L1754" s="51">
        <v>0</v>
      </c>
      <c r="M1754" s="51">
        <v>0</v>
      </c>
      <c r="N1754" s="51">
        <v>0</v>
      </c>
    </row>
    <row r="1755" spans="1:14" ht="15.75" x14ac:dyDescent="0.25">
      <c r="A1755" s="49" t="s">
        <v>317</v>
      </c>
      <c r="B1755" s="50" t="s">
        <v>65</v>
      </c>
      <c r="C1755" s="51">
        <v>141555</v>
      </c>
      <c r="D1755" s="51">
        <v>-1263</v>
      </c>
      <c r="E1755" s="51">
        <v>0</v>
      </c>
      <c r="F1755" s="51">
        <v>0</v>
      </c>
      <c r="G1755" s="51">
        <v>0</v>
      </c>
      <c r="H1755" s="51">
        <v>140292</v>
      </c>
      <c r="I1755" s="51">
        <v>-140292</v>
      </c>
      <c r="J1755" s="51">
        <v>0</v>
      </c>
      <c r="K1755" s="51">
        <v>0</v>
      </c>
      <c r="L1755" s="51">
        <v>0</v>
      </c>
      <c r="M1755" s="51">
        <v>0</v>
      </c>
      <c r="N1755" s="51">
        <v>0</v>
      </c>
    </row>
    <row r="1756" spans="1:14" ht="15.75" x14ac:dyDescent="0.25">
      <c r="A1756" s="49" t="s">
        <v>317</v>
      </c>
      <c r="B1756" s="50" t="s">
        <v>66</v>
      </c>
      <c r="C1756" s="51">
        <v>102601</v>
      </c>
      <c r="D1756" s="51">
        <v>-797</v>
      </c>
      <c r="E1756" s="51">
        <v>0</v>
      </c>
      <c r="F1756" s="51">
        <v>0</v>
      </c>
      <c r="G1756" s="51">
        <v>0</v>
      </c>
      <c r="H1756" s="51">
        <v>101804</v>
      </c>
      <c r="I1756" s="51">
        <v>-101804</v>
      </c>
      <c r="J1756" s="51">
        <v>0</v>
      </c>
      <c r="K1756" s="51">
        <v>0</v>
      </c>
      <c r="L1756" s="51">
        <v>0</v>
      </c>
      <c r="M1756" s="51">
        <v>0</v>
      </c>
      <c r="N1756" s="51">
        <v>0</v>
      </c>
    </row>
    <row r="1757" spans="1:14" ht="15.75" x14ac:dyDescent="0.25">
      <c r="A1757" s="49" t="s">
        <v>317</v>
      </c>
      <c r="B1757" s="50" t="s">
        <v>67</v>
      </c>
      <c r="C1757" s="51">
        <v>339769</v>
      </c>
      <c r="D1757" s="51">
        <v>-1358</v>
      </c>
      <c r="E1757" s="51">
        <v>0</v>
      </c>
      <c r="F1757" s="51">
        <v>0</v>
      </c>
      <c r="G1757" s="51">
        <v>0</v>
      </c>
      <c r="H1757" s="51">
        <v>338411</v>
      </c>
      <c r="I1757" s="51">
        <v>-338411</v>
      </c>
      <c r="J1757" s="51">
        <v>0</v>
      </c>
      <c r="K1757" s="51">
        <v>0</v>
      </c>
      <c r="L1757" s="51">
        <v>0</v>
      </c>
      <c r="M1757" s="51">
        <v>0</v>
      </c>
      <c r="N1757" s="51">
        <v>0</v>
      </c>
    </row>
    <row r="1758" spans="1:14" ht="15.75" x14ac:dyDescent="0.25">
      <c r="A1758" s="49" t="s">
        <v>317</v>
      </c>
      <c r="B1758" s="50" t="s">
        <v>68</v>
      </c>
      <c r="C1758" s="51">
        <v>340168</v>
      </c>
      <c r="D1758" s="51">
        <v>-863</v>
      </c>
      <c r="E1758" s="51">
        <v>0</v>
      </c>
      <c r="F1758" s="51">
        <v>0</v>
      </c>
      <c r="G1758" s="51">
        <v>0</v>
      </c>
      <c r="H1758" s="51">
        <v>339305</v>
      </c>
      <c r="I1758" s="51">
        <v>-339305</v>
      </c>
      <c r="J1758" s="51">
        <v>0</v>
      </c>
      <c r="K1758" s="51">
        <v>0</v>
      </c>
      <c r="L1758" s="51">
        <v>0</v>
      </c>
      <c r="M1758" s="51">
        <v>0</v>
      </c>
      <c r="N1758" s="51">
        <v>0</v>
      </c>
    </row>
    <row r="1759" spans="1:14" ht="15.75" x14ac:dyDescent="0.25">
      <c r="A1759" s="52" t="s">
        <v>318</v>
      </c>
      <c r="B1759" s="53" t="s">
        <v>8</v>
      </c>
      <c r="C1759" s="19">
        <f>SUBTOTAL(109,Program180[(C)
Program
Costs])</f>
        <v>1847474</v>
      </c>
      <c r="D1759" s="19">
        <f>SUBTOTAL(109,Program180[(D)
Prior Period Adjustments])</f>
        <v>-16896</v>
      </c>
      <c r="E1759" s="19">
        <f>SUBTOTAL(109,Program180[(E)
Current Period Desk 
Reviews])</f>
        <v>0</v>
      </c>
      <c r="F1759" s="19">
        <f>SUBTOTAL(109,Program180[(F)
Current Period 
Final 
Audits])</f>
        <v>0</v>
      </c>
      <c r="G1759" s="19">
        <f>SUBTOTAL(109,Program180[(G)
Current Period 
Other Adjustments])</f>
        <v>0</v>
      </c>
      <c r="H1759" s="19">
        <f>SUBTOTAL(109,Program180[(H)
Net Program Costs
Sum (C through G)])</f>
        <v>1830578</v>
      </c>
      <c r="I1759" s="19">
        <f>SUBTOTAL(109,Program180[(I)
Payments
 and Offsets])</f>
        <v>-1830578</v>
      </c>
      <c r="J1759" s="19">
        <f>SUBTOTAL(109,Program180[(J)
Accounts Payable Balance
(H + I)])</f>
        <v>0</v>
      </c>
      <c r="K1759" s="19">
        <f>SUBTOTAL(109,Program180[(K)
Established 
Accounts Receivable])</f>
        <v>25621</v>
      </c>
      <c r="L1759" s="19">
        <f>SUBTOTAL(109,Program180[(L)
Recovered
 Accounts Receivable])</f>
        <v>-24640</v>
      </c>
      <c r="M1759" s="19">
        <f>SUBTOTAL(109,Program180[(M)
Accounts Receivable Balance
(K + L)])</f>
        <v>981</v>
      </c>
      <c r="N1759" s="19">
        <f>SUBTOTAL(109,Program180[(N)
Net Balance
(J minus M)])</f>
        <v>-981</v>
      </c>
    </row>
    <row r="1760" spans="1:14" ht="15.75" x14ac:dyDescent="0.25">
      <c r="A1760" s="17" t="s">
        <v>13</v>
      </c>
      <c r="B1760" s="54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78.75" x14ac:dyDescent="0.25">
      <c r="A1761" s="39" t="s">
        <v>32</v>
      </c>
      <c r="B1761" s="40" t="s">
        <v>33</v>
      </c>
      <c r="C1761" s="41" t="s">
        <v>34</v>
      </c>
      <c r="D1761" s="41" t="s">
        <v>35</v>
      </c>
      <c r="E1761" s="42" t="s">
        <v>36</v>
      </c>
      <c r="F1761" s="42" t="s">
        <v>37</v>
      </c>
      <c r="G1761" s="42" t="s">
        <v>38</v>
      </c>
      <c r="H1761" s="43" t="s">
        <v>39</v>
      </c>
      <c r="I1761" s="44" t="s">
        <v>40</v>
      </c>
      <c r="J1761" s="44" t="s">
        <v>41</v>
      </c>
      <c r="K1761" s="42" t="s">
        <v>42</v>
      </c>
      <c r="L1761" s="44" t="s">
        <v>43</v>
      </c>
      <c r="M1761" s="44" t="s">
        <v>44</v>
      </c>
      <c r="N1761" s="45" t="s">
        <v>45</v>
      </c>
    </row>
    <row r="1762" spans="1:14" ht="15.75" x14ac:dyDescent="0.25">
      <c r="A1762" s="46" t="s">
        <v>319</v>
      </c>
      <c r="B1762" s="47" t="s">
        <v>55</v>
      </c>
      <c r="C1762" s="48">
        <v>371743</v>
      </c>
      <c r="D1762" s="48">
        <v>-371743</v>
      </c>
      <c r="E1762" s="48">
        <v>0</v>
      </c>
      <c r="F1762" s="48">
        <v>0</v>
      </c>
      <c r="G1762" s="48">
        <v>0</v>
      </c>
      <c r="H1762" s="48">
        <v>0</v>
      </c>
      <c r="I1762" s="48">
        <v>0</v>
      </c>
      <c r="J1762" s="48">
        <v>0</v>
      </c>
      <c r="K1762" s="48">
        <v>0</v>
      </c>
      <c r="L1762" s="48">
        <v>0</v>
      </c>
      <c r="M1762" s="48">
        <v>0</v>
      </c>
      <c r="N1762" s="48">
        <v>0</v>
      </c>
    </row>
    <row r="1763" spans="1:14" ht="15.75" x14ac:dyDescent="0.25">
      <c r="A1763" s="49" t="s">
        <v>319</v>
      </c>
      <c r="B1763" s="50" t="s">
        <v>56</v>
      </c>
      <c r="C1763" s="51">
        <v>629852</v>
      </c>
      <c r="D1763" s="51">
        <v>0</v>
      </c>
      <c r="E1763" s="51">
        <v>0</v>
      </c>
      <c r="F1763" s="51">
        <v>0</v>
      </c>
      <c r="G1763" s="51">
        <v>0</v>
      </c>
      <c r="H1763" s="51">
        <v>629852</v>
      </c>
      <c r="I1763" s="51">
        <v>-629852</v>
      </c>
      <c r="J1763" s="51">
        <v>0</v>
      </c>
      <c r="K1763" s="51">
        <v>49</v>
      </c>
      <c r="L1763" s="51">
        <v>-49</v>
      </c>
      <c r="M1763" s="51">
        <v>0</v>
      </c>
      <c r="N1763" s="51">
        <v>0</v>
      </c>
    </row>
    <row r="1764" spans="1:14" ht="15.75" x14ac:dyDescent="0.25">
      <c r="A1764" s="49" t="s">
        <v>319</v>
      </c>
      <c r="B1764" s="50" t="s">
        <v>57</v>
      </c>
      <c r="C1764" s="51">
        <v>848489</v>
      </c>
      <c r="D1764" s="51">
        <v>-2786</v>
      </c>
      <c r="E1764" s="51">
        <v>0</v>
      </c>
      <c r="F1764" s="51">
        <v>0</v>
      </c>
      <c r="G1764" s="51">
        <v>0</v>
      </c>
      <c r="H1764" s="51">
        <v>845703</v>
      </c>
      <c r="I1764" s="51">
        <v>-845703</v>
      </c>
      <c r="J1764" s="51">
        <v>0</v>
      </c>
      <c r="K1764" s="51">
        <v>12560</v>
      </c>
      <c r="L1764" s="51">
        <v>-12560</v>
      </c>
      <c r="M1764" s="51">
        <v>0</v>
      </c>
      <c r="N1764" s="51">
        <v>0</v>
      </c>
    </row>
    <row r="1765" spans="1:14" ht="15.75" x14ac:dyDescent="0.25">
      <c r="A1765" s="49" t="s">
        <v>319</v>
      </c>
      <c r="B1765" s="50" t="s">
        <v>58</v>
      </c>
      <c r="C1765" s="51">
        <v>789515</v>
      </c>
      <c r="D1765" s="51">
        <v>-1335</v>
      </c>
      <c r="E1765" s="51">
        <v>0</v>
      </c>
      <c r="F1765" s="51">
        <v>0</v>
      </c>
      <c r="G1765" s="51">
        <v>0</v>
      </c>
      <c r="H1765" s="51">
        <v>788180</v>
      </c>
      <c r="I1765" s="51">
        <v>-788180</v>
      </c>
      <c r="J1765" s="51">
        <v>0</v>
      </c>
      <c r="K1765" s="51">
        <v>30139</v>
      </c>
      <c r="L1765" s="51">
        <v>-30139</v>
      </c>
      <c r="M1765" s="51">
        <v>0</v>
      </c>
      <c r="N1765" s="51">
        <v>0</v>
      </c>
    </row>
    <row r="1766" spans="1:14" ht="15.75" x14ac:dyDescent="0.25">
      <c r="A1766" s="49" t="s">
        <v>319</v>
      </c>
      <c r="B1766" s="50" t="s">
        <v>59</v>
      </c>
      <c r="C1766" s="51">
        <v>838687</v>
      </c>
      <c r="D1766" s="51">
        <v>-3858</v>
      </c>
      <c r="E1766" s="51">
        <v>0</v>
      </c>
      <c r="F1766" s="51">
        <v>0</v>
      </c>
      <c r="G1766" s="51">
        <v>0</v>
      </c>
      <c r="H1766" s="51">
        <v>834829</v>
      </c>
      <c r="I1766" s="51">
        <v>-834829</v>
      </c>
      <c r="J1766" s="51">
        <v>0</v>
      </c>
      <c r="K1766" s="51">
        <v>46589</v>
      </c>
      <c r="L1766" s="51">
        <v>-46589</v>
      </c>
      <c r="M1766" s="51">
        <v>0</v>
      </c>
      <c r="N1766" s="51">
        <v>0</v>
      </c>
    </row>
    <row r="1767" spans="1:14" ht="15.75" x14ac:dyDescent="0.25">
      <c r="A1767" s="49" t="s">
        <v>319</v>
      </c>
      <c r="B1767" s="50" t="s">
        <v>60</v>
      </c>
      <c r="C1767" s="51">
        <v>823832</v>
      </c>
      <c r="D1767" s="51">
        <v>-785</v>
      </c>
      <c r="E1767" s="51">
        <v>0</v>
      </c>
      <c r="F1767" s="51">
        <v>0</v>
      </c>
      <c r="G1767" s="51">
        <v>0</v>
      </c>
      <c r="H1767" s="51">
        <v>823047</v>
      </c>
      <c r="I1767" s="51">
        <v>-823047</v>
      </c>
      <c r="J1767" s="51">
        <v>0</v>
      </c>
      <c r="K1767" s="51">
        <v>37046</v>
      </c>
      <c r="L1767" s="51">
        <v>-37046</v>
      </c>
      <c r="M1767" s="51">
        <v>0</v>
      </c>
      <c r="N1767" s="51">
        <v>0</v>
      </c>
    </row>
    <row r="1768" spans="1:14" ht="15.75" x14ac:dyDescent="0.25">
      <c r="A1768" s="49" t="s">
        <v>319</v>
      </c>
      <c r="B1768" s="50" t="s">
        <v>61</v>
      </c>
      <c r="C1768" s="51">
        <v>707061</v>
      </c>
      <c r="D1768" s="51">
        <v>-30554</v>
      </c>
      <c r="E1768" s="51">
        <v>0</v>
      </c>
      <c r="F1768" s="51">
        <v>0</v>
      </c>
      <c r="G1768" s="51">
        <v>0</v>
      </c>
      <c r="H1768" s="51">
        <v>676507</v>
      </c>
      <c r="I1768" s="51">
        <v>-676507</v>
      </c>
      <c r="J1768" s="51">
        <v>0</v>
      </c>
      <c r="K1768" s="51">
        <v>70067</v>
      </c>
      <c r="L1768" s="51">
        <v>-70067</v>
      </c>
      <c r="M1768" s="51">
        <v>0</v>
      </c>
      <c r="N1768" s="51">
        <v>0</v>
      </c>
    </row>
    <row r="1769" spans="1:14" ht="15.75" x14ac:dyDescent="0.25">
      <c r="A1769" s="49" t="s">
        <v>319</v>
      </c>
      <c r="B1769" s="50" t="s">
        <v>62</v>
      </c>
      <c r="C1769" s="51">
        <v>715145</v>
      </c>
      <c r="D1769" s="51">
        <v>-2000</v>
      </c>
      <c r="E1769" s="51">
        <v>0</v>
      </c>
      <c r="F1769" s="51">
        <v>0</v>
      </c>
      <c r="G1769" s="51">
        <v>0</v>
      </c>
      <c r="H1769" s="51">
        <v>713145</v>
      </c>
      <c r="I1769" s="51">
        <v>-713145</v>
      </c>
      <c r="J1769" s="51">
        <v>0</v>
      </c>
      <c r="K1769" s="51">
        <v>221949</v>
      </c>
      <c r="L1769" s="51">
        <v>-221949</v>
      </c>
      <c r="M1769" s="51">
        <v>0</v>
      </c>
      <c r="N1769" s="51">
        <v>0</v>
      </c>
    </row>
    <row r="1770" spans="1:14" ht="15.75" x14ac:dyDescent="0.25">
      <c r="A1770" s="49" t="s">
        <v>319</v>
      </c>
      <c r="B1770" s="50" t="s">
        <v>63</v>
      </c>
      <c r="C1770" s="51">
        <v>919998</v>
      </c>
      <c r="D1770" s="51">
        <v>-45448</v>
      </c>
      <c r="E1770" s="51">
        <v>0</v>
      </c>
      <c r="F1770" s="51">
        <v>0</v>
      </c>
      <c r="G1770" s="51">
        <v>0</v>
      </c>
      <c r="H1770" s="51">
        <v>874550</v>
      </c>
      <c r="I1770" s="51">
        <v>-874550</v>
      </c>
      <c r="J1770" s="51">
        <v>0</v>
      </c>
      <c r="K1770" s="51">
        <v>145747</v>
      </c>
      <c r="L1770" s="51">
        <v>-145747</v>
      </c>
      <c r="M1770" s="51">
        <v>0</v>
      </c>
      <c r="N1770" s="51">
        <v>0</v>
      </c>
    </row>
    <row r="1771" spans="1:14" ht="15.75" x14ac:dyDescent="0.25">
      <c r="A1771" s="49" t="s">
        <v>319</v>
      </c>
      <c r="B1771" s="50" t="s">
        <v>64</v>
      </c>
      <c r="C1771" s="51">
        <v>952226</v>
      </c>
      <c r="D1771" s="51">
        <v>0</v>
      </c>
      <c r="E1771" s="51">
        <v>0</v>
      </c>
      <c r="F1771" s="51">
        <v>0</v>
      </c>
      <c r="G1771" s="51">
        <v>0</v>
      </c>
      <c r="H1771" s="51">
        <v>952226</v>
      </c>
      <c r="I1771" s="51">
        <v>-952226</v>
      </c>
      <c r="J1771" s="51">
        <v>0</v>
      </c>
      <c r="K1771" s="51">
        <v>43215</v>
      </c>
      <c r="L1771" s="51">
        <v>-43215</v>
      </c>
      <c r="M1771" s="51">
        <v>0</v>
      </c>
      <c r="N1771" s="51">
        <v>0</v>
      </c>
    </row>
    <row r="1772" spans="1:14" ht="15.75" x14ac:dyDescent="0.25">
      <c r="A1772" s="49" t="s">
        <v>319</v>
      </c>
      <c r="B1772" s="50" t="s">
        <v>65</v>
      </c>
      <c r="C1772" s="51">
        <v>979160</v>
      </c>
      <c r="D1772" s="51">
        <v>-1724</v>
      </c>
      <c r="E1772" s="51">
        <v>0</v>
      </c>
      <c r="F1772" s="51">
        <v>0</v>
      </c>
      <c r="G1772" s="51">
        <v>0</v>
      </c>
      <c r="H1772" s="51">
        <v>977436</v>
      </c>
      <c r="I1772" s="51">
        <v>-977436</v>
      </c>
      <c r="J1772" s="51">
        <v>0</v>
      </c>
      <c r="K1772" s="51">
        <v>83687</v>
      </c>
      <c r="L1772" s="51">
        <v>-83687</v>
      </c>
      <c r="M1772" s="51">
        <v>0</v>
      </c>
      <c r="N1772" s="51">
        <v>0</v>
      </c>
    </row>
    <row r="1773" spans="1:14" ht="15.75" x14ac:dyDescent="0.25">
      <c r="A1773" s="49" t="s">
        <v>319</v>
      </c>
      <c r="B1773" s="50" t="s">
        <v>66</v>
      </c>
      <c r="C1773" s="51">
        <v>900844</v>
      </c>
      <c r="D1773" s="51">
        <v>-2322</v>
      </c>
      <c r="E1773" s="51">
        <v>0</v>
      </c>
      <c r="F1773" s="51">
        <v>0</v>
      </c>
      <c r="G1773" s="51">
        <v>0</v>
      </c>
      <c r="H1773" s="51">
        <v>898522</v>
      </c>
      <c r="I1773" s="51">
        <v>-898522</v>
      </c>
      <c r="J1773" s="51">
        <v>0</v>
      </c>
      <c r="K1773" s="51">
        <v>793</v>
      </c>
      <c r="L1773" s="51">
        <v>-793</v>
      </c>
      <c r="M1773" s="51">
        <v>0</v>
      </c>
      <c r="N1773" s="51">
        <v>0</v>
      </c>
    </row>
    <row r="1774" spans="1:14" ht="15.75" x14ac:dyDescent="0.25">
      <c r="A1774" s="49" t="s">
        <v>319</v>
      </c>
      <c r="B1774" s="50" t="s">
        <v>67</v>
      </c>
      <c r="C1774" s="51">
        <v>853900</v>
      </c>
      <c r="D1774" s="51">
        <v>-2225</v>
      </c>
      <c r="E1774" s="51">
        <v>0</v>
      </c>
      <c r="F1774" s="51">
        <v>0</v>
      </c>
      <c r="G1774" s="51">
        <v>0</v>
      </c>
      <c r="H1774" s="51">
        <v>851675</v>
      </c>
      <c r="I1774" s="51">
        <v>-851675</v>
      </c>
      <c r="J1774" s="51">
        <v>0</v>
      </c>
      <c r="K1774" s="51">
        <v>0</v>
      </c>
      <c r="L1774" s="51">
        <v>0</v>
      </c>
      <c r="M1774" s="51">
        <v>0</v>
      </c>
      <c r="N1774" s="51">
        <v>0</v>
      </c>
    </row>
    <row r="1775" spans="1:14" ht="15.75" x14ac:dyDescent="0.25">
      <c r="A1775" s="49" t="s">
        <v>319</v>
      </c>
      <c r="B1775" s="50" t="s">
        <v>68</v>
      </c>
      <c r="C1775" s="51">
        <v>898023</v>
      </c>
      <c r="D1775" s="51">
        <v>-2596</v>
      </c>
      <c r="E1775" s="51">
        <v>0</v>
      </c>
      <c r="F1775" s="51">
        <v>0</v>
      </c>
      <c r="G1775" s="51">
        <v>0</v>
      </c>
      <c r="H1775" s="51">
        <v>895427</v>
      </c>
      <c r="I1775" s="51">
        <v>-895427</v>
      </c>
      <c r="J1775" s="51">
        <v>0</v>
      </c>
      <c r="K1775" s="51">
        <v>0</v>
      </c>
      <c r="L1775" s="51">
        <v>0</v>
      </c>
      <c r="M1775" s="51">
        <v>0</v>
      </c>
      <c r="N1775" s="51">
        <v>0</v>
      </c>
    </row>
    <row r="1776" spans="1:14" ht="15.75" x14ac:dyDescent="0.25">
      <c r="A1776" s="52" t="s">
        <v>320</v>
      </c>
      <c r="B1776" s="53" t="s">
        <v>8</v>
      </c>
      <c r="C1776" s="19">
        <f>SUBTOTAL(109,Program110[(C)
Program
Costs])</f>
        <v>11228475</v>
      </c>
      <c r="D1776" s="19">
        <f>SUBTOTAL(109,Program110[(D)
Prior Period Adjustments])</f>
        <v>-467376</v>
      </c>
      <c r="E1776" s="19">
        <f>SUBTOTAL(109,Program110[(E)
Current Period Desk 
Reviews])</f>
        <v>0</v>
      </c>
      <c r="F1776" s="19">
        <f>SUBTOTAL(109,Program110[(F)
Current Period 
Final 
Audits])</f>
        <v>0</v>
      </c>
      <c r="G1776" s="19">
        <f>SUBTOTAL(109,Program110[(G)
Current Period 
Other Adjustments])</f>
        <v>0</v>
      </c>
      <c r="H1776" s="19">
        <f>SUBTOTAL(109,Program110[(H)
Net Program Costs
Sum (C through G)])</f>
        <v>10761099</v>
      </c>
      <c r="I1776" s="19">
        <f>SUBTOTAL(109,Program110[(I)
Payments
 and Offsets])</f>
        <v>-10761099</v>
      </c>
      <c r="J1776" s="19">
        <f>SUBTOTAL(109,Program110[(J)
Accounts Payable Balance
(H + I)])</f>
        <v>0</v>
      </c>
      <c r="K1776" s="19">
        <f>SUBTOTAL(109,Program110[(K)
Established 
Accounts Receivable])</f>
        <v>691841</v>
      </c>
      <c r="L1776" s="19">
        <f>SUBTOTAL(109,Program110[(L)
Recovered
 Accounts Receivable])</f>
        <v>-691841</v>
      </c>
      <c r="M1776" s="19">
        <f>SUBTOTAL(109,Program110[(M)
Accounts Receivable Balance
(K + L)])</f>
        <v>0</v>
      </c>
      <c r="N1776" s="19">
        <f>SUBTOTAL(109,Program110[(N)
Net Balance
(J minus M)])</f>
        <v>0</v>
      </c>
    </row>
    <row r="1777" spans="1:14" ht="15.75" x14ac:dyDescent="0.25">
      <c r="A1777" s="17" t="s">
        <v>13</v>
      </c>
      <c r="B1777" s="54"/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  <c r="M1777" s="55"/>
      <c r="N1777" s="55"/>
    </row>
    <row r="1778" spans="1:14" ht="78.75" x14ac:dyDescent="0.25">
      <c r="A1778" s="39" t="s">
        <v>32</v>
      </c>
      <c r="B1778" s="40" t="s">
        <v>33</v>
      </c>
      <c r="C1778" s="41" t="s">
        <v>34</v>
      </c>
      <c r="D1778" s="41" t="s">
        <v>35</v>
      </c>
      <c r="E1778" s="42" t="s">
        <v>36</v>
      </c>
      <c r="F1778" s="42" t="s">
        <v>37</v>
      </c>
      <c r="G1778" s="42" t="s">
        <v>38</v>
      </c>
      <c r="H1778" s="43" t="s">
        <v>39</v>
      </c>
      <c r="I1778" s="44" t="s">
        <v>40</v>
      </c>
      <c r="J1778" s="44" t="s">
        <v>41</v>
      </c>
      <c r="K1778" s="42" t="s">
        <v>42</v>
      </c>
      <c r="L1778" s="44" t="s">
        <v>43</v>
      </c>
      <c r="M1778" s="44" t="s">
        <v>44</v>
      </c>
      <c r="N1778" s="45" t="s">
        <v>45</v>
      </c>
    </row>
    <row r="1779" spans="1:14" ht="15.75" x14ac:dyDescent="0.25">
      <c r="A1779" s="46" t="s">
        <v>321</v>
      </c>
      <c r="B1779" s="47" t="s">
        <v>55</v>
      </c>
      <c r="C1779" s="48">
        <v>194638</v>
      </c>
      <c r="D1779" s="48">
        <v>-194638</v>
      </c>
      <c r="E1779" s="48">
        <v>0</v>
      </c>
      <c r="F1779" s="48">
        <v>0</v>
      </c>
      <c r="G1779" s="48">
        <v>0</v>
      </c>
      <c r="H1779" s="48">
        <v>0</v>
      </c>
      <c r="I1779" s="48">
        <v>0</v>
      </c>
      <c r="J1779" s="48">
        <v>0</v>
      </c>
      <c r="K1779" s="48">
        <v>0</v>
      </c>
      <c r="L1779" s="48">
        <v>0</v>
      </c>
      <c r="M1779" s="48">
        <v>0</v>
      </c>
      <c r="N1779" s="48">
        <v>0</v>
      </c>
    </row>
    <row r="1780" spans="1:14" ht="15.75" x14ac:dyDescent="0.25">
      <c r="A1780" s="49" t="s">
        <v>321</v>
      </c>
      <c r="B1780" s="50" t="s">
        <v>56</v>
      </c>
      <c r="C1780" s="51">
        <v>395547</v>
      </c>
      <c r="D1780" s="51">
        <v>0</v>
      </c>
      <c r="E1780" s="51">
        <v>0</v>
      </c>
      <c r="F1780" s="51">
        <v>0</v>
      </c>
      <c r="G1780" s="51">
        <v>0</v>
      </c>
      <c r="H1780" s="51">
        <v>395547</v>
      </c>
      <c r="I1780" s="51">
        <v>-395547</v>
      </c>
      <c r="J1780" s="51">
        <v>0</v>
      </c>
      <c r="K1780" s="51">
        <v>27</v>
      </c>
      <c r="L1780" s="51">
        <v>-27</v>
      </c>
      <c r="M1780" s="51">
        <v>0</v>
      </c>
      <c r="N1780" s="51">
        <v>0</v>
      </c>
    </row>
    <row r="1781" spans="1:14" ht="15.75" x14ac:dyDescent="0.25">
      <c r="A1781" s="49" t="s">
        <v>321</v>
      </c>
      <c r="B1781" s="50" t="s">
        <v>57</v>
      </c>
      <c r="C1781" s="51">
        <v>442666</v>
      </c>
      <c r="D1781" s="51">
        <v>-1302</v>
      </c>
      <c r="E1781" s="51">
        <v>0</v>
      </c>
      <c r="F1781" s="51">
        <v>0</v>
      </c>
      <c r="G1781" s="51">
        <v>0</v>
      </c>
      <c r="H1781" s="51">
        <v>441364</v>
      </c>
      <c r="I1781" s="51">
        <v>-441364</v>
      </c>
      <c r="J1781" s="51">
        <v>0</v>
      </c>
      <c r="K1781" s="51">
        <v>27451</v>
      </c>
      <c r="L1781" s="51">
        <v>-27451</v>
      </c>
      <c r="M1781" s="51">
        <v>0</v>
      </c>
      <c r="N1781" s="51">
        <v>0</v>
      </c>
    </row>
    <row r="1782" spans="1:14" ht="15.75" x14ac:dyDescent="0.25">
      <c r="A1782" s="49" t="s">
        <v>321</v>
      </c>
      <c r="B1782" s="50" t="s">
        <v>58</v>
      </c>
      <c r="C1782" s="51">
        <v>469380</v>
      </c>
      <c r="D1782" s="51">
        <v>-2000</v>
      </c>
      <c r="E1782" s="51">
        <v>0</v>
      </c>
      <c r="F1782" s="51">
        <v>0</v>
      </c>
      <c r="G1782" s="51">
        <v>0</v>
      </c>
      <c r="H1782" s="51">
        <v>467380</v>
      </c>
      <c r="I1782" s="51">
        <v>-467380</v>
      </c>
      <c r="J1782" s="51">
        <v>0</v>
      </c>
      <c r="K1782" s="51">
        <v>38722</v>
      </c>
      <c r="L1782" s="51">
        <v>-38722</v>
      </c>
      <c r="M1782" s="51">
        <v>0</v>
      </c>
      <c r="N1782" s="51">
        <v>0</v>
      </c>
    </row>
    <row r="1783" spans="1:14" ht="15.75" x14ac:dyDescent="0.25">
      <c r="A1783" s="49" t="s">
        <v>321</v>
      </c>
      <c r="B1783" s="50" t="s">
        <v>59</v>
      </c>
      <c r="C1783" s="51">
        <v>413889</v>
      </c>
      <c r="D1783" s="51">
        <v>-2155</v>
      </c>
      <c r="E1783" s="51">
        <v>0</v>
      </c>
      <c r="F1783" s="51">
        <v>0</v>
      </c>
      <c r="G1783" s="51">
        <v>0</v>
      </c>
      <c r="H1783" s="51">
        <v>411734</v>
      </c>
      <c r="I1783" s="51">
        <v>-411734</v>
      </c>
      <c r="J1783" s="51">
        <v>0</v>
      </c>
      <c r="K1783" s="51">
        <v>22252</v>
      </c>
      <c r="L1783" s="51">
        <v>-22252</v>
      </c>
      <c r="M1783" s="51">
        <v>0</v>
      </c>
      <c r="N1783" s="51">
        <v>0</v>
      </c>
    </row>
    <row r="1784" spans="1:14" ht="15.75" x14ac:dyDescent="0.25">
      <c r="A1784" s="49" t="s">
        <v>321</v>
      </c>
      <c r="B1784" s="50" t="s">
        <v>60</v>
      </c>
      <c r="C1784" s="51">
        <v>406714</v>
      </c>
      <c r="D1784" s="51">
        <v>-1777</v>
      </c>
      <c r="E1784" s="51">
        <v>0</v>
      </c>
      <c r="F1784" s="51">
        <v>0</v>
      </c>
      <c r="G1784" s="51">
        <v>0</v>
      </c>
      <c r="H1784" s="51">
        <v>404937</v>
      </c>
      <c r="I1784" s="51">
        <v>-404937</v>
      </c>
      <c r="J1784" s="51">
        <v>0</v>
      </c>
      <c r="K1784" s="51">
        <v>11921</v>
      </c>
      <c r="L1784" s="51">
        <v>-11921</v>
      </c>
      <c r="M1784" s="51">
        <v>0</v>
      </c>
      <c r="N1784" s="51">
        <v>0</v>
      </c>
    </row>
    <row r="1785" spans="1:14" ht="15.75" x14ac:dyDescent="0.25">
      <c r="A1785" s="49" t="s">
        <v>321</v>
      </c>
      <c r="B1785" s="50" t="s">
        <v>61</v>
      </c>
      <c r="C1785" s="51">
        <v>360360</v>
      </c>
      <c r="D1785" s="51">
        <v>-3150</v>
      </c>
      <c r="E1785" s="51">
        <v>0</v>
      </c>
      <c r="F1785" s="51">
        <v>0</v>
      </c>
      <c r="G1785" s="51">
        <v>0</v>
      </c>
      <c r="H1785" s="51">
        <v>357210</v>
      </c>
      <c r="I1785" s="51">
        <v>-357210</v>
      </c>
      <c r="J1785" s="51">
        <v>0</v>
      </c>
      <c r="K1785" s="51">
        <v>35713</v>
      </c>
      <c r="L1785" s="51">
        <v>-35713</v>
      </c>
      <c r="M1785" s="51">
        <v>0</v>
      </c>
      <c r="N1785" s="51">
        <v>0</v>
      </c>
    </row>
    <row r="1786" spans="1:14" ht="15.75" x14ac:dyDescent="0.25">
      <c r="A1786" s="49" t="s">
        <v>321</v>
      </c>
      <c r="B1786" s="50" t="s">
        <v>62</v>
      </c>
      <c r="C1786" s="51">
        <v>381785</v>
      </c>
      <c r="D1786" s="51">
        <v>-1285</v>
      </c>
      <c r="E1786" s="51">
        <v>0</v>
      </c>
      <c r="F1786" s="51">
        <v>0</v>
      </c>
      <c r="G1786" s="51">
        <v>0</v>
      </c>
      <c r="H1786" s="51">
        <v>380500</v>
      </c>
      <c r="I1786" s="51">
        <v>-380500</v>
      </c>
      <c r="J1786" s="51">
        <v>0</v>
      </c>
      <c r="K1786" s="51">
        <v>2262</v>
      </c>
      <c r="L1786" s="51">
        <v>-2262</v>
      </c>
      <c r="M1786" s="51">
        <v>0</v>
      </c>
      <c r="N1786" s="51">
        <v>0</v>
      </c>
    </row>
    <row r="1787" spans="1:14" ht="15.75" x14ac:dyDescent="0.25">
      <c r="A1787" s="49" t="s">
        <v>321</v>
      </c>
      <c r="B1787" s="50" t="s">
        <v>63</v>
      </c>
      <c r="C1787" s="51">
        <v>331672</v>
      </c>
      <c r="D1787" s="51">
        <v>-7232</v>
      </c>
      <c r="E1787" s="51">
        <v>0</v>
      </c>
      <c r="F1787" s="51">
        <v>0</v>
      </c>
      <c r="G1787" s="51">
        <v>0</v>
      </c>
      <c r="H1787" s="51">
        <v>324440</v>
      </c>
      <c r="I1787" s="51">
        <v>-324440</v>
      </c>
      <c r="J1787" s="51">
        <v>0</v>
      </c>
      <c r="K1787" s="51">
        <v>9598</v>
      </c>
      <c r="L1787" s="51">
        <v>-9598</v>
      </c>
      <c r="M1787" s="51">
        <v>0</v>
      </c>
      <c r="N1787" s="51">
        <v>0</v>
      </c>
    </row>
    <row r="1788" spans="1:14" ht="15.75" x14ac:dyDescent="0.25">
      <c r="A1788" s="49" t="s">
        <v>321</v>
      </c>
      <c r="B1788" s="50" t="s">
        <v>64</v>
      </c>
      <c r="C1788" s="51">
        <v>349702</v>
      </c>
      <c r="D1788" s="51">
        <v>-3134</v>
      </c>
      <c r="E1788" s="51">
        <v>0</v>
      </c>
      <c r="F1788" s="51">
        <v>0</v>
      </c>
      <c r="G1788" s="51">
        <v>0</v>
      </c>
      <c r="H1788" s="51">
        <v>346568</v>
      </c>
      <c r="I1788" s="51">
        <v>-346568</v>
      </c>
      <c r="J1788" s="51">
        <v>0</v>
      </c>
      <c r="K1788" s="51">
        <v>64858</v>
      </c>
      <c r="L1788" s="51">
        <v>-64858</v>
      </c>
      <c r="M1788" s="51">
        <v>0</v>
      </c>
      <c r="N1788" s="51">
        <v>0</v>
      </c>
    </row>
    <row r="1789" spans="1:14" ht="15.75" x14ac:dyDescent="0.25">
      <c r="A1789" s="49" t="s">
        <v>321</v>
      </c>
      <c r="B1789" s="50" t="s">
        <v>65</v>
      </c>
      <c r="C1789" s="51">
        <v>194272.45</v>
      </c>
      <c r="D1789" s="51">
        <v>-7509</v>
      </c>
      <c r="E1789" s="51">
        <v>0</v>
      </c>
      <c r="F1789" s="51">
        <v>0</v>
      </c>
      <c r="G1789" s="51">
        <v>0</v>
      </c>
      <c r="H1789" s="51">
        <v>186763.45</v>
      </c>
      <c r="I1789" s="51">
        <v>-186763.45</v>
      </c>
      <c r="J1789" s="51">
        <v>0</v>
      </c>
      <c r="K1789" s="51">
        <v>3168.96</v>
      </c>
      <c r="L1789" s="51">
        <v>-3168.96</v>
      </c>
      <c r="M1789" s="51">
        <v>0</v>
      </c>
      <c r="N1789" s="51">
        <v>0</v>
      </c>
    </row>
    <row r="1790" spans="1:14" ht="15.75" x14ac:dyDescent="0.25">
      <c r="A1790" s="49" t="s">
        <v>321</v>
      </c>
      <c r="B1790" s="50" t="s">
        <v>66</v>
      </c>
      <c r="C1790" s="51">
        <v>193076.89</v>
      </c>
      <c r="D1790" s="51">
        <v>-7988</v>
      </c>
      <c r="E1790" s="51">
        <v>0</v>
      </c>
      <c r="F1790" s="51">
        <v>0</v>
      </c>
      <c r="G1790" s="51">
        <v>0</v>
      </c>
      <c r="H1790" s="51">
        <v>185088.89</v>
      </c>
      <c r="I1790" s="51">
        <v>-185088.89</v>
      </c>
      <c r="J1790" s="51">
        <v>0</v>
      </c>
      <c r="K1790" s="51">
        <v>8829</v>
      </c>
      <c r="L1790" s="51">
        <v>-8829</v>
      </c>
      <c r="M1790" s="51">
        <v>0</v>
      </c>
      <c r="N1790" s="51">
        <v>0</v>
      </c>
    </row>
    <row r="1791" spans="1:14" ht="15.75" x14ac:dyDescent="0.25">
      <c r="A1791" s="49" t="s">
        <v>321</v>
      </c>
      <c r="B1791" s="50" t="s">
        <v>67</v>
      </c>
      <c r="C1791" s="51">
        <v>95284.170000000013</v>
      </c>
      <c r="D1791" s="51">
        <v>-3251</v>
      </c>
      <c r="E1791" s="51">
        <v>0</v>
      </c>
      <c r="F1791" s="51">
        <v>0</v>
      </c>
      <c r="G1791" s="51">
        <v>0</v>
      </c>
      <c r="H1791" s="51">
        <v>92033.170000000013</v>
      </c>
      <c r="I1791" s="51">
        <v>-92033.170000000013</v>
      </c>
      <c r="J1791" s="51">
        <v>0</v>
      </c>
      <c r="K1791" s="51">
        <v>0</v>
      </c>
      <c r="L1791" s="51">
        <v>0</v>
      </c>
      <c r="M1791" s="51">
        <v>0</v>
      </c>
      <c r="N1791" s="51">
        <v>0</v>
      </c>
    </row>
    <row r="1792" spans="1:14" ht="15.75" x14ac:dyDescent="0.25">
      <c r="A1792" s="52" t="s">
        <v>322</v>
      </c>
      <c r="B1792" s="53" t="s">
        <v>8</v>
      </c>
      <c r="C1792" s="19">
        <f>SUBTOTAL(109,Program125[(C)
Program
Costs])</f>
        <v>4228986.5100000007</v>
      </c>
      <c r="D1792" s="19">
        <f>SUBTOTAL(109,Program125[(D)
Prior Period Adjustments])</f>
        <v>-235421</v>
      </c>
      <c r="E1792" s="19">
        <f>SUBTOTAL(109,Program125[(E)
Current Period Desk 
Reviews])</f>
        <v>0</v>
      </c>
      <c r="F1792" s="19">
        <f>SUBTOTAL(109,Program125[(F)
Current Period 
Final 
Audits])</f>
        <v>0</v>
      </c>
      <c r="G1792" s="19">
        <f>SUBTOTAL(109,Program125[(G)
Current Period 
Other Adjustments])</f>
        <v>0</v>
      </c>
      <c r="H1792" s="19">
        <f>SUBTOTAL(109,Program125[(H)
Net Program Costs
Sum (C through G)])</f>
        <v>3993565.5100000002</v>
      </c>
      <c r="I1792" s="19">
        <f>SUBTOTAL(109,Program125[(I)
Payments
 and Offsets])</f>
        <v>-3993565.5100000002</v>
      </c>
      <c r="J1792" s="19">
        <f>SUBTOTAL(109,Program125[(J)
Accounts Payable Balance
(H + I)])</f>
        <v>0</v>
      </c>
      <c r="K1792" s="19">
        <f>SUBTOTAL(109,Program125[(K)
Established 
Accounts Receivable])</f>
        <v>224801.96</v>
      </c>
      <c r="L1792" s="19">
        <f>SUBTOTAL(109,Program125[(L)
Recovered
 Accounts Receivable])</f>
        <v>-224801.96</v>
      </c>
      <c r="M1792" s="19">
        <f>SUBTOTAL(109,Program125[(M)
Accounts Receivable Balance
(K + L)])</f>
        <v>0</v>
      </c>
      <c r="N1792" s="19">
        <f>SUBTOTAL(109,Program125[(N)
Net Balance
(J minus M)])</f>
        <v>0</v>
      </c>
    </row>
    <row r="1793" spans="1:14" ht="15.75" x14ac:dyDescent="0.25">
      <c r="A1793" s="17" t="s">
        <v>13</v>
      </c>
      <c r="B1793" s="54"/>
      <c r="C1793" s="55"/>
      <c r="D1793" s="55"/>
      <c r="E1793" s="55"/>
      <c r="F1793" s="55"/>
      <c r="G1793" s="55"/>
      <c r="H1793" s="55"/>
      <c r="I1793" s="55"/>
      <c r="J1793" s="55"/>
      <c r="K1793" s="55"/>
      <c r="L1793" s="55"/>
      <c r="M1793" s="55"/>
      <c r="N1793" s="55"/>
    </row>
    <row r="1794" spans="1:14" ht="78.75" x14ac:dyDescent="0.25">
      <c r="A1794" s="39" t="s">
        <v>32</v>
      </c>
      <c r="B1794" s="40" t="s">
        <v>33</v>
      </c>
      <c r="C1794" s="41" t="s">
        <v>34</v>
      </c>
      <c r="D1794" s="41" t="s">
        <v>35</v>
      </c>
      <c r="E1794" s="42" t="s">
        <v>36</v>
      </c>
      <c r="F1794" s="42" t="s">
        <v>37</v>
      </c>
      <c r="G1794" s="42" t="s">
        <v>38</v>
      </c>
      <c r="H1794" s="43" t="s">
        <v>39</v>
      </c>
      <c r="I1794" s="44" t="s">
        <v>40</v>
      </c>
      <c r="J1794" s="44" t="s">
        <v>41</v>
      </c>
      <c r="K1794" s="42" t="s">
        <v>42</v>
      </c>
      <c r="L1794" s="44" t="s">
        <v>43</v>
      </c>
      <c r="M1794" s="44" t="s">
        <v>44</v>
      </c>
      <c r="N1794" s="45" t="s">
        <v>45</v>
      </c>
    </row>
    <row r="1795" spans="1:14" ht="30" x14ac:dyDescent="0.25">
      <c r="A1795" s="67" t="s">
        <v>323</v>
      </c>
      <c r="B1795" s="57" t="s">
        <v>76</v>
      </c>
      <c r="C1795" s="58">
        <v>549882</v>
      </c>
      <c r="D1795" s="58">
        <v>0</v>
      </c>
      <c r="E1795" s="58">
        <v>0</v>
      </c>
      <c r="F1795" s="58">
        <v>0</v>
      </c>
      <c r="G1795" s="58">
        <v>0</v>
      </c>
      <c r="H1795" s="58">
        <v>549882</v>
      </c>
      <c r="I1795" s="58">
        <v>0</v>
      </c>
      <c r="J1795" s="58">
        <v>549882</v>
      </c>
      <c r="K1795" s="58">
        <v>0</v>
      </c>
      <c r="L1795" s="58">
        <v>0</v>
      </c>
      <c r="M1795" s="58">
        <v>0</v>
      </c>
      <c r="N1795" s="58">
        <v>549882</v>
      </c>
    </row>
    <row r="1796" spans="1:14" ht="30" x14ac:dyDescent="0.25">
      <c r="A1796" s="68" t="s">
        <v>323</v>
      </c>
      <c r="B1796" s="60" t="s">
        <v>77</v>
      </c>
      <c r="C1796" s="61">
        <v>705626</v>
      </c>
      <c r="D1796" s="61">
        <v>0</v>
      </c>
      <c r="E1796" s="61">
        <v>0</v>
      </c>
      <c r="F1796" s="61">
        <v>0</v>
      </c>
      <c r="G1796" s="61">
        <v>-254</v>
      </c>
      <c r="H1796" s="61">
        <v>705372</v>
      </c>
      <c r="I1796" s="61">
        <v>-703084</v>
      </c>
      <c r="J1796" s="61">
        <v>2288</v>
      </c>
      <c r="K1796" s="61">
        <v>0</v>
      </c>
      <c r="L1796" s="61">
        <v>0</v>
      </c>
      <c r="M1796" s="61">
        <v>0</v>
      </c>
      <c r="N1796" s="61">
        <v>2288</v>
      </c>
    </row>
    <row r="1797" spans="1:14" ht="30" x14ac:dyDescent="0.25">
      <c r="A1797" s="68" t="s">
        <v>323</v>
      </c>
      <c r="B1797" s="60" t="s">
        <v>78</v>
      </c>
      <c r="C1797" s="61">
        <v>733754</v>
      </c>
      <c r="D1797" s="61">
        <v>-9381</v>
      </c>
      <c r="E1797" s="61">
        <v>0</v>
      </c>
      <c r="F1797" s="61">
        <v>0</v>
      </c>
      <c r="G1797" s="61">
        <v>0</v>
      </c>
      <c r="H1797" s="61">
        <v>724373</v>
      </c>
      <c r="I1797" s="61">
        <v>-724373</v>
      </c>
      <c r="J1797" s="61">
        <v>0</v>
      </c>
      <c r="K1797" s="61">
        <v>0</v>
      </c>
      <c r="L1797" s="61">
        <v>0</v>
      </c>
      <c r="M1797" s="61">
        <v>0</v>
      </c>
      <c r="N1797" s="61">
        <v>0</v>
      </c>
    </row>
    <row r="1798" spans="1:14" ht="30" x14ac:dyDescent="0.25">
      <c r="A1798" s="68" t="s">
        <v>323</v>
      </c>
      <c r="B1798" s="60" t="s">
        <v>47</v>
      </c>
      <c r="C1798" s="61">
        <v>1015746</v>
      </c>
      <c r="D1798" s="61">
        <v>-13439</v>
      </c>
      <c r="E1798" s="61">
        <v>0</v>
      </c>
      <c r="F1798" s="61">
        <v>0</v>
      </c>
      <c r="G1798" s="61">
        <v>0</v>
      </c>
      <c r="H1798" s="61">
        <v>1002307</v>
      </c>
      <c r="I1798" s="61">
        <v>-1002307</v>
      </c>
      <c r="J1798" s="61">
        <v>0</v>
      </c>
      <c r="K1798" s="61">
        <v>0</v>
      </c>
      <c r="L1798" s="61">
        <v>0</v>
      </c>
      <c r="M1798" s="61">
        <v>0</v>
      </c>
      <c r="N1798" s="61">
        <v>0</v>
      </c>
    </row>
    <row r="1799" spans="1:14" ht="30" x14ac:dyDescent="0.25">
      <c r="A1799" s="68" t="s">
        <v>323</v>
      </c>
      <c r="B1799" s="60" t="s">
        <v>79</v>
      </c>
      <c r="C1799" s="61">
        <v>840345</v>
      </c>
      <c r="D1799" s="61">
        <v>-2478</v>
      </c>
      <c r="E1799" s="61">
        <v>0</v>
      </c>
      <c r="F1799" s="61">
        <v>0</v>
      </c>
      <c r="G1799" s="61">
        <v>0</v>
      </c>
      <c r="H1799" s="61">
        <v>837867</v>
      </c>
      <c r="I1799" s="61">
        <v>-837867</v>
      </c>
      <c r="J1799" s="61">
        <v>0</v>
      </c>
      <c r="K1799" s="61">
        <v>0</v>
      </c>
      <c r="L1799" s="61">
        <v>0</v>
      </c>
      <c r="M1799" s="61">
        <v>0</v>
      </c>
      <c r="N1799" s="61">
        <v>0</v>
      </c>
    </row>
    <row r="1800" spans="1:14" ht="30" x14ac:dyDescent="0.25">
      <c r="A1800" s="68" t="s">
        <v>323</v>
      </c>
      <c r="B1800" s="60" t="s">
        <v>80</v>
      </c>
      <c r="C1800" s="61">
        <v>615296</v>
      </c>
      <c r="D1800" s="61">
        <v>0</v>
      </c>
      <c r="E1800" s="61">
        <v>0</v>
      </c>
      <c r="F1800" s="61">
        <v>0</v>
      </c>
      <c r="G1800" s="61">
        <v>0</v>
      </c>
      <c r="H1800" s="61">
        <v>615296</v>
      </c>
      <c r="I1800" s="61">
        <v>-615296</v>
      </c>
      <c r="J1800" s="61">
        <v>0</v>
      </c>
      <c r="K1800" s="61">
        <v>0</v>
      </c>
      <c r="L1800" s="61">
        <v>0</v>
      </c>
      <c r="M1800" s="61">
        <v>0</v>
      </c>
      <c r="N1800" s="61">
        <v>0</v>
      </c>
    </row>
    <row r="1801" spans="1:14" ht="30" x14ac:dyDescent="0.25">
      <c r="A1801" s="68" t="s">
        <v>323</v>
      </c>
      <c r="B1801" s="60" t="s">
        <v>81</v>
      </c>
      <c r="C1801" s="61">
        <v>358212</v>
      </c>
      <c r="D1801" s="61">
        <v>-11610</v>
      </c>
      <c r="E1801" s="61">
        <v>0</v>
      </c>
      <c r="F1801" s="61">
        <v>0</v>
      </c>
      <c r="G1801" s="61">
        <v>0</v>
      </c>
      <c r="H1801" s="61">
        <v>346602</v>
      </c>
      <c r="I1801" s="61">
        <v>-346602</v>
      </c>
      <c r="J1801" s="61">
        <v>0</v>
      </c>
      <c r="K1801" s="61">
        <v>0</v>
      </c>
      <c r="L1801" s="61">
        <v>0</v>
      </c>
      <c r="M1801" s="61">
        <v>0</v>
      </c>
      <c r="N1801" s="61">
        <v>0</v>
      </c>
    </row>
    <row r="1802" spans="1:14" ht="30" x14ac:dyDescent="0.25">
      <c r="A1802" s="68" t="s">
        <v>323</v>
      </c>
      <c r="B1802" s="60" t="s">
        <v>82</v>
      </c>
      <c r="C1802" s="61">
        <v>314792</v>
      </c>
      <c r="D1802" s="61">
        <v>-26199</v>
      </c>
      <c r="E1802" s="61">
        <v>0</v>
      </c>
      <c r="F1802" s="61">
        <v>0</v>
      </c>
      <c r="G1802" s="61">
        <v>0</v>
      </c>
      <c r="H1802" s="61">
        <v>288593</v>
      </c>
      <c r="I1802" s="61">
        <v>-288593</v>
      </c>
      <c r="J1802" s="61">
        <v>0</v>
      </c>
      <c r="K1802" s="61">
        <v>0</v>
      </c>
      <c r="L1802" s="61">
        <v>0</v>
      </c>
      <c r="M1802" s="61">
        <v>0</v>
      </c>
      <c r="N1802" s="61">
        <v>0</v>
      </c>
    </row>
    <row r="1803" spans="1:14" ht="30" x14ac:dyDescent="0.25">
      <c r="A1803" s="68" t="s">
        <v>323</v>
      </c>
      <c r="B1803" s="60" t="s">
        <v>83</v>
      </c>
      <c r="C1803" s="61">
        <v>351975</v>
      </c>
      <c r="D1803" s="61">
        <v>-28087</v>
      </c>
      <c r="E1803" s="61">
        <v>0</v>
      </c>
      <c r="F1803" s="61">
        <v>0</v>
      </c>
      <c r="G1803" s="61">
        <v>0</v>
      </c>
      <c r="H1803" s="61">
        <v>323888</v>
      </c>
      <c r="I1803" s="61">
        <v>-323888</v>
      </c>
      <c r="J1803" s="61">
        <v>0</v>
      </c>
      <c r="K1803" s="61">
        <v>0</v>
      </c>
      <c r="L1803" s="61">
        <v>0</v>
      </c>
      <c r="M1803" s="61">
        <v>0</v>
      </c>
      <c r="N1803" s="61">
        <v>0</v>
      </c>
    </row>
    <row r="1804" spans="1:14" ht="30" x14ac:dyDescent="0.25">
      <c r="A1804" s="68" t="s">
        <v>323</v>
      </c>
      <c r="B1804" s="60" t="s">
        <v>48</v>
      </c>
      <c r="C1804" s="61">
        <v>312430</v>
      </c>
      <c r="D1804" s="61">
        <v>-26198</v>
      </c>
      <c r="E1804" s="61">
        <v>0</v>
      </c>
      <c r="F1804" s="61">
        <v>0</v>
      </c>
      <c r="G1804" s="61">
        <v>0</v>
      </c>
      <c r="H1804" s="61">
        <v>286232</v>
      </c>
      <c r="I1804" s="61">
        <v>-286232</v>
      </c>
      <c r="J1804" s="61">
        <v>0</v>
      </c>
      <c r="K1804" s="61">
        <v>0</v>
      </c>
      <c r="L1804" s="61">
        <v>0</v>
      </c>
      <c r="M1804" s="61">
        <v>0</v>
      </c>
      <c r="N1804" s="61">
        <v>0</v>
      </c>
    </row>
    <row r="1805" spans="1:14" ht="30" x14ac:dyDescent="0.25">
      <c r="A1805" s="68" t="s">
        <v>323</v>
      </c>
      <c r="B1805" s="60" t="s">
        <v>49</v>
      </c>
      <c r="C1805" s="61">
        <v>145281</v>
      </c>
      <c r="D1805" s="61">
        <v>-12693</v>
      </c>
      <c r="E1805" s="61">
        <v>0</v>
      </c>
      <c r="F1805" s="61">
        <v>0</v>
      </c>
      <c r="G1805" s="61">
        <v>0</v>
      </c>
      <c r="H1805" s="61">
        <v>132588</v>
      </c>
      <c r="I1805" s="61">
        <v>-132588</v>
      </c>
      <c r="J1805" s="61">
        <v>0</v>
      </c>
      <c r="K1805" s="61">
        <v>0</v>
      </c>
      <c r="L1805" s="61">
        <v>0</v>
      </c>
      <c r="M1805" s="61">
        <v>0</v>
      </c>
      <c r="N1805" s="61">
        <v>0</v>
      </c>
    </row>
    <row r="1806" spans="1:14" ht="30" x14ac:dyDescent="0.25">
      <c r="A1806" s="68" t="s">
        <v>323</v>
      </c>
      <c r="B1806" s="60" t="s">
        <v>50</v>
      </c>
      <c r="C1806" s="61">
        <v>84763</v>
      </c>
      <c r="D1806" s="61">
        <v>-5793</v>
      </c>
      <c r="E1806" s="61">
        <v>0</v>
      </c>
      <c r="F1806" s="61">
        <v>0</v>
      </c>
      <c r="G1806" s="61">
        <v>0</v>
      </c>
      <c r="H1806" s="61">
        <v>78970</v>
      </c>
      <c r="I1806" s="61">
        <v>-78970</v>
      </c>
      <c r="J1806" s="61">
        <v>0</v>
      </c>
      <c r="K1806" s="61">
        <v>0</v>
      </c>
      <c r="L1806" s="61">
        <v>0</v>
      </c>
      <c r="M1806" s="61">
        <v>0</v>
      </c>
      <c r="N1806" s="61">
        <v>0</v>
      </c>
    </row>
    <row r="1807" spans="1:14" ht="30" x14ac:dyDescent="0.25">
      <c r="A1807" s="68" t="s">
        <v>323</v>
      </c>
      <c r="B1807" s="60" t="s">
        <v>51</v>
      </c>
      <c r="C1807" s="61">
        <v>51156</v>
      </c>
      <c r="D1807" s="61">
        <v>-2562</v>
      </c>
      <c r="E1807" s="61">
        <v>0</v>
      </c>
      <c r="F1807" s="61">
        <v>0</v>
      </c>
      <c r="G1807" s="61">
        <v>0</v>
      </c>
      <c r="H1807" s="61">
        <v>48594</v>
      </c>
      <c r="I1807" s="61">
        <v>-48594</v>
      </c>
      <c r="J1807" s="61">
        <v>0</v>
      </c>
      <c r="K1807" s="61">
        <v>0</v>
      </c>
      <c r="L1807" s="61">
        <v>0</v>
      </c>
      <c r="M1807" s="61">
        <v>0</v>
      </c>
      <c r="N1807" s="61">
        <v>0</v>
      </c>
    </row>
    <row r="1808" spans="1:14" ht="15.75" x14ac:dyDescent="0.25">
      <c r="A1808" s="52" t="s">
        <v>324</v>
      </c>
      <c r="B1808" s="53" t="s">
        <v>8</v>
      </c>
      <c r="C1808" s="19">
        <f>SUBTOTAL(109,Program360[(C)
Program
Costs])</f>
        <v>6079258</v>
      </c>
      <c r="D1808" s="19">
        <f>SUBTOTAL(109,Program360[(D)
Prior Period Adjustments])</f>
        <v>-138440</v>
      </c>
      <c r="E1808" s="19">
        <f>SUBTOTAL(109,Program360[(E)
Current Period Desk 
Reviews])</f>
        <v>0</v>
      </c>
      <c r="F1808" s="19">
        <f>SUBTOTAL(109,Program360[(F)
Current Period 
Final 
Audits])</f>
        <v>0</v>
      </c>
      <c r="G1808" s="19">
        <f>SUBTOTAL(109,Program360[(G)
Current Period 
Other Adjustments])</f>
        <v>-254</v>
      </c>
      <c r="H1808" s="19">
        <f>SUBTOTAL(109,Program360[(H)
Net Program Costs
Sum (C through G)])</f>
        <v>5940564</v>
      </c>
      <c r="I1808" s="19">
        <f>SUBTOTAL(109,Program360[(I)
Payments
 and Offsets])</f>
        <v>-5388394</v>
      </c>
      <c r="J1808" s="19">
        <f>SUBTOTAL(109,Program360[(J)
Accounts Payable Balance
(H + I)])</f>
        <v>552170</v>
      </c>
      <c r="K1808" s="19">
        <f>SUBTOTAL(109,Program360[(K)
Established 
Accounts Receivable])</f>
        <v>0</v>
      </c>
      <c r="L1808" s="19">
        <f>SUBTOTAL(109,Program360[(L)
Recovered
 Accounts Receivable])</f>
        <v>0</v>
      </c>
      <c r="M1808" s="19">
        <f>SUBTOTAL(109,Program360[(M)
Accounts Receivable Balance
(K + L)])</f>
        <v>0</v>
      </c>
      <c r="N1808" s="19">
        <f>SUBTOTAL(109,Program360[(N)
Net Balance
(J minus M)])</f>
        <v>552170</v>
      </c>
    </row>
    <row r="1809" spans="1:14" ht="15.75" x14ac:dyDescent="0.25">
      <c r="A1809" s="17" t="s">
        <v>13</v>
      </c>
      <c r="B1809" s="54"/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  <c r="M1809" s="55"/>
      <c r="N1809" s="55"/>
    </row>
    <row r="1810" spans="1:14" ht="78.75" x14ac:dyDescent="0.25">
      <c r="A1810" s="39" t="s">
        <v>32</v>
      </c>
      <c r="B1810" s="40" t="s">
        <v>33</v>
      </c>
      <c r="C1810" s="41" t="s">
        <v>34</v>
      </c>
      <c r="D1810" s="41" t="s">
        <v>35</v>
      </c>
      <c r="E1810" s="42" t="s">
        <v>36</v>
      </c>
      <c r="F1810" s="42" t="s">
        <v>37</v>
      </c>
      <c r="G1810" s="42" t="s">
        <v>38</v>
      </c>
      <c r="H1810" s="43" t="s">
        <v>39</v>
      </c>
      <c r="I1810" s="44" t="s">
        <v>40</v>
      </c>
      <c r="J1810" s="44" t="s">
        <v>41</v>
      </c>
      <c r="K1810" s="42" t="s">
        <v>42</v>
      </c>
      <c r="L1810" s="44" t="s">
        <v>43</v>
      </c>
      <c r="M1810" s="44" t="s">
        <v>44</v>
      </c>
      <c r="N1810" s="45" t="s">
        <v>45</v>
      </c>
    </row>
    <row r="1811" spans="1:14" ht="15.75" x14ac:dyDescent="0.25">
      <c r="A1811" s="46" t="s">
        <v>325</v>
      </c>
      <c r="B1811" s="47" t="s">
        <v>49</v>
      </c>
      <c r="C1811" s="48">
        <v>13379</v>
      </c>
      <c r="D1811" s="48">
        <v>0</v>
      </c>
      <c r="E1811" s="48">
        <v>0</v>
      </c>
      <c r="F1811" s="48">
        <v>0</v>
      </c>
      <c r="G1811" s="48">
        <v>0</v>
      </c>
      <c r="H1811" s="48">
        <v>13379</v>
      </c>
      <c r="I1811" s="48">
        <v>0</v>
      </c>
      <c r="J1811" s="48">
        <v>13379</v>
      </c>
      <c r="K1811" s="48">
        <v>0</v>
      </c>
      <c r="L1811" s="48">
        <v>0</v>
      </c>
      <c r="M1811" s="48">
        <v>0</v>
      </c>
      <c r="N1811" s="48">
        <v>13379</v>
      </c>
    </row>
    <row r="1812" spans="1:14" ht="15.75" x14ac:dyDescent="0.25">
      <c r="A1812" s="49" t="s">
        <v>325</v>
      </c>
      <c r="B1812" s="50" t="s">
        <v>50</v>
      </c>
      <c r="C1812" s="51">
        <v>552661</v>
      </c>
      <c r="D1812" s="51">
        <v>-919</v>
      </c>
      <c r="E1812" s="51">
        <v>0</v>
      </c>
      <c r="F1812" s="51">
        <v>0</v>
      </c>
      <c r="G1812" s="51">
        <v>0</v>
      </c>
      <c r="H1812" s="51">
        <v>551742</v>
      </c>
      <c r="I1812" s="51">
        <v>0</v>
      </c>
      <c r="J1812" s="51">
        <v>551742</v>
      </c>
      <c r="K1812" s="51">
        <v>0</v>
      </c>
      <c r="L1812" s="51">
        <v>0</v>
      </c>
      <c r="M1812" s="51">
        <v>0</v>
      </c>
      <c r="N1812" s="51">
        <v>551742</v>
      </c>
    </row>
    <row r="1813" spans="1:14" ht="15.75" x14ac:dyDescent="0.25">
      <c r="A1813" s="49" t="s">
        <v>325</v>
      </c>
      <c r="B1813" s="50" t="s">
        <v>51</v>
      </c>
      <c r="C1813" s="51">
        <v>557576</v>
      </c>
      <c r="D1813" s="51">
        <v>-5857</v>
      </c>
      <c r="E1813" s="51">
        <v>0</v>
      </c>
      <c r="F1813" s="51">
        <v>0</v>
      </c>
      <c r="G1813" s="51">
        <v>0</v>
      </c>
      <c r="H1813" s="51">
        <v>551719</v>
      </c>
      <c r="I1813" s="51">
        <v>0</v>
      </c>
      <c r="J1813" s="51">
        <v>551719</v>
      </c>
      <c r="K1813" s="51">
        <v>0</v>
      </c>
      <c r="L1813" s="51">
        <v>0</v>
      </c>
      <c r="M1813" s="51">
        <v>0</v>
      </c>
      <c r="N1813" s="51">
        <v>551719</v>
      </c>
    </row>
    <row r="1814" spans="1:14" ht="15.75" x14ac:dyDescent="0.25">
      <c r="A1814" s="49" t="s">
        <v>325</v>
      </c>
      <c r="B1814" s="50" t="s">
        <v>52</v>
      </c>
      <c r="C1814" s="51">
        <v>616025</v>
      </c>
      <c r="D1814" s="51">
        <v>-1445</v>
      </c>
      <c r="E1814" s="51">
        <v>0</v>
      </c>
      <c r="F1814" s="51">
        <v>0</v>
      </c>
      <c r="G1814" s="51">
        <v>0</v>
      </c>
      <c r="H1814" s="51">
        <v>614580</v>
      </c>
      <c r="I1814" s="51">
        <v>-614580</v>
      </c>
      <c r="J1814" s="51">
        <v>0</v>
      </c>
      <c r="K1814" s="51">
        <v>96070</v>
      </c>
      <c r="L1814" s="51">
        <v>-96070</v>
      </c>
      <c r="M1814" s="51">
        <v>0</v>
      </c>
      <c r="N1814" s="51">
        <v>0</v>
      </c>
    </row>
    <row r="1815" spans="1:14" ht="15.75" x14ac:dyDescent="0.25">
      <c r="A1815" s="49" t="s">
        <v>325</v>
      </c>
      <c r="B1815" s="50" t="s">
        <v>53</v>
      </c>
      <c r="C1815" s="51">
        <v>656287</v>
      </c>
      <c r="D1815" s="51">
        <v>-720</v>
      </c>
      <c r="E1815" s="51">
        <v>0</v>
      </c>
      <c r="F1815" s="51">
        <v>0</v>
      </c>
      <c r="G1815" s="51">
        <v>0</v>
      </c>
      <c r="H1815" s="51">
        <v>655567</v>
      </c>
      <c r="I1815" s="51">
        <v>-655567</v>
      </c>
      <c r="J1815" s="51">
        <v>0</v>
      </c>
      <c r="K1815" s="51">
        <v>10563</v>
      </c>
      <c r="L1815" s="51">
        <v>-10563</v>
      </c>
      <c r="M1815" s="51">
        <v>0</v>
      </c>
      <c r="N1815" s="51">
        <v>0</v>
      </c>
    </row>
    <row r="1816" spans="1:14" ht="15.75" x14ac:dyDescent="0.25">
      <c r="A1816" s="49" t="s">
        <v>325</v>
      </c>
      <c r="B1816" s="50" t="s">
        <v>56</v>
      </c>
      <c r="C1816" s="51">
        <v>516638</v>
      </c>
      <c r="D1816" s="51">
        <v>-4993</v>
      </c>
      <c r="E1816" s="51">
        <v>0</v>
      </c>
      <c r="F1816" s="51">
        <v>0</v>
      </c>
      <c r="G1816" s="51">
        <v>0</v>
      </c>
      <c r="H1816" s="51">
        <v>511645</v>
      </c>
      <c r="I1816" s="51">
        <v>-511645</v>
      </c>
      <c r="J1816" s="51">
        <v>0</v>
      </c>
      <c r="K1816" s="51">
        <v>91</v>
      </c>
      <c r="L1816" s="51">
        <v>-91</v>
      </c>
      <c r="M1816" s="51">
        <v>0</v>
      </c>
      <c r="N1816" s="51">
        <v>0</v>
      </c>
    </row>
    <row r="1817" spans="1:14" ht="15.75" x14ac:dyDescent="0.25">
      <c r="A1817" s="49" t="s">
        <v>325</v>
      </c>
      <c r="B1817" s="50" t="s">
        <v>57</v>
      </c>
      <c r="C1817" s="51">
        <v>515926</v>
      </c>
      <c r="D1817" s="51">
        <v>-56010</v>
      </c>
      <c r="E1817" s="51">
        <v>0</v>
      </c>
      <c r="F1817" s="51">
        <v>0</v>
      </c>
      <c r="G1817" s="51">
        <v>0</v>
      </c>
      <c r="H1817" s="51">
        <v>459916</v>
      </c>
      <c r="I1817" s="51">
        <v>-459916</v>
      </c>
      <c r="J1817" s="51">
        <v>0</v>
      </c>
      <c r="K1817" s="51">
        <v>43206</v>
      </c>
      <c r="L1817" s="51">
        <v>-43206</v>
      </c>
      <c r="M1817" s="51">
        <v>0</v>
      </c>
      <c r="N1817" s="51">
        <v>0</v>
      </c>
    </row>
    <row r="1818" spans="1:14" ht="15.75" x14ac:dyDescent="0.25">
      <c r="A1818" s="49" t="s">
        <v>325</v>
      </c>
      <c r="B1818" s="50" t="s">
        <v>58</v>
      </c>
      <c r="C1818" s="51">
        <v>432737</v>
      </c>
      <c r="D1818" s="51">
        <v>-2240</v>
      </c>
      <c r="E1818" s="51">
        <v>0</v>
      </c>
      <c r="F1818" s="51">
        <v>0</v>
      </c>
      <c r="G1818" s="51">
        <v>0</v>
      </c>
      <c r="H1818" s="51">
        <v>430497</v>
      </c>
      <c r="I1818" s="51">
        <v>-430497</v>
      </c>
      <c r="J1818" s="51">
        <v>0</v>
      </c>
      <c r="K1818" s="51">
        <v>47080</v>
      </c>
      <c r="L1818" s="51">
        <v>-47080</v>
      </c>
      <c r="M1818" s="51">
        <v>0</v>
      </c>
      <c r="N1818" s="51">
        <v>0</v>
      </c>
    </row>
    <row r="1819" spans="1:14" ht="15.75" x14ac:dyDescent="0.25">
      <c r="A1819" s="49" t="s">
        <v>325</v>
      </c>
      <c r="B1819" s="50" t="s">
        <v>59</v>
      </c>
      <c r="C1819" s="51">
        <v>405451</v>
      </c>
      <c r="D1819" s="51">
        <v>-3893</v>
      </c>
      <c r="E1819" s="51">
        <v>0</v>
      </c>
      <c r="F1819" s="51">
        <v>0</v>
      </c>
      <c r="G1819" s="51">
        <v>0</v>
      </c>
      <c r="H1819" s="51">
        <v>401558</v>
      </c>
      <c r="I1819" s="51">
        <v>-401558</v>
      </c>
      <c r="J1819" s="51">
        <v>0</v>
      </c>
      <c r="K1819" s="51">
        <v>63393</v>
      </c>
      <c r="L1819" s="51">
        <v>-63393</v>
      </c>
      <c r="M1819" s="51">
        <v>0</v>
      </c>
      <c r="N1819" s="51">
        <v>0</v>
      </c>
    </row>
    <row r="1820" spans="1:14" ht="15.75" x14ac:dyDescent="0.25">
      <c r="A1820" s="49" t="s">
        <v>325</v>
      </c>
      <c r="B1820" s="50" t="s">
        <v>60</v>
      </c>
      <c r="C1820" s="51">
        <v>417191</v>
      </c>
      <c r="D1820" s="51">
        <v>-1553</v>
      </c>
      <c r="E1820" s="51">
        <v>0</v>
      </c>
      <c r="F1820" s="51">
        <v>0</v>
      </c>
      <c r="G1820" s="51">
        <v>0</v>
      </c>
      <c r="H1820" s="51">
        <v>415638</v>
      </c>
      <c r="I1820" s="51">
        <v>-415638</v>
      </c>
      <c r="J1820" s="51">
        <v>0</v>
      </c>
      <c r="K1820" s="51">
        <v>72268</v>
      </c>
      <c r="L1820" s="51">
        <v>-72268</v>
      </c>
      <c r="M1820" s="51">
        <v>0</v>
      </c>
      <c r="N1820" s="51">
        <v>0</v>
      </c>
    </row>
    <row r="1821" spans="1:14" ht="15.75" x14ac:dyDescent="0.25">
      <c r="A1821" s="49" t="s">
        <v>325</v>
      </c>
      <c r="B1821" s="50" t="s">
        <v>61</v>
      </c>
      <c r="C1821" s="51">
        <v>480589</v>
      </c>
      <c r="D1821" s="51">
        <v>-4896</v>
      </c>
      <c r="E1821" s="51">
        <v>0</v>
      </c>
      <c r="F1821" s="51">
        <v>0</v>
      </c>
      <c r="G1821" s="51">
        <v>0</v>
      </c>
      <c r="H1821" s="51">
        <v>475693</v>
      </c>
      <c r="I1821" s="51">
        <v>-475693</v>
      </c>
      <c r="J1821" s="51">
        <v>0</v>
      </c>
      <c r="K1821" s="51">
        <v>7796</v>
      </c>
      <c r="L1821" s="51">
        <v>-7796</v>
      </c>
      <c r="M1821" s="51">
        <v>0</v>
      </c>
      <c r="N1821" s="51">
        <v>0</v>
      </c>
    </row>
    <row r="1822" spans="1:14" ht="15.75" x14ac:dyDescent="0.25">
      <c r="A1822" s="49" t="s">
        <v>325</v>
      </c>
      <c r="B1822" s="50" t="s">
        <v>62</v>
      </c>
      <c r="C1822" s="51">
        <v>423209.15</v>
      </c>
      <c r="D1822" s="51">
        <v>-5471</v>
      </c>
      <c r="E1822" s="51">
        <v>0</v>
      </c>
      <c r="F1822" s="51">
        <v>0</v>
      </c>
      <c r="G1822" s="51">
        <v>0</v>
      </c>
      <c r="H1822" s="51">
        <v>417738.15</v>
      </c>
      <c r="I1822" s="51">
        <v>-417738.15</v>
      </c>
      <c r="J1822" s="51">
        <v>0</v>
      </c>
      <c r="K1822" s="51">
        <v>23533.85</v>
      </c>
      <c r="L1822" s="51">
        <v>-23533.85</v>
      </c>
      <c r="M1822" s="51">
        <v>0</v>
      </c>
      <c r="N1822" s="51">
        <v>0</v>
      </c>
    </row>
    <row r="1823" spans="1:14" ht="15.75" x14ac:dyDescent="0.25">
      <c r="A1823" s="49" t="s">
        <v>325</v>
      </c>
      <c r="B1823" s="50" t="s">
        <v>63</v>
      </c>
      <c r="C1823" s="51">
        <v>475777</v>
      </c>
      <c r="D1823" s="51">
        <v>-37935</v>
      </c>
      <c r="E1823" s="51">
        <v>0</v>
      </c>
      <c r="F1823" s="51">
        <v>0</v>
      </c>
      <c r="G1823" s="51">
        <v>0</v>
      </c>
      <c r="H1823" s="51">
        <v>437842</v>
      </c>
      <c r="I1823" s="51">
        <v>-437842</v>
      </c>
      <c r="J1823" s="51">
        <v>0</v>
      </c>
      <c r="K1823" s="51">
        <v>48509</v>
      </c>
      <c r="L1823" s="51">
        <v>-48509</v>
      </c>
      <c r="M1823" s="51">
        <v>0</v>
      </c>
      <c r="N1823" s="51">
        <v>0</v>
      </c>
    </row>
    <row r="1824" spans="1:14" ht="15.75" x14ac:dyDescent="0.25">
      <c r="A1824" s="49" t="s">
        <v>325</v>
      </c>
      <c r="B1824" s="50" t="s">
        <v>64</v>
      </c>
      <c r="C1824" s="51">
        <v>480898</v>
      </c>
      <c r="D1824" s="51">
        <v>-53444</v>
      </c>
      <c r="E1824" s="51">
        <v>0</v>
      </c>
      <c r="F1824" s="51">
        <v>0</v>
      </c>
      <c r="G1824" s="51">
        <v>0</v>
      </c>
      <c r="H1824" s="51">
        <v>427454</v>
      </c>
      <c r="I1824" s="51">
        <v>-427454</v>
      </c>
      <c r="J1824" s="51">
        <v>0</v>
      </c>
      <c r="K1824" s="51">
        <v>22731</v>
      </c>
      <c r="L1824" s="51">
        <v>-22731</v>
      </c>
      <c r="M1824" s="51">
        <v>0</v>
      </c>
      <c r="N1824" s="51">
        <v>0</v>
      </c>
    </row>
    <row r="1825" spans="1:14" ht="15.75" x14ac:dyDescent="0.25">
      <c r="A1825" s="49" t="s">
        <v>325</v>
      </c>
      <c r="B1825" s="50" t="s">
        <v>65</v>
      </c>
      <c r="C1825" s="51">
        <v>512004</v>
      </c>
      <c r="D1825" s="51">
        <v>-78175</v>
      </c>
      <c r="E1825" s="51">
        <v>0</v>
      </c>
      <c r="F1825" s="51">
        <v>0</v>
      </c>
      <c r="G1825" s="51">
        <v>0</v>
      </c>
      <c r="H1825" s="51">
        <v>433829</v>
      </c>
      <c r="I1825" s="51">
        <v>-433829</v>
      </c>
      <c r="J1825" s="51">
        <v>0</v>
      </c>
      <c r="K1825" s="51">
        <v>30507</v>
      </c>
      <c r="L1825" s="51">
        <v>-30507</v>
      </c>
      <c r="M1825" s="51">
        <v>0</v>
      </c>
      <c r="N1825" s="51">
        <v>0</v>
      </c>
    </row>
    <row r="1826" spans="1:14" ht="15.75" x14ac:dyDescent="0.25">
      <c r="A1826" s="49" t="s">
        <v>325</v>
      </c>
      <c r="B1826" s="50" t="s">
        <v>66</v>
      </c>
      <c r="C1826" s="51">
        <v>500793</v>
      </c>
      <c r="D1826" s="51">
        <v>-40890</v>
      </c>
      <c r="E1826" s="51">
        <v>0</v>
      </c>
      <c r="F1826" s="51">
        <v>0</v>
      </c>
      <c r="G1826" s="51">
        <v>0</v>
      </c>
      <c r="H1826" s="51">
        <v>459903</v>
      </c>
      <c r="I1826" s="51">
        <v>-459903</v>
      </c>
      <c r="J1826" s="51">
        <v>0</v>
      </c>
      <c r="K1826" s="51">
        <v>23183</v>
      </c>
      <c r="L1826" s="51">
        <v>-23183</v>
      </c>
      <c r="M1826" s="51">
        <v>0</v>
      </c>
      <c r="N1826" s="51">
        <v>0</v>
      </c>
    </row>
    <row r="1827" spans="1:14" ht="15.75" x14ac:dyDescent="0.25">
      <c r="A1827" s="49" t="s">
        <v>325</v>
      </c>
      <c r="B1827" s="50" t="s">
        <v>67</v>
      </c>
      <c r="C1827" s="51">
        <v>411584</v>
      </c>
      <c r="D1827" s="51">
        <v>-45587</v>
      </c>
      <c r="E1827" s="51">
        <v>0</v>
      </c>
      <c r="F1827" s="51">
        <v>0</v>
      </c>
      <c r="G1827" s="51">
        <v>0</v>
      </c>
      <c r="H1827" s="51">
        <v>365997</v>
      </c>
      <c r="I1827" s="51">
        <v>-365997</v>
      </c>
      <c r="J1827" s="51">
        <v>0</v>
      </c>
      <c r="K1827" s="51">
        <v>20643</v>
      </c>
      <c r="L1827" s="51">
        <v>-20643</v>
      </c>
      <c r="M1827" s="51">
        <v>0</v>
      </c>
      <c r="N1827" s="51">
        <v>0</v>
      </c>
    </row>
    <row r="1828" spans="1:14" ht="15.75" x14ac:dyDescent="0.25">
      <c r="A1828" s="49" t="s">
        <v>325</v>
      </c>
      <c r="B1828" s="50" t="s">
        <v>68</v>
      </c>
      <c r="C1828" s="51">
        <v>199482</v>
      </c>
      <c r="D1828" s="51">
        <v>-34006</v>
      </c>
      <c r="E1828" s="51">
        <v>0</v>
      </c>
      <c r="F1828" s="51">
        <v>0</v>
      </c>
      <c r="G1828" s="51">
        <v>0</v>
      </c>
      <c r="H1828" s="51">
        <v>165476</v>
      </c>
      <c r="I1828" s="51">
        <v>-165476</v>
      </c>
      <c r="J1828" s="51">
        <v>0</v>
      </c>
      <c r="K1828" s="51">
        <v>12308</v>
      </c>
      <c r="L1828" s="51">
        <v>-12308</v>
      </c>
      <c r="M1828" s="51">
        <v>0</v>
      </c>
      <c r="N1828" s="51">
        <v>0</v>
      </c>
    </row>
    <row r="1829" spans="1:14" ht="15.75" x14ac:dyDescent="0.25">
      <c r="A1829" s="52" t="s">
        <v>326</v>
      </c>
      <c r="B1829" s="53" t="s">
        <v>8</v>
      </c>
      <c r="C1829" s="19">
        <f>SUBTOTAL(109,Program120[(C)
Program
Costs])</f>
        <v>8168207.1500000004</v>
      </c>
      <c r="D1829" s="19">
        <f>SUBTOTAL(109,Program120[(D)
Prior Period Adjustments])</f>
        <v>-378034</v>
      </c>
      <c r="E1829" s="19">
        <f>SUBTOTAL(109,Program120[(E)
Current Period Desk 
Reviews])</f>
        <v>0</v>
      </c>
      <c r="F1829" s="19">
        <f>SUBTOTAL(109,Program120[(F)
Current Period 
Final 
Audits])</f>
        <v>0</v>
      </c>
      <c r="G1829" s="19">
        <f>SUBTOTAL(109,Program120[(G)
Current Period 
Other Adjustments])</f>
        <v>0</v>
      </c>
      <c r="H1829" s="19">
        <f>SUBTOTAL(109,Program120[(H)
Net Program Costs
Sum (C through G)])</f>
        <v>7790173.1500000004</v>
      </c>
      <c r="I1829" s="19">
        <f>SUBTOTAL(109,Program120[(I)
Payments
 and Offsets])</f>
        <v>-6673333.1500000004</v>
      </c>
      <c r="J1829" s="19">
        <f>SUBTOTAL(109,Program120[(J)
Accounts Payable Balance
(H + I)])</f>
        <v>1116840</v>
      </c>
      <c r="K1829" s="19">
        <f>SUBTOTAL(109,Program120[(K)
Established 
Accounts Receivable])</f>
        <v>521881.85</v>
      </c>
      <c r="L1829" s="19">
        <f>SUBTOTAL(109,Program120[(L)
Recovered
 Accounts Receivable])</f>
        <v>-521881.85</v>
      </c>
      <c r="M1829" s="19">
        <f>SUBTOTAL(109,Program120[(M)
Accounts Receivable Balance
(K + L)])</f>
        <v>0</v>
      </c>
      <c r="N1829" s="19">
        <f>SUBTOTAL(109,Program120[(N)
Net Balance
(J minus M)])</f>
        <v>1116840</v>
      </c>
    </row>
    <row r="1830" spans="1:14" ht="15.75" x14ac:dyDescent="0.25">
      <c r="A1830" s="17" t="s">
        <v>13</v>
      </c>
      <c r="B1830" s="54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78.75" x14ac:dyDescent="0.25">
      <c r="A1831" s="39" t="s">
        <v>32</v>
      </c>
      <c r="B1831" s="40" t="s">
        <v>33</v>
      </c>
      <c r="C1831" s="41" t="s">
        <v>34</v>
      </c>
      <c r="D1831" s="41" t="s">
        <v>35</v>
      </c>
      <c r="E1831" s="42" t="s">
        <v>36</v>
      </c>
      <c r="F1831" s="42" t="s">
        <v>37</v>
      </c>
      <c r="G1831" s="42" t="s">
        <v>38</v>
      </c>
      <c r="H1831" s="43" t="s">
        <v>39</v>
      </c>
      <c r="I1831" s="44" t="s">
        <v>40</v>
      </c>
      <c r="J1831" s="44" t="s">
        <v>41</v>
      </c>
      <c r="K1831" s="42" t="s">
        <v>42</v>
      </c>
      <c r="L1831" s="44" t="s">
        <v>43</v>
      </c>
      <c r="M1831" s="44" t="s">
        <v>44</v>
      </c>
      <c r="N1831" s="45" t="s">
        <v>45</v>
      </c>
    </row>
    <row r="1832" spans="1:14" ht="30" x14ac:dyDescent="0.25">
      <c r="A1832" s="67" t="s">
        <v>327</v>
      </c>
      <c r="B1832" s="57" t="s">
        <v>60</v>
      </c>
      <c r="C1832" s="58">
        <v>1257564</v>
      </c>
      <c r="D1832" s="58">
        <v>-3821</v>
      </c>
      <c r="E1832" s="58">
        <v>0</v>
      </c>
      <c r="F1832" s="58">
        <v>0</v>
      </c>
      <c r="G1832" s="58">
        <v>0</v>
      </c>
      <c r="H1832" s="58">
        <v>1253743</v>
      </c>
      <c r="I1832" s="58">
        <v>-1253743</v>
      </c>
      <c r="J1832" s="58">
        <v>0</v>
      </c>
      <c r="K1832" s="58">
        <v>0</v>
      </c>
      <c r="L1832" s="58">
        <v>0</v>
      </c>
      <c r="M1832" s="58">
        <v>0</v>
      </c>
      <c r="N1832" s="58">
        <v>0</v>
      </c>
    </row>
    <row r="1833" spans="1:14" ht="30" x14ac:dyDescent="0.25">
      <c r="A1833" s="68" t="s">
        <v>327</v>
      </c>
      <c r="B1833" s="60" t="s">
        <v>61</v>
      </c>
      <c r="C1833" s="61">
        <v>701796</v>
      </c>
      <c r="D1833" s="61">
        <v>-43892</v>
      </c>
      <c r="E1833" s="61">
        <v>0</v>
      </c>
      <c r="F1833" s="61">
        <v>0</v>
      </c>
      <c r="G1833" s="61">
        <v>0</v>
      </c>
      <c r="H1833" s="61">
        <v>657904</v>
      </c>
      <c r="I1833" s="61">
        <v>-657904</v>
      </c>
      <c r="J1833" s="61">
        <v>0</v>
      </c>
      <c r="K1833" s="61">
        <v>0</v>
      </c>
      <c r="L1833" s="61">
        <v>0</v>
      </c>
      <c r="M1833" s="61">
        <v>0</v>
      </c>
      <c r="N1833" s="61">
        <v>0</v>
      </c>
    </row>
    <row r="1834" spans="1:14" ht="30" x14ac:dyDescent="0.25">
      <c r="A1834" s="68" t="s">
        <v>327</v>
      </c>
      <c r="B1834" s="60" t="s">
        <v>66</v>
      </c>
      <c r="C1834" s="61">
        <v>1091302</v>
      </c>
      <c r="D1834" s="61">
        <v>-149581</v>
      </c>
      <c r="E1834" s="61">
        <v>0</v>
      </c>
      <c r="F1834" s="61">
        <v>0</v>
      </c>
      <c r="G1834" s="61">
        <v>0</v>
      </c>
      <c r="H1834" s="61">
        <v>941721</v>
      </c>
      <c r="I1834" s="61">
        <v>-941721</v>
      </c>
      <c r="J1834" s="61">
        <v>0</v>
      </c>
      <c r="K1834" s="61">
        <v>0</v>
      </c>
      <c r="L1834" s="61">
        <v>0</v>
      </c>
      <c r="M1834" s="61">
        <v>0</v>
      </c>
      <c r="N1834" s="61">
        <v>0</v>
      </c>
    </row>
    <row r="1835" spans="1:14" ht="30" x14ac:dyDescent="0.25">
      <c r="A1835" s="68" t="s">
        <v>327</v>
      </c>
      <c r="B1835" s="60" t="s">
        <v>67</v>
      </c>
      <c r="C1835" s="61">
        <v>7811783</v>
      </c>
      <c r="D1835" s="61">
        <v>-462684</v>
      </c>
      <c r="E1835" s="61">
        <v>0</v>
      </c>
      <c r="F1835" s="61">
        <v>0</v>
      </c>
      <c r="G1835" s="61">
        <v>0</v>
      </c>
      <c r="H1835" s="61">
        <v>7349099</v>
      </c>
      <c r="I1835" s="61">
        <v>-7349099</v>
      </c>
      <c r="J1835" s="61">
        <v>0</v>
      </c>
      <c r="K1835" s="61">
        <v>293279</v>
      </c>
      <c r="L1835" s="61">
        <v>-284557</v>
      </c>
      <c r="M1835" s="61">
        <v>8722</v>
      </c>
      <c r="N1835" s="61">
        <v>-8722</v>
      </c>
    </row>
    <row r="1836" spans="1:14" ht="30" x14ac:dyDescent="0.25">
      <c r="A1836" s="68" t="s">
        <v>327</v>
      </c>
      <c r="B1836" s="60" t="s">
        <v>68</v>
      </c>
      <c r="C1836" s="61">
        <v>0</v>
      </c>
      <c r="D1836" s="61">
        <v>10436</v>
      </c>
      <c r="E1836" s="61">
        <v>0</v>
      </c>
      <c r="F1836" s="61">
        <v>0</v>
      </c>
      <c r="G1836" s="61">
        <v>0</v>
      </c>
      <c r="H1836" s="61">
        <v>10436</v>
      </c>
      <c r="I1836" s="61">
        <v>-10436</v>
      </c>
      <c r="J1836" s="61">
        <v>0</v>
      </c>
      <c r="K1836" s="61">
        <v>692241</v>
      </c>
      <c r="L1836" s="61">
        <v>-692241</v>
      </c>
      <c r="M1836" s="61">
        <v>0</v>
      </c>
      <c r="N1836" s="61">
        <v>0</v>
      </c>
    </row>
    <row r="1837" spans="1:14" ht="30" x14ac:dyDescent="0.25">
      <c r="A1837" s="68" t="s">
        <v>327</v>
      </c>
      <c r="B1837" s="60" t="s">
        <v>69</v>
      </c>
      <c r="C1837" s="61">
        <v>0</v>
      </c>
      <c r="D1837" s="61">
        <v>10998</v>
      </c>
      <c r="E1837" s="61">
        <v>0</v>
      </c>
      <c r="F1837" s="61">
        <v>0</v>
      </c>
      <c r="G1837" s="61">
        <v>0</v>
      </c>
      <c r="H1837" s="61">
        <v>10998</v>
      </c>
      <c r="I1837" s="61">
        <v>-10998</v>
      </c>
      <c r="J1837" s="61">
        <v>0</v>
      </c>
      <c r="K1837" s="61">
        <v>43996</v>
      </c>
      <c r="L1837" s="61">
        <v>-43996</v>
      </c>
      <c r="M1837" s="61">
        <v>0</v>
      </c>
      <c r="N1837" s="61">
        <v>0</v>
      </c>
    </row>
    <row r="1838" spans="1:14" ht="30" x14ac:dyDescent="0.25">
      <c r="A1838" s="68" t="s">
        <v>327</v>
      </c>
      <c r="B1838" s="60" t="s">
        <v>115</v>
      </c>
      <c r="C1838" s="61">
        <v>0</v>
      </c>
      <c r="D1838" s="61">
        <v>0</v>
      </c>
      <c r="E1838" s="61">
        <v>0</v>
      </c>
      <c r="F1838" s="61">
        <v>0</v>
      </c>
      <c r="G1838" s="61">
        <v>0</v>
      </c>
      <c r="H1838" s="61">
        <v>0</v>
      </c>
      <c r="I1838" s="61">
        <v>0</v>
      </c>
      <c r="J1838" s="61">
        <v>0</v>
      </c>
      <c r="K1838" s="61">
        <v>15839</v>
      </c>
      <c r="L1838" s="61">
        <v>-15839</v>
      </c>
      <c r="M1838" s="61">
        <v>0</v>
      </c>
      <c r="N1838" s="61">
        <v>0</v>
      </c>
    </row>
    <row r="1839" spans="1:14" ht="30" x14ac:dyDescent="0.25">
      <c r="A1839" s="68" t="s">
        <v>327</v>
      </c>
      <c r="B1839" s="60" t="s">
        <v>99</v>
      </c>
      <c r="C1839" s="61">
        <v>0</v>
      </c>
      <c r="D1839" s="61">
        <v>0</v>
      </c>
      <c r="E1839" s="61">
        <v>0</v>
      </c>
      <c r="F1839" s="61">
        <v>0</v>
      </c>
      <c r="G1839" s="61">
        <v>0</v>
      </c>
      <c r="H1839" s="61">
        <v>0</v>
      </c>
      <c r="I1839" s="61">
        <v>0</v>
      </c>
      <c r="J1839" s="61">
        <v>0</v>
      </c>
      <c r="K1839" s="61">
        <v>670</v>
      </c>
      <c r="L1839" s="61">
        <v>-670</v>
      </c>
      <c r="M1839" s="61">
        <v>0</v>
      </c>
      <c r="N1839" s="61">
        <v>0</v>
      </c>
    </row>
    <row r="1840" spans="1:14" ht="15.75" x14ac:dyDescent="0.25">
      <c r="A1840" s="52" t="s">
        <v>328</v>
      </c>
      <c r="B1840" s="53" t="s">
        <v>8</v>
      </c>
      <c r="C1840" s="19">
        <f>SUBTOTAL(109,Program064[(C)
Program
Costs])</f>
        <v>10862445</v>
      </c>
      <c r="D1840" s="19">
        <f>SUBTOTAL(109,Program064[(D)
Prior Period Adjustments])</f>
        <v>-638544</v>
      </c>
      <c r="E1840" s="19">
        <f>SUBTOTAL(109,Program064[(E)
Current Period Desk 
Reviews])</f>
        <v>0</v>
      </c>
      <c r="F1840" s="19">
        <f>SUBTOTAL(109,Program064[(F)
Current Period 
Final 
Audits])</f>
        <v>0</v>
      </c>
      <c r="G1840" s="19">
        <f>SUBTOTAL(109,Program064[(G)
Current Period 
Other Adjustments])</f>
        <v>0</v>
      </c>
      <c r="H1840" s="19">
        <f>SUBTOTAL(109,Program064[(H)
Net Program Costs
Sum (C through G)])</f>
        <v>10223901</v>
      </c>
      <c r="I1840" s="19">
        <f>SUBTOTAL(109,Program064[(I)
Payments
 and Offsets])</f>
        <v>-10223901</v>
      </c>
      <c r="J1840" s="19">
        <f>SUBTOTAL(109,Program064[(J)
Accounts Payable Balance
(H + I)])</f>
        <v>0</v>
      </c>
      <c r="K1840" s="19">
        <f>SUBTOTAL(109,Program064[(K)
Established 
Accounts Receivable])</f>
        <v>1046025</v>
      </c>
      <c r="L1840" s="19">
        <f>SUBTOTAL(109,Program064[(L)
Recovered
 Accounts Receivable])</f>
        <v>-1037303</v>
      </c>
      <c r="M1840" s="19">
        <f>SUBTOTAL(109,Program064[(M)
Accounts Receivable Balance
(K + L)])</f>
        <v>8722</v>
      </c>
      <c r="N1840" s="19">
        <f>SUBTOTAL(109,Program064[(N)
Net Balance
(J minus M)])</f>
        <v>-8722</v>
      </c>
    </row>
    <row r="1841" spans="1:14" ht="15.75" x14ac:dyDescent="0.25">
      <c r="A1841" s="17" t="s">
        <v>13</v>
      </c>
      <c r="B1841" s="54"/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  <c r="M1841" s="55"/>
      <c r="N1841" s="55"/>
    </row>
    <row r="1842" spans="1:14" ht="78.75" x14ac:dyDescent="0.25">
      <c r="A1842" s="39" t="s">
        <v>32</v>
      </c>
      <c r="B1842" s="40" t="s">
        <v>33</v>
      </c>
      <c r="C1842" s="41" t="s">
        <v>34</v>
      </c>
      <c r="D1842" s="41" t="s">
        <v>35</v>
      </c>
      <c r="E1842" s="42" t="s">
        <v>36</v>
      </c>
      <c r="F1842" s="42" t="s">
        <v>37</v>
      </c>
      <c r="G1842" s="42" t="s">
        <v>38</v>
      </c>
      <c r="H1842" s="43" t="s">
        <v>39</v>
      </c>
      <c r="I1842" s="44" t="s">
        <v>40</v>
      </c>
      <c r="J1842" s="44" t="s">
        <v>41</v>
      </c>
      <c r="K1842" s="42" t="s">
        <v>42</v>
      </c>
      <c r="L1842" s="44" t="s">
        <v>43</v>
      </c>
      <c r="M1842" s="44" t="s">
        <v>44</v>
      </c>
      <c r="N1842" s="45" t="s">
        <v>45</v>
      </c>
    </row>
    <row r="1843" spans="1:14" ht="15.75" x14ac:dyDescent="0.25">
      <c r="A1843" s="46" t="s">
        <v>329</v>
      </c>
      <c r="B1843" s="47" t="s">
        <v>66</v>
      </c>
      <c r="C1843" s="48">
        <v>2136</v>
      </c>
      <c r="D1843" s="48">
        <v>0</v>
      </c>
      <c r="E1843" s="48">
        <v>0</v>
      </c>
      <c r="F1843" s="48">
        <v>0</v>
      </c>
      <c r="G1843" s="48">
        <v>0</v>
      </c>
      <c r="H1843" s="48">
        <v>2136</v>
      </c>
      <c r="I1843" s="48">
        <v>-2136</v>
      </c>
      <c r="J1843" s="48">
        <v>0</v>
      </c>
      <c r="K1843" s="48">
        <v>0</v>
      </c>
      <c r="L1843" s="48">
        <v>0</v>
      </c>
      <c r="M1843" s="48">
        <v>0</v>
      </c>
      <c r="N1843" s="48">
        <v>0</v>
      </c>
    </row>
    <row r="1844" spans="1:14" ht="15.75" x14ac:dyDescent="0.25">
      <c r="A1844" s="49" t="s">
        <v>329</v>
      </c>
      <c r="B1844" s="50" t="s">
        <v>67</v>
      </c>
      <c r="C1844" s="51">
        <v>18119</v>
      </c>
      <c r="D1844" s="51">
        <v>0</v>
      </c>
      <c r="E1844" s="51">
        <v>0</v>
      </c>
      <c r="F1844" s="51">
        <v>0</v>
      </c>
      <c r="G1844" s="51">
        <v>0</v>
      </c>
      <c r="H1844" s="51">
        <v>18119</v>
      </c>
      <c r="I1844" s="51">
        <v>-18119</v>
      </c>
      <c r="J1844" s="51">
        <v>0</v>
      </c>
      <c r="K1844" s="51">
        <v>0</v>
      </c>
      <c r="L1844" s="51">
        <v>0</v>
      </c>
      <c r="M1844" s="51">
        <v>0</v>
      </c>
      <c r="N1844" s="51">
        <v>0</v>
      </c>
    </row>
    <row r="1845" spans="1:14" ht="15.75" x14ac:dyDescent="0.25">
      <c r="A1845" s="52" t="s">
        <v>330</v>
      </c>
      <c r="B1845" s="53" t="s">
        <v>8</v>
      </c>
      <c r="C1845" s="19">
        <f>SUBTOTAL(109,Program065[(C)
Program
Costs])</f>
        <v>20255</v>
      </c>
      <c r="D1845" s="19">
        <f>SUBTOTAL(109,Program065[(D)
Prior Period Adjustments])</f>
        <v>0</v>
      </c>
      <c r="E1845" s="19">
        <f>SUBTOTAL(109,Program065[(E)
Current Period Desk 
Reviews])</f>
        <v>0</v>
      </c>
      <c r="F1845" s="19">
        <f>SUBTOTAL(109,Program065[(F)
Current Period 
Final 
Audits])</f>
        <v>0</v>
      </c>
      <c r="G1845" s="19">
        <f>SUBTOTAL(109,Program065[(G)
Current Period 
Other Adjustments])</f>
        <v>0</v>
      </c>
      <c r="H1845" s="19">
        <f>SUBTOTAL(109,Program065[(H)
Net Program Costs
Sum (C through G)])</f>
        <v>20255</v>
      </c>
      <c r="I1845" s="19">
        <f>SUBTOTAL(109,Program065[(I)
Payments
 and Offsets])</f>
        <v>-20255</v>
      </c>
      <c r="J1845" s="19">
        <f>SUBTOTAL(109,Program065[(J)
Accounts Payable Balance
(H + I)])</f>
        <v>0</v>
      </c>
      <c r="K1845" s="19">
        <f>SUBTOTAL(109,Program065[(K)
Established 
Accounts Receivable])</f>
        <v>0</v>
      </c>
      <c r="L1845" s="19">
        <f>SUBTOTAL(109,Program065[(L)
Recovered
 Accounts Receivable])</f>
        <v>0</v>
      </c>
      <c r="M1845" s="19">
        <f>SUBTOTAL(109,Program065[(M)
Accounts Receivable Balance
(K + L)])</f>
        <v>0</v>
      </c>
      <c r="N1845" s="19">
        <f>SUBTOTAL(109,Program065[(N)
Net Balance
(J minus M)])</f>
        <v>0</v>
      </c>
    </row>
    <row r="1846" spans="1:14" ht="15.75" x14ac:dyDescent="0.25">
      <c r="A1846" s="17" t="s">
        <v>13</v>
      </c>
      <c r="B1846" s="54"/>
      <c r="C1846" s="55"/>
      <c r="D1846" s="55"/>
      <c r="E1846" s="55"/>
      <c r="F1846" s="55"/>
      <c r="G1846" s="55"/>
      <c r="H1846" s="55"/>
      <c r="I1846" s="55"/>
      <c r="J1846" s="55"/>
      <c r="K1846" s="55"/>
      <c r="L1846" s="55"/>
      <c r="M1846" s="55"/>
      <c r="N1846" s="55"/>
    </row>
    <row r="1847" spans="1:14" ht="78.75" x14ac:dyDescent="0.25">
      <c r="A1847" s="39" t="s">
        <v>32</v>
      </c>
      <c r="B1847" s="40" t="s">
        <v>33</v>
      </c>
      <c r="C1847" s="41" t="s">
        <v>34</v>
      </c>
      <c r="D1847" s="41" t="s">
        <v>35</v>
      </c>
      <c r="E1847" s="42" t="s">
        <v>36</v>
      </c>
      <c r="F1847" s="42" t="s">
        <v>37</v>
      </c>
      <c r="G1847" s="42" t="s">
        <v>38</v>
      </c>
      <c r="H1847" s="43" t="s">
        <v>39</v>
      </c>
      <c r="I1847" s="44" t="s">
        <v>40</v>
      </c>
      <c r="J1847" s="44" t="s">
        <v>41</v>
      </c>
      <c r="K1847" s="42" t="s">
        <v>42</v>
      </c>
      <c r="L1847" s="44" t="s">
        <v>43</v>
      </c>
      <c r="M1847" s="44" t="s">
        <v>44</v>
      </c>
      <c r="N1847" s="45" t="s">
        <v>45</v>
      </c>
    </row>
    <row r="1848" spans="1:14" ht="15.75" x14ac:dyDescent="0.25">
      <c r="A1848" s="46" t="s">
        <v>331</v>
      </c>
      <c r="B1848" s="47" t="s">
        <v>76</v>
      </c>
      <c r="C1848" s="48">
        <v>25054</v>
      </c>
      <c r="D1848" s="48">
        <v>0</v>
      </c>
      <c r="E1848" s="48">
        <v>0</v>
      </c>
      <c r="F1848" s="48">
        <v>0</v>
      </c>
      <c r="G1848" s="48">
        <v>0</v>
      </c>
      <c r="H1848" s="48">
        <v>25054</v>
      </c>
      <c r="I1848" s="48">
        <v>0</v>
      </c>
      <c r="J1848" s="48">
        <v>25054</v>
      </c>
      <c r="K1848" s="48">
        <v>0</v>
      </c>
      <c r="L1848" s="48">
        <v>0</v>
      </c>
      <c r="M1848" s="48">
        <v>0</v>
      </c>
      <c r="N1848" s="48">
        <v>25054</v>
      </c>
    </row>
    <row r="1849" spans="1:14" ht="15.75" x14ac:dyDescent="0.25">
      <c r="A1849" s="49" t="s">
        <v>331</v>
      </c>
      <c r="B1849" s="50" t="s">
        <v>77</v>
      </c>
      <c r="C1849" s="51">
        <v>12770</v>
      </c>
      <c r="D1849" s="51">
        <v>0</v>
      </c>
      <c r="E1849" s="51">
        <v>0</v>
      </c>
      <c r="F1849" s="51">
        <v>0</v>
      </c>
      <c r="G1849" s="51">
        <v>0</v>
      </c>
      <c r="H1849" s="51">
        <v>12770</v>
      </c>
      <c r="I1849" s="51">
        <v>0</v>
      </c>
      <c r="J1849" s="51">
        <v>12770</v>
      </c>
      <c r="K1849" s="51">
        <v>0</v>
      </c>
      <c r="L1849" s="51">
        <v>0</v>
      </c>
      <c r="M1849" s="51">
        <v>0</v>
      </c>
      <c r="N1849" s="51">
        <v>12770</v>
      </c>
    </row>
    <row r="1850" spans="1:14" ht="15.75" x14ac:dyDescent="0.25">
      <c r="A1850" s="49" t="s">
        <v>331</v>
      </c>
      <c r="B1850" s="50" t="s">
        <v>78</v>
      </c>
      <c r="C1850" s="51">
        <v>55019</v>
      </c>
      <c r="D1850" s="51">
        <v>0</v>
      </c>
      <c r="E1850" s="51">
        <v>0</v>
      </c>
      <c r="F1850" s="51">
        <v>0</v>
      </c>
      <c r="G1850" s="51">
        <v>0</v>
      </c>
      <c r="H1850" s="51">
        <v>55019</v>
      </c>
      <c r="I1850" s="51">
        <v>0</v>
      </c>
      <c r="J1850" s="51">
        <v>55019</v>
      </c>
      <c r="K1850" s="51">
        <v>0</v>
      </c>
      <c r="L1850" s="51">
        <v>0</v>
      </c>
      <c r="M1850" s="51">
        <v>0</v>
      </c>
      <c r="N1850" s="51">
        <v>55019</v>
      </c>
    </row>
    <row r="1851" spans="1:14" ht="15.75" x14ac:dyDescent="0.25">
      <c r="A1851" s="49" t="s">
        <v>331</v>
      </c>
      <c r="B1851" s="50" t="s">
        <v>80</v>
      </c>
      <c r="C1851" s="51">
        <v>1354</v>
      </c>
      <c r="D1851" s="51">
        <v>0</v>
      </c>
      <c r="E1851" s="51">
        <v>0</v>
      </c>
      <c r="F1851" s="51">
        <v>0</v>
      </c>
      <c r="G1851" s="51">
        <v>0</v>
      </c>
      <c r="H1851" s="51">
        <v>1354</v>
      </c>
      <c r="I1851" s="51">
        <v>-1354</v>
      </c>
      <c r="J1851" s="51">
        <v>0</v>
      </c>
      <c r="K1851" s="51">
        <v>0</v>
      </c>
      <c r="L1851" s="51">
        <v>0</v>
      </c>
      <c r="M1851" s="51">
        <v>0</v>
      </c>
      <c r="N1851" s="51">
        <v>0</v>
      </c>
    </row>
    <row r="1852" spans="1:14" ht="15.75" x14ac:dyDescent="0.25">
      <c r="A1852" s="49" t="s">
        <v>331</v>
      </c>
      <c r="B1852" s="50" t="s">
        <v>81</v>
      </c>
      <c r="C1852" s="51">
        <v>58907</v>
      </c>
      <c r="D1852" s="51">
        <v>-58907</v>
      </c>
      <c r="E1852" s="51">
        <v>0</v>
      </c>
      <c r="F1852" s="51">
        <v>0</v>
      </c>
      <c r="G1852" s="51">
        <v>0</v>
      </c>
      <c r="H1852" s="51">
        <v>0</v>
      </c>
      <c r="I1852" s="51">
        <v>0</v>
      </c>
      <c r="J1852" s="51">
        <v>0</v>
      </c>
      <c r="K1852" s="51">
        <v>0</v>
      </c>
      <c r="L1852" s="51">
        <v>0</v>
      </c>
      <c r="M1852" s="51">
        <v>0</v>
      </c>
      <c r="N1852" s="51">
        <v>0</v>
      </c>
    </row>
    <row r="1853" spans="1:14" ht="15.75" x14ac:dyDescent="0.25">
      <c r="A1853" s="49" t="s">
        <v>331</v>
      </c>
      <c r="B1853" s="50" t="s">
        <v>82</v>
      </c>
      <c r="C1853" s="51">
        <v>210066</v>
      </c>
      <c r="D1853" s="51">
        <v>-6001</v>
      </c>
      <c r="E1853" s="51">
        <v>0</v>
      </c>
      <c r="F1853" s="51">
        <v>0</v>
      </c>
      <c r="G1853" s="51">
        <v>0</v>
      </c>
      <c r="H1853" s="51">
        <v>204065</v>
      </c>
      <c r="I1853" s="51">
        <v>-204065</v>
      </c>
      <c r="J1853" s="51">
        <v>0</v>
      </c>
      <c r="K1853" s="51">
        <v>0</v>
      </c>
      <c r="L1853" s="51">
        <v>0</v>
      </c>
      <c r="M1853" s="51">
        <v>0</v>
      </c>
      <c r="N1853" s="51">
        <v>0</v>
      </c>
    </row>
    <row r="1854" spans="1:14" ht="15.75" x14ac:dyDescent="0.25">
      <c r="A1854" s="49" t="s">
        <v>331</v>
      </c>
      <c r="B1854" s="50" t="s">
        <v>48</v>
      </c>
      <c r="C1854" s="51">
        <v>2786</v>
      </c>
      <c r="D1854" s="51">
        <v>0</v>
      </c>
      <c r="E1854" s="51">
        <v>0</v>
      </c>
      <c r="F1854" s="51">
        <v>0</v>
      </c>
      <c r="G1854" s="51">
        <v>0</v>
      </c>
      <c r="H1854" s="51">
        <v>2786</v>
      </c>
      <c r="I1854" s="51">
        <v>-2786</v>
      </c>
      <c r="J1854" s="51">
        <v>0</v>
      </c>
      <c r="K1854" s="51">
        <v>0</v>
      </c>
      <c r="L1854" s="51">
        <v>0</v>
      </c>
      <c r="M1854" s="51">
        <v>0</v>
      </c>
      <c r="N1854" s="51">
        <v>0</v>
      </c>
    </row>
    <row r="1855" spans="1:14" ht="15.75" x14ac:dyDescent="0.25">
      <c r="A1855" s="49" t="s">
        <v>331</v>
      </c>
      <c r="B1855" s="50" t="s">
        <v>49</v>
      </c>
      <c r="C1855" s="51">
        <v>25437</v>
      </c>
      <c r="D1855" s="51">
        <v>0</v>
      </c>
      <c r="E1855" s="51">
        <v>0</v>
      </c>
      <c r="F1855" s="51">
        <v>0</v>
      </c>
      <c r="G1855" s="51">
        <v>0</v>
      </c>
      <c r="H1855" s="51">
        <v>25437</v>
      </c>
      <c r="I1855" s="51">
        <v>-25437</v>
      </c>
      <c r="J1855" s="51">
        <v>0</v>
      </c>
      <c r="K1855" s="51">
        <v>0</v>
      </c>
      <c r="L1855" s="51">
        <v>0</v>
      </c>
      <c r="M1855" s="51">
        <v>0</v>
      </c>
      <c r="N1855" s="51">
        <v>0</v>
      </c>
    </row>
    <row r="1856" spans="1:14" ht="15.75" x14ac:dyDescent="0.25">
      <c r="A1856" s="49" t="s">
        <v>331</v>
      </c>
      <c r="B1856" s="50" t="s">
        <v>50</v>
      </c>
      <c r="C1856" s="51">
        <v>35050</v>
      </c>
      <c r="D1856" s="51">
        <v>0</v>
      </c>
      <c r="E1856" s="51">
        <v>0</v>
      </c>
      <c r="F1856" s="51">
        <v>0</v>
      </c>
      <c r="G1856" s="51">
        <v>0</v>
      </c>
      <c r="H1856" s="51">
        <v>35050</v>
      </c>
      <c r="I1856" s="51">
        <v>-35050</v>
      </c>
      <c r="J1856" s="51">
        <v>0</v>
      </c>
      <c r="K1856" s="51">
        <v>0</v>
      </c>
      <c r="L1856" s="51">
        <v>0</v>
      </c>
      <c r="M1856" s="51">
        <v>0</v>
      </c>
      <c r="N1856" s="51">
        <v>0</v>
      </c>
    </row>
    <row r="1857" spans="1:14" ht="15.75" x14ac:dyDescent="0.25">
      <c r="A1857" s="49" t="s">
        <v>331</v>
      </c>
      <c r="B1857" s="50" t="s">
        <v>51</v>
      </c>
      <c r="C1857" s="51">
        <v>141972</v>
      </c>
      <c r="D1857" s="51">
        <v>-355</v>
      </c>
      <c r="E1857" s="51">
        <v>0</v>
      </c>
      <c r="F1857" s="51">
        <v>0</v>
      </c>
      <c r="G1857" s="51">
        <v>0</v>
      </c>
      <c r="H1857" s="51">
        <v>141617</v>
      </c>
      <c r="I1857" s="51">
        <v>-141617</v>
      </c>
      <c r="J1857" s="51">
        <v>0</v>
      </c>
      <c r="K1857" s="51">
        <v>0</v>
      </c>
      <c r="L1857" s="51">
        <v>0</v>
      </c>
      <c r="M1857" s="51">
        <v>0</v>
      </c>
      <c r="N1857" s="51">
        <v>0</v>
      </c>
    </row>
    <row r="1858" spans="1:14" ht="15.75" x14ac:dyDescent="0.25">
      <c r="A1858" s="49" t="s">
        <v>331</v>
      </c>
      <c r="B1858" s="50" t="s">
        <v>52</v>
      </c>
      <c r="C1858" s="51">
        <v>24496</v>
      </c>
      <c r="D1858" s="51">
        <v>0</v>
      </c>
      <c r="E1858" s="51">
        <v>0</v>
      </c>
      <c r="F1858" s="51">
        <v>0</v>
      </c>
      <c r="G1858" s="51">
        <v>0</v>
      </c>
      <c r="H1858" s="51">
        <v>24496</v>
      </c>
      <c r="I1858" s="51">
        <v>-24496</v>
      </c>
      <c r="J1858" s="51">
        <v>0</v>
      </c>
      <c r="K1858" s="51">
        <v>1666</v>
      </c>
      <c r="L1858" s="51">
        <v>-1666</v>
      </c>
      <c r="M1858" s="51">
        <v>0</v>
      </c>
      <c r="N1858" s="51">
        <v>0</v>
      </c>
    </row>
    <row r="1859" spans="1:14" ht="15.75" x14ac:dyDescent="0.25">
      <c r="A1859" s="49" t="s">
        <v>331</v>
      </c>
      <c r="B1859" s="50" t="s">
        <v>53</v>
      </c>
      <c r="C1859" s="51">
        <v>73135</v>
      </c>
      <c r="D1859" s="51">
        <v>0</v>
      </c>
      <c r="E1859" s="51">
        <v>0</v>
      </c>
      <c r="F1859" s="51">
        <v>0</v>
      </c>
      <c r="G1859" s="51">
        <v>0</v>
      </c>
      <c r="H1859" s="51">
        <v>73135</v>
      </c>
      <c r="I1859" s="51">
        <v>-73135</v>
      </c>
      <c r="J1859" s="51">
        <v>0</v>
      </c>
      <c r="K1859" s="51">
        <v>733</v>
      </c>
      <c r="L1859" s="51">
        <v>-733</v>
      </c>
      <c r="M1859" s="51">
        <v>0</v>
      </c>
      <c r="N1859" s="51">
        <v>0</v>
      </c>
    </row>
    <row r="1860" spans="1:14" ht="15.75" x14ac:dyDescent="0.25">
      <c r="A1860" s="49" t="s">
        <v>331</v>
      </c>
      <c r="B1860" s="50" t="s">
        <v>54</v>
      </c>
      <c r="C1860" s="51">
        <v>2917</v>
      </c>
      <c r="D1860" s="51">
        <v>0</v>
      </c>
      <c r="E1860" s="51">
        <v>0</v>
      </c>
      <c r="F1860" s="51">
        <v>0</v>
      </c>
      <c r="G1860" s="51">
        <v>0</v>
      </c>
      <c r="H1860" s="51">
        <v>2917</v>
      </c>
      <c r="I1860" s="51">
        <v>-2917</v>
      </c>
      <c r="J1860" s="51">
        <v>0</v>
      </c>
      <c r="K1860" s="51">
        <v>0</v>
      </c>
      <c r="L1860" s="51">
        <v>0</v>
      </c>
      <c r="M1860" s="51">
        <v>0</v>
      </c>
      <c r="N1860" s="51">
        <v>0</v>
      </c>
    </row>
    <row r="1861" spans="1:14" ht="15.75" x14ac:dyDescent="0.25">
      <c r="A1861" s="49" t="s">
        <v>331</v>
      </c>
      <c r="B1861" s="50" t="s">
        <v>55</v>
      </c>
      <c r="C1861" s="51">
        <v>2005</v>
      </c>
      <c r="D1861" s="51">
        <v>0</v>
      </c>
      <c r="E1861" s="51">
        <v>0</v>
      </c>
      <c r="F1861" s="51">
        <v>0</v>
      </c>
      <c r="G1861" s="51">
        <v>0</v>
      </c>
      <c r="H1861" s="51">
        <v>2005</v>
      </c>
      <c r="I1861" s="51">
        <v>-2005</v>
      </c>
      <c r="J1861" s="51">
        <v>0</v>
      </c>
      <c r="K1861" s="51">
        <v>0</v>
      </c>
      <c r="L1861" s="51">
        <v>0</v>
      </c>
      <c r="M1861" s="51">
        <v>0</v>
      </c>
      <c r="N1861" s="51">
        <v>0</v>
      </c>
    </row>
    <row r="1862" spans="1:14" ht="15.75" x14ac:dyDescent="0.25">
      <c r="A1862" s="49" t="s">
        <v>331</v>
      </c>
      <c r="B1862" s="50" t="s">
        <v>56</v>
      </c>
      <c r="C1862" s="51">
        <v>23658</v>
      </c>
      <c r="D1862" s="51">
        <v>-487</v>
      </c>
      <c r="E1862" s="51">
        <v>0</v>
      </c>
      <c r="F1862" s="51">
        <v>0</v>
      </c>
      <c r="G1862" s="51">
        <v>0</v>
      </c>
      <c r="H1862" s="51">
        <v>23171</v>
      </c>
      <c r="I1862" s="51">
        <v>-23171</v>
      </c>
      <c r="J1862" s="51">
        <v>0</v>
      </c>
      <c r="K1862" s="51">
        <v>0</v>
      </c>
      <c r="L1862" s="51">
        <v>0</v>
      </c>
      <c r="M1862" s="51">
        <v>0</v>
      </c>
      <c r="N1862" s="51">
        <v>0</v>
      </c>
    </row>
    <row r="1863" spans="1:14" ht="15.75" x14ac:dyDescent="0.25">
      <c r="A1863" s="49" t="s">
        <v>331</v>
      </c>
      <c r="B1863" s="50" t="s">
        <v>57</v>
      </c>
      <c r="C1863" s="51">
        <v>543</v>
      </c>
      <c r="D1863" s="51">
        <v>-543</v>
      </c>
      <c r="E1863" s="51">
        <v>0</v>
      </c>
      <c r="F1863" s="51">
        <v>0</v>
      </c>
      <c r="G1863" s="51">
        <v>0</v>
      </c>
      <c r="H1863" s="51">
        <v>0</v>
      </c>
      <c r="I1863" s="51">
        <v>0</v>
      </c>
      <c r="J1863" s="51">
        <v>0</v>
      </c>
      <c r="K1863" s="51">
        <v>500</v>
      </c>
      <c r="L1863" s="51">
        <v>-500</v>
      </c>
      <c r="M1863" s="51">
        <v>0</v>
      </c>
      <c r="N1863" s="51">
        <v>0</v>
      </c>
    </row>
    <row r="1864" spans="1:14" ht="15.75" x14ac:dyDescent="0.25">
      <c r="A1864" s="49" t="s">
        <v>331</v>
      </c>
      <c r="B1864" s="50" t="s">
        <v>58</v>
      </c>
      <c r="C1864" s="51">
        <v>711</v>
      </c>
      <c r="D1864" s="51">
        <v>0</v>
      </c>
      <c r="E1864" s="51">
        <v>0</v>
      </c>
      <c r="F1864" s="51">
        <v>0</v>
      </c>
      <c r="G1864" s="51">
        <v>0</v>
      </c>
      <c r="H1864" s="51">
        <v>711</v>
      </c>
      <c r="I1864" s="51">
        <v>-711</v>
      </c>
      <c r="J1864" s="51">
        <v>0</v>
      </c>
      <c r="K1864" s="51">
        <v>5000</v>
      </c>
      <c r="L1864" s="51">
        <v>-5000</v>
      </c>
      <c r="M1864" s="51">
        <v>0</v>
      </c>
      <c r="N1864" s="51">
        <v>0</v>
      </c>
    </row>
    <row r="1865" spans="1:14" ht="15.75" x14ac:dyDescent="0.25">
      <c r="A1865" s="49" t="s">
        <v>331</v>
      </c>
      <c r="B1865" s="50" t="s">
        <v>59</v>
      </c>
      <c r="C1865" s="51">
        <v>22901</v>
      </c>
      <c r="D1865" s="51">
        <v>0</v>
      </c>
      <c r="E1865" s="51">
        <v>0</v>
      </c>
      <c r="F1865" s="51">
        <v>0</v>
      </c>
      <c r="G1865" s="51">
        <v>0</v>
      </c>
      <c r="H1865" s="51">
        <v>22901</v>
      </c>
      <c r="I1865" s="51">
        <v>-22901</v>
      </c>
      <c r="J1865" s="51">
        <v>0</v>
      </c>
      <c r="K1865" s="51">
        <v>0</v>
      </c>
      <c r="L1865" s="51">
        <v>0</v>
      </c>
      <c r="M1865" s="51">
        <v>0</v>
      </c>
      <c r="N1865" s="51">
        <v>0</v>
      </c>
    </row>
    <row r="1866" spans="1:14" ht="15.75" x14ac:dyDescent="0.25">
      <c r="A1866" s="49" t="s">
        <v>331</v>
      </c>
      <c r="B1866" s="50" t="s">
        <v>60</v>
      </c>
      <c r="C1866" s="51">
        <v>198873</v>
      </c>
      <c r="D1866" s="51">
        <v>0</v>
      </c>
      <c r="E1866" s="51">
        <v>0</v>
      </c>
      <c r="F1866" s="51">
        <v>0</v>
      </c>
      <c r="G1866" s="51">
        <v>0</v>
      </c>
      <c r="H1866" s="51">
        <v>198873</v>
      </c>
      <c r="I1866" s="51">
        <v>-198873</v>
      </c>
      <c r="J1866" s="51">
        <v>0</v>
      </c>
      <c r="K1866" s="51">
        <v>0</v>
      </c>
      <c r="L1866" s="51">
        <v>0</v>
      </c>
      <c r="M1866" s="51">
        <v>0</v>
      </c>
      <c r="N1866" s="51">
        <v>0</v>
      </c>
    </row>
    <row r="1867" spans="1:14" ht="15.75" x14ac:dyDescent="0.25">
      <c r="A1867" s="49" t="s">
        <v>331</v>
      </c>
      <c r="B1867" s="50" t="s">
        <v>61</v>
      </c>
      <c r="C1867" s="51">
        <v>376078</v>
      </c>
      <c r="D1867" s="51">
        <v>-2078</v>
      </c>
      <c r="E1867" s="51">
        <v>0</v>
      </c>
      <c r="F1867" s="51">
        <v>0</v>
      </c>
      <c r="G1867" s="51">
        <v>0</v>
      </c>
      <c r="H1867" s="51">
        <v>374000</v>
      </c>
      <c r="I1867" s="51">
        <v>-374000</v>
      </c>
      <c r="J1867" s="51">
        <v>0</v>
      </c>
      <c r="K1867" s="51">
        <v>0</v>
      </c>
      <c r="L1867" s="51">
        <v>0</v>
      </c>
      <c r="M1867" s="51">
        <v>0</v>
      </c>
      <c r="N1867" s="51">
        <v>0</v>
      </c>
    </row>
    <row r="1868" spans="1:14" ht="15.75" x14ac:dyDescent="0.25">
      <c r="A1868" s="49" t="s">
        <v>331</v>
      </c>
      <c r="B1868" s="50" t="s">
        <v>62</v>
      </c>
      <c r="C1868" s="51">
        <v>115660</v>
      </c>
      <c r="D1868" s="51">
        <v>-1000</v>
      </c>
      <c r="E1868" s="51">
        <v>0</v>
      </c>
      <c r="F1868" s="51">
        <v>0</v>
      </c>
      <c r="G1868" s="51">
        <v>0</v>
      </c>
      <c r="H1868" s="51">
        <v>114660</v>
      </c>
      <c r="I1868" s="51">
        <v>-114660</v>
      </c>
      <c r="J1868" s="51">
        <v>0</v>
      </c>
      <c r="K1868" s="51">
        <v>0</v>
      </c>
      <c r="L1868" s="51">
        <v>0</v>
      </c>
      <c r="M1868" s="51">
        <v>0</v>
      </c>
      <c r="N1868" s="51">
        <v>0</v>
      </c>
    </row>
    <row r="1869" spans="1:14" ht="15.75" x14ac:dyDescent="0.25">
      <c r="A1869" s="49" t="s">
        <v>331</v>
      </c>
      <c r="B1869" s="50" t="s">
        <v>63</v>
      </c>
      <c r="C1869" s="51">
        <v>67614</v>
      </c>
      <c r="D1869" s="51">
        <v>0</v>
      </c>
      <c r="E1869" s="51">
        <v>0</v>
      </c>
      <c r="F1869" s="51">
        <v>0</v>
      </c>
      <c r="G1869" s="51">
        <v>0</v>
      </c>
      <c r="H1869" s="51">
        <v>67614</v>
      </c>
      <c r="I1869" s="51">
        <v>-67614</v>
      </c>
      <c r="J1869" s="51">
        <v>0</v>
      </c>
      <c r="K1869" s="51">
        <v>0</v>
      </c>
      <c r="L1869" s="51">
        <v>0</v>
      </c>
      <c r="M1869" s="51">
        <v>0</v>
      </c>
      <c r="N1869" s="51">
        <v>0</v>
      </c>
    </row>
    <row r="1870" spans="1:14" ht="15.75" x14ac:dyDescent="0.25">
      <c r="A1870" s="52" t="s">
        <v>332</v>
      </c>
      <c r="B1870" s="53" t="s">
        <v>8</v>
      </c>
      <c r="C1870" s="19">
        <f>SUBTOTAL(109,Program163[(C)
Program
Costs])</f>
        <v>1477006</v>
      </c>
      <c r="D1870" s="19">
        <f>SUBTOTAL(109,Program163[(D)
Prior Period Adjustments])</f>
        <v>-69371</v>
      </c>
      <c r="E1870" s="19">
        <f>SUBTOTAL(109,Program163[(E)
Current Period Desk 
Reviews])</f>
        <v>0</v>
      </c>
      <c r="F1870" s="19">
        <f>SUBTOTAL(109,Program163[(F)
Current Period 
Final 
Audits])</f>
        <v>0</v>
      </c>
      <c r="G1870" s="19">
        <f>SUBTOTAL(109,Program163[(G)
Current Period 
Other Adjustments])</f>
        <v>0</v>
      </c>
      <c r="H1870" s="19">
        <f>SUBTOTAL(109,Program163[(H)
Net Program Costs
Sum (C through G)])</f>
        <v>1407635</v>
      </c>
      <c r="I1870" s="19">
        <f>SUBTOTAL(109,Program163[(I)
Payments
 and Offsets])</f>
        <v>-1314792</v>
      </c>
      <c r="J1870" s="19">
        <f>SUBTOTAL(109,Program163[(J)
Accounts Payable Balance
(H + I)])</f>
        <v>92843</v>
      </c>
      <c r="K1870" s="19">
        <f>SUBTOTAL(109,Program163[(K)
Established 
Accounts Receivable])</f>
        <v>7899</v>
      </c>
      <c r="L1870" s="19">
        <f>SUBTOTAL(109,Program163[(L)
Recovered
 Accounts Receivable])</f>
        <v>-7899</v>
      </c>
      <c r="M1870" s="19">
        <f>SUBTOTAL(109,Program163[(M)
Accounts Receivable Balance
(K + L)])</f>
        <v>0</v>
      </c>
      <c r="N1870" s="19">
        <f>SUBTOTAL(109,Program163[(N)
Net Balance
(J minus M)])</f>
        <v>92843</v>
      </c>
    </row>
    <row r="1871" spans="1:14" ht="15.75" x14ac:dyDescent="0.25">
      <c r="A1871" s="17" t="s">
        <v>13</v>
      </c>
      <c r="B1871" s="54"/>
      <c r="C1871" s="55"/>
      <c r="D1871" s="55"/>
      <c r="E1871" s="55"/>
      <c r="F1871" s="55"/>
      <c r="G1871" s="55"/>
      <c r="H1871" s="55"/>
      <c r="I1871" s="55"/>
      <c r="J1871" s="55"/>
      <c r="K1871" s="55"/>
      <c r="L1871" s="55"/>
      <c r="M1871" s="55"/>
      <c r="N1871" s="55"/>
    </row>
    <row r="1872" spans="1:14" ht="78.75" x14ac:dyDescent="0.25">
      <c r="A1872" s="39" t="s">
        <v>32</v>
      </c>
      <c r="B1872" s="40" t="s">
        <v>33</v>
      </c>
      <c r="C1872" s="41" t="s">
        <v>34</v>
      </c>
      <c r="D1872" s="41" t="s">
        <v>35</v>
      </c>
      <c r="E1872" s="42" t="s">
        <v>36</v>
      </c>
      <c r="F1872" s="42" t="s">
        <v>37</v>
      </c>
      <c r="G1872" s="42" t="s">
        <v>38</v>
      </c>
      <c r="H1872" s="43" t="s">
        <v>39</v>
      </c>
      <c r="I1872" s="44" t="s">
        <v>40</v>
      </c>
      <c r="J1872" s="44" t="s">
        <v>41</v>
      </c>
      <c r="K1872" s="42" t="s">
        <v>42</v>
      </c>
      <c r="L1872" s="44" t="s">
        <v>43</v>
      </c>
      <c r="M1872" s="44" t="s">
        <v>44</v>
      </c>
      <c r="N1872" s="45" t="s">
        <v>45</v>
      </c>
    </row>
    <row r="1873" spans="1:14" ht="15.75" x14ac:dyDescent="0.25">
      <c r="A1873" s="46" t="s">
        <v>333</v>
      </c>
      <c r="B1873" s="47" t="s">
        <v>76</v>
      </c>
      <c r="C1873" s="48">
        <v>148065</v>
      </c>
      <c r="D1873" s="48">
        <v>0</v>
      </c>
      <c r="E1873" s="48">
        <v>0</v>
      </c>
      <c r="F1873" s="48">
        <v>0</v>
      </c>
      <c r="G1873" s="48">
        <v>0</v>
      </c>
      <c r="H1873" s="48">
        <v>148065</v>
      </c>
      <c r="I1873" s="48">
        <v>0</v>
      </c>
      <c r="J1873" s="48">
        <v>148065</v>
      </c>
      <c r="K1873" s="48">
        <v>0</v>
      </c>
      <c r="L1873" s="48">
        <v>0</v>
      </c>
      <c r="M1873" s="48">
        <v>0</v>
      </c>
      <c r="N1873" s="48">
        <v>148065</v>
      </c>
    </row>
    <row r="1874" spans="1:14" ht="15.75" x14ac:dyDescent="0.25">
      <c r="A1874" s="49" t="s">
        <v>333</v>
      </c>
      <c r="B1874" s="50" t="s">
        <v>77</v>
      </c>
      <c r="C1874" s="51">
        <v>232475</v>
      </c>
      <c r="D1874" s="51">
        <v>0</v>
      </c>
      <c r="E1874" s="51">
        <v>0</v>
      </c>
      <c r="F1874" s="51">
        <v>0</v>
      </c>
      <c r="G1874" s="51">
        <v>0</v>
      </c>
      <c r="H1874" s="51">
        <v>232475</v>
      </c>
      <c r="I1874" s="51">
        <v>-232475</v>
      </c>
      <c r="J1874" s="51">
        <v>0</v>
      </c>
      <c r="K1874" s="51">
        <v>0</v>
      </c>
      <c r="L1874" s="51">
        <v>0</v>
      </c>
      <c r="M1874" s="51">
        <v>0</v>
      </c>
      <c r="N1874" s="51">
        <v>0</v>
      </c>
    </row>
    <row r="1875" spans="1:14" ht="15.75" x14ac:dyDescent="0.25">
      <c r="A1875" s="49" t="s">
        <v>333</v>
      </c>
      <c r="B1875" s="50" t="s">
        <v>78</v>
      </c>
      <c r="C1875" s="51">
        <v>215391</v>
      </c>
      <c r="D1875" s="51">
        <v>0</v>
      </c>
      <c r="E1875" s="51">
        <v>0</v>
      </c>
      <c r="F1875" s="51">
        <v>0</v>
      </c>
      <c r="G1875" s="51">
        <v>0</v>
      </c>
      <c r="H1875" s="51">
        <v>215391</v>
      </c>
      <c r="I1875" s="51">
        <v>-215391</v>
      </c>
      <c r="J1875" s="51">
        <v>0</v>
      </c>
      <c r="K1875" s="51">
        <v>0</v>
      </c>
      <c r="L1875" s="51">
        <v>0</v>
      </c>
      <c r="M1875" s="51">
        <v>0</v>
      </c>
      <c r="N1875" s="51">
        <v>0</v>
      </c>
    </row>
    <row r="1876" spans="1:14" ht="15.75" x14ac:dyDescent="0.25">
      <c r="A1876" s="49" t="s">
        <v>333</v>
      </c>
      <c r="B1876" s="50" t="s">
        <v>47</v>
      </c>
      <c r="C1876" s="51">
        <v>91359</v>
      </c>
      <c r="D1876" s="51">
        <v>0</v>
      </c>
      <c r="E1876" s="51">
        <v>0</v>
      </c>
      <c r="F1876" s="51">
        <v>0</v>
      </c>
      <c r="G1876" s="51">
        <v>0</v>
      </c>
      <c r="H1876" s="51">
        <v>91359</v>
      </c>
      <c r="I1876" s="51">
        <v>-91359</v>
      </c>
      <c r="J1876" s="51">
        <v>0</v>
      </c>
      <c r="K1876" s="51">
        <v>0</v>
      </c>
      <c r="L1876" s="51">
        <v>0</v>
      </c>
      <c r="M1876" s="51">
        <v>0</v>
      </c>
      <c r="N1876" s="51">
        <v>0</v>
      </c>
    </row>
    <row r="1877" spans="1:14" ht="15.75" x14ac:dyDescent="0.25">
      <c r="A1877" s="49" t="s">
        <v>333</v>
      </c>
      <c r="B1877" s="50" t="s">
        <v>79</v>
      </c>
      <c r="C1877" s="51">
        <v>81410</v>
      </c>
      <c r="D1877" s="51">
        <v>0</v>
      </c>
      <c r="E1877" s="51">
        <v>0</v>
      </c>
      <c r="F1877" s="51">
        <v>0</v>
      </c>
      <c r="G1877" s="51">
        <v>0</v>
      </c>
      <c r="H1877" s="51">
        <v>81410</v>
      </c>
      <c r="I1877" s="51">
        <v>-81410</v>
      </c>
      <c r="J1877" s="51">
        <v>0</v>
      </c>
      <c r="K1877" s="51">
        <v>0</v>
      </c>
      <c r="L1877" s="51">
        <v>0</v>
      </c>
      <c r="M1877" s="51">
        <v>0</v>
      </c>
      <c r="N1877" s="51">
        <v>0</v>
      </c>
    </row>
    <row r="1878" spans="1:14" ht="15.75" x14ac:dyDescent="0.25">
      <c r="A1878" s="49" t="s">
        <v>333</v>
      </c>
      <c r="B1878" s="50" t="s">
        <v>80</v>
      </c>
      <c r="C1878" s="51">
        <v>94466</v>
      </c>
      <c r="D1878" s="51">
        <v>0</v>
      </c>
      <c r="E1878" s="51">
        <v>0</v>
      </c>
      <c r="F1878" s="51">
        <v>0</v>
      </c>
      <c r="G1878" s="51">
        <v>0</v>
      </c>
      <c r="H1878" s="51">
        <v>94466</v>
      </c>
      <c r="I1878" s="51">
        <v>-94466</v>
      </c>
      <c r="J1878" s="51">
        <v>0</v>
      </c>
      <c r="K1878" s="51">
        <v>0</v>
      </c>
      <c r="L1878" s="51">
        <v>0</v>
      </c>
      <c r="M1878" s="51">
        <v>0</v>
      </c>
      <c r="N1878" s="51">
        <v>0</v>
      </c>
    </row>
    <row r="1879" spans="1:14" ht="15.75" x14ac:dyDescent="0.25">
      <c r="A1879" s="49" t="s">
        <v>333</v>
      </c>
      <c r="B1879" s="50" t="s">
        <v>81</v>
      </c>
      <c r="C1879" s="51">
        <v>40871</v>
      </c>
      <c r="D1879" s="51">
        <v>0</v>
      </c>
      <c r="E1879" s="51">
        <v>0</v>
      </c>
      <c r="F1879" s="51">
        <v>0</v>
      </c>
      <c r="G1879" s="51">
        <v>0</v>
      </c>
      <c r="H1879" s="51">
        <v>40871</v>
      </c>
      <c r="I1879" s="51">
        <v>-40871</v>
      </c>
      <c r="J1879" s="51">
        <v>0</v>
      </c>
      <c r="K1879" s="51">
        <v>0</v>
      </c>
      <c r="L1879" s="51">
        <v>0</v>
      </c>
      <c r="M1879" s="51">
        <v>0</v>
      </c>
      <c r="N1879" s="51">
        <v>0</v>
      </c>
    </row>
    <row r="1880" spans="1:14" ht="15.75" x14ac:dyDescent="0.25">
      <c r="A1880" s="49" t="s">
        <v>333</v>
      </c>
      <c r="B1880" s="50" t="s">
        <v>82</v>
      </c>
      <c r="C1880" s="51">
        <v>47966</v>
      </c>
      <c r="D1880" s="51">
        <v>0</v>
      </c>
      <c r="E1880" s="51">
        <v>0</v>
      </c>
      <c r="F1880" s="51">
        <v>0</v>
      </c>
      <c r="G1880" s="51">
        <v>0</v>
      </c>
      <c r="H1880" s="51">
        <v>47966</v>
      </c>
      <c r="I1880" s="51">
        <v>-47966</v>
      </c>
      <c r="J1880" s="51">
        <v>0</v>
      </c>
      <c r="K1880" s="51">
        <v>0</v>
      </c>
      <c r="L1880" s="51">
        <v>0</v>
      </c>
      <c r="M1880" s="51">
        <v>0</v>
      </c>
      <c r="N1880" s="51">
        <v>0</v>
      </c>
    </row>
    <row r="1881" spans="1:14" ht="15.75" x14ac:dyDescent="0.25">
      <c r="A1881" s="49" t="s">
        <v>333</v>
      </c>
      <c r="B1881" s="50" t="s">
        <v>83</v>
      </c>
      <c r="C1881" s="51">
        <v>30332</v>
      </c>
      <c r="D1881" s="51">
        <v>0</v>
      </c>
      <c r="E1881" s="51">
        <v>0</v>
      </c>
      <c r="F1881" s="51">
        <v>0</v>
      </c>
      <c r="G1881" s="51">
        <v>0</v>
      </c>
      <c r="H1881" s="51">
        <v>30332</v>
      </c>
      <c r="I1881" s="51">
        <v>-30332</v>
      </c>
      <c r="J1881" s="51">
        <v>0</v>
      </c>
      <c r="K1881" s="51">
        <v>0</v>
      </c>
      <c r="L1881" s="51">
        <v>0</v>
      </c>
      <c r="M1881" s="51">
        <v>0</v>
      </c>
      <c r="N1881" s="51">
        <v>0</v>
      </c>
    </row>
    <row r="1882" spans="1:14" ht="15.75" x14ac:dyDescent="0.25">
      <c r="A1882" s="49" t="s">
        <v>333</v>
      </c>
      <c r="B1882" s="50" t="s">
        <v>48</v>
      </c>
      <c r="C1882" s="51">
        <v>26446</v>
      </c>
      <c r="D1882" s="51">
        <v>0</v>
      </c>
      <c r="E1882" s="51">
        <v>0</v>
      </c>
      <c r="F1882" s="51">
        <v>0</v>
      </c>
      <c r="G1882" s="51">
        <v>0</v>
      </c>
      <c r="H1882" s="51">
        <v>26446</v>
      </c>
      <c r="I1882" s="51">
        <v>-26446</v>
      </c>
      <c r="J1882" s="51">
        <v>0</v>
      </c>
      <c r="K1882" s="51">
        <v>0</v>
      </c>
      <c r="L1882" s="51">
        <v>0</v>
      </c>
      <c r="M1882" s="51">
        <v>0</v>
      </c>
      <c r="N1882" s="51">
        <v>0</v>
      </c>
    </row>
    <row r="1883" spans="1:14" ht="15.75" x14ac:dyDescent="0.25">
      <c r="A1883" s="49" t="s">
        <v>333</v>
      </c>
      <c r="B1883" s="50" t="s">
        <v>49</v>
      </c>
      <c r="C1883" s="51">
        <v>28290</v>
      </c>
      <c r="D1883" s="51">
        <v>0</v>
      </c>
      <c r="E1883" s="51">
        <v>0</v>
      </c>
      <c r="F1883" s="51">
        <v>0</v>
      </c>
      <c r="G1883" s="51">
        <v>0</v>
      </c>
      <c r="H1883" s="51">
        <v>28290</v>
      </c>
      <c r="I1883" s="51">
        <v>-28290</v>
      </c>
      <c r="J1883" s="51">
        <v>0</v>
      </c>
      <c r="K1883" s="51">
        <v>0</v>
      </c>
      <c r="L1883" s="51">
        <v>0</v>
      </c>
      <c r="M1883" s="51">
        <v>0</v>
      </c>
      <c r="N1883" s="51">
        <v>0</v>
      </c>
    </row>
    <row r="1884" spans="1:14" ht="15.75" x14ac:dyDescent="0.25">
      <c r="A1884" s="49" t="s">
        <v>333</v>
      </c>
      <c r="B1884" s="50" t="s">
        <v>50</v>
      </c>
      <c r="C1884" s="51">
        <v>9332</v>
      </c>
      <c r="D1884" s="51">
        <v>0</v>
      </c>
      <c r="E1884" s="51">
        <v>0</v>
      </c>
      <c r="F1884" s="51">
        <v>0</v>
      </c>
      <c r="G1884" s="51">
        <v>0</v>
      </c>
      <c r="H1884" s="51">
        <v>9332</v>
      </c>
      <c r="I1884" s="51">
        <v>-9332</v>
      </c>
      <c r="J1884" s="51">
        <v>0</v>
      </c>
      <c r="K1884" s="51">
        <v>0</v>
      </c>
      <c r="L1884" s="51">
        <v>0</v>
      </c>
      <c r="M1884" s="51">
        <v>0</v>
      </c>
      <c r="N1884" s="51">
        <v>0</v>
      </c>
    </row>
    <row r="1885" spans="1:14" ht="15.75" x14ac:dyDescent="0.25">
      <c r="A1885" s="49" t="s">
        <v>333</v>
      </c>
      <c r="B1885" s="50" t="s">
        <v>51</v>
      </c>
      <c r="C1885" s="51">
        <v>9090</v>
      </c>
      <c r="D1885" s="51">
        <v>0</v>
      </c>
      <c r="E1885" s="51">
        <v>0</v>
      </c>
      <c r="F1885" s="51">
        <v>0</v>
      </c>
      <c r="G1885" s="51">
        <v>0</v>
      </c>
      <c r="H1885" s="51">
        <v>9090</v>
      </c>
      <c r="I1885" s="51">
        <v>-9090</v>
      </c>
      <c r="J1885" s="51">
        <v>0</v>
      </c>
      <c r="K1885" s="51">
        <v>0</v>
      </c>
      <c r="L1885" s="51">
        <v>0</v>
      </c>
      <c r="M1885" s="51">
        <v>0</v>
      </c>
      <c r="N1885" s="51">
        <v>0</v>
      </c>
    </row>
    <row r="1886" spans="1:14" ht="15.75" x14ac:dyDescent="0.25">
      <c r="A1886" s="49" t="s">
        <v>333</v>
      </c>
      <c r="B1886" s="50" t="s">
        <v>52</v>
      </c>
      <c r="C1886" s="51">
        <v>7701</v>
      </c>
      <c r="D1886" s="51">
        <v>0</v>
      </c>
      <c r="E1886" s="51">
        <v>0</v>
      </c>
      <c r="F1886" s="51">
        <v>0</v>
      </c>
      <c r="G1886" s="51">
        <v>0</v>
      </c>
      <c r="H1886" s="51">
        <v>7701</v>
      </c>
      <c r="I1886" s="51">
        <v>-7701</v>
      </c>
      <c r="J1886" s="51">
        <v>0</v>
      </c>
      <c r="K1886" s="51">
        <v>0</v>
      </c>
      <c r="L1886" s="51">
        <v>0</v>
      </c>
      <c r="M1886" s="51">
        <v>0</v>
      </c>
      <c r="N1886" s="51">
        <v>0</v>
      </c>
    </row>
    <row r="1887" spans="1:14" ht="15.75" x14ac:dyDescent="0.25">
      <c r="A1887" s="49" t="s">
        <v>333</v>
      </c>
      <c r="B1887" s="50" t="s">
        <v>53</v>
      </c>
      <c r="C1887" s="51">
        <v>7168</v>
      </c>
      <c r="D1887" s="51">
        <v>0</v>
      </c>
      <c r="E1887" s="51">
        <v>0</v>
      </c>
      <c r="F1887" s="51">
        <v>0</v>
      </c>
      <c r="G1887" s="51">
        <v>0</v>
      </c>
      <c r="H1887" s="51">
        <v>7168</v>
      </c>
      <c r="I1887" s="51">
        <v>-7168</v>
      </c>
      <c r="J1887" s="51">
        <v>0</v>
      </c>
      <c r="K1887" s="51">
        <v>0</v>
      </c>
      <c r="L1887" s="51">
        <v>0</v>
      </c>
      <c r="M1887" s="51">
        <v>0</v>
      </c>
      <c r="N1887" s="51">
        <v>0</v>
      </c>
    </row>
    <row r="1888" spans="1:14" ht="15.75" x14ac:dyDescent="0.25">
      <c r="A1888" s="49" t="s">
        <v>333</v>
      </c>
      <c r="B1888" s="50" t="s">
        <v>54</v>
      </c>
      <c r="C1888" s="51">
        <v>6834</v>
      </c>
      <c r="D1888" s="51">
        <v>0</v>
      </c>
      <c r="E1888" s="51">
        <v>0</v>
      </c>
      <c r="F1888" s="51">
        <v>0</v>
      </c>
      <c r="G1888" s="51">
        <v>0</v>
      </c>
      <c r="H1888" s="51">
        <v>6834</v>
      </c>
      <c r="I1888" s="51">
        <v>-6834</v>
      </c>
      <c r="J1888" s="51">
        <v>0</v>
      </c>
      <c r="K1888" s="51">
        <v>0</v>
      </c>
      <c r="L1888" s="51">
        <v>0</v>
      </c>
      <c r="M1888" s="51">
        <v>0</v>
      </c>
      <c r="N1888" s="51">
        <v>0</v>
      </c>
    </row>
    <row r="1889" spans="1:14" ht="15.75" x14ac:dyDescent="0.25">
      <c r="A1889" s="49" t="s">
        <v>333</v>
      </c>
      <c r="B1889" s="50" t="s">
        <v>55</v>
      </c>
      <c r="C1889" s="51">
        <v>6188</v>
      </c>
      <c r="D1889" s="51">
        <v>0</v>
      </c>
      <c r="E1889" s="51">
        <v>0</v>
      </c>
      <c r="F1889" s="51">
        <v>0</v>
      </c>
      <c r="G1889" s="51">
        <v>0</v>
      </c>
      <c r="H1889" s="51">
        <v>6188</v>
      </c>
      <c r="I1889" s="51">
        <v>-6188</v>
      </c>
      <c r="J1889" s="51">
        <v>0</v>
      </c>
      <c r="K1889" s="51">
        <v>0</v>
      </c>
      <c r="L1889" s="51">
        <v>0</v>
      </c>
      <c r="M1889" s="51">
        <v>0</v>
      </c>
      <c r="N1889" s="51">
        <v>0</v>
      </c>
    </row>
    <row r="1890" spans="1:14" ht="15.75" x14ac:dyDescent="0.25">
      <c r="A1890" s="49" t="s">
        <v>333</v>
      </c>
      <c r="B1890" s="50" t="s">
        <v>56</v>
      </c>
      <c r="C1890" s="51">
        <v>1474</v>
      </c>
      <c r="D1890" s="51">
        <v>0</v>
      </c>
      <c r="E1890" s="51">
        <v>0</v>
      </c>
      <c r="F1890" s="51">
        <v>0</v>
      </c>
      <c r="G1890" s="51">
        <v>0</v>
      </c>
      <c r="H1890" s="51">
        <v>1474</v>
      </c>
      <c r="I1890" s="51">
        <v>-1474</v>
      </c>
      <c r="J1890" s="51">
        <v>0</v>
      </c>
      <c r="K1890" s="51">
        <v>0</v>
      </c>
      <c r="L1890" s="51">
        <v>0</v>
      </c>
      <c r="M1890" s="51">
        <v>0</v>
      </c>
      <c r="N1890" s="51">
        <v>0</v>
      </c>
    </row>
    <row r="1891" spans="1:14" ht="15.75" x14ac:dyDescent="0.25">
      <c r="A1891" s="52" t="s">
        <v>334</v>
      </c>
      <c r="B1891" s="53" t="s">
        <v>8</v>
      </c>
      <c r="C1891" s="19">
        <f>SUBTOTAL(109,Program345[(C)
Program
Costs])</f>
        <v>1084858</v>
      </c>
      <c r="D1891" s="19">
        <f>SUBTOTAL(109,Program345[(D)
Prior Period Adjustments])</f>
        <v>0</v>
      </c>
      <c r="E1891" s="19">
        <f>SUBTOTAL(109,Program345[(E)
Current Period Desk 
Reviews])</f>
        <v>0</v>
      </c>
      <c r="F1891" s="19">
        <f>SUBTOTAL(109,Program345[(F)
Current Period 
Final 
Audits])</f>
        <v>0</v>
      </c>
      <c r="G1891" s="19">
        <f>SUBTOTAL(109,Program345[(G)
Current Period 
Other Adjustments])</f>
        <v>0</v>
      </c>
      <c r="H1891" s="19">
        <f>SUBTOTAL(109,Program345[(H)
Net Program Costs
Sum (C through G)])</f>
        <v>1084858</v>
      </c>
      <c r="I1891" s="19">
        <f>SUBTOTAL(109,Program345[(I)
Payments
 and Offsets])</f>
        <v>-936793</v>
      </c>
      <c r="J1891" s="19">
        <f>SUBTOTAL(109,Program345[(J)
Accounts Payable Balance
(H + I)])</f>
        <v>148065</v>
      </c>
      <c r="K1891" s="19">
        <f>SUBTOTAL(109,Program345[(K)
Established 
Accounts Receivable])</f>
        <v>0</v>
      </c>
      <c r="L1891" s="19">
        <f>SUBTOTAL(109,Program345[(L)
Recovered
 Accounts Receivable])</f>
        <v>0</v>
      </c>
      <c r="M1891" s="19">
        <f>SUBTOTAL(109,Program345[(M)
Accounts Receivable Balance
(K + L)])</f>
        <v>0</v>
      </c>
      <c r="N1891" s="19">
        <f>SUBTOTAL(109,Program345[(N)
Net Balance
(J minus M)])</f>
        <v>148065</v>
      </c>
    </row>
    <row r="1892" spans="1:14" ht="15.75" x14ac:dyDescent="0.25">
      <c r="A1892" s="17" t="s">
        <v>13</v>
      </c>
      <c r="B1892" s="54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</row>
    <row r="1893" spans="1:14" ht="78.75" x14ac:dyDescent="0.25">
      <c r="A1893" s="39" t="s">
        <v>32</v>
      </c>
      <c r="B1893" s="40" t="s">
        <v>33</v>
      </c>
      <c r="C1893" s="41" t="s">
        <v>34</v>
      </c>
      <c r="D1893" s="41" t="s">
        <v>35</v>
      </c>
      <c r="E1893" s="42" t="s">
        <v>36</v>
      </c>
      <c r="F1893" s="42" t="s">
        <v>37</v>
      </c>
      <c r="G1893" s="42" t="s">
        <v>38</v>
      </c>
      <c r="H1893" s="43" t="s">
        <v>39</v>
      </c>
      <c r="I1893" s="44" t="s">
        <v>40</v>
      </c>
      <c r="J1893" s="44" t="s">
        <v>41</v>
      </c>
      <c r="K1893" s="42" t="s">
        <v>42</v>
      </c>
      <c r="L1893" s="44" t="s">
        <v>43</v>
      </c>
      <c r="M1893" s="44" t="s">
        <v>44</v>
      </c>
      <c r="N1893" s="45" t="s">
        <v>45</v>
      </c>
    </row>
    <row r="1894" spans="1:14" ht="15.75" x14ac:dyDescent="0.25">
      <c r="A1894" s="46" t="s">
        <v>335</v>
      </c>
      <c r="B1894" s="47" t="s">
        <v>59</v>
      </c>
      <c r="C1894" s="48">
        <v>26670</v>
      </c>
      <c r="D1894" s="48">
        <v>0</v>
      </c>
      <c r="E1894" s="48">
        <v>0</v>
      </c>
      <c r="F1894" s="48">
        <v>0</v>
      </c>
      <c r="G1894" s="48">
        <v>0</v>
      </c>
      <c r="H1894" s="48">
        <v>26670</v>
      </c>
      <c r="I1894" s="48">
        <v>-26670</v>
      </c>
      <c r="J1894" s="48">
        <v>0</v>
      </c>
      <c r="K1894" s="48">
        <v>13014</v>
      </c>
      <c r="L1894" s="48">
        <v>-13014</v>
      </c>
      <c r="M1894" s="48">
        <v>0</v>
      </c>
      <c r="N1894" s="48">
        <v>0</v>
      </c>
    </row>
    <row r="1895" spans="1:14" ht="15.75" x14ac:dyDescent="0.25">
      <c r="A1895" s="49" t="s">
        <v>335</v>
      </c>
      <c r="B1895" s="50" t="s">
        <v>60</v>
      </c>
      <c r="C1895" s="51">
        <v>76456</v>
      </c>
      <c r="D1895" s="51">
        <v>-462</v>
      </c>
      <c r="E1895" s="51">
        <v>0</v>
      </c>
      <c r="F1895" s="51">
        <v>0</v>
      </c>
      <c r="G1895" s="51">
        <v>0</v>
      </c>
      <c r="H1895" s="51">
        <v>75994</v>
      </c>
      <c r="I1895" s="51">
        <v>-75994</v>
      </c>
      <c r="J1895" s="51">
        <v>0</v>
      </c>
      <c r="K1895" s="51">
        <v>280</v>
      </c>
      <c r="L1895" s="51">
        <v>-280</v>
      </c>
      <c r="M1895" s="51">
        <v>0</v>
      </c>
      <c r="N1895" s="51">
        <v>0</v>
      </c>
    </row>
    <row r="1896" spans="1:14" ht="15.75" x14ac:dyDescent="0.25">
      <c r="A1896" s="49" t="s">
        <v>335</v>
      </c>
      <c r="B1896" s="50" t="s">
        <v>61</v>
      </c>
      <c r="C1896" s="51">
        <v>173723</v>
      </c>
      <c r="D1896" s="51">
        <v>0</v>
      </c>
      <c r="E1896" s="51">
        <v>0</v>
      </c>
      <c r="F1896" s="51">
        <v>0</v>
      </c>
      <c r="G1896" s="51">
        <v>0</v>
      </c>
      <c r="H1896" s="51">
        <v>173723</v>
      </c>
      <c r="I1896" s="51">
        <v>-173723</v>
      </c>
      <c r="J1896" s="51">
        <v>0</v>
      </c>
      <c r="K1896" s="51">
        <v>0</v>
      </c>
      <c r="L1896" s="51">
        <v>0</v>
      </c>
      <c r="M1896" s="51">
        <v>0</v>
      </c>
      <c r="N1896" s="51">
        <v>0</v>
      </c>
    </row>
    <row r="1897" spans="1:14" ht="15.75" x14ac:dyDescent="0.25">
      <c r="A1897" s="49" t="s">
        <v>335</v>
      </c>
      <c r="B1897" s="50" t="s">
        <v>62</v>
      </c>
      <c r="C1897" s="51">
        <v>127362</v>
      </c>
      <c r="D1897" s="51">
        <v>-248</v>
      </c>
      <c r="E1897" s="51">
        <v>0</v>
      </c>
      <c r="F1897" s="51">
        <v>0</v>
      </c>
      <c r="G1897" s="51">
        <v>0</v>
      </c>
      <c r="H1897" s="51">
        <v>127114</v>
      </c>
      <c r="I1897" s="51">
        <v>-127114</v>
      </c>
      <c r="J1897" s="51">
        <v>0</v>
      </c>
      <c r="K1897" s="51">
        <v>0</v>
      </c>
      <c r="L1897" s="51">
        <v>0</v>
      </c>
      <c r="M1897" s="51">
        <v>0</v>
      </c>
      <c r="N1897" s="51">
        <v>0</v>
      </c>
    </row>
    <row r="1898" spans="1:14" ht="15.75" x14ac:dyDescent="0.25">
      <c r="A1898" s="49" t="s">
        <v>335</v>
      </c>
      <c r="B1898" s="50" t="s">
        <v>63</v>
      </c>
      <c r="C1898" s="51">
        <v>30587</v>
      </c>
      <c r="D1898" s="51">
        <v>0</v>
      </c>
      <c r="E1898" s="51">
        <v>0</v>
      </c>
      <c r="F1898" s="51">
        <v>0</v>
      </c>
      <c r="G1898" s="51">
        <v>0</v>
      </c>
      <c r="H1898" s="51">
        <v>30587</v>
      </c>
      <c r="I1898" s="51">
        <v>-30587</v>
      </c>
      <c r="J1898" s="51">
        <v>0</v>
      </c>
      <c r="K1898" s="51">
        <v>0</v>
      </c>
      <c r="L1898" s="51">
        <v>0</v>
      </c>
      <c r="M1898" s="51">
        <v>0</v>
      </c>
      <c r="N1898" s="51">
        <v>0</v>
      </c>
    </row>
    <row r="1899" spans="1:14" ht="15.75" x14ac:dyDescent="0.25">
      <c r="A1899" s="49" t="s">
        <v>335</v>
      </c>
      <c r="B1899" s="50" t="s">
        <v>64</v>
      </c>
      <c r="C1899" s="51">
        <v>198412</v>
      </c>
      <c r="D1899" s="51">
        <v>0</v>
      </c>
      <c r="E1899" s="51">
        <v>0</v>
      </c>
      <c r="F1899" s="51">
        <v>0</v>
      </c>
      <c r="G1899" s="51">
        <v>0</v>
      </c>
      <c r="H1899" s="51">
        <v>198412</v>
      </c>
      <c r="I1899" s="51">
        <v>-198412</v>
      </c>
      <c r="J1899" s="51">
        <v>0</v>
      </c>
      <c r="K1899" s="51">
        <v>0</v>
      </c>
      <c r="L1899" s="51">
        <v>0</v>
      </c>
      <c r="M1899" s="51">
        <v>0</v>
      </c>
      <c r="N1899" s="51">
        <v>0</v>
      </c>
    </row>
    <row r="1900" spans="1:14" ht="15.75" x14ac:dyDescent="0.25">
      <c r="A1900" s="52" t="s">
        <v>336</v>
      </c>
      <c r="B1900" s="53" t="s">
        <v>8</v>
      </c>
      <c r="C1900" s="19">
        <f>SUBTOTAL(109,Program174[(C)
Program
Costs])</f>
        <v>633210</v>
      </c>
      <c r="D1900" s="19">
        <f>SUBTOTAL(109,Program174[(D)
Prior Period Adjustments])</f>
        <v>-710</v>
      </c>
      <c r="E1900" s="19">
        <f>SUBTOTAL(109,Program174[(E)
Current Period Desk 
Reviews])</f>
        <v>0</v>
      </c>
      <c r="F1900" s="19">
        <f>SUBTOTAL(109,Program174[(F)
Current Period 
Final 
Audits])</f>
        <v>0</v>
      </c>
      <c r="G1900" s="19">
        <f>SUBTOTAL(109,Program174[(G)
Current Period 
Other Adjustments])</f>
        <v>0</v>
      </c>
      <c r="H1900" s="19">
        <f>SUBTOTAL(109,Program174[(H)
Net Program Costs
Sum (C through G)])</f>
        <v>632500</v>
      </c>
      <c r="I1900" s="19">
        <f>SUBTOTAL(109,Program174[(I)
Payments
 and Offsets])</f>
        <v>-632500</v>
      </c>
      <c r="J1900" s="19">
        <f>SUBTOTAL(109,Program174[(J)
Accounts Payable Balance
(H + I)])</f>
        <v>0</v>
      </c>
      <c r="K1900" s="19">
        <f>SUBTOTAL(109,Program174[(K)
Established 
Accounts Receivable])</f>
        <v>13294</v>
      </c>
      <c r="L1900" s="19">
        <f>SUBTOTAL(109,Program174[(L)
Recovered
 Accounts Receivable])</f>
        <v>-13294</v>
      </c>
      <c r="M1900" s="19">
        <f>SUBTOTAL(109,Program174[(M)
Accounts Receivable Balance
(K + L)])</f>
        <v>0</v>
      </c>
      <c r="N1900" s="19">
        <f>SUBTOTAL(109,Program174[(N)
Net Balance
(J minus M)])</f>
        <v>0</v>
      </c>
    </row>
    <row r="1901" spans="1:14" ht="15.75" x14ac:dyDescent="0.25">
      <c r="A1901" s="17" t="s">
        <v>13</v>
      </c>
      <c r="B1901" s="54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</row>
    <row r="1902" spans="1:14" ht="78.75" x14ac:dyDescent="0.25">
      <c r="A1902" s="39" t="s">
        <v>32</v>
      </c>
      <c r="B1902" s="40" t="s">
        <v>33</v>
      </c>
      <c r="C1902" s="41" t="s">
        <v>34</v>
      </c>
      <c r="D1902" s="41" t="s">
        <v>35</v>
      </c>
      <c r="E1902" s="42" t="s">
        <v>36</v>
      </c>
      <c r="F1902" s="42" t="s">
        <v>37</v>
      </c>
      <c r="G1902" s="42" t="s">
        <v>38</v>
      </c>
      <c r="H1902" s="43" t="s">
        <v>39</v>
      </c>
      <c r="I1902" s="44" t="s">
        <v>40</v>
      </c>
      <c r="J1902" s="44" t="s">
        <v>41</v>
      </c>
      <c r="K1902" s="42" t="s">
        <v>42</v>
      </c>
      <c r="L1902" s="44" t="s">
        <v>43</v>
      </c>
      <c r="M1902" s="44" t="s">
        <v>44</v>
      </c>
      <c r="N1902" s="45" t="s">
        <v>45</v>
      </c>
    </row>
    <row r="1903" spans="1:14" ht="30" x14ac:dyDescent="0.25">
      <c r="A1903" s="67" t="s">
        <v>337</v>
      </c>
      <c r="B1903" s="57" t="s">
        <v>76</v>
      </c>
      <c r="C1903" s="58">
        <v>1559538</v>
      </c>
      <c r="D1903" s="58">
        <v>0</v>
      </c>
      <c r="E1903" s="58">
        <v>0</v>
      </c>
      <c r="F1903" s="58">
        <v>0</v>
      </c>
      <c r="G1903" s="58">
        <v>0</v>
      </c>
      <c r="H1903" s="58">
        <v>1559538</v>
      </c>
      <c r="I1903" s="58">
        <v>0</v>
      </c>
      <c r="J1903" s="58">
        <v>1559538</v>
      </c>
      <c r="K1903" s="58">
        <v>0</v>
      </c>
      <c r="L1903" s="58">
        <v>0</v>
      </c>
      <c r="M1903" s="58">
        <v>0</v>
      </c>
      <c r="N1903" s="58">
        <v>1559538</v>
      </c>
    </row>
    <row r="1904" spans="1:14" ht="30" x14ac:dyDescent="0.25">
      <c r="A1904" s="68" t="s">
        <v>337</v>
      </c>
      <c r="B1904" s="60" t="s">
        <v>77</v>
      </c>
      <c r="C1904" s="61">
        <v>1344030</v>
      </c>
      <c r="D1904" s="61">
        <v>0</v>
      </c>
      <c r="E1904" s="61">
        <v>0</v>
      </c>
      <c r="F1904" s="61">
        <v>0</v>
      </c>
      <c r="G1904" s="61">
        <v>-5756</v>
      </c>
      <c r="H1904" s="61">
        <v>1338274</v>
      </c>
      <c r="I1904" s="61">
        <v>-813201</v>
      </c>
      <c r="J1904" s="61">
        <v>525073</v>
      </c>
      <c r="K1904" s="61">
        <v>0</v>
      </c>
      <c r="L1904" s="61">
        <v>0</v>
      </c>
      <c r="M1904" s="61">
        <v>0</v>
      </c>
      <c r="N1904" s="61">
        <v>525073</v>
      </c>
    </row>
    <row r="1905" spans="1:14" ht="30" x14ac:dyDescent="0.25">
      <c r="A1905" s="68" t="s">
        <v>337</v>
      </c>
      <c r="B1905" s="60" t="s">
        <v>78</v>
      </c>
      <c r="C1905" s="61">
        <v>1381267</v>
      </c>
      <c r="D1905" s="61">
        <v>-9445</v>
      </c>
      <c r="E1905" s="61">
        <v>0</v>
      </c>
      <c r="F1905" s="61">
        <v>0</v>
      </c>
      <c r="G1905" s="61">
        <v>-8705</v>
      </c>
      <c r="H1905" s="61">
        <v>1363117</v>
      </c>
      <c r="I1905" s="61">
        <v>-1284690</v>
      </c>
      <c r="J1905" s="61">
        <v>78427</v>
      </c>
      <c r="K1905" s="61">
        <v>0</v>
      </c>
      <c r="L1905" s="61">
        <v>0</v>
      </c>
      <c r="M1905" s="61">
        <v>0</v>
      </c>
      <c r="N1905" s="61">
        <v>78427</v>
      </c>
    </row>
    <row r="1906" spans="1:14" ht="30" x14ac:dyDescent="0.25">
      <c r="A1906" s="68" t="s">
        <v>337</v>
      </c>
      <c r="B1906" s="60" t="s">
        <v>47</v>
      </c>
      <c r="C1906" s="61">
        <v>1281035</v>
      </c>
      <c r="D1906" s="61">
        <v>-6988</v>
      </c>
      <c r="E1906" s="61">
        <v>0</v>
      </c>
      <c r="F1906" s="61">
        <v>0</v>
      </c>
      <c r="G1906" s="61">
        <v>-7195</v>
      </c>
      <c r="H1906" s="61">
        <v>1266852</v>
      </c>
      <c r="I1906" s="61">
        <v>-1202109</v>
      </c>
      <c r="J1906" s="61">
        <v>64743</v>
      </c>
      <c r="K1906" s="61">
        <v>0</v>
      </c>
      <c r="L1906" s="61">
        <v>0</v>
      </c>
      <c r="M1906" s="61">
        <v>0</v>
      </c>
      <c r="N1906" s="61">
        <v>64743</v>
      </c>
    </row>
    <row r="1907" spans="1:14" ht="15.75" x14ac:dyDescent="0.25">
      <c r="A1907" s="52" t="s">
        <v>338</v>
      </c>
      <c r="B1907" s="53" t="s">
        <v>8</v>
      </c>
      <c r="C1907" s="19">
        <f>SUBTOTAL(109,Program372[(C)
Program
Costs])</f>
        <v>5565870</v>
      </c>
      <c r="D1907" s="19">
        <f>SUBTOTAL(109,Program372[(D)
Prior Period Adjustments])</f>
        <v>-16433</v>
      </c>
      <c r="E1907" s="19">
        <f>SUBTOTAL(109,Program372[(E)
Current Period Desk 
Reviews])</f>
        <v>0</v>
      </c>
      <c r="F1907" s="19">
        <f>SUBTOTAL(109,Program372[(F)
Current Period 
Final 
Audits])</f>
        <v>0</v>
      </c>
      <c r="G1907" s="19">
        <f>SUBTOTAL(109,Program372[(G)
Current Period 
Other Adjustments])</f>
        <v>-21656</v>
      </c>
      <c r="H1907" s="19">
        <f>SUBTOTAL(109,Program372[(H)
Net Program Costs
Sum (C through G)])</f>
        <v>5527781</v>
      </c>
      <c r="I1907" s="19">
        <f>SUBTOTAL(109,Program372[(I)
Payments
 and Offsets])</f>
        <v>-3300000</v>
      </c>
      <c r="J1907" s="19">
        <f>SUBTOTAL(109,Program372[(J)
Accounts Payable Balance
(H + I)])</f>
        <v>2227781</v>
      </c>
      <c r="K1907" s="19">
        <f>SUBTOTAL(109,Program372[(K)
Established 
Accounts Receivable])</f>
        <v>0</v>
      </c>
      <c r="L1907" s="19">
        <f>SUBTOTAL(109,Program372[(L)
Recovered
 Accounts Receivable])</f>
        <v>0</v>
      </c>
      <c r="M1907" s="19">
        <f>SUBTOTAL(109,Program372[(M)
Accounts Receivable Balance
(K + L)])</f>
        <v>0</v>
      </c>
      <c r="N1907" s="19">
        <f>SUBTOTAL(109,Program372[(N)
Net Balance
(J minus M)])</f>
        <v>2227781</v>
      </c>
    </row>
    <row r="1908" spans="1:14" ht="15.75" x14ac:dyDescent="0.25">
      <c r="A1908" s="17" t="s">
        <v>13</v>
      </c>
      <c r="B1908" s="54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</row>
    <row r="1909" spans="1:14" ht="78.75" x14ac:dyDescent="0.25">
      <c r="A1909" s="39" t="s">
        <v>32</v>
      </c>
      <c r="B1909" s="40" t="s">
        <v>33</v>
      </c>
      <c r="C1909" s="41" t="s">
        <v>34</v>
      </c>
      <c r="D1909" s="41" t="s">
        <v>35</v>
      </c>
      <c r="E1909" s="42" t="s">
        <v>36</v>
      </c>
      <c r="F1909" s="42" t="s">
        <v>37</v>
      </c>
      <c r="G1909" s="42" t="s">
        <v>38</v>
      </c>
      <c r="H1909" s="43" t="s">
        <v>39</v>
      </c>
      <c r="I1909" s="44" t="s">
        <v>40</v>
      </c>
      <c r="J1909" s="44" t="s">
        <v>41</v>
      </c>
      <c r="K1909" s="42" t="s">
        <v>42</v>
      </c>
      <c r="L1909" s="44" t="s">
        <v>43</v>
      </c>
      <c r="M1909" s="44" t="s">
        <v>44</v>
      </c>
      <c r="N1909" s="45" t="s">
        <v>45</v>
      </c>
    </row>
    <row r="1910" spans="1:14" ht="15.75" x14ac:dyDescent="0.25">
      <c r="A1910" s="46" t="s">
        <v>339</v>
      </c>
      <c r="B1910" s="47" t="s">
        <v>56</v>
      </c>
      <c r="C1910" s="48">
        <v>177184</v>
      </c>
      <c r="D1910" s="48">
        <v>0</v>
      </c>
      <c r="E1910" s="48">
        <v>0</v>
      </c>
      <c r="F1910" s="48">
        <v>0</v>
      </c>
      <c r="G1910" s="48">
        <v>0</v>
      </c>
      <c r="H1910" s="48">
        <v>177184</v>
      </c>
      <c r="I1910" s="48">
        <v>-177184</v>
      </c>
      <c r="J1910" s="48">
        <v>0</v>
      </c>
      <c r="K1910" s="48">
        <v>0</v>
      </c>
      <c r="L1910" s="48">
        <v>0</v>
      </c>
      <c r="M1910" s="48">
        <v>0</v>
      </c>
      <c r="N1910" s="48">
        <v>0</v>
      </c>
    </row>
    <row r="1911" spans="1:14" ht="15.75" x14ac:dyDescent="0.25">
      <c r="A1911" s="49" t="s">
        <v>339</v>
      </c>
      <c r="B1911" s="50" t="s">
        <v>57</v>
      </c>
      <c r="C1911" s="51">
        <v>97483</v>
      </c>
      <c r="D1911" s="51">
        <v>-390</v>
      </c>
      <c r="E1911" s="51">
        <v>0</v>
      </c>
      <c r="F1911" s="51">
        <v>0</v>
      </c>
      <c r="G1911" s="51">
        <v>0</v>
      </c>
      <c r="H1911" s="51">
        <v>97093</v>
      </c>
      <c r="I1911" s="51">
        <v>-97093</v>
      </c>
      <c r="J1911" s="51">
        <v>0</v>
      </c>
      <c r="K1911" s="51">
        <v>2132</v>
      </c>
      <c r="L1911" s="51">
        <v>-2132</v>
      </c>
      <c r="M1911" s="51">
        <v>0</v>
      </c>
      <c r="N1911" s="51">
        <v>0</v>
      </c>
    </row>
    <row r="1912" spans="1:14" ht="15.75" x14ac:dyDescent="0.25">
      <c r="A1912" s="49" t="s">
        <v>339</v>
      </c>
      <c r="B1912" s="50" t="s">
        <v>58</v>
      </c>
      <c r="C1912" s="51">
        <v>104440</v>
      </c>
      <c r="D1912" s="51">
        <v>-1205</v>
      </c>
      <c r="E1912" s="51">
        <v>0</v>
      </c>
      <c r="F1912" s="51">
        <v>0</v>
      </c>
      <c r="G1912" s="51">
        <v>0</v>
      </c>
      <c r="H1912" s="51">
        <v>103235</v>
      </c>
      <c r="I1912" s="51">
        <v>-103235</v>
      </c>
      <c r="J1912" s="51">
        <v>0</v>
      </c>
      <c r="K1912" s="51">
        <v>18500</v>
      </c>
      <c r="L1912" s="51">
        <v>-18500</v>
      </c>
      <c r="M1912" s="51">
        <v>0</v>
      </c>
      <c r="N1912" s="51">
        <v>0</v>
      </c>
    </row>
    <row r="1913" spans="1:14" ht="15.75" x14ac:dyDescent="0.25">
      <c r="A1913" s="49" t="s">
        <v>339</v>
      </c>
      <c r="B1913" s="50" t="s">
        <v>59</v>
      </c>
      <c r="C1913" s="51">
        <v>212634</v>
      </c>
      <c r="D1913" s="51">
        <v>-1000</v>
      </c>
      <c r="E1913" s="51">
        <v>0</v>
      </c>
      <c r="F1913" s="51">
        <v>0</v>
      </c>
      <c r="G1913" s="51">
        <v>0</v>
      </c>
      <c r="H1913" s="51">
        <v>211634</v>
      </c>
      <c r="I1913" s="51">
        <v>-211634</v>
      </c>
      <c r="J1913" s="51">
        <v>0</v>
      </c>
      <c r="K1913" s="51">
        <v>1320</v>
      </c>
      <c r="L1913" s="51">
        <v>-1320</v>
      </c>
      <c r="M1913" s="51">
        <v>0</v>
      </c>
      <c r="N1913" s="51">
        <v>0</v>
      </c>
    </row>
    <row r="1914" spans="1:14" ht="15.75" x14ac:dyDescent="0.25">
      <c r="A1914" s="49" t="s">
        <v>339</v>
      </c>
      <c r="B1914" s="50" t="s">
        <v>60</v>
      </c>
      <c r="C1914" s="51">
        <v>110222</v>
      </c>
      <c r="D1914" s="51">
        <v>-1328</v>
      </c>
      <c r="E1914" s="51">
        <v>0</v>
      </c>
      <c r="F1914" s="51">
        <v>0</v>
      </c>
      <c r="G1914" s="51">
        <v>0</v>
      </c>
      <c r="H1914" s="51">
        <v>108894</v>
      </c>
      <c r="I1914" s="51">
        <v>-108894</v>
      </c>
      <c r="J1914" s="51">
        <v>0</v>
      </c>
      <c r="K1914" s="51">
        <v>0</v>
      </c>
      <c r="L1914" s="51">
        <v>0</v>
      </c>
      <c r="M1914" s="51">
        <v>0</v>
      </c>
      <c r="N1914" s="51">
        <v>0</v>
      </c>
    </row>
    <row r="1915" spans="1:14" ht="15.75" x14ac:dyDescent="0.25">
      <c r="A1915" s="49" t="s">
        <v>339</v>
      </c>
      <c r="B1915" s="50" t="s">
        <v>61</v>
      </c>
      <c r="C1915" s="51">
        <v>119409</v>
      </c>
      <c r="D1915" s="51">
        <v>-1092</v>
      </c>
      <c r="E1915" s="51">
        <v>0</v>
      </c>
      <c r="F1915" s="51">
        <v>0</v>
      </c>
      <c r="G1915" s="51">
        <v>0</v>
      </c>
      <c r="H1915" s="51">
        <v>118317</v>
      </c>
      <c r="I1915" s="51">
        <v>-118317</v>
      </c>
      <c r="J1915" s="51">
        <v>0</v>
      </c>
      <c r="K1915" s="51">
        <v>0</v>
      </c>
      <c r="L1915" s="51">
        <v>0</v>
      </c>
      <c r="M1915" s="51">
        <v>0</v>
      </c>
      <c r="N1915" s="51">
        <v>0</v>
      </c>
    </row>
    <row r="1916" spans="1:14" ht="15.75" x14ac:dyDescent="0.25">
      <c r="A1916" s="49" t="s">
        <v>339</v>
      </c>
      <c r="B1916" s="50" t="s">
        <v>62</v>
      </c>
      <c r="C1916" s="51">
        <v>221934</v>
      </c>
      <c r="D1916" s="51">
        <v>-1174</v>
      </c>
      <c r="E1916" s="51">
        <v>0</v>
      </c>
      <c r="F1916" s="51">
        <v>0</v>
      </c>
      <c r="G1916" s="51">
        <v>0</v>
      </c>
      <c r="H1916" s="51">
        <v>220760</v>
      </c>
      <c r="I1916" s="51">
        <v>-220760</v>
      </c>
      <c r="J1916" s="51">
        <v>0</v>
      </c>
      <c r="K1916" s="51">
        <v>0</v>
      </c>
      <c r="L1916" s="51">
        <v>0</v>
      </c>
      <c r="M1916" s="51">
        <v>0</v>
      </c>
      <c r="N1916" s="51">
        <v>0</v>
      </c>
    </row>
    <row r="1917" spans="1:14" ht="15.75" x14ac:dyDescent="0.25">
      <c r="A1917" s="52" t="s">
        <v>340</v>
      </c>
      <c r="B1917" s="53" t="s">
        <v>8</v>
      </c>
      <c r="C1917" s="19">
        <f>SUBTOTAL(109,Program181[(C)
Program
Costs])</f>
        <v>1043306</v>
      </c>
      <c r="D1917" s="19">
        <f>SUBTOTAL(109,Program181[(D)
Prior Period Adjustments])</f>
        <v>-6189</v>
      </c>
      <c r="E1917" s="19">
        <f>SUBTOTAL(109,Program181[(E)
Current Period Desk 
Reviews])</f>
        <v>0</v>
      </c>
      <c r="F1917" s="19">
        <f>SUBTOTAL(109,Program181[(F)
Current Period 
Final 
Audits])</f>
        <v>0</v>
      </c>
      <c r="G1917" s="19">
        <f>SUBTOTAL(109,Program181[(G)
Current Period 
Other Adjustments])</f>
        <v>0</v>
      </c>
      <c r="H1917" s="19">
        <f>SUBTOTAL(109,Program181[(H)
Net Program Costs
Sum (C through G)])</f>
        <v>1037117</v>
      </c>
      <c r="I1917" s="19">
        <f>SUBTOTAL(109,Program181[(I)
Payments
 and Offsets])</f>
        <v>-1037117</v>
      </c>
      <c r="J1917" s="19">
        <f>SUBTOTAL(109,Program181[(J)
Accounts Payable Balance
(H + I)])</f>
        <v>0</v>
      </c>
      <c r="K1917" s="19">
        <f>SUBTOTAL(109,Program181[(K)
Established 
Accounts Receivable])</f>
        <v>21952</v>
      </c>
      <c r="L1917" s="19">
        <f>SUBTOTAL(109,Program181[(L)
Recovered
 Accounts Receivable])</f>
        <v>-21952</v>
      </c>
      <c r="M1917" s="19">
        <f>SUBTOTAL(109,Program181[(M)
Accounts Receivable Balance
(K + L)])</f>
        <v>0</v>
      </c>
      <c r="N1917" s="19">
        <f>SUBTOTAL(109,Program181[(N)
Net Balance
(J minus M)])</f>
        <v>0</v>
      </c>
    </row>
    <row r="1918" spans="1:14" ht="15.75" x14ac:dyDescent="0.25">
      <c r="A1918" s="17" t="s">
        <v>13</v>
      </c>
      <c r="B1918" s="54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78.75" x14ac:dyDescent="0.25">
      <c r="A1919" s="39" t="s">
        <v>32</v>
      </c>
      <c r="B1919" s="40" t="s">
        <v>33</v>
      </c>
      <c r="C1919" s="41" t="s">
        <v>34</v>
      </c>
      <c r="D1919" s="41" t="s">
        <v>35</v>
      </c>
      <c r="E1919" s="42" t="s">
        <v>36</v>
      </c>
      <c r="F1919" s="42" t="s">
        <v>37</v>
      </c>
      <c r="G1919" s="42" t="s">
        <v>38</v>
      </c>
      <c r="H1919" s="43" t="s">
        <v>39</v>
      </c>
      <c r="I1919" s="44" t="s">
        <v>40</v>
      </c>
      <c r="J1919" s="44" t="s">
        <v>41</v>
      </c>
      <c r="K1919" s="42" t="s">
        <v>42</v>
      </c>
      <c r="L1919" s="44" t="s">
        <v>43</v>
      </c>
      <c r="M1919" s="44" t="s">
        <v>44</v>
      </c>
      <c r="N1919" s="45" t="s">
        <v>45</v>
      </c>
    </row>
    <row r="1920" spans="1:14" ht="15.75" x14ac:dyDescent="0.25">
      <c r="A1920" s="46" t="s">
        <v>341</v>
      </c>
      <c r="B1920" s="47" t="s">
        <v>60</v>
      </c>
      <c r="C1920" s="48">
        <v>95889</v>
      </c>
      <c r="D1920" s="48">
        <v>0</v>
      </c>
      <c r="E1920" s="48">
        <v>0</v>
      </c>
      <c r="F1920" s="48">
        <v>0</v>
      </c>
      <c r="G1920" s="48">
        <v>0</v>
      </c>
      <c r="H1920" s="48">
        <v>95889</v>
      </c>
      <c r="I1920" s="48">
        <v>-95889</v>
      </c>
      <c r="J1920" s="48">
        <v>0</v>
      </c>
      <c r="K1920" s="48">
        <v>0</v>
      </c>
      <c r="L1920" s="48">
        <v>0</v>
      </c>
      <c r="M1920" s="48">
        <v>0</v>
      </c>
      <c r="N1920" s="48">
        <v>0</v>
      </c>
    </row>
    <row r="1921" spans="1:14" ht="15.75" x14ac:dyDescent="0.25">
      <c r="A1921" s="49" t="s">
        <v>341</v>
      </c>
      <c r="B1921" s="50" t="s">
        <v>61</v>
      </c>
      <c r="C1921" s="51">
        <v>87631</v>
      </c>
      <c r="D1921" s="51">
        <v>-1000</v>
      </c>
      <c r="E1921" s="51">
        <v>0</v>
      </c>
      <c r="F1921" s="51">
        <v>0</v>
      </c>
      <c r="G1921" s="51">
        <v>0</v>
      </c>
      <c r="H1921" s="51">
        <v>86631</v>
      </c>
      <c r="I1921" s="51">
        <v>-86631</v>
      </c>
      <c r="J1921" s="51">
        <v>0</v>
      </c>
      <c r="K1921" s="51">
        <v>0</v>
      </c>
      <c r="L1921" s="51">
        <v>0</v>
      </c>
      <c r="M1921" s="51">
        <v>0</v>
      </c>
      <c r="N1921" s="51">
        <v>0</v>
      </c>
    </row>
    <row r="1922" spans="1:14" ht="15.75" x14ac:dyDescent="0.25">
      <c r="A1922" s="49" t="s">
        <v>341</v>
      </c>
      <c r="B1922" s="50" t="s">
        <v>66</v>
      </c>
      <c r="C1922" s="51">
        <v>267601</v>
      </c>
      <c r="D1922" s="51">
        <v>-468</v>
      </c>
      <c r="E1922" s="51">
        <v>0</v>
      </c>
      <c r="F1922" s="51">
        <v>0</v>
      </c>
      <c r="G1922" s="51">
        <v>0</v>
      </c>
      <c r="H1922" s="51">
        <v>267133</v>
      </c>
      <c r="I1922" s="51">
        <v>-267133</v>
      </c>
      <c r="J1922" s="51">
        <v>0</v>
      </c>
      <c r="K1922" s="51">
        <v>0</v>
      </c>
      <c r="L1922" s="51">
        <v>0</v>
      </c>
      <c r="M1922" s="51">
        <v>0</v>
      </c>
      <c r="N1922" s="51">
        <v>0</v>
      </c>
    </row>
    <row r="1923" spans="1:14" ht="15.75" x14ac:dyDescent="0.25">
      <c r="A1923" s="52" t="s">
        <v>342</v>
      </c>
      <c r="B1923" s="53" t="s">
        <v>8</v>
      </c>
      <c r="C1923" s="19">
        <f>SUBTOTAL(109,Program071[(C)
Program
Costs])</f>
        <v>451121</v>
      </c>
      <c r="D1923" s="19">
        <f>SUBTOTAL(109,Program071[(D)
Prior Period Adjustments])</f>
        <v>-1468</v>
      </c>
      <c r="E1923" s="19">
        <f>SUBTOTAL(109,Program071[(E)
Current Period Desk 
Reviews])</f>
        <v>0</v>
      </c>
      <c r="F1923" s="19">
        <f>SUBTOTAL(109,Program071[(F)
Current Period 
Final 
Audits])</f>
        <v>0</v>
      </c>
      <c r="G1923" s="19">
        <f>SUBTOTAL(109,Program071[(G)
Current Period 
Other Adjustments])</f>
        <v>0</v>
      </c>
      <c r="H1923" s="19">
        <f>SUBTOTAL(109,Program071[(H)
Net Program Costs
Sum (C through G)])</f>
        <v>449653</v>
      </c>
      <c r="I1923" s="19">
        <f>SUBTOTAL(109,Program071[(I)
Payments
 and Offsets])</f>
        <v>-449653</v>
      </c>
      <c r="J1923" s="19">
        <f>SUBTOTAL(109,Program071[(J)
Accounts Payable Balance
(H + I)])</f>
        <v>0</v>
      </c>
      <c r="K1923" s="19">
        <f>SUBTOTAL(109,Program071[(K)
Established 
Accounts Receivable])</f>
        <v>0</v>
      </c>
      <c r="L1923" s="19">
        <f>SUBTOTAL(109,Program071[(L)
Recovered
 Accounts Receivable])</f>
        <v>0</v>
      </c>
      <c r="M1923" s="19">
        <f>SUBTOTAL(109,Program071[(M)
Accounts Receivable Balance
(K + L)])</f>
        <v>0</v>
      </c>
      <c r="N1923" s="19">
        <f>SUBTOTAL(109,Program071[(N)
Net Balance
(J minus M)])</f>
        <v>0</v>
      </c>
    </row>
    <row r="1924" spans="1:14" ht="15.75" x14ac:dyDescent="0.25">
      <c r="A1924" s="17" t="s">
        <v>13</v>
      </c>
      <c r="B1924" s="54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78.75" x14ac:dyDescent="0.25">
      <c r="A1925" s="39" t="s">
        <v>32</v>
      </c>
      <c r="B1925" s="40" t="s">
        <v>33</v>
      </c>
      <c r="C1925" s="41" t="s">
        <v>34</v>
      </c>
      <c r="D1925" s="41" t="s">
        <v>35</v>
      </c>
      <c r="E1925" s="42" t="s">
        <v>36</v>
      </c>
      <c r="F1925" s="42" t="s">
        <v>37</v>
      </c>
      <c r="G1925" s="42" t="s">
        <v>38</v>
      </c>
      <c r="H1925" s="43" t="s">
        <v>39</v>
      </c>
      <c r="I1925" s="44" t="s">
        <v>40</v>
      </c>
      <c r="J1925" s="44" t="s">
        <v>41</v>
      </c>
      <c r="K1925" s="42" t="s">
        <v>42</v>
      </c>
      <c r="L1925" s="44" t="s">
        <v>43</v>
      </c>
      <c r="M1925" s="44" t="s">
        <v>44</v>
      </c>
      <c r="N1925" s="45" t="s">
        <v>45</v>
      </c>
    </row>
    <row r="1926" spans="1:14" ht="15.75" x14ac:dyDescent="0.25">
      <c r="A1926" s="46" t="s">
        <v>343</v>
      </c>
      <c r="B1926" s="47" t="s">
        <v>82</v>
      </c>
      <c r="C1926" s="48">
        <v>2510091</v>
      </c>
      <c r="D1926" s="48">
        <v>-10000</v>
      </c>
      <c r="E1926" s="48">
        <v>0</v>
      </c>
      <c r="F1926" s="48">
        <v>0</v>
      </c>
      <c r="G1926" s="48">
        <v>0</v>
      </c>
      <c r="H1926" s="48">
        <v>2500091</v>
      </c>
      <c r="I1926" s="48">
        <v>0</v>
      </c>
      <c r="J1926" s="48">
        <v>2500091</v>
      </c>
      <c r="K1926" s="48">
        <v>0</v>
      </c>
      <c r="L1926" s="48">
        <v>0</v>
      </c>
      <c r="M1926" s="48">
        <v>0</v>
      </c>
      <c r="N1926" s="48">
        <v>2500091</v>
      </c>
    </row>
    <row r="1927" spans="1:14" ht="15.75" x14ac:dyDescent="0.25">
      <c r="A1927" s="49" t="s">
        <v>343</v>
      </c>
      <c r="B1927" s="50" t="s">
        <v>83</v>
      </c>
      <c r="C1927" s="51">
        <v>658320</v>
      </c>
      <c r="D1927" s="51">
        <v>-8995</v>
      </c>
      <c r="E1927" s="51">
        <v>0</v>
      </c>
      <c r="F1927" s="51">
        <v>0</v>
      </c>
      <c r="G1927" s="51">
        <v>0</v>
      </c>
      <c r="H1927" s="51">
        <v>649325</v>
      </c>
      <c r="I1927" s="51">
        <v>0</v>
      </c>
      <c r="J1927" s="51">
        <v>649325</v>
      </c>
      <c r="K1927" s="51">
        <v>0</v>
      </c>
      <c r="L1927" s="51">
        <v>0</v>
      </c>
      <c r="M1927" s="51">
        <v>0</v>
      </c>
      <c r="N1927" s="51">
        <v>649325</v>
      </c>
    </row>
    <row r="1928" spans="1:14" ht="15.75" x14ac:dyDescent="0.25">
      <c r="A1928" s="49" t="s">
        <v>343</v>
      </c>
      <c r="B1928" s="50" t="s">
        <v>48</v>
      </c>
      <c r="C1928" s="51">
        <v>1492595</v>
      </c>
      <c r="D1928" s="51">
        <v>-8138</v>
      </c>
      <c r="E1928" s="51">
        <v>0</v>
      </c>
      <c r="F1928" s="51">
        <v>0</v>
      </c>
      <c r="G1928" s="51">
        <v>0</v>
      </c>
      <c r="H1928" s="51">
        <v>1484457</v>
      </c>
      <c r="I1928" s="51">
        <v>0</v>
      </c>
      <c r="J1928" s="51">
        <v>1484457</v>
      </c>
      <c r="K1928" s="51">
        <v>0</v>
      </c>
      <c r="L1928" s="51">
        <v>0</v>
      </c>
      <c r="M1928" s="51">
        <v>0</v>
      </c>
      <c r="N1928" s="51">
        <v>1484457</v>
      </c>
    </row>
    <row r="1929" spans="1:14" ht="15.75" x14ac:dyDescent="0.25">
      <c r="A1929" s="49" t="s">
        <v>343</v>
      </c>
      <c r="B1929" s="50" t="s">
        <v>49</v>
      </c>
      <c r="C1929" s="51">
        <v>476952</v>
      </c>
      <c r="D1929" s="51">
        <v>-9141</v>
      </c>
      <c r="E1929" s="51">
        <v>0</v>
      </c>
      <c r="F1929" s="51">
        <v>0</v>
      </c>
      <c r="G1929" s="51">
        <v>0</v>
      </c>
      <c r="H1929" s="51">
        <v>467811</v>
      </c>
      <c r="I1929" s="51">
        <v>0</v>
      </c>
      <c r="J1929" s="51">
        <v>467811</v>
      </c>
      <c r="K1929" s="51">
        <v>0</v>
      </c>
      <c r="L1929" s="51">
        <v>0</v>
      </c>
      <c r="M1929" s="51">
        <v>0</v>
      </c>
      <c r="N1929" s="51">
        <v>467811</v>
      </c>
    </row>
    <row r="1930" spans="1:14" ht="15.75" x14ac:dyDescent="0.25">
      <c r="A1930" s="49" t="s">
        <v>343</v>
      </c>
      <c r="B1930" s="50" t="s">
        <v>50</v>
      </c>
      <c r="C1930" s="51">
        <v>1368505</v>
      </c>
      <c r="D1930" s="51">
        <v>-7139</v>
      </c>
      <c r="E1930" s="51">
        <v>0</v>
      </c>
      <c r="F1930" s="51">
        <v>0</v>
      </c>
      <c r="G1930" s="51">
        <v>0</v>
      </c>
      <c r="H1930" s="51">
        <v>1361366</v>
      </c>
      <c r="I1930" s="51">
        <v>0</v>
      </c>
      <c r="J1930" s="51">
        <v>1361366</v>
      </c>
      <c r="K1930" s="51">
        <v>0</v>
      </c>
      <c r="L1930" s="51">
        <v>0</v>
      </c>
      <c r="M1930" s="51">
        <v>0</v>
      </c>
      <c r="N1930" s="51">
        <v>1361366</v>
      </c>
    </row>
    <row r="1931" spans="1:14" ht="15.75" x14ac:dyDescent="0.25">
      <c r="A1931" s="49" t="s">
        <v>343</v>
      </c>
      <c r="B1931" s="50" t="s">
        <v>51</v>
      </c>
      <c r="C1931" s="51">
        <v>433116</v>
      </c>
      <c r="D1931" s="51">
        <v>-14126</v>
      </c>
      <c r="E1931" s="51">
        <v>0</v>
      </c>
      <c r="F1931" s="51">
        <v>0</v>
      </c>
      <c r="G1931" s="51">
        <v>0</v>
      </c>
      <c r="H1931" s="51">
        <v>418990</v>
      </c>
      <c r="I1931" s="51">
        <v>0</v>
      </c>
      <c r="J1931" s="51">
        <v>418990</v>
      </c>
      <c r="K1931" s="51">
        <v>0</v>
      </c>
      <c r="L1931" s="51">
        <v>0</v>
      </c>
      <c r="M1931" s="51">
        <v>0</v>
      </c>
      <c r="N1931" s="51">
        <v>418990</v>
      </c>
    </row>
    <row r="1932" spans="1:14" ht="15.75" x14ac:dyDescent="0.25">
      <c r="A1932" s="49" t="s">
        <v>343</v>
      </c>
      <c r="B1932" s="50" t="s">
        <v>52</v>
      </c>
      <c r="C1932" s="51">
        <v>700423</v>
      </c>
      <c r="D1932" s="51">
        <v>-4860</v>
      </c>
      <c r="E1932" s="51">
        <v>0</v>
      </c>
      <c r="F1932" s="51">
        <v>0</v>
      </c>
      <c r="G1932" s="51">
        <v>0</v>
      </c>
      <c r="H1932" s="51">
        <v>695563</v>
      </c>
      <c r="I1932" s="51">
        <v>0</v>
      </c>
      <c r="J1932" s="51">
        <v>695563</v>
      </c>
      <c r="K1932" s="51">
        <v>0</v>
      </c>
      <c r="L1932" s="51">
        <v>0</v>
      </c>
      <c r="M1932" s="51">
        <v>0</v>
      </c>
      <c r="N1932" s="51">
        <v>695563</v>
      </c>
    </row>
    <row r="1933" spans="1:14" ht="15.75" x14ac:dyDescent="0.25">
      <c r="A1933" s="49" t="s">
        <v>343</v>
      </c>
      <c r="B1933" s="50" t="s">
        <v>53</v>
      </c>
      <c r="C1933" s="51">
        <v>431940</v>
      </c>
      <c r="D1933" s="51">
        <v>-4462</v>
      </c>
      <c r="E1933" s="51">
        <v>0</v>
      </c>
      <c r="F1933" s="51">
        <v>0</v>
      </c>
      <c r="G1933" s="51">
        <v>0</v>
      </c>
      <c r="H1933" s="51">
        <v>427478</v>
      </c>
      <c r="I1933" s="51">
        <v>0</v>
      </c>
      <c r="J1933" s="51">
        <v>427478</v>
      </c>
      <c r="K1933" s="51">
        <v>0</v>
      </c>
      <c r="L1933" s="51">
        <v>0</v>
      </c>
      <c r="M1933" s="51">
        <v>0</v>
      </c>
      <c r="N1933" s="51">
        <v>427478</v>
      </c>
    </row>
    <row r="1934" spans="1:14" ht="15.75" x14ac:dyDescent="0.25">
      <c r="A1934" s="49" t="s">
        <v>343</v>
      </c>
      <c r="B1934" s="50" t="s">
        <v>54</v>
      </c>
      <c r="C1934" s="51">
        <v>1092490</v>
      </c>
      <c r="D1934" s="51">
        <v>-4355</v>
      </c>
      <c r="E1934" s="51">
        <v>0</v>
      </c>
      <c r="F1934" s="51">
        <v>0</v>
      </c>
      <c r="G1934" s="51">
        <v>0</v>
      </c>
      <c r="H1934" s="51">
        <v>1088135</v>
      </c>
      <c r="I1934" s="51">
        <v>0</v>
      </c>
      <c r="J1934" s="51">
        <v>1088135</v>
      </c>
      <c r="K1934" s="51">
        <v>0</v>
      </c>
      <c r="L1934" s="51">
        <v>0</v>
      </c>
      <c r="M1934" s="51">
        <v>0</v>
      </c>
      <c r="N1934" s="51">
        <v>1088135</v>
      </c>
    </row>
    <row r="1935" spans="1:14" ht="15.75" x14ac:dyDescent="0.25">
      <c r="A1935" s="49" t="s">
        <v>343</v>
      </c>
      <c r="B1935" s="50" t="s">
        <v>55</v>
      </c>
      <c r="C1935" s="51">
        <v>528888</v>
      </c>
      <c r="D1935" s="51">
        <v>-14628</v>
      </c>
      <c r="E1935" s="51">
        <v>0</v>
      </c>
      <c r="F1935" s="51">
        <v>0</v>
      </c>
      <c r="G1935" s="51">
        <v>0</v>
      </c>
      <c r="H1935" s="51">
        <v>514260</v>
      </c>
      <c r="I1935" s="51">
        <v>0</v>
      </c>
      <c r="J1935" s="51">
        <v>514260</v>
      </c>
      <c r="K1935" s="51">
        <v>0</v>
      </c>
      <c r="L1935" s="51">
        <v>0</v>
      </c>
      <c r="M1935" s="51">
        <v>0</v>
      </c>
      <c r="N1935" s="51">
        <v>514260</v>
      </c>
    </row>
    <row r="1936" spans="1:14" ht="15.75" x14ac:dyDescent="0.25">
      <c r="A1936" s="49" t="s">
        <v>343</v>
      </c>
      <c r="B1936" s="50" t="s">
        <v>56</v>
      </c>
      <c r="C1936" s="51">
        <v>470986</v>
      </c>
      <c r="D1936" s="51">
        <v>-3071</v>
      </c>
      <c r="E1936" s="51">
        <v>0</v>
      </c>
      <c r="F1936" s="51">
        <v>0</v>
      </c>
      <c r="G1936" s="51">
        <v>0</v>
      </c>
      <c r="H1936" s="51">
        <v>467915</v>
      </c>
      <c r="I1936" s="51">
        <v>0</v>
      </c>
      <c r="J1936" s="51">
        <v>467915</v>
      </c>
      <c r="K1936" s="51">
        <v>0</v>
      </c>
      <c r="L1936" s="51">
        <v>0</v>
      </c>
      <c r="M1936" s="51">
        <v>0</v>
      </c>
      <c r="N1936" s="51">
        <v>467915</v>
      </c>
    </row>
    <row r="1937" spans="1:14" ht="15.75" x14ac:dyDescent="0.25">
      <c r="A1937" s="52" t="s">
        <v>344</v>
      </c>
      <c r="B1937" s="53" t="s">
        <v>8</v>
      </c>
      <c r="C1937" s="19">
        <f>SUBTOTAL(109,Program331[(C)
Program
Costs])</f>
        <v>10164306</v>
      </c>
      <c r="D1937" s="19">
        <f>SUBTOTAL(109,Program331[(D)
Prior Period Adjustments])</f>
        <v>-88915</v>
      </c>
      <c r="E1937" s="19">
        <f>SUBTOTAL(109,Program331[(E)
Current Period Desk 
Reviews])</f>
        <v>0</v>
      </c>
      <c r="F1937" s="19">
        <f>SUBTOTAL(109,Program331[(F)
Current Period 
Final 
Audits])</f>
        <v>0</v>
      </c>
      <c r="G1937" s="19">
        <f>SUBTOTAL(109,Program331[(G)
Current Period 
Other Adjustments])</f>
        <v>0</v>
      </c>
      <c r="H1937" s="19">
        <f>SUBTOTAL(109,Program331[(H)
Net Program Costs
Sum (C through G)])</f>
        <v>10075391</v>
      </c>
      <c r="I1937" s="19">
        <f>SUBTOTAL(109,Program331[(I)
Payments
 and Offsets])</f>
        <v>0</v>
      </c>
      <c r="J1937" s="19">
        <f>SUBTOTAL(109,Program331[(J)
Accounts Payable Balance
(H + I)])</f>
        <v>10075391</v>
      </c>
      <c r="K1937" s="19">
        <f>SUBTOTAL(109,Program331[(K)
Established 
Accounts Receivable])</f>
        <v>0</v>
      </c>
      <c r="L1937" s="19">
        <f>SUBTOTAL(109,Program331[(L)
Recovered
 Accounts Receivable])</f>
        <v>0</v>
      </c>
      <c r="M1937" s="19">
        <f>SUBTOTAL(109,Program331[(M)
Accounts Receivable Balance
(K + L)])</f>
        <v>0</v>
      </c>
      <c r="N1937" s="19">
        <f>SUBTOTAL(109,Program331[(N)
Net Balance
(J minus M)])</f>
        <v>10075391</v>
      </c>
    </row>
    <row r="1938" spans="1:14" ht="15.75" x14ac:dyDescent="0.25">
      <c r="A1938" s="17" t="s">
        <v>13</v>
      </c>
      <c r="B1938" s="54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</row>
    <row r="1939" spans="1:14" ht="78.75" x14ac:dyDescent="0.25">
      <c r="A1939" s="39" t="s">
        <v>32</v>
      </c>
      <c r="B1939" s="40" t="s">
        <v>33</v>
      </c>
      <c r="C1939" s="41" t="s">
        <v>34</v>
      </c>
      <c r="D1939" s="41" t="s">
        <v>35</v>
      </c>
      <c r="E1939" s="42" t="s">
        <v>36</v>
      </c>
      <c r="F1939" s="42" t="s">
        <v>37</v>
      </c>
      <c r="G1939" s="42" t="s">
        <v>38</v>
      </c>
      <c r="H1939" s="43" t="s">
        <v>39</v>
      </c>
      <c r="I1939" s="44" t="s">
        <v>40</v>
      </c>
      <c r="J1939" s="44" t="s">
        <v>41</v>
      </c>
      <c r="K1939" s="42" t="s">
        <v>42</v>
      </c>
      <c r="L1939" s="44" t="s">
        <v>43</v>
      </c>
      <c r="M1939" s="44" t="s">
        <v>44</v>
      </c>
      <c r="N1939" s="45" t="s">
        <v>45</v>
      </c>
    </row>
    <row r="1940" spans="1:14" ht="15.75" x14ac:dyDescent="0.25">
      <c r="A1940" s="46" t="s">
        <v>345</v>
      </c>
      <c r="B1940" s="47" t="s">
        <v>48</v>
      </c>
      <c r="C1940" s="48">
        <v>1278525</v>
      </c>
      <c r="D1940" s="48">
        <v>-3027</v>
      </c>
      <c r="E1940" s="48">
        <v>0</v>
      </c>
      <c r="F1940" s="48">
        <v>0</v>
      </c>
      <c r="G1940" s="48">
        <v>0</v>
      </c>
      <c r="H1940" s="48">
        <v>1275498</v>
      </c>
      <c r="I1940" s="48">
        <v>0</v>
      </c>
      <c r="J1940" s="48">
        <v>1275498</v>
      </c>
      <c r="K1940" s="48">
        <v>0</v>
      </c>
      <c r="L1940" s="48">
        <v>0</v>
      </c>
      <c r="M1940" s="48">
        <v>0</v>
      </c>
      <c r="N1940" s="48">
        <v>1275498</v>
      </c>
    </row>
    <row r="1941" spans="1:14" ht="15.75" x14ac:dyDescent="0.25">
      <c r="A1941" s="49" t="s">
        <v>345</v>
      </c>
      <c r="B1941" s="50" t="s">
        <v>49</v>
      </c>
      <c r="C1941" s="51">
        <v>1206671</v>
      </c>
      <c r="D1941" s="51">
        <v>-1073</v>
      </c>
      <c r="E1941" s="51">
        <v>0</v>
      </c>
      <c r="F1941" s="51">
        <v>0</v>
      </c>
      <c r="G1941" s="51">
        <v>0</v>
      </c>
      <c r="H1941" s="51">
        <v>1205598</v>
      </c>
      <c r="I1941" s="51">
        <v>0</v>
      </c>
      <c r="J1941" s="51">
        <v>1205598</v>
      </c>
      <c r="K1941" s="51">
        <v>0</v>
      </c>
      <c r="L1941" s="51">
        <v>0</v>
      </c>
      <c r="M1941" s="51">
        <v>0</v>
      </c>
      <c r="N1941" s="51">
        <v>1205598</v>
      </c>
    </row>
    <row r="1942" spans="1:14" ht="15.75" x14ac:dyDescent="0.25">
      <c r="A1942" s="49" t="s">
        <v>345</v>
      </c>
      <c r="B1942" s="50" t="s">
        <v>50</v>
      </c>
      <c r="C1942" s="51">
        <v>2040063</v>
      </c>
      <c r="D1942" s="51">
        <v>-1098</v>
      </c>
      <c r="E1942" s="51">
        <v>0</v>
      </c>
      <c r="F1942" s="51">
        <v>0</v>
      </c>
      <c r="G1942" s="51">
        <v>0</v>
      </c>
      <c r="H1942" s="51">
        <v>2038965</v>
      </c>
      <c r="I1942" s="51">
        <v>-2038965</v>
      </c>
      <c r="J1942" s="51">
        <v>0</v>
      </c>
      <c r="K1942" s="51">
        <v>0</v>
      </c>
      <c r="L1942" s="51">
        <v>0</v>
      </c>
      <c r="M1942" s="51">
        <v>0</v>
      </c>
      <c r="N1942" s="51">
        <v>0</v>
      </c>
    </row>
    <row r="1943" spans="1:14" ht="15.75" x14ac:dyDescent="0.25">
      <c r="A1943" s="49" t="s">
        <v>345</v>
      </c>
      <c r="B1943" s="50" t="s">
        <v>51</v>
      </c>
      <c r="C1943" s="51">
        <v>1678084</v>
      </c>
      <c r="D1943" s="51">
        <v>-6482</v>
      </c>
      <c r="E1943" s="51">
        <v>0</v>
      </c>
      <c r="F1943" s="51">
        <v>0</v>
      </c>
      <c r="G1943" s="51">
        <v>0</v>
      </c>
      <c r="H1943" s="51">
        <v>1671602</v>
      </c>
      <c r="I1943" s="51">
        <v>-1671602</v>
      </c>
      <c r="J1943" s="51">
        <v>0</v>
      </c>
      <c r="K1943" s="51">
        <v>0</v>
      </c>
      <c r="L1943" s="51">
        <v>0</v>
      </c>
      <c r="M1943" s="51">
        <v>0</v>
      </c>
      <c r="N1943" s="51">
        <v>0</v>
      </c>
    </row>
    <row r="1944" spans="1:14" ht="15.75" x14ac:dyDescent="0.25">
      <c r="A1944" s="49" t="s">
        <v>345</v>
      </c>
      <c r="B1944" s="50" t="s">
        <v>52</v>
      </c>
      <c r="C1944" s="51">
        <v>1044311</v>
      </c>
      <c r="D1944" s="51">
        <v>-5780</v>
      </c>
      <c r="E1944" s="51">
        <v>0</v>
      </c>
      <c r="F1944" s="51">
        <v>0</v>
      </c>
      <c r="G1944" s="51">
        <v>0</v>
      </c>
      <c r="H1944" s="51">
        <v>1038531</v>
      </c>
      <c r="I1944" s="51">
        <v>-1038531</v>
      </c>
      <c r="J1944" s="51">
        <v>0</v>
      </c>
      <c r="K1944" s="51">
        <v>31300</v>
      </c>
      <c r="L1944" s="51">
        <v>-31300</v>
      </c>
      <c r="M1944" s="51">
        <v>0</v>
      </c>
      <c r="N1944" s="51">
        <v>0</v>
      </c>
    </row>
    <row r="1945" spans="1:14" ht="15.75" x14ac:dyDescent="0.25">
      <c r="A1945" s="49" t="s">
        <v>345</v>
      </c>
      <c r="B1945" s="50" t="s">
        <v>53</v>
      </c>
      <c r="C1945" s="51">
        <v>944264</v>
      </c>
      <c r="D1945" s="51">
        <v>-8136</v>
      </c>
      <c r="E1945" s="51">
        <v>0</v>
      </c>
      <c r="F1945" s="51">
        <v>0</v>
      </c>
      <c r="G1945" s="51">
        <v>0</v>
      </c>
      <c r="H1945" s="51">
        <v>936128</v>
      </c>
      <c r="I1945" s="51">
        <v>-936128</v>
      </c>
      <c r="J1945" s="51">
        <v>0</v>
      </c>
      <c r="K1945" s="51">
        <v>0</v>
      </c>
      <c r="L1945" s="51">
        <v>0</v>
      </c>
      <c r="M1945" s="51">
        <v>0</v>
      </c>
      <c r="N1945" s="51">
        <v>0</v>
      </c>
    </row>
    <row r="1946" spans="1:14" ht="15.75" x14ac:dyDescent="0.25">
      <c r="A1946" s="49" t="s">
        <v>345</v>
      </c>
      <c r="B1946" s="50" t="s">
        <v>54</v>
      </c>
      <c r="C1946" s="51">
        <v>1461256</v>
      </c>
      <c r="D1946" s="51">
        <v>-4891</v>
      </c>
      <c r="E1946" s="51">
        <v>0</v>
      </c>
      <c r="F1946" s="51">
        <v>0</v>
      </c>
      <c r="G1946" s="51">
        <v>0</v>
      </c>
      <c r="H1946" s="51">
        <v>1456365</v>
      </c>
      <c r="I1946" s="51">
        <v>-1456365</v>
      </c>
      <c r="J1946" s="51">
        <v>0</v>
      </c>
      <c r="K1946" s="51">
        <v>0</v>
      </c>
      <c r="L1946" s="51">
        <v>0</v>
      </c>
      <c r="M1946" s="51">
        <v>0</v>
      </c>
      <c r="N1946" s="51">
        <v>0</v>
      </c>
    </row>
    <row r="1947" spans="1:14" ht="15.75" x14ac:dyDescent="0.25">
      <c r="A1947" s="49" t="s">
        <v>345</v>
      </c>
      <c r="B1947" s="50" t="s">
        <v>55</v>
      </c>
      <c r="C1947" s="51">
        <v>1612921</v>
      </c>
      <c r="D1947" s="51">
        <v>-4287</v>
      </c>
      <c r="E1947" s="51">
        <v>0</v>
      </c>
      <c r="F1947" s="51">
        <v>0</v>
      </c>
      <c r="G1947" s="51">
        <v>0</v>
      </c>
      <c r="H1947" s="51">
        <v>1608634</v>
      </c>
      <c r="I1947" s="51">
        <v>-1608634</v>
      </c>
      <c r="J1947" s="51">
        <v>0</v>
      </c>
      <c r="K1947" s="51">
        <v>0</v>
      </c>
      <c r="L1947" s="51">
        <v>0</v>
      </c>
      <c r="M1947" s="51">
        <v>0</v>
      </c>
      <c r="N1947" s="51">
        <v>0</v>
      </c>
    </row>
    <row r="1948" spans="1:14" ht="15.75" x14ac:dyDescent="0.25">
      <c r="A1948" s="49" t="s">
        <v>345</v>
      </c>
      <c r="B1948" s="50" t="s">
        <v>56</v>
      </c>
      <c r="C1948" s="51">
        <v>931597</v>
      </c>
      <c r="D1948" s="51">
        <v>-3051</v>
      </c>
      <c r="E1948" s="51">
        <v>0</v>
      </c>
      <c r="F1948" s="51">
        <v>0</v>
      </c>
      <c r="G1948" s="51">
        <v>0</v>
      </c>
      <c r="H1948" s="51">
        <v>928546</v>
      </c>
      <c r="I1948" s="51">
        <v>-928546</v>
      </c>
      <c r="J1948" s="51">
        <v>0</v>
      </c>
      <c r="K1948" s="51">
        <v>0</v>
      </c>
      <c r="L1948" s="51">
        <v>0</v>
      </c>
      <c r="M1948" s="51">
        <v>0</v>
      </c>
      <c r="N1948" s="51">
        <v>0</v>
      </c>
    </row>
    <row r="1949" spans="1:14" ht="15.75" x14ac:dyDescent="0.25">
      <c r="A1949" s="49" t="s">
        <v>345</v>
      </c>
      <c r="B1949" s="50" t="s">
        <v>57</v>
      </c>
      <c r="C1949" s="51">
        <v>780842</v>
      </c>
      <c r="D1949" s="51">
        <v>-2491</v>
      </c>
      <c r="E1949" s="51">
        <v>0</v>
      </c>
      <c r="F1949" s="51">
        <v>0</v>
      </c>
      <c r="G1949" s="51">
        <v>0</v>
      </c>
      <c r="H1949" s="51">
        <v>778351</v>
      </c>
      <c r="I1949" s="51">
        <v>-778351</v>
      </c>
      <c r="J1949" s="51">
        <v>0</v>
      </c>
      <c r="K1949" s="51">
        <v>0</v>
      </c>
      <c r="L1949" s="51">
        <v>0</v>
      </c>
      <c r="M1949" s="51">
        <v>0</v>
      </c>
      <c r="N1949" s="51">
        <v>0</v>
      </c>
    </row>
    <row r="1950" spans="1:14" ht="15.75" x14ac:dyDescent="0.25">
      <c r="A1950" s="49" t="s">
        <v>345</v>
      </c>
      <c r="B1950" s="50" t="s">
        <v>58</v>
      </c>
      <c r="C1950" s="51">
        <v>1161862</v>
      </c>
      <c r="D1950" s="51">
        <v>-4000</v>
      </c>
      <c r="E1950" s="51">
        <v>0</v>
      </c>
      <c r="F1950" s="51">
        <v>0</v>
      </c>
      <c r="G1950" s="51">
        <v>0</v>
      </c>
      <c r="H1950" s="51">
        <v>1157862</v>
      </c>
      <c r="I1950" s="51">
        <v>-1157862</v>
      </c>
      <c r="J1950" s="51">
        <v>0</v>
      </c>
      <c r="K1950" s="51">
        <v>0</v>
      </c>
      <c r="L1950" s="51">
        <v>0</v>
      </c>
      <c r="M1950" s="51">
        <v>0</v>
      </c>
      <c r="N1950" s="51">
        <v>0</v>
      </c>
    </row>
    <row r="1951" spans="1:14" ht="15.75" x14ac:dyDescent="0.25">
      <c r="A1951" s="49" t="s">
        <v>345</v>
      </c>
      <c r="B1951" s="50" t="s">
        <v>59</v>
      </c>
      <c r="C1951" s="51">
        <v>1186558</v>
      </c>
      <c r="D1951" s="51">
        <v>-10465</v>
      </c>
      <c r="E1951" s="51">
        <v>0</v>
      </c>
      <c r="F1951" s="51">
        <v>0</v>
      </c>
      <c r="G1951" s="51">
        <v>0</v>
      </c>
      <c r="H1951" s="51">
        <v>1176093</v>
      </c>
      <c r="I1951" s="51">
        <v>-1176093</v>
      </c>
      <c r="J1951" s="51">
        <v>0</v>
      </c>
      <c r="K1951" s="51">
        <v>36033</v>
      </c>
      <c r="L1951" s="51">
        <v>-36033</v>
      </c>
      <c r="M1951" s="51">
        <v>0</v>
      </c>
      <c r="N1951" s="51">
        <v>0</v>
      </c>
    </row>
    <row r="1952" spans="1:14" ht="15.75" x14ac:dyDescent="0.25">
      <c r="A1952" s="49" t="s">
        <v>345</v>
      </c>
      <c r="B1952" s="50" t="s">
        <v>60</v>
      </c>
      <c r="C1952" s="51">
        <v>936747</v>
      </c>
      <c r="D1952" s="51">
        <v>0</v>
      </c>
      <c r="E1952" s="51">
        <v>0</v>
      </c>
      <c r="F1952" s="51">
        <v>0</v>
      </c>
      <c r="G1952" s="51">
        <v>0</v>
      </c>
      <c r="H1952" s="51">
        <v>936747</v>
      </c>
      <c r="I1952" s="51">
        <v>-936747</v>
      </c>
      <c r="J1952" s="51">
        <v>0</v>
      </c>
      <c r="K1952" s="51">
        <v>29864</v>
      </c>
      <c r="L1952" s="51">
        <v>-29864</v>
      </c>
      <c r="M1952" s="51">
        <v>0</v>
      </c>
      <c r="N1952" s="51">
        <v>0</v>
      </c>
    </row>
    <row r="1953" spans="1:14" ht="15.75" x14ac:dyDescent="0.25">
      <c r="A1953" s="49" t="s">
        <v>345</v>
      </c>
      <c r="B1953" s="50" t="s">
        <v>61</v>
      </c>
      <c r="C1953" s="51">
        <v>971511</v>
      </c>
      <c r="D1953" s="51">
        <v>0</v>
      </c>
      <c r="E1953" s="51">
        <v>0</v>
      </c>
      <c r="F1953" s="51">
        <v>0</v>
      </c>
      <c r="G1953" s="51">
        <v>0</v>
      </c>
      <c r="H1953" s="51">
        <v>971511</v>
      </c>
      <c r="I1953" s="51">
        <v>-971511</v>
      </c>
      <c r="J1953" s="51">
        <v>0</v>
      </c>
      <c r="K1953" s="51">
        <v>0</v>
      </c>
      <c r="L1953" s="51">
        <v>0</v>
      </c>
      <c r="M1953" s="51">
        <v>0</v>
      </c>
      <c r="N1953" s="51">
        <v>0</v>
      </c>
    </row>
    <row r="1954" spans="1:14" ht="15.75" x14ac:dyDescent="0.25">
      <c r="A1954" s="49" t="s">
        <v>345</v>
      </c>
      <c r="B1954" s="50" t="s">
        <v>62</v>
      </c>
      <c r="C1954" s="51">
        <v>1070775</v>
      </c>
      <c r="D1954" s="51">
        <v>0</v>
      </c>
      <c r="E1954" s="51">
        <v>0</v>
      </c>
      <c r="F1954" s="51">
        <v>0</v>
      </c>
      <c r="G1954" s="51">
        <v>0</v>
      </c>
      <c r="H1954" s="51">
        <v>1070775</v>
      </c>
      <c r="I1954" s="51">
        <v>-1070775</v>
      </c>
      <c r="J1954" s="51">
        <v>0</v>
      </c>
      <c r="K1954" s="51">
        <v>0</v>
      </c>
      <c r="L1954" s="51">
        <v>0</v>
      </c>
      <c r="M1954" s="51">
        <v>0</v>
      </c>
      <c r="N1954" s="51">
        <v>0</v>
      </c>
    </row>
    <row r="1955" spans="1:14" ht="15.75" x14ac:dyDescent="0.25">
      <c r="A1955" s="49" t="s">
        <v>345</v>
      </c>
      <c r="B1955" s="50" t="s">
        <v>63</v>
      </c>
      <c r="C1955" s="51">
        <v>1258459</v>
      </c>
      <c r="D1955" s="51">
        <v>-106</v>
      </c>
      <c r="E1955" s="51">
        <v>0</v>
      </c>
      <c r="F1955" s="51">
        <v>0</v>
      </c>
      <c r="G1955" s="51">
        <v>0</v>
      </c>
      <c r="H1955" s="51">
        <v>1258353</v>
      </c>
      <c r="I1955" s="51">
        <v>-1258353</v>
      </c>
      <c r="J1955" s="51">
        <v>0</v>
      </c>
      <c r="K1955" s="51">
        <v>0</v>
      </c>
      <c r="L1955" s="51">
        <v>0</v>
      </c>
      <c r="M1955" s="51">
        <v>0</v>
      </c>
      <c r="N1955" s="51">
        <v>0</v>
      </c>
    </row>
    <row r="1956" spans="1:14" ht="15.75" x14ac:dyDescent="0.25">
      <c r="A1956" s="49" t="s">
        <v>345</v>
      </c>
      <c r="B1956" s="50" t="s">
        <v>64</v>
      </c>
      <c r="C1956" s="51">
        <v>854339</v>
      </c>
      <c r="D1956" s="51">
        <v>-1927</v>
      </c>
      <c r="E1956" s="51">
        <v>0</v>
      </c>
      <c r="F1956" s="51">
        <v>0</v>
      </c>
      <c r="G1956" s="51">
        <v>0</v>
      </c>
      <c r="H1956" s="51">
        <v>852412</v>
      </c>
      <c r="I1956" s="51">
        <v>-852412</v>
      </c>
      <c r="J1956" s="51">
        <v>0</v>
      </c>
      <c r="K1956" s="51">
        <v>0</v>
      </c>
      <c r="L1956" s="51">
        <v>0</v>
      </c>
      <c r="M1956" s="51">
        <v>0</v>
      </c>
      <c r="N1956" s="51">
        <v>0</v>
      </c>
    </row>
    <row r="1957" spans="1:14" ht="15.75" x14ac:dyDescent="0.25">
      <c r="A1957" s="49" t="s">
        <v>345</v>
      </c>
      <c r="B1957" s="50" t="s">
        <v>65</v>
      </c>
      <c r="C1957" s="51">
        <v>713897</v>
      </c>
      <c r="D1957" s="51">
        <v>0</v>
      </c>
      <c r="E1957" s="51">
        <v>0</v>
      </c>
      <c r="F1957" s="51">
        <v>0</v>
      </c>
      <c r="G1957" s="51">
        <v>0</v>
      </c>
      <c r="H1957" s="51">
        <v>713897</v>
      </c>
      <c r="I1957" s="51">
        <v>-713897</v>
      </c>
      <c r="J1957" s="51">
        <v>0</v>
      </c>
      <c r="K1957" s="51">
        <v>0</v>
      </c>
      <c r="L1957" s="51">
        <v>0</v>
      </c>
      <c r="M1957" s="51">
        <v>0</v>
      </c>
      <c r="N1957" s="51">
        <v>0</v>
      </c>
    </row>
    <row r="1958" spans="1:14" ht="15.75" x14ac:dyDescent="0.25">
      <c r="A1958" s="49" t="s">
        <v>345</v>
      </c>
      <c r="B1958" s="50" t="s">
        <v>66</v>
      </c>
      <c r="C1958" s="51">
        <v>1423005</v>
      </c>
      <c r="D1958" s="51">
        <v>-144921</v>
      </c>
      <c r="E1958" s="51">
        <v>0</v>
      </c>
      <c r="F1958" s="51">
        <v>0</v>
      </c>
      <c r="G1958" s="51">
        <v>0</v>
      </c>
      <c r="H1958" s="51">
        <v>1278084</v>
      </c>
      <c r="I1958" s="51">
        <v>-1278084</v>
      </c>
      <c r="J1958" s="51">
        <v>0</v>
      </c>
      <c r="K1958" s="51">
        <v>0</v>
      </c>
      <c r="L1958" s="51">
        <v>0</v>
      </c>
      <c r="M1958" s="51">
        <v>0</v>
      </c>
      <c r="N1958" s="51">
        <v>0</v>
      </c>
    </row>
    <row r="1959" spans="1:14" ht="15.75" x14ac:dyDescent="0.25">
      <c r="A1959" s="49" t="s">
        <v>345</v>
      </c>
      <c r="B1959" s="50" t="s">
        <v>67</v>
      </c>
      <c r="C1959" s="51">
        <v>1318765</v>
      </c>
      <c r="D1959" s="51">
        <v>-162982</v>
      </c>
      <c r="E1959" s="51">
        <v>0</v>
      </c>
      <c r="F1959" s="51">
        <v>0</v>
      </c>
      <c r="G1959" s="51">
        <v>0</v>
      </c>
      <c r="H1959" s="51">
        <v>1155783</v>
      </c>
      <c r="I1959" s="51">
        <v>-1155783</v>
      </c>
      <c r="J1959" s="51">
        <v>0</v>
      </c>
      <c r="K1959" s="51">
        <v>0</v>
      </c>
      <c r="L1959" s="51">
        <v>0</v>
      </c>
      <c r="M1959" s="51">
        <v>0</v>
      </c>
      <c r="N1959" s="51">
        <v>0</v>
      </c>
    </row>
    <row r="1960" spans="1:14" ht="15.75" x14ac:dyDescent="0.25">
      <c r="A1960" s="52" t="s">
        <v>346</v>
      </c>
      <c r="B1960" s="53" t="s">
        <v>8</v>
      </c>
      <c r="C1960" s="19">
        <f>SUBTOTAL(109,Program056[(C)
Program
Costs])</f>
        <v>23874452</v>
      </c>
      <c r="D1960" s="19">
        <f>SUBTOTAL(109,Program056[(D)
Prior Period Adjustments])</f>
        <v>-364717</v>
      </c>
      <c r="E1960" s="19">
        <f>SUBTOTAL(109,Program056[(E)
Current Period Desk 
Reviews])</f>
        <v>0</v>
      </c>
      <c r="F1960" s="19">
        <f>SUBTOTAL(109,Program056[(F)
Current Period 
Final 
Audits])</f>
        <v>0</v>
      </c>
      <c r="G1960" s="19">
        <f>SUBTOTAL(109,Program056[(G)
Current Period 
Other Adjustments])</f>
        <v>0</v>
      </c>
      <c r="H1960" s="19">
        <f>SUBTOTAL(109,Program056[(H)
Net Program Costs
Sum (C through G)])</f>
        <v>23509735</v>
      </c>
      <c r="I1960" s="19">
        <f>SUBTOTAL(109,Program056[(I)
Payments
 and Offsets])</f>
        <v>-21028639</v>
      </c>
      <c r="J1960" s="19">
        <f>SUBTOTAL(109,Program056[(J)
Accounts Payable Balance
(H + I)])</f>
        <v>2481096</v>
      </c>
      <c r="K1960" s="19">
        <f>SUBTOTAL(109,Program056[(K)
Established 
Accounts Receivable])</f>
        <v>97197</v>
      </c>
      <c r="L1960" s="19">
        <f>SUBTOTAL(109,Program056[(L)
Recovered
 Accounts Receivable])</f>
        <v>-97197</v>
      </c>
      <c r="M1960" s="19">
        <f>SUBTOTAL(109,Program056[(M)
Accounts Receivable Balance
(K + L)])</f>
        <v>0</v>
      </c>
      <c r="N1960" s="19">
        <f>SUBTOTAL(109,Program056[(N)
Net Balance
(J minus M)])</f>
        <v>2481096</v>
      </c>
    </row>
    <row r="1961" spans="1:14" ht="15.75" x14ac:dyDescent="0.25">
      <c r="A1961" s="17" t="s">
        <v>13</v>
      </c>
      <c r="B1961" s="54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78.75" x14ac:dyDescent="0.25">
      <c r="A1962" s="39" t="s">
        <v>32</v>
      </c>
      <c r="B1962" s="40" t="s">
        <v>33</v>
      </c>
      <c r="C1962" s="41" t="s">
        <v>34</v>
      </c>
      <c r="D1962" s="41" t="s">
        <v>35</v>
      </c>
      <c r="E1962" s="42" t="s">
        <v>36</v>
      </c>
      <c r="F1962" s="42" t="s">
        <v>37</v>
      </c>
      <c r="G1962" s="42" t="s">
        <v>38</v>
      </c>
      <c r="H1962" s="43" t="s">
        <v>39</v>
      </c>
      <c r="I1962" s="44" t="s">
        <v>40</v>
      </c>
      <c r="J1962" s="44" t="s">
        <v>41</v>
      </c>
      <c r="K1962" s="42" t="s">
        <v>42</v>
      </c>
      <c r="L1962" s="44" t="s">
        <v>43</v>
      </c>
      <c r="M1962" s="44" t="s">
        <v>44</v>
      </c>
      <c r="N1962" s="45" t="s">
        <v>45</v>
      </c>
    </row>
    <row r="1963" spans="1:14" ht="15.75" x14ac:dyDescent="0.25">
      <c r="A1963" s="69" t="s">
        <v>70</v>
      </c>
      <c r="B1963" s="70" t="s">
        <v>8</v>
      </c>
      <c r="C1963" s="71">
        <v>286249721</v>
      </c>
      <c r="D1963" s="71">
        <v>-10113466</v>
      </c>
      <c r="E1963" s="71">
        <v>0</v>
      </c>
      <c r="F1963" s="71">
        <v>0</v>
      </c>
      <c r="G1963" s="71">
        <v>0</v>
      </c>
      <c r="H1963" s="71">
        <v>276136255</v>
      </c>
      <c r="I1963" s="71">
        <v>-226597493</v>
      </c>
      <c r="J1963" s="71">
        <v>49538762</v>
      </c>
      <c r="K1963" s="71">
        <v>15221076</v>
      </c>
      <c r="L1963" s="71">
        <v>-15221076</v>
      </c>
      <c r="M1963" s="71">
        <v>0</v>
      </c>
      <c r="N1963" s="71">
        <v>49538762</v>
      </c>
    </row>
    <row r="1964" spans="1:14" ht="15.75" x14ac:dyDescent="0.25">
      <c r="A1964" s="49" t="s">
        <v>72</v>
      </c>
      <c r="B1964" s="72" t="s">
        <v>8</v>
      </c>
      <c r="C1964" s="11">
        <v>541125</v>
      </c>
      <c r="D1964" s="11">
        <v>-951</v>
      </c>
      <c r="E1964" s="11">
        <v>0</v>
      </c>
      <c r="F1964" s="11">
        <v>0</v>
      </c>
      <c r="G1964" s="11">
        <v>0</v>
      </c>
      <c r="H1964" s="11">
        <v>540174</v>
      </c>
      <c r="I1964" s="11">
        <v>-472474</v>
      </c>
      <c r="J1964" s="11">
        <v>67700</v>
      </c>
      <c r="K1964" s="11">
        <v>101789</v>
      </c>
      <c r="L1964" s="11">
        <v>-101789</v>
      </c>
      <c r="M1964" s="11">
        <v>0</v>
      </c>
      <c r="N1964" s="11">
        <v>67700</v>
      </c>
    </row>
    <row r="1965" spans="1:14" ht="15.75" x14ac:dyDescent="0.25">
      <c r="A1965" s="49" t="s">
        <v>74</v>
      </c>
      <c r="B1965" s="72" t="s">
        <v>8</v>
      </c>
      <c r="C1965" s="11">
        <v>219928</v>
      </c>
      <c r="D1965" s="11">
        <v>-2250</v>
      </c>
      <c r="E1965" s="11">
        <v>0</v>
      </c>
      <c r="F1965" s="11">
        <v>0</v>
      </c>
      <c r="G1965" s="11">
        <v>0</v>
      </c>
      <c r="H1965" s="11">
        <v>217678</v>
      </c>
      <c r="I1965" s="11">
        <v>-217678</v>
      </c>
      <c r="J1965" s="11">
        <v>0</v>
      </c>
      <c r="K1965" s="11">
        <v>0</v>
      </c>
      <c r="L1965" s="11">
        <v>0</v>
      </c>
      <c r="M1965" s="11">
        <v>0</v>
      </c>
      <c r="N1965" s="11">
        <v>0</v>
      </c>
    </row>
    <row r="1966" spans="1:14" ht="15.75" x14ac:dyDescent="0.25">
      <c r="A1966" s="49" t="s">
        <v>84</v>
      </c>
      <c r="B1966" s="72" t="s">
        <v>8</v>
      </c>
      <c r="C1966" s="11">
        <v>45006651</v>
      </c>
      <c r="D1966" s="11">
        <v>-1264203</v>
      </c>
      <c r="E1966" s="11">
        <v>-34335</v>
      </c>
      <c r="F1966" s="11">
        <v>0</v>
      </c>
      <c r="G1966" s="11">
        <v>-2495</v>
      </c>
      <c r="H1966" s="11">
        <v>43705618</v>
      </c>
      <c r="I1966" s="11">
        <v>-41918626</v>
      </c>
      <c r="J1966" s="11">
        <v>1786992</v>
      </c>
      <c r="K1966" s="11">
        <v>1298919</v>
      </c>
      <c r="L1966" s="11">
        <v>-1291305</v>
      </c>
      <c r="M1966" s="11">
        <v>7614</v>
      </c>
      <c r="N1966" s="11">
        <v>1779378</v>
      </c>
    </row>
    <row r="1967" spans="1:14" ht="15.75" x14ac:dyDescent="0.25">
      <c r="A1967" s="49" t="s">
        <v>86</v>
      </c>
      <c r="B1967" s="72" t="s">
        <v>8</v>
      </c>
      <c r="C1967" s="11">
        <v>3004925</v>
      </c>
      <c r="D1967" s="11">
        <v>-157043</v>
      </c>
      <c r="E1967" s="11">
        <v>0</v>
      </c>
      <c r="F1967" s="11">
        <v>0</v>
      </c>
      <c r="G1967" s="11">
        <v>0</v>
      </c>
      <c r="H1967" s="11">
        <v>2847882</v>
      </c>
      <c r="I1967" s="11">
        <v>-2847882</v>
      </c>
      <c r="J1967" s="11">
        <v>0</v>
      </c>
      <c r="K1967" s="11">
        <v>489423</v>
      </c>
      <c r="L1967" s="11">
        <v>-489423</v>
      </c>
      <c r="M1967" s="11">
        <v>0</v>
      </c>
      <c r="N1967" s="11">
        <v>0</v>
      </c>
    </row>
    <row r="1968" spans="1:14" ht="15.75" x14ac:dyDescent="0.25">
      <c r="A1968" s="49" t="s">
        <v>88</v>
      </c>
      <c r="B1968" s="72" t="s">
        <v>8</v>
      </c>
      <c r="C1968" s="11">
        <v>9774587</v>
      </c>
      <c r="D1968" s="11">
        <v>-700438</v>
      </c>
      <c r="E1968" s="11">
        <v>0</v>
      </c>
      <c r="F1968" s="11">
        <v>0</v>
      </c>
      <c r="G1968" s="11">
        <v>0</v>
      </c>
      <c r="H1968" s="11">
        <v>9074149</v>
      </c>
      <c r="I1968" s="11">
        <v>-9074149</v>
      </c>
      <c r="J1968" s="11">
        <v>0</v>
      </c>
      <c r="K1968" s="11">
        <v>1536870</v>
      </c>
      <c r="L1968" s="11">
        <v>-1536870</v>
      </c>
      <c r="M1968" s="11">
        <v>0</v>
      </c>
      <c r="N1968" s="11">
        <v>0</v>
      </c>
    </row>
    <row r="1969" spans="1:14" ht="15.75" x14ac:dyDescent="0.25">
      <c r="A1969" s="49" t="s">
        <v>90</v>
      </c>
      <c r="B1969" s="72" t="s">
        <v>8</v>
      </c>
      <c r="C1969" s="11">
        <v>1337061</v>
      </c>
      <c r="D1969" s="11">
        <v>-1273401</v>
      </c>
      <c r="E1969" s="11">
        <v>0</v>
      </c>
      <c r="F1969" s="11">
        <v>0</v>
      </c>
      <c r="G1969" s="11">
        <v>0</v>
      </c>
      <c r="H1969" s="11">
        <v>63660</v>
      </c>
      <c r="I1969" s="11">
        <v>-63660</v>
      </c>
      <c r="J1969" s="11">
        <v>0</v>
      </c>
      <c r="K1969" s="11">
        <v>23</v>
      </c>
      <c r="L1969" s="11">
        <v>-23</v>
      </c>
      <c r="M1969" s="11">
        <v>0</v>
      </c>
      <c r="N1969" s="11">
        <v>0</v>
      </c>
    </row>
    <row r="1970" spans="1:14" ht="15.75" x14ac:dyDescent="0.25">
      <c r="A1970" s="49" t="s">
        <v>92</v>
      </c>
      <c r="B1970" s="72" t="s">
        <v>8</v>
      </c>
      <c r="C1970" s="11">
        <v>16437964</v>
      </c>
      <c r="D1970" s="11">
        <v>-1570478</v>
      </c>
      <c r="E1970" s="11">
        <v>0</v>
      </c>
      <c r="F1970" s="11">
        <v>0</v>
      </c>
      <c r="G1970" s="11">
        <v>-284</v>
      </c>
      <c r="H1970" s="11">
        <v>14867202</v>
      </c>
      <c r="I1970" s="11">
        <v>-13968169</v>
      </c>
      <c r="J1970" s="11">
        <v>899033</v>
      </c>
      <c r="K1970" s="11">
        <v>426547</v>
      </c>
      <c r="L1970" s="11">
        <v>-426547</v>
      </c>
      <c r="M1970" s="11">
        <v>0</v>
      </c>
      <c r="N1970" s="11">
        <v>899033</v>
      </c>
    </row>
    <row r="1971" spans="1:14" ht="15.75" x14ac:dyDescent="0.25">
      <c r="A1971" s="49" t="s">
        <v>94</v>
      </c>
      <c r="B1971" s="72" t="s">
        <v>8</v>
      </c>
      <c r="C1971" s="11">
        <v>198687443</v>
      </c>
      <c r="D1971" s="11">
        <v>-45546879</v>
      </c>
      <c r="E1971" s="11">
        <v>0</v>
      </c>
      <c r="F1971" s="11">
        <v>28276</v>
      </c>
      <c r="G1971" s="11">
        <v>0</v>
      </c>
      <c r="H1971" s="11">
        <v>153168840</v>
      </c>
      <c r="I1971" s="11">
        <v>-113483272</v>
      </c>
      <c r="J1971" s="11">
        <v>39685568</v>
      </c>
      <c r="K1971" s="11">
        <v>24499396</v>
      </c>
      <c r="L1971" s="11">
        <v>-22980651</v>
      </c>
      <c r="M1971" s="11">
        <v>1518745</v>
      </c>
      <c r="N1971" s="11">
        <v>38166823</v>
      </c>
    </row>
    <row r="1972" spans="1:14" ht="15.75" x14ac:dyDescent="0.25">
      <c r="A1972" s="49" t="s">
        <v>347</v>
      </c>
      <c r="B1972" s="72" t="s">
        <v>8</v>
      </c>
      <c r="C1972" s="11">
        <v>341855</v>
      </c>
      <c r="D1972" s="11">
        <v>-13585</v>
      </c>
      <c r="E1972" s="11">
        <v>0</v>
      </c>
      <c r="F1972" s="11">
        <v>0</v>
      </c>
      <c r="G1972" s="11">
        <v>0</v>
      </c>
      <c r="H1972" s="11">
        <v>328270</v>
      </c>
      <c r="I1972" s="11">
        <v>-328270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</row>
    <row r="1973" spans="1:14" ht="15.75" x14ac:dyDescent="0.25">
      <c r="A1973" s="49" t="s">
        <v>97</v>
      </c>
      <c r="B1973" s="72" t="s">
        <v>8</v>
      </c>
      <c r="C1973" s="11">
        <v>15407</v>
      </c>
      <c r="D1973" s="11">
        <v>-12792</v>
      </c>
      <c r="E1973" s="11">
        <v>0</v>
      </c>
      <c r="F1973" s="11">
        <v>0</v>
      </c>
      <c r="G1973" s="11">
        <v>0</v>
      </c>
      <c r="H1973" s="11">
        <v>2615</v>
      </c>
      <c r="I1973" s="11">
        <v>-2615</v>
      </c>
      <c r="J1973" s="11">
        <v>0</v>
      </c>
      <c r="K1973" s="11">
        <v>0</v>
      </c>
      <c r="L1973" s="11">
        <v>0</v>
      </c>
      <c r="M1973" s="11">
        <v>0</v>
      </c>
      <c r="N1973" s="11">
        <v>0</v>
      </c>
    </row>
    <row r="1974" spans="1:14" ht="15.75" x14ac:dyDescent="0.25">
      <c r="A1974" s="49" t="s">
        <v>101</v>
      </c>
      <c r="B1974" s="72" t="s">
        <v>8</v>
      </c>
      <c r="C1974" s="11">
        <v>58515844</v>
      </c>
      <c r="D1974" s="11">
        <v>-1142854</v>
      </c>
      <c r="E1974" s="11">
        <v>0</v>
      </c>
      <c r="F1974" s="11">
        <v>0</v>
      </c>
      <c r="G1974" s="11">
        <v>0</v>
      </c>
      <c r="H1974" s="11">
        <v>57372990</v>
      </c>
      <c r="I1974" s="11">
        <v>-57372990</v>
      </c>
      <c r="J1974" s="11">
        <v>0</v>
      </c>
      <c r="K1974" s="11">
        <v>1109297</v>
      </c>
      <c r="L1974" s="11">
        <v>-1109297</v>
      </c>
      <c r="M1974" s="11">
        <v>0</v>
      </c>
      <c r="N1974" s="11">
        <v>0</v>
      </c>
    </row>
    <row r="1975" spans="1:14" ht="15.75" x14ac:dyDescent="0.25">
      <c r="A1975" s="49" t="s">
        <v>103</v>
      </c>
      <c r="B1975" s="72" t="s">
        <v>8</v>
      </c>
      <c r="C1975" s="11">
        <v>219628</v>
      </c>
      <c r="D1975" s="11">
        <v>-3452</v>
      </c>
      <c r="E1975" s="11">
        <v>0</v>
      </c>
      <c r="F1975" s="11">
        <v>0</v>
      </c>
      <c r="G1975" s="11">
        <v>0</v>
      </c>
      <c r="H1975" s="11">
        <v>216176</v>
      </c>
      <c r="I1975" s="11">
        <v>0</v>
      </c>
      <c r="J1975" s="11">
        <v>216176</v>
      </c>
      <c r="K1975" s="11">
        <v>0</v>
      </c>
      <c r="L1975" s="11">
        <v>0</v>
      </c>
      <c r="M1975" s="11">
        <v>0</v>
      </c>
      <c r="N1975" s="11">
        <v>216176</v>
      </c>
    </row>
    <row r="1976" spans="1:14" ht="15.75" x14ac:dyDescent="0.25">
      <c r="A1976" s="49" t="s">
        <v>105</v>
      </c>
      <c r="B1976" s="72" t="s">
        <v>8</v>
      </c>
      <c r="C1976" s="11">
        <v>18379468</v>
      </c>
      <c r="D1976" s="11">
        <v>-813170</v>
      </c>
      <c r="E1976" s="11">
        <v>0</v>
      </c>
      <c r="F1976" s="11">
        <v>0</v>
      </c>
      <c r="G1976" s="11">
        <v>0</v>
      </c>
      <c r="H1976" s="11">
        <v>17566298</v>
      </c>
      <c r="I1976" s="11">
        <v>-17566298</v>
      </c>
      <c r="J1976" s="11">
        <v>0</v>
      </c>
      <c r="K1976" s="11">
        <v>53838</v>
      </c>
      <c r="L1976" s="11">
        <v>0</v>
      </c>
      <c r="M1976" s="11">
        <v>53838</v>
      </c>
      <c r="N1976" s="11">
        <v>-53838</v>
      </c>
    </row>
    <row r="1977" spans="1:14" ht="15.75" x14ac:dyDescent="0.25">
      <c r="A1977" s="49" t="s">
        <v>107</v>
      </c>
      <c r="B1977" s="72" t="s">
        <v>8</v>
      </c>
      <c r="C1977" s="11">
        <v>867348</v>
      </c>
      <c r="D1977" s="11">
        <v>-2576</v>
      </c>
      <c r="E1977" s="11">
        <v>0</v>
      </c>
      <c r="F1977" s="11">
        <v>0</v>
      </c>
      <c r="G1977" s="11">
        <v>0</v>
      </c>
      <c r="H1977" s="11">
        <v>864772</v>
      </c>
      <c r="I1977" s="11">
        <v>-864772</v>
      </c>
      <c r="J1977" s="11">
        <v>0</v>
      </c>
      <c r="K1977" s="11">
        <v>0</v>
      </c>
      <c r="L1977" s="11">
        <v>0</v>
      </c>
      <c r="M1977" s="11">
        <v>0</v>
      </c>
      <c r="N1977" s="11">
        <v>0</v>
      </c>
    </row>
    <row r="1978" spans="1:14" ht="15.75" x14ac:dyDescent="0.25">
      <c r="A1978" s="49" t="s">
        <v>109</v>
      </c>
      <c r="B1978" s="72" t="s">
        <v>8</v>
      </c>
      <c r="C1978" s="11">
        <v>2047180</v>
      </c>
      <c r="D1978" s="11">
        <v>4548</v>
      </c>
      <c r="E1978" s="11">
        <v>0</v>
      </c>
      <c r="F1978" s="11">
        <v>0</v>
      </c>
      <c r="G1978" s="11">
        <v>0</v>
      </c>
      <c r="H1978" s="11">
        <v>2051728</v>
      </c>
      <c r="I1978" s="11">
        <v>-1702881</v>
      </c>
      <c r="J1978" s="11">
        <v>348847</v>
      </c>
      <c r="K1978" s="11">
        <v>121261.7</v>
      </c>
      <c r="L1978" s="11">
        <v>-121261.7</v>
      </c>
      <c r="M1978" s="11">
        <v>0</v>
      </c>
      <c r="N1978" s="11">
        <v>348847</v>
      </c>
    </row>
    <row r="1979" spans="1:14" ht="15.75" x14ac:dyDescent="0.25">
      <c r="A1979" s="49" t="s">
        <v>111</v>
      </c>
      <c r="B1979" s="72" t="s">
        <v>8</v>
      </c>
      <c r="C1979" s="11">
        <v>1231894</v>
      </c>
      <c r="D1979" s="11">
        <v>7617</v>
      </c>
      <c r="E1979" s="11">
        <v>0</v>
      </c>
      <c r="F1979" s="11">
        <v>0</v>
      </c>
      <c r="G1979" s="11">
        <v>0</v>
      </c>
      <c r="H1979" s="11">
        <v>1239511</v>
      </c>
      <c r="I1979" s="11">
        <v>-1017844</v>
      </c>
      <c r="J1979" s="11">
        <v>221667</v>
      </c>
      <c r="K1979" s="11">
        <v>1273</v>
      </c>
      <c r="L1979" s="11">
        <v>-1273</v>
      </c>
      <c r="M1979" s="11">
        <v>0</v>
      </c>
      <c r="N1979" s="11">
        <v>221667</v>
      </c>
    </row>
    <row r="1980" spans="1:14" ht="15.75" x14ac:dyDescent="0.25">
      <c r="A1980" s="49" t="s">
        <v>113</v>
      </c>
      <c r="B1980" s="72" t="s">
        <v>8</v>
      </c>
      <c r="C1980" s="11">
        <v>1856530</v>
      </c>
      <c r="D1980" s="11">
        <v>-6233</v>
      </c>
      <c r="E1980" s="11">
        <v>0</v>
      </c>
      <c r="F1980" s="11">
        <v>0</v>
      </c>
      <c r="G1980" s="11">
        <v>0</v>
      </c>
      <c r="H1980" s="11">
        <v>1850297</v>
      </c>
      <c r="I1980" s="11">
        <v>-1850297</v>
      </c>
      <c r="J1980" s="11">
        <v>0</v>
      </c>
      <c r="K1980" s="11">
        <v>0</v>
      </c>
      <c r="L1980" s="11">
        <v>0</v>
      </c>
      <c r="M1980" s="11">
        <v>0</v>
      </c>
      <c r="N1980" s="11">
        <v>0</v>
      </c>
    </row>
    <row r="1981" spans="1:14" ht="15.75" x14ac:dyDescent="0.25">
      <c r="A1981" s="49" t="s">
        <v>116</v>
      </c>
      <c r="B1981" s="72" t="s">
        <v>8</v>
      </c>
      <c r="C1981" s="11">
        <v>7005585</v>
      </c>
      <c r="D1981" s="11">
        <v>-435938</v>
      </c>
      <c r="E1981" s="11">
        <v>0</v>
      </c>
      <c r="F1981" s="11">
        <v>0</v>
      </c>
      <c r="G1981" s="11">
        <v>0</v>
      </c>
      <c r="H1981" s="11">
        <v>6569647</v>
      </c>
      <c r="I1981" s="11">
        <v>-6197075</v>
      </c>
      <c r="J1981" s="11">
        <v>372572</v>
      </c>
      <c r="K1981" s="11">
        <v>691753</v>
      </c>
      <c r="L1981" s="11">
        <v>-691753</v>
      </c>
      <c r="M1981" s="11">
        <v>0</v>
      </c>
      <c r="N1981" s="11">
        <v>372572</v>
      </c>
    </row>
    <row r="1982" spans="1:14" ht="15.75" x14ac:dyDescent="0.25">
      <c r="A1982" s="49" t="s">
        <v>118</v>
      </c>
      <c r="B1982" s="72" t="s">
        <v>8</v>
      </c>
      <c r="C1982" s="11">
        <v>10277240</v>
      </c>
      <c r="D1982" s="11">
        <v>-1215179</v>
      </c>
      <c r="E1982" s="11">
        <v>0</v>
      </c>
      <c r="F1982" s="11">
        <v>0</v>
      </c>
      <c r="G1982" s="11">
        <v>0</v>
      </c>
      <c r="H1982" s="11">
        <v>9062061</v>
      </c>
      <c r="I1982" s="11">
        <v>-9062061</v>
      </c>
      <c r="J1982" s="11">
        <v>0</v>
      </c>
      <c r="K1982" s="11">
        <v>1746816</v>
      </c>
      <c r="L1982" s="11">
        <v>-1746816</v>
      </c>
      <c r="M1982" s="11">
        <v>0</v>
      </c>
      <c r="N1982" s="11">
        <v>0</v>
      </c>
    </row>
    <row r="1983" spans="1:14" ht="15.75" x14ac:dyDescent="0.25">
      <c r="A1983" s="49" t="s">
        <v>120</v>
      </c>
      <c r="B1983" s="72" t="s">
        <v>8</v>
      </c>
      <c r="C1983" s="11">
        <v>57184</v>
      </c>
      <c r="D1983" s="11">
        <v>-4229</v>
      </c>
      <c r="E1983" s="11">
        <v>0</v>
      </c>
      <c r="F1983" s="11">
        <v>0</v>
      </c>
      <c r="G1983" s="11">
        <v>0</v>
      </c>
      <c r="H1983" s="11">
        <v>52955</v>
      </c>
      <c r="I1983" s="11">
        <v>-52955</v>
      </c>
      <c r="J1983" s="11">
        <v>0</v>
      </c>
      <c r="K1983" s="11">
        <v>5156</v>
      </c>
      <c r="L1983" s="11">
        <v>-5156</v>
      </c>
      <c r="M1983" s="11">
        <v>0</v>
      </c>
      <c r="N1983" s="11">
        <v>0</v>
      </c>
    </row>
    <row r="1984" spans="1:14" ht="15.75" x14ac:dyDescent="0.25">
      <c r="A1984" s="49" t="s">
        <v>122</v>
      </c>
      <c r="B1984" s="72" t="s">
        <v>8</v>
      </c>
      <c r="C1984" s="11">
        <v>160235358</v>
      </c>
      <c r="D1984" s="11">
        <v>-27041757</v>
      </c>
      <c r="E1984" s="11">
        <v>0</v>
      </c>
      <c r="F1984" s="11">
        <v>-2657837</v>
      </c>
      <c r="G1984" s="11">
        <v>0</v>
      </c>
      <c r="H1984" s="11">
        <v>130535764</v>
      </c>
      <c r="I1984" s="11">
        <v>0</v>
      </c>
      <c r="J1984" s="11">
        <v>130535764</v>
      </c>
      <c r="K1984" s="11">
        <v>0</v>
      </c>
      <c r="L1984" s="11">
        <v>0</v>
      </c>
      <c r="M1984" s="11">
        <v>0</v>
      </c>
      <c r="N1984" s="11">
        <v>130535764</v>
      </c>
    </row>
    <row r="1985" spans="1:14" ht="15.75" x14ac:dyDescent="0.25">
      <c r="A1985" s="49" t="s">
        <v>124</v>
      </c>
      <c r="B1985" s="72" t="s">
        <v>8</v>
      </c>
      <c r="C1985" s="11">
        <v>3008453</v>
      </c>
      <c r="D1985" s="11">
        <v>49381</v>
      </c>
      <c r="E1985" s="11">
        <v>0</v>
      </c>
      <c r="F1985" s="11">
        <v>0</v>
      </c>
      <c r="G1985" s="11">
        <v>-116</v>
      </c>
      <c r="H1985" s="11">
        <v>3057718</v>
      </c>
      <c r="I1985" s="11">
        <v>-2877033</v>
      </c>
      <c r="J1985" s="11">
        <v>180685</v>
      </c>
      <c r="K1985" s="11">
        <v>2328</v>
      </c>
      <c r="L1985" s="11">
        <v>-2328</v>
      </c>
      <c r="M1985" s="11">
        <v>0</v>
      </c>
      <c r="N1985" s="11">
        <v>180685</v>
      </c>
    </row>
    <row r="1986" spans="1:14" ht="15.75" x14ac:dyDescent="0.25">
      <c r="A1986" s="49" t="s">
        <v>126</v>
      </c>
      <c r="B1986" s="72" t="s">
        <v>8</v>
      </c>
      <c r="C1986" s="11">
        <v>2030093</v>
      </c>
      <c r="D1986" s="11">
        <v>-20485</v>
      </c>
      <c r="E1986" s="11">
        <v>0</v>
      </c>
      <c r="F1986" s="11">
        <v>0</v>
      </c>
      <c r="G1986" s="11">
        <v>0</v>
      </c>
      <c r="H1986" s="11">
        <v>2009608</v>
      </c>
      <c r="I1986" s="11">
        <v>0</v>
      </c>
      <c r="J1986" s="11">
        <v>2009608</v>
      </c>
      <c r="K1986" s="11">
        <v>0</v>
      </c>
      <c r="L1986" s="11">
        <v>0</v>
      </c>
      <c r="M1986" s="11">
        <v>0</v>
      </c>
      <c r="N1986" s="11">
        <v>2009608</v>
      </c>
    </row>
    <row r="1987" spans="1:14" ht="15.75" x14ac:dyDescent="0.25">
      <c r="A1987" s="49" t="s">
        <v>128</v>
      </c>
      <c r="B1987" s="72" t="s">
        <v>8</v>
      </c>
      <c r="C1987" s="11">
        <v>4985305</v>
      </c>
      <c r="D1987" s="11">
        <v>-1146057</v>
      </c>
      <c r="E1987" s="11">
        <v>0</v>
      </c>
      <c r="F1987" s="11">
        <v>0</v>
      </c>
      <c r="G1987" s="11">
        <v>0</v>
      </c>
      <c r="H1987" s="11">
        <v>3839248</v>
      </c>
      <c r="I1987" s="11">
        <v>-3129274</v>
      </c>
      <c r="J1987" s="11">
        <v>709974</v>
      </c>
      <c r="K1987" s="11">
        <v>629322</v>
      </c>
      <c r="L1987" s="11">
        <v>-629322</v>
      </c>
      <c r="M1987" s="11">
        <v>0</v>
      </c>
      <c r="N1987" s="11">
        <v>709974</v>
      </c>
    </row>
    <row r="1988" spans="1:14" ht="15.75" x14ac:dyDescent="0.25">
      <c r="A1988" s="49" t="s">
        <v>130</v>
      </c>
      <c r="B1988" s="72" t="s">
        <v>8</v>
      </c>
      <c r="C1988" s="11">
        <v>356020752</v>
      </c>
      <c r="D1988" s="11">
        <v>-10367288</v>
      </c>
      <c r="E1988" s="11">
        <v>0</v>
      </c>
      <c r="F1988" s="11">
        <v>0</v>
      </c>
      <c r="G1988" s="11">
        <v>-924</v>
      </c>
      <c r="H1988" s="11">
        <v>345652540</v>
      </c>
      <c r="I1988" s="11">
        <v>-332848214</v>
      </c>
      <c r="J1988" s="11">
        <v>12804326</v>
      </c>
      <c r="K1988" s="11">
        <v>12339291</v>
      </c>
      <c r="L1988" s="11">
        <v>-12339291</v>
      </c>
      <c r="M1988" s="11">
        <v>0</v>
      </c>
      <c r="N1988" s="11">
        <v>12804326</v>
      </c>
    </row>
    <row r="1989" spans="1:14" ht="15.75" x14ac:dyDescent="0.25">
      <c r="A1989" s="49" t="s">
        <v>132</v>
      </c>
      <c r="B1989" s="72" t="s">
        <v>8</v>
      </c>
      <c r="C1989" s="11">
        <v>1522</v>
      </c>
      <c r="D1989" s="11">
        <v>-448</v>
      </c>
      <c r="E1989" s="11">
        <v>0</v>
      </c>
      <c r="F1989" s="11">
        <v>0</v>
      </c>
      <c r="G1989" s="11">
        <v>0</v>
      </c>
      <c r="H1989" s="11">
        <v>1074</v>
      </c>
      <c r="I1989" s="11">
        <v>-1074</v>
      </c>
      <c r="J1989" s="11">
        <v>0</v>
      </c>
      <c r="K1989" s="11">
        <v>6.04</v>
      </c>
      <c r="L1989" s="11">
        <v>-6.04</v>
      </c>
      <c r="M1989" s="11">
        <v>0</v>
      </c>
      <c r="N1989" s="11">
        <v>0</v>
      </c>
    </row>
    <row r="1990" spans="1:14" ht="15.75" x14ac:dyDescent="0.25">
      <c r="A1990" s="49" t="s">
        <v>134</v>
      </c>
      <c r="B1990" s="72" t="s">
        <v>8</v>
      </c>
      <c r="C1990" s="11">
        <v>4681750</v>
      </c>
      <c r="D1990" s="11">
        <v>-36273</v>
      </c>
      <c r="E1990" s="11">
        <v>0</v>
      </c>
      <c r="F1990" s="11">
        <v>0</v>
      </c>
      <c r="G1990" s="11">
        <v>0</v>
      </c>
      <c r="H1990" s="11">
        <v>4645477</v>
      </c>
      <c r="I1990" s="11">
        <v>-3444543</v>
      </c>
      <c r="J1990" s="11">
        <v>1200934</v>
      </c>
      <c r="K1990" s="11">
        <v>75145.33</v>
      </c>
      <c r="L1990" s="11">
        <v>-75145.33</v>
      </c>
      <c r="M1990" s="11">
        <v>0</v>
      </c>
      <c r="N1990" s="11">
        <v>1200934</v>
      </c>
    </row>
    <row r="1991" spans="1:14" ht="15.75" x14ac:dyDescent="0.25">
      <c r="A1991" s="49" t="s">
        <v>136</v>
      </c>
      <c r="B1991" s="72" t="s">
        <v>8</v>
      </c>
      <c r="C1991" s="11">
        <v>13959252.92</v>
      </c>
      <c r="D1991" s="11">
        <v>0</v>
      </c>
      <c r="E1991" s="11">
        <v>0</v>
      </c>
      <c r="F1991" s="11">
        <v>0</v>
      </c>
      <c r="G1991" s="11">
        <v>0</v>
      </c>
      <c r="H1991" s="11">
        <v>13959252.92</v>
      </c>
      <c r="I1991" s="11">
        <v>-13959252.92</v>
      </c>
      <c r="J1991" s="11">
        <v>0</v>
      </c>
      <c r="K1991" s="11">
        <v>0</v>
      </c>
      <c r="L1991" s="11">
        <v>0</v>
      </c>
      <c r="M1991" s="11">
        <v>0</v>
      </c>
      <c r="N1991" s="11">
        <v>0</v>
      </c>
    </row>
    <row r="1992" spans="1:14" ht="15.75" x14ac:dyDescent="0.25">
      <c r="A1992" s="49" t="s">
        <v>138</v>
      </c>
      <c r="B1992" s="72" t="s">
        <v>8</v>
      </c>
      <c r="C1992" s="11">
        <v>834868</v>
      </c>
      <c r="D1992" s="11">
        <v>-2727</v>
      </c>
      <c r="E1992" s="11">
        <v>0</v>
      </c>
      <c r="F1992" s="11">
        <v>0</v>
      </c>
      <c r="G1992" s="11">
        <v>0</v>
      </c>
      <c r="H1992" s="11">
        <v>832141</v>
      </c>
      <c r="I1992" s="11">
        <v>-522327</v>
      </c>
      <c r="J1992" s="11">
        <v>309814</v>
      </c>
      <c r="K1992" s="11">
        <v>0</v>
      </c>
      <c r="L1992" s="11">
        <v>0</v>
      </c>
      <c r="M1992" s="11">
        <v>0</v>
      </c>
      <c r="N1992" s="11">
        <v>309814</v>
      </c>
    </row>
    <row r="1993" spans="1:14" ht="15.75" x14ac:dyDescent="0.25">
      <c r="A1993" s="49" t="s">
        <v>140</v>
      </c>
      <c r="B1993" s="72" t="s">
        <v>8</v>
      </c>
      <c r="C1993" s="11">
        <v>184197763</v>
      </c>
      <c r="D1993" s="11">
        <v>-9478248</v>
      </c>
      <c r="E1993" s="11">
        <v>-25644</v>
      </c>
      <c r="F1993" s="11">
        <v>0</v>
      </c>
      <c r="G1993" s="11">
        <v>-15793</v>
      </c>
      <c r="H1993" s="11">
        <v>174678078</v>
      </c>
      <c r="I1993" s="11">
        <v>-164989552</v>
      </c>
      <c r="J1993" s="11">
        <v>9688526</v>
      </c>
      <c r="K1993" s="11">
        <v>12306213</v>
      </c>
      <c r="L1993" s="11">
        <v>-12271867</v>
      </c>
      <c r="M1993" s="11">
        <v>34346</v>
      </c>
      <c r="N1993" s="11">
        <v>9654180</v>
      </c>
    </row>
    <row r="1994" spans="1:14" ht="15.75" x14ac:dyDescent="0.25">
      <c r="A1994" s="49" t="s">
        <v>142</v>
      </c>
      <c r="B1994" s="72" t="s">
        <v>8</v>
      </c>
      <c r="C1994" s="11">
        <v>32716613</v>
      </c>
      <c r="D1994" s="11">
        <v>-276572</v>
      </c>
      <c r="E1994" s="11">
        <v>0</v>
      </c>
      <c r="F1994" s="11">
        <v>0</v>
      </c>
      <c r="G1994" s="11">
        <v>-4465</v>
      </c>
      <c r="H1994" s="11">
        <v>32435576</v>
      </c>
      <c r="I1994" s="11">
        <v>-29909054</v>
      </c>
      <c r="J1994" s="11">
        <v>2526522</v>
      </c>
      <c r="K1994" s="11">
        <v>250960</v>
      </c>
      <c r="L1994" s="11">
        <v>-245204</v>
      </c>
      <c r="M1994" s="11">
        <v>5756</v>
      </c>
      <c r="N1994" s="11">
        <v>2520766</v>
      </c>
    </row>
    <row r="1995" spans="1:14" ht="15.75" x14ac:dyDescent="0.25">
      <c r="A1995" s="49" t="s">
        <v>144</v>
      </c>
      <c r="B1995" s="72" t="s">
        <v>8</v>
      </c>
      <c r="C1995" s="11">
        <v>20743407</v>
      </c>
      <c r="D1995" s="11">
        <v>-8816113</v>
      </c>
      <c r="E1995" s="11">
        <v>0</v>
      </c>
      <c r="F1995" s="11">
        <v>0</v>
      </c>
      <c r="G1995" s="11">
        <v>0</v>
      </c>
      <c r="H1995" s="11">
        <v>11927294</v>
      </c>
      <c r="I1995" s="11">
        <v>0</v>
      </c>
      <c r="J1995" s="11">
        <v>11927294</v>
      </c>
      <c r="K1995" s="11">
        <v>0</v>
      </c>
      <c r="L1995" s="11">
        <v>0</v>
      </c>
      <c r="M1995" s="11">
        <v>0</v>
      </c>
      <c r="N1995" s="11">
        <v>11927294</v>
      </c>
    </row>
    <row r="1996" spans="1:14" ht="15.75" x14ac:dyDescent="0.25">
      <c r="A1996" s="49" t="s">
        <v>146</v>
      </c>
      <c r="B1996" s="72" t="s">
        <v>8</v>
      </c>
      <c r="C1996" s="11">
        <v>14466421</v>
      </c>
      <c r="D1996" s="11">
        <v>-1006137</v>
      </c>
      <c r="E1996" s="11">
        <v>0</v>
      </c>
      <c r="F1996" s="11">
        <v>0</v>
      </c>
      <c r="G1996" s="11">
        <v>0</v>
      </c>
      <c r="H1996" s="11">
        <v>13460284</v>
      </c>
      <c r="I1996" s="11">
        <v>-13460284</v>
      </c>
      <c r="J1996" s="11">
        <v>0</v>
      </c>
      <c r="K1996" s="11">
        <v>521176</v>
      </c>
      <c r="L1996" s="11">
        <v>-521176</v>
      </c>
      <c r="M1996" s="11">
        <v>0</v>
      </c>
      <c r="N1996" s="11">
        <v>0</v>
      </c>
    </row>
    <row r="1997" spans="1:14" ht="15.75" x14ac:dyDescent="0.25">
      <c r="A1997" s="49" t="s">
        <v>148</v>
      </c>
      <c r="B1997" s="72" t="s">
        <v>8</v>
      </c>
      <c r="C1997" s="11">
        <v>2508336</v>
      </c>
      <c r="D1997" s="11">
        <v>-240</v>
      </c>
      <c r="E1997" s="11">
        <v>0</v>
      </c>
      <c r="F1997" s="11">
        <v>0</v>
      </c>
      <c r="G1997" s="11">
        <v>0</v>
      </c>
      <c r="H1997" s="11">
        <v>2508096</v>
      </c>
      <c r="I1997" s="11">
        <v>-2508096</v>
      </c>
      <c r="J1997" s="11">
        <v>0</v>
      </c>
      <c r="K1997" s="11">
        <v>158</v>
      </c>
      <c r="L1997" s="11">
        <v>-158</v>
      </c>
      <c r="M1997" s="11">
        <v>0</v>
      </c>
      <c r="N1997" s="11">
        <v>0</v>
      </c>
    </row>
    <row r="1998" spans="1:14" ht="15.75" x14ac:dyDescent="0.25">
      <c r="A1998" s="49" t="s">
        <v>150</v>
      </c>
      <c r="B1998" s="72" t="s">
        <v>8</v>
      </c>
      <c r="C1998" s="11">
        <v>13162074</v>
      </c>
      <c r="D1998" s="11">
        <v>-331658</v>
      </c>
      <c r="E1998" s="11">
        <v>0</v>
      </c>
      <c r="F1998" s="11">
        <v>0</v>
      </c>
      <c r="G1998" s="11">
        <v>0</v>
      </c>
      <c r="H1998" s="11">
        <v>12830416</v>
      </c>
      <c r="I1998" s="11">
        <v>-12830416</v>
      </c>
      <c r="J1998" s="11">
        <v>0</v>
      </c>
      <c r="K1998" s="11">
        <v>379145</v>
      </c>
      <c r="L1998" s="11">
        <v>-379145</v>
      </c>
      <c r="M1998" s="11">
        <v>0</v>
      </c>
      <c r="N1998" s="11">
        <v>0</v>
      </c>
    </row>
    <row r="1999" spans="1:14" ht="15.75" x14ac:dyDescent="0.25">
      <c r="A1999" s="49" t="s">
        <v>152</v>
      </c>
      <c r="B1999" s="72" t="s">
        <v>8</v>
      </c>
      <c r="C1999" s="11">
        <v>2991752</v>
      </c>
      <c r="D1999" s="11">
        <v>-756488</v>
      </c>
      <c r="E1999" s="11">
        <v>0</v>
      </c>
      <c r="F1999" s="11">
        <v>0</v>
      </c>
      <c r="G1999" s="11">
        <v>0</v>
      </c>
      <c r="H1999" s="11">
        <v>2235264</v>
      </c>
      <c r="I1999" s="11">
        <v>-2235264</v>
      </c>
      <c r="J1999" s="11">
        <v>0</v>
      </c>
      <c r="K1999" s="11">
        <v>898441</v>
      </c>
      <c r="L1999" s="11">
        <v>-898441</v>
      </c>
      <c r="M1999" s="11">
        <v>0</v>
      </c>
      <c r="N1999" s="11">
        <v>0</v>
      </c>
    </row>
    <row r="2000" spans="1:14" ht="15.75" x14ac:dyDescent="0.25">
      <c r="A2000" s="49" t="s">
        <v>154</v>
      </c>
      <c r="B2000" s="72" t="s">
        <v>8</v>
      </c>
      <c r="C2000" s="11">
        <v>55718814</v>
      </c>
      <c r="D2000" s="11">
        <v>-1902953</v>
      </c>
      <c r="E2000" s="11">
        <v>0</v>
      </c>
      <c r="F2000" s="11">
        <v>0</v>
      </c>
      <c r="G2000" s="11">
        <v>-2758</v>
      </c>
      <c r="H2000" s="11">
        <v>53813103</v>
      </c>
      <c r="I2000" s="11">
        <v>-51626934</v>
      </c>
      <c r="J2000" s="11">
        <v>2186169</v>
      </c>
      <c r="K2000" s="11">
        <v>2122070</v>
      </c>
      <c r="L2000" s="11">
        <v>-2122070</v>
      </c>
      <c r="M2000" s="11">
        <v>0</v>
      </c>
      <c r="N2000" s="11">
        <v>2186169</v>
      </c>
    </row>
    <row r="2001" spans="1:14" ht="15.75" x14ac:dyDescent="0.25">
      <c r="A2001" s="49" t="s">
        <v>156</v>
      </c>
      <c r="B2001" s="72" t="s">
        <v>8</v>
      </c>
      <c r="C2001" s="11">
        <v>1713191</v>
      </c>
      <c r="D2001" s="11">
        <v>-6406</v>
      </c>
      <c r="E2001" s="11">
        <v>0</v>
      </c>
      <c r="F2001" s="11">
        <v>0</v>
      </c>
      <c r="G2001" s="11">
        <v>0</v>
      </c>
      <c r="H2001" s="11">
        <v>1706785</v>
      </c>
      <c r="I2001" s="11">
        <v>-1706785</v>
      </c>
      <c r="J2001" s="11">
        <v>0</v>
      </c>
      <c r="K2001" s="11">
        <v>0</v>
      </c>
      <c r="L2001" s="11">
        <v>0</v>
      </c>
      <c r="M2001" s="11">
        <v>0</v>
      </c>
      <c r="N2001" s="11">
        <v>0</v>
      </c>
    </row>
    <row r="2002" spans="1:14" ht="15.75" x14ac:dyDescent="0.25">
      <c r="A2002" s="49" t="s">
        <v>158</v>
      </c>
      <c r="B2002" s="72" t="s">
        <v>8</v>
      </c>
      <c r="C2002" s="11">
        <v>14170</v>
      </c>
      <c r="D2002" s="11">
        <v>-676</v>
      </c>
      <c r="E2002" s="11">
        <v>0</v>
      </c>
      <c r="F2002" s="11">
        <v>0</v>
      </c>
      <c r="G2002" s="11">
        <v>0</v>
      </c>
      <c r="H2002" s="11">
        <v>13494</v>
      </c>
      <c r="I2002" s="11">
        <v>-13494</v>
      </c>
      <c r="J2002" s="11">
        <v>0</v>
      </c>
      <c r="K2002" s="11">
        <v>515</v>
      </c>
      <c r="L2002" s="11">
        <v>-515</v>
      </c>
      <c r="M2002" s="11">
        <v>0</v>
      </c>
      <c r="N2002" s="11">
        <v>0</v>
      </c>
    </row>
    <row r="2003" spans="1:14" ht="15.75" x14ac:dyDescent="0.25">
      <c r="A2003" s="49" t="s">
        <v>160</v>
      </c>
      <c r="B2003" s="72" t="s">
        <v>8</v>
      </c>
      <c r="C2003" s="11">
        <v>486031</v>
      </c>
      <c r="D2003" s="11">
        <v>-4835</v>
      </c>
      <c r="E2003" s="11">
        <v>0</v>
      </c>
      <c r="F2003" s="11">
        <v>0</v>
      </c>
      <c r="G2003" s="11">
        <v>0</v>
      </c>
      <c r="H2003" s="11">
        <v>481196</v>
      </c>
      <c r="I2003" s="11">
        <v>-481196</v>
      </c>
      <c r="J2003" s="11">
        <v>0</v>
      </c>
      <c r="K2003" s="11">
        <v>0</v>
      </c>
      <c r="L2003" s="11">
        <v>0</v>
      </c>
      <c r="M2003" s="11">
        <v>0</v>
      </c>
      <c r="N2003" s="11">
        <v>0</v>
      </c>
    </row>
    <row r="2004" spans="1:14" ht="15.75" x14ac:dyDescent="0.25">
      <c r="A2004" s="49" t="s">
        <v>162</v>
      </c>
      <c r="B2004" s="72" t="s">
        <v>8</v>
      </c>
      <c r="C2004" s="11">
        <v>125378</v>
      </c>
      <c r="D2004" s="11">
        <v>-657</v>
      </c>
      <c r="E2004" s="11">
        <v>0</v>
      </c>
      <c r="F2004" s="11">
        <v>0</v>
      </c>
      <c r="G2004" s="11">
        <v>0</v>
      </c>
      <c r="H2004" s="11">
        <v>124721</v>
      </c>
      <c r="I2004" s="11">
        <v>-114636</v>
      </c>
      <c r="J2004" s="11">
        <v>10085</v>
      </c>
      <c r="K2004" s="11">
        <v>1371</v>
      </c>
      <c r="L2004" s="11">
        <v>-1371</v>
      </c>
      <c r="M2004" s="11">
        <v>0</v>
      </c>
      <c r="N2004" s="11">
        <v>10085</v>
      </c>
    </row>
    <row r="2005" spans="1:14" ht="15.75" x14ac:dyDescent="0.25">
      <c r="A2005" s="49" t="s">
        <v>164</v>
      </c>
      <c r="B2005" s="72" t="s">
        <v>8</v>
      </c>
      <c r="C2005" s="11">
        <v>3493</v>
      </c>
      <c r="D2005" s="11">
        <v>-3493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  <c r="J2005" s="11">
        <v>0</v>
      </c>
      <c r="K2005" s="11">
        <v>0</v>
      </c>
      <c r="L2005" s="11">
        <v>0</v>
      </c>
      <c r="M2005" s="11">
        <v>0</v>
      </c>
      <c r="N2005" s="11">
        <v>0</v>
      </c>
    </row>
    <row r="2006" spans="1:14" ht="15.75" x14ac:dyDescent="0.25">
      <c r="A2006" s="49" t="s">
        <v>166</v>
      </c>
      <c r="B2006" s="72" t="s">
        <v>8</v>
      </c>
      <c r="C2006" s="11">
        <v>5631</v>
      </c>
      <c r="D2006" s="11">
        <v>0</v>
      </c>
      <c r="E2006" s="11">
        <v>0</v>
      </c>
      <c r="F2006" s="11">
        <v>0</v>
      </c>
      <c r="G2006" s="11">
        <v>0</v>
      </c>
      <c r="H2006" s="11">
        <v>5631</v>
      </c>
      <c r="I2006" s="11">
        <v>-5631</v>
      </c>
      <c r="J2006" s="11">
        <v>0</v>
      </c>
      <c r="K2006" s="11">
        <v>0</v>
      </c>
      <c r="L2006" s="11">
        <v>0</v>
      </c>
      <c r="M2006" s="11">
        <v>0</v>
      </c>
      <c r="N2006" s="11">
        <v>0</v>
      </c>
    </row>
    <row r="2007" spans="1:14" ht="15.75" x14ac:dyDescent="0.25">
      <c r="A2007" s="49" t="s">
        <v>168</v>
      </c>
      <c r="B2007" s="72" t="s">
        <v>8</v>
      </c>
      <c r="C2007" s="11">
        <v>779144</v>
      </c>
      <c r="D2007" s="11">
        <v>-14351</v>
      </c>
      <c r="E2007" s="11">
        <v>0</v>
      </c>
      <c r="F2007" s="11">
        <v>0</v>
      </c>
      <c r="G2007" s="11">
        <v>0</v>
      </c>
      <c r="H2007" s="11">
        <v>764793</v>
      </c>
      <c r="I2007" s="11">
        <v>-764793</v>
      </c>
      <c r="J2007" s="11">
        <v>0</v>
      </c>
      <c r="K2007" s="11">
        <v>0</v>
      </c>
      <c r="L2007" s="11">
        <v>0</v>
      </c>
      <c r="M2007" s="11">
        <v>0</v>
      </c>
      <c r="N2007" s="11">
        <v>0</v>
      </c>
    </row>
    <row r="2008" spans="1:14" ht="15.75" x14ac:dyDescent="0.25">
      <c r="A2008" s="49" t="s">
        <v>170</v>
      </c>
      <c r="B2008" s="72" t="s">
        <v>8</v>
      </c>
      <c r="C2008" s="11">
        <v>169031</v>
      </c>
      <c r="D2008" s="11">
        <v>-11775</v>
      </c>
      <c r="E2008" s="11">
        <v>0</v>
      </c>
      <c r="F2008" s="11">
        <v>0</v>
      </c>
      <c r="G2008" s="11">
        <v>0</v>
      </c>
      <c r="H2008" s="11">
        <v>157256</v>
      </c>
      <c r="I2008" s="11">
        <v>0</v>
      </c>
      <c r="J2008" s="11">
        <v>157256</v>
      </c>
      <c r="K2008" s="11">
        <v>0</v>
      </c>
      <c r="L2008" s="11">
        <v>0</v>
      </c>
      <c r="M2008" s="11">
        <v>0</v>
      </c>
      <c r="N2008" s="11">
        <v>157256</v>
      </c>
    </row>
    <row r="2009" spans="1:14" ht="15.75" x14ac:dyDescent="0.25">
      <c r="A2009" s="49" t="s">
        <v>172</v>
      </c>
      <c r="B2009" s="72" t="s">
        <v>8</v>
      </c>
      <c r="C2009" s="11">
        <v>41840461</v>
      </c>
      <c r="D2009" s="11">
        <v>-6795664</v>
      </c>
      <c r="E2009" s="11">
        <v>0</v>
      </c>
      <c r="F2009" s="11">
        <v>0</v>
      </c>
      <c r="G2009" s="11">
        <v>0</v>
      </c>
      <c r="H2009" s="11">
        <v>35044797</v>
      </c>
      <c r="I2009" s="11">
        <v>-29157749</v>
      </c>
      <c r="J2009" s="11">
        <v>5887048</v>
      </c>
      <c r="K2009" s="11">
        <v>2626416</v>
      </c>
      <c r="L2009" s="11">
        <v>-2569172</v>
      </c>
      <c r="M2009" s="11">
        <v>57244</v>
      </c>
      <c r="N2009" s="11">
        <v>5829804</v>
      </c>
    </row>
    <row r="2010" spans="1:14" ht="15.75" x14ac:dyDescent="0.25">
      <c r="A2010" s="49" t="s">
        <v>174</v>
      </c>
      <c r="B2010" s="72" t="s">
        <v>8</v>
      </c>
      <c r="C2010" s="11">
        <v>15466653</v>
      </c>
      <c r="D2010" s="11">
        <v>-201135</v>
      </c>
      <c r="E2010" s="11">
        <v>0</v>
      </c>
      <c r="F2010" s="11">
        <v>0</v>
      </c>
      <c r="G2010" s="11">
        <v>0</v>
      </c>
      <c r="H2010" s="11">
        <v>15265518</v>
      </c>
      <c r="I2010" s="11">
        <v>-15265518</v>
      </c>
      <c r="J2010" s="11">
        <v>0</v>
      </c>
      <c r="K2010" s="11">
        <v>2431</v>
      </c>
      <c r="L2010" s="11">
        <v>-2431</v>
      </c>
      <c r="M2010" s="11">
        <v>0</v>
      </c>
      <c r="N2010" s="11">
        <v>0</v>
      </c>
    </row>
    <row r="2011" spans="1:14" ht="15.75" x14ac:dyDescent="0.25">
      <c r="A2011" s="49" t="s">
        <v>177</v>
      </c>
      <c r="B2011" s="72" t="s">
        <v>8</v>
      </c>
      <c r="C2011" s="11">
        <v>1965757</v>
      </c>
      <c r="D2011" s="11">
        <v>-88078</v>
      </c>
      <c r="E2011" s="11">
        <v>0</v>
      </c>
      <c r="F2011" s="11">
        <v>0</v>
      </c>
      <c r="G2011" s="11">
        <v>0</v>
      </c>
      <c r="H2011" s="11">
        <v>1877679</v>
      </c>
      <c r="I2011" s="11">
        <v>-1877679</v>
      </c>
      <c r="J2011" s="11">
        <v>0</v>
      </c>
      <c r="K2011" s="11">
        <v>300952</v>
      </c>
      <c r="L2011" s="11">
        <v>-300952</v>
      </c>
      <c r="M2011" s="11">
        <v>0</v>
      </c>
      <c r="N2011" s="11">
        <v>0</v>
      </c>
    </row>
    <row r="2012" spans="1:14" ht="15.75" x14ac:dyDescent="0.25">
      <c r="A2012" s="49" t="s">
        <v>179</v>
      </c>
      <c r="B2012" s="72" t="s">
        <v>8</v>
      </c>
      <c r="C2012" s="11">
        <v>931431718</v>
      </c>
      <c r="D2012" s="11">
        <v>-126668951</v>
      </c>
      <c r="E2012" s="11">
        <v>0</v>
      </c>
      <c r="F2012" s="11">
        <v>0</v>
      </c>
      <c r="G2012" s="11">
        <v>0</v>
      </c>
      <c r="H2012" s="11">
        <v>804762767</v>
      </c>
      <c r="I2012" s="11">
        <v>-804762767</v>
      </c>
      <c r="J2012" s="11">
        <v>0</v>
      </c>
      <c r="K2012" s="11">
        <v>80396495</v>
      </c>
      <c r="L2012" s="11">
        <v>-80396495</v>
      </c>
      <c r="M2012" s="11">
        <v>0</v>
      </c>
      <c r="N2012" s="11">
        <v>0</v>
      </c>
    </row>
    <row r="2013" spans="1:14" ht="15.75" x14ac:dyDescent="0.25">
      <c r="A2013" s="49" t="s">
        <v>181</v>
      </c>
      <c r="B2013" s="72" t="s">
        <v>8</v>
      </c>
      <c r="C2013" s="11">
        <v>13618296</v>
      </c>
      <c r="D2013" s="11">
        <v>-5596537</v>
      </c>
      <c r="E2013" s="11">
        <v>0</v>
      </c>
      <c r="F2013" s="11">
        <v>0</v>
      </c>
      <c r="G2013" s="11">
        <v>0</v>
      </c>
      <c r="H2013" s="11">
        <v>8021759</v>
      </c>
      <c r="I2013" s="11">
        <v>-8021759</v>
      </c>
      <c r="J2013" s="11">
        <v>0</v>
      </c>
      <c r="K2013" s="11">
        <v>0</v>
      </c>
      <c r="L2013" s="11">
        <v>0</v>
      </c>
      <c r="M2013" s="11">
        <v>0</v>
      </c>
      <c r="N2013" s="11">
        <v>0</v>
      </c>
    </row>
    <row r="2014" spans="1:14" ht="15.75" x14ac:dyDescent="0.25">
      <c r="A2014" s="49" t="s">
        <v>183</v>
      </c>
      <c r="B2014" s="72" t="s">
        <v>8</v>
      </c>
      <c r="C2014" s="11">
        <v>361864377</v>
      </c>
      <c r="D2014" s="11">
        <v>-88906717</v>
      </c>
      <c r="E2014" s="11">
        <v>0</v>
      </c>
      <c r="F2014" s="11">
        <v>0</v>
      </c>
      <c r="G2014" s="11">
        <v>0</v>
      </c>
      <c r="H2014" s="11">
        <v>272957660</v>
      </c>
      <c r="I2014" s="11">
        <v>-272957660</v>
      </c>
      <c r="J2014" s="11">
        <v>0</v>
      </c>
      <c r="K2014" s="11">
        <v>21337301</v>
      </c>
      <c r="L2014" s="11">
        <v>-21337301</v>
      </c>
      <c r="M2014" s="11">
        <v>0</v>
      </c>
      <c r="N2014" s="11">
        <v>0</v>
      </c>
    </row>
    <row r="2015" spans="1:14" ht="15.75" x14ac:dyDescent="0.25">
      <c r="A2015" s="49" t="s">
        <v>185</v>
      </c>
      <c r="B2015" s="72" t="s">
        <v>8</v>
      </c>
      <c r="C2015" s="11">
        <v>31878910</v>
      </c>
      <c r="D2015" s="11">
        <v>-166694</v>
      </c>
      <c r="E2015" s="11">
        <v>-44879</v>
      </c>
      <c r="F2015" s="11">
        <v>0</v>
      </c>
      <c r="G2015" s="11">
        <v>0</v>
      </c>
      <c r="H2015" s="11">
        <v>31667337</v>
      </c>
      <c r="I2015" s="11">
        <v>-29155666</v>
      </c>
      <c r="J2015" s="11">
        <v>2511671</v>
      </c>
      <c r="K2015" s="11">
        <v>149593</v>
      </c>
      <c r="L2015" s="11">
        <v>-142298</v>
      </c>
      <c r="M2015" s="11">
        <v>7295</v>
      </c>
      <c r="N2015" s="11">
        <v>2504376</v>
      </c>
    </row>
    <row r="2016" spans="1:14" ht="15.75" x14ac:dyDescent="0.25">
      <c r="A2016" s="49" t="s">
        <v>187</v>
      </c>
      <c r="B2016" s="72" t="s">
        <v>8</v>
      </c>
      <c r="C2016" s="11">
        <v>94854571</v>
      </c>
      <c r="D2016" s="11">
        <v>-6671642</v>
      </c>
      <c r="E2016" s="11">
        <v>0</v>
      </c>
      <c r="F2016" s="11">
        <v>-2193638</v>
      </c>
      <c r="G2016" s="11">
        <v>0</v>
      </c>
      <c r="H2016" s="11">
        <v>85989291</v>
      </c>
      <c r="I2016" s="11">
        <v>0</v>
      </c>
      <c r="J2016" s="11">
        <v>85989291</v>
      </c>
      <c r="K2016" s="11">
        <v>0</v>
      </c>
      <c r="L2016" s="11">
        <v>0</v>
      </c>
      <c r="M2016" s="11">
        <v>0</v>
      </c>
      <c r="N2016" s="11">
        <v>85989291</v>
      </c>
    </row>
    <row r="2017" spans="1:14" ht="15.75" x14ac:dyDescent="0.25">
      <c r="A2017" s="49" t="s">
        <v>189</v>
      </c>
      <c r="B2017" s="72" t="s">
        <v>8</v>
      </c>
      <c r="C2017" s="11">
        <v>526117</v>
      </c>
      <c r="D2017" s="11">
        <v>0</v>
      </c>
      <c r="E2017" s="11">
        <v>0</v>
      </c>
      <c r="F2017" s="11">
        <v>0</v>
      </c>
      <c r="G2017" s="11">
        <v>0</v>
      </c>
      <c r="H2017" s="11">
        <v>526117</v>
      </c>
      <c r="I2017" s="11">
        <v>-83263</v>
      </c>
      <c r="J2017" s="11">
        <v>442854</v>
      </c>
      <c r="K2017" s="11">
        <v>0</v>
      </c>
      <c r="L2017" s="11">
        <v>0</v>
      </c>
      <c r="M2017" s="11">
        <v>0</v>
      </c>
      <c r="N2017" s="11">
        <v>442854</v>
      </c>
    </row>
    <row r="2018" spans="1:14" ht="15.75" x14ac:dyDescent="0.25">
      <c r="A2018" s="49" t="s">
        <v>191</v>
      </c>
      <c r="B2018" s="72" t="s">
        <v>8</v>
      </c>
      <c r="C2018" s="11">
        <v>2389911</v>
      </c>
      <c r="D2018" s="11">
        <v>-98030</v>
      </c>
      <c r="E2018" s="11">
        <v>0</v>
      </c>
      <c r="F2018" s="11">
        <v>0</v>
      </c>
      <c r="G2018" s="11">
        <v>0</v>
      </c>
      <c r="H2018" s="11">
        <v>2291881</v>
      </c>
      <c r="I2018" s="11">
        <v>-2291881</v>
      </c>
      <c r="J2018" s="11">
        <v>0</v>
      </c>
      <c r="K2018" s="11">
        <v>13351</v>
      </c>
      <c r="L2018" s="11">
        <v>-13351</v>
      </c>
      <c r="M2018" s="11">
        <v>0</v>
      </c>
      <c r="N2018" s="11">
        <v>0</v>
      </c>
    </row>
    <row r="2019" spans="1:14" ht="15.75" x14ac:dyDescent="0.25">
      <c r="A2019" s="49" t="s">
        <v>193</v>
      </c>
      <c r="B2019" s="72" t="s">
        <v>8</v>
      </c>
      <c r="C2019" s="11">
        <v>113636420</v>
      </c>
      <c r="D2019" s="11">
        <v>-46536265</v>
      </c>
      <c r="E2019" s="11">
        <v>0</v>
      </c>
      <c r="F2019" s="11">
        <v>-657917</v>
      </c>
      <c r="G2019" s="11">
        <v>0</v>
      </c>
      <c r="H2019" s="11">
        <v>66442238</v>
      </c>
      <c r="I2019" s="11">
        <v>0</v>
      </c>
      <c r="J2019" s="11">
        <v>66442238</v>
      </c>
      <c r="K2019" s="11">
        <v>0</v>
      </c>
      <c r="L2019" s="11">
        <v>0</v>
      </c>
      <c r="M2019" s="11">
        <v>0</v>
      </c>
      <c r="N2019" s="11">
        <v>66442238</v>
      </c>
    </row>
    <row r="2020" spans="1:14" ht="15.75" x14ac:dyDescent="0.25">
      <c r="A2020" s="49" t="s">
        <v>195</v>
      </c>
      <c r="B2020" s="72" t="s">
        <v>8</v>
      </c>
      <c r="C2020" s="11">
        <v>35080037</v>
      </c>
      <c r="D2020" s="11">
        <v>-3959326</v>
      </c>
      <c r="E2020" s="11">
        <v>0</v>
      </c>
      <c r="F2020" s="11">
        <v>0</v>
      </c>
      <c r="G2020" s="11">
        <v>0</v>
      </c>
      <c r="H2020" s="11">
        <v>31120711</v>
      </c>
      <c r="I2020" s="11">
        <v>-31120711</v>
      </c>
      <c r="J2020" s="11">
        <v>0</v>
      </c>
      <c r="K2020" s="11">
        <v>723820</v>
      </c>
      <c r="L2020" s="11">
        <v>-721658</v>
      </c>
      <c r="M2020" s="11">
        <v>2162</v>
      </c>
      <c r="N2020" s="11">
        <v>-2162</v>
      </c>
    </row>
    <row r="2021" spans="1:14" ht="15.75" x14ac:dyDescent="0.25">
      <c r="A2021" s="49" t="s">
        <v>197</v>
      </c>
      <c r="B2021" s="72" t="s">
        <v>8</v>
      </c>
      <c r="C2021" s="11">
        <v>164594</v>
      </c>
      <c r="D2021" s="11">
        <v>-20597</v>
      </c>
      <c r="E2021" s="11">
        <v>0</v>
      </c>
      <c r="F2021" s="11">
        <v>0</v>
      </c>
      <c r="G2021" s="11">
        <v>0</v>
      </c>
      <c r="H2021" s="11">
        <v>143997</v>
      </c>
      <c r="I2021" s="11">
        <v>-143997</v>
      </c>
      <c r="J2021" s="11">
        <v>0</v>
      </c>
      <c r="K2021" s="11">
        <v>0</v>
      </c>
      <c r="L2021" s="11">
        <v>0</v>
      </c>
      <c r="M2021" s="11">
        <v>0</v>
      </c>
      <c r="N2021" s="11">
        <v>0</v>
      </c>
    </row>
    <row r="2022" spans="1:14" ht="15.75" x14ac:dyDescent="0.25">
      <c r="A2022" s="49" t="s">
        <v>199</v>
      </c>
      <c r="B2022" s="72" t="s">
        <v>8</v>
      </c>
      <c r="C2022" s="11">
        <v>1513890.63</v>
      </c>
      <c r="D2022" s="11">
        <v>0</v>
      </c>
      <c r="E2022" s="11">
        <v>0</v>
      </c>
      <c r="F2022" s="11">
        <v>0</v>
      </c>
      <c r="G2022" s="11">
        <v>0</v>
      </c>
      <c r="H2022" s="11">
        <v>1513890.63</v>
      </c>
      <c r="I2022" s="11">
        <v>-1240008.6299999999</v>
      </c>
      <c r="J2022" s="11">
        <v>273882</v>
      </c>
      <c r="K2022" s="11">
        <v>72081</v>
      </c>
      <c r="L2022" s="11">
        <v>-72081</v>
      </c>
      <c r="M2022" s="11">
        <v>0</v>
      </c>
      <c r="N2022" s="11">
        <v>273882</v>
      </c>
    </row>
    <row r="2023" spans="1:14" ht="15.75" x14ac:dyDescent="0.25">
      <c r="A2023" s="49" t="s">
        <v>201</v>
      </c>
      <c r="B2023" s="72" t="s">
        <v>8</v>
      </c>
      <c r="C2023" s="11">
        <v>2799781</v>
      </c>
      <c r="D2023" s="11">
        <v>-21389</v>
      </c>
      <c r="E2023" s="11">
        <v>0</v>
      </c>
      <c r="F2023" s="11">
        <v>0</v>
      </c>
      <c r="G2023" s="11">
        <v>0</v>
      </c>
      <c r="H2023" s="11">
        <v>2778392</v>
      </c>
      <c r="I2023" s="11">
        <v>-2778392</v>
      </c>
      <c r="J2023" s="11">
        <v>0</v>
      </c>
      <c r="K2023" s="11">
        <v>0</v>
      </c>
      <c r="L2023" s="11">
        <v>0</v>
      </c>
      <c r="M2023" s="11">
        <v>0</v>
      </c>
      <c r="N2023" s="11">
        <v>0</v>
      </c>
    </row>
    <row r="2024" spans="1:14" ht="15.75" x14ac:dyDescent="0.25">
      <c r="A2024" s="49" t="s">
        <v>203</v>
      </c>
      <c r="B2024" s="72" t="s">
        <v>8</v>
      </c>
      <c r="C2024" s="11">
        <v>1367193</v>
      </c>
      <c r="D2024" s="11">
        <v>-12855</v>
      </c>
      <c r="E2024" s="11">
        <v>0</v>
      </c>
      <c r="F2024" s="11">
        <v>0</v>
      </c>
      <c r="G2024" s="11">
        <v>-282</v>
      </c>
      <c r="H2024" s="11">
        <v>1354056</v>
      </c>
      <c r="I2024" s="11">
        <v>-932450</v>
      </c>
      <c r="J2024" s="11">
        <v>421606</v>
      </c>
      <c r="K2024" s="11">
        <v>233747</v>
      </c>
      <c r="L2024" s="11">
        <v>0</v>
      </c>
      <c r="M2024" s="11">
        <v>233747</v>
      </c>
      <c r="N2024" s="11">
        <v>187859</v>
      </c>
    </row>
    <row r="2025" spans="1:14" ht="15.75" x14ac:dyDescent="0.25">
      <c r="A2025" s="49" t="s">
        <v>205</v>
      </c>
      <c r="B2025" s="72" t="s">
        <v>8</v>
      </c>
      <c r="C2025" s="11">
        <v>106280</v>
      </c>
      <c r="D2025" s="11">
        <v>-41713</v>
      </c>
      <c r="E2025" s="11">
        <v>0</v>
      </c>
      <c r="F2025" s="11">
        <v>0</v>
      </c>
      <c r="G2025" s="11">
        <v>0</v>
      </c>
      <c r="H2025" s="11">
        <v>64567</v>
      </c>
      <c r="I2025" s="11">
        <v>-49749</v>
      </c>
      <c r="J2025" s="11">
        <v>14818</v>
      </c>
      <c r="K2025" s="11">
        <v>0</v>
      </c>
      <c r="L2025" s="11">
        <v>0</v>
      </c>
      <c r="M2025" s="11">
        <v>0</v>
      </c>
      <c r="N2025" s="11">
        <v>14818</v>
      </c>
    </row>
    <row r="2026" spans="1:14" ht="15.75" x14ac:dyDescent="0.25">
      <c r="A2026" s="49" t="s">
        <v>207</v>
      </c>
      <c r="B2026" s="72" t="s">
        <v>8</v>
      </c>
      <c r="C2026" s="11">
        <v>305286</v>
      </c>
      <c r="D2026" s="11">
        <v>-18375</v>
      </c>
      <c r="E2026" s="11">
        <v>0</v>
      </c>
      <c r="F2026" s="11">
        <v>0</v>
      </c>
      <c r="G2026" s="11">
        <v>0</v>
      </c>
      <c r="H2026" s="11">
        <v>286911</v>
      </c>
      <c r="I2026" s="11">
        <v>-272987</v>
      </c>
      <c r="J2026" s="11">
        <v>13924</v>
      </c>
      <c r="K2026" s="11">
        <v>0</v>
      </c>
      <c r="L2026" s="11">
        <v>0</v>
      </c>
      <c r="M2026" s="11">
        <v>0</v>
      </c>
      <c r="N2026" s="11">
        <v>13924</v>
      </c>
    </row>
    <row r="2027" spans="1:14" ht="15.75" x14ac:dyDescent="0.25">
      <c r="A2027" s="49" t="s">
        <v>209</v>
      </c>
      <c r="B2027" s="72" t="s">
        <v>8</v>
      </c>
      <c r="C2027" s="11">
        <v>195234</v>
      </c>
      <c r="D2027" s="11">
        <v>-7873</v>
      </c>
      <c r="E2027" s="11">
        <v>0</v>
      </c>
      <c r="F2027" s="11">
        <v>0</v>
      </c>
      <c r="G2027" s="11">
        <v>0</v>
      </c>
      <c r="H2027" s="11">
        <v>187361</v>
      </c>
      <c r="I2027" s="11">
        <v>-187361</v>
      </c>
      <c r="J2027" s="11">
        <v>0</v>
      </c>
      <c r="K2027" s="11">
        <v>7496</v>
      </c>
      <c r="L2027" s="11">
        <v>-7496</v>
      </c>
      <c r="M2027" s="11">
        <v>0</v>
      </c>
      <c r="N2027" s="11">
        <v>0</v>
      </c>
    </row>
    <row r="2028" spans="1:14" ht="15.75" x14ac:dyDescent="0.25">
      <c r="A2028" s="49" t="s">
        <v>211</v>
      </c>
      <c r="B2028" s="72" t="s">
        <v>8</v>
      </c>
      <c r="C2028" s="11">
        <v>212805</v>
      </c>
      <c r="D2028" s="11">
        <v>-207415</v>
      </c>
      <c r="E2028" s="11">
        <v>0</v>
      </c>
      <c r="F2028" s="11">
        <v>0</v>
      </c>
      <c r="G2028" s="11">
        <v>0</v>
      </c>
      <c r="H2028" s="11">
        <v>5390</v>
      </c>
      <c r="I2028" s="11">
        <v>0</v>
      </c>
      <c r="J2028" s="11">
        <v>5390</v>
      </c>
      <c r="K2028" s="11">
        <v>0</v>
      </c>
      <c r="L2028" s="11">
        <v>0</v>
      </c>
      <c r="M2028" s="11">
        <v>0</v>
      </c>
      <c r="N2028" s="11">
        <v>5390</v>
      </c>
    </row>
    <row r="2029" spans="1:14" ht="15.75" x14ac:dyDescent="0.25">
      <c r="A2029" s="49" t="s">
        <v>213</v>
      </c>
      <c r="B2029" s="72" t="s">
        <v>8</v>
      </c>
      <c r="C2029" s="11">
        <v>23388451</v>
      </c>
      <c r="D2029" s="11">
        <v>-722242</v>
      </c>
      <c r="E2029" s="11">
        <v>0</v>
      </c>
      <c r="F2029" s="11">
        <v>0</v>
      </c>
      <c r="G2029" s="11">
        <v>-6824</v>
      </c>
      <c r="H2029" s="11">
        <v>22659385</v>
      </c>
      <c r="I2029" s="11">
        <v>0</v>
      </c>
      <c r="J2029" s="11">
        <v>22659385</v>
      </c>
      <c r="K2029" s="11">
        <v>0</v>
      </c>
      <c r="L2029" s="11">
        <v>0</v>
      </c>
      <c r="M2029" s="11">
        <v>0</v>
      </c>
      <c r="N2029" s="11">
        <v>22659385</v>
      </c>
    </row>
    <row r="2030" spans="1:14" ht="15.75" x14ac:dyDescent="0.25">
      <c r="A2030" s="49" t="s">
        <v>215</v>
      </c>
      <c r="B2030" s="72" t="s">
        <v>8</v>
      </c>
      <c r="C2030" s="11">
        <v>4463765</v>
      </c>
      <c r="D2030" s="11">
        <v>-24712</v>
      </c>
      <c r="E2030" s="11">
        <v>0</v>
      </c>
      <c r="F2030" s="11">
        <v>0</v>
      </c>
      <c r="G2030" s="11">
        <v>0</v>
      </c>
      <c r="H2030" s="11">
        <v>4439053</v>
      </c>
      <c r="I2030" s="11">
        <v>-4439053</v>
      </c>
      <c r="J2030" s="11">
        <v>0</v>
      </c>
      <c r="K2030" s="11">
        <v>0</v>
      </c>
      <c r="L2030" s="11">
        <v>0</v>
      </c>
      <c r="M2030" s="11">
        <v>0</v>
      </c>
      <c r="N2030" s="11">
        <v>0</v>
      </c>
    </row>
    <row r="2031" spans="1:14" ht="15.75" x14ac:dyDescent="0.25">
      <c r="A2031" s="49" t="s">
        <v>217</v>
      </c>
      <c r="B2031" s="72" t="s">
        <v>8</v>
      </c>
      <c r="C2031" s="11">
        <v>72169670.670000002</v>
      </c>
      <c r="D2031" s="11">
        <v>-1241724</v>
      </c>
      <c r="E2031" s="11">
        <v>0</v>
      </c>
      <c r="F2031" s="11">
        <v>0</v>
      </c>
      <c r="G2031" s="11">
        <v>0</v>
      </c>
      <c r="H2031" s="11">
        <v>70927946.670000002</v>
      </c>
      <c r="I2031" s="11">
        <v>-64041720</v>
      </c>
      <c r="J2031" s="11">
        <v>6886226.6699999999</v>
      </c>
      <c r="K2031" s="11">
        <v>2952230</v>
      </c>
      <c r="L2031" s="11">
        <v>-2907810</v>
      </c>
      <c r="M2031" s="11">
        <v>44420</v>
      </c>
      <c r="N2031" s="11">
        <v>6841806.6699999999</v>
      </c>
    </row>
    <row r="2032" spans="1:14" ht="15.75" x14ac:dyDescent="0.25">
      <c r="A2032" s="49" t="s">
        <v>219</v>
      </c>
      <c r="B2032" s="72" t="s">
        <v>8</v>
      </c>
      <c r="C2032" s="11">
        <v>133510</v>
      </c>
      <c r="D2032" s="11">
        <v>-133510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  <c r="J2032" s="11">
        <v>0</v>
      </c>
      <c r="K2032" s="11">
        <v>0</v>
      </c>
      <c r="L2032" s="11">
        <v>0</v>
      </c>
      <c r="M2032" s="11">
        <v>0</v>
      </c>
      <c r="N2032" s="11">
        <v>0</v>
      </c>
    </row>
    <row r="2033" spans="1:14" ht="15.75" x14ac:dyDescent="0.25">
      <c r="A2033" s="49" t="s">
        <v>221</v>
      </c>
      <c r="B2033" s="72" t="s">
        <v>8</v>
      </c>
      <c r="C2033" s="11">
        <v>438532</v>
      </c>
      <c r="D2033" s="11">
        <v>-2373</v>
      </c>
      <c r="E2033" s="11">
        <v>0</v>
      </c>
      <c r="F2033" s="11">
        <v>0</v>
      </c>
      <c r="G2033" s="11">
        <v>0</v>
      </c>
      <c r="H2033" s="11">
        <v>436159</v>
      </c>
      <c r="I2033" s="11">
        <v>-424147</v>
      </c>
      <c r="J2033" s="11">
        <v>12012</v>
      </c>
      <c r="K2033" s="11">
        <v>34780</v>
      </c>
      <c r="L2033" s="11">
        <v>-34780</v>
      </c>
      <c r="M2033" s="11">
        <v>0</v>
      </c>
      <c r="N2033" s="11">
        <v>12012</v>
      </c>
    </row>
    <row r="2034" spans="1:14" ht="15.75" x14ac:dyDescent="0.25">
      <c r="A2034" s="49" t="s">
        <v>223</v>
      </c>
      <c r="B2034" s="72" t="s">
        <v>8</v>
      </c>
      <c r="C2034" s="11">
        <v>54527</v>
      </c>
      <c r="D2034" s="11">
        <v>0</v>
      </c>
      <c r="E2034" s="11">
        <v>0</v>
      </c>
      <c r="F2034" s="11">
        <v>0</v>
      </c>
      <c r="G2034" s="11">
        <v>-119</v>
      </c>
      <c r="H2034" s="11">
        <v>54408</v>
      </c>
      <c r="I2034" s="11">
        <v>-49074</v>
      </c>
      <c r="J2034" s="11">
        <v>5334</v>
      </c>
      <c r="K2034" s="11">
        <v>0</v>
      </c>
      <c r="L2034" s="11">
        <v>0</v>
      </c>
      <c r="M2034" s="11">
        <v>0</v>
      </c>
      <c r="N2034" s="11">
        <v>5334</v>
      </c>
    </row>
    <row r="2035" spans="1:14" ht="15.75" x14ac:dyDescent="0.25">
      <c r="A2035" s="49" t="s">
        <v>225</v>
      </c>
      <c r="B2035" s="72" t="s">
        <v>8</v>
      </c>
      <c r="C2035" s="11">
        <v>28913613</v>
      </c>
      <c r="D2035" s="11">
        <v>-580170</v>
      </c>
      <c r="E2035" s="11">
        <v>0</v>
      </c>
      <c r="F2035" s="11">
        <v>0</v>
      </c>
      <c r="G2035" s="11">
        <v>0</v>
      </c>
      <c r="H2035" s="11">
        <v>28333443</v>
      </c>
      <c r="I2035" s="11">
        <v>-21111447</v>
      </c>
      <c r="J2035" s="11">
        <v>7221996</v>
      </c>
      <c r="K2035" s="11">
        <v>687761</v>
      </c>
      <c r="L2035" s="11">
        <v>-687761</v>
      </c>
      <c r="M2035" s="11">
        <v>0</v>
      </c>
      <c r="N2035" s="11">
        <v>7221996</v>
      </c>
    </row>
    <row r="2036" spans="1:14" ht="15.75" x14ac:dyDescent="0.25">
      <c r="A2036" s="49" t="s">
        <v>227</v>
      </c>
      <c r="B2036" s="72" t="s">
        <v>8</v>
      </c>
      <c r="C2036" s="11">
        <v>4909840</v>
      </c>
      <c r="D2036" s="11">
        <v>0</v>
      </c>
      <c r="E2036" s="11">
        <v>0</v>
      </c>
      <c r="F2036" s="11">
        <v>0</v>
      </c>
      <c r="G2036" s="11">
        <v>0</v>
      </c>
      <c r="H2036" s="11">
        <v>4909840</v>
      </c>
      <c r="I2036" s="11">
        <v>0</v>
      </c>
      <c r="J2036" s="11">
        <v>4909840</v>
      </c>
      <c r="K2036" s="11">
        <v>0</v>
      </c>
      <c r="L2036" s="11">
        <v>0</v>
      </c>
      <c r="M2036" s="11">
        <v>0</v>
      </c>
      <c r="N2036" s="11">
        <v>4909840</v>
      </c>
    </row>
    <row r="2037" spans="1:14" ht="15.75" x14ac:dyDescent="0.25">
      <c r="A2037" s="49" t="s">
        <v>229</v>
      </c>
      <c r="B2037" s="72" t="s">
        <v>8</v>
      </c>
      <c r="C2037" s="11">
        <v>2878156</v>
      </c>
      <c r="D2037" s="11">
        <v>-21519</v>
      </c>
      <c r="E2037" s="11">
        <v>0</v>
      </c>
      <c r="F2037" s="11">
        <v>0</v>
      </c>
      <c r="G2037" s="11">
        <v>0</v>
      </c>
      <c r="H2037" s="11">
        <v>2856637</v>
      </c>
      <c r="I2037" s="11">
        <v>-2517096</v>
      </c>
      <c r="J2037" s="11">
        <v>339541</v>
      </c>
      <c r="K2037" s="11">
        <v>482391</v>
      </c>
      <c r="L2037" s="11">
        <v>-482391</v>
      </c>
      <c r="M2037" s="11">
        <v>0</v>
      </c>
      <c r="N2037" s="11">
        <v>339541</v>
      </c>
    </row>
    <row r="2038" spans="1:14" ht="15.75" x14ac:dyDescent="0.25">
      <c r="A2038" s="49" t="s">
        <v>231</v>
      </c>
      <c r="B2038" s="72" t="s">
        <v>8</v>
      </c>
      <c r="C2038" s="11">
        <v>216063</v>
      </c>
      <c r="D2038" s="11">
        <v>-2823</v>
      </c>
      <c r="E2038" s="11">
        <v>0</v>
      </c>
      <c r="F2038" s="11">
        <v>0</v>
      </c>
      <c r="G2038" s="11">
        <v>0</v>
      </c>
      <c r="H2038" s="11">
        <v>213240</v>
      </c>
      <c r="I2038" s="11">
        <v>-177335</v>
      </c>
      <c r="J2038" s="11">
        <v>35905</v>
      </c>
      <c r="K2038" s="11">
        <v>1320</v>
      </c>
      <c r="L2038" s="11">
        <v>-1320</v>
      </c>
      <c r="M2038" s="11">
        <v>0</v>
      </c>
      <c r="N2038" s="11">
        <v>35905</v>
      </c>
    </row>
    <row r="2039" spans="1:14" ht="15.75" x14ac:dyDescent="0.25">
      <c r="A2039" s="49" t="s">
        <v>233</v>
      </c>
      <c r="B2039" s="72" t="s">
        <v>8</v>
      </c>
      <c r="C2039" s="11">
        <v>26688401</v>
      </c>
      <c r="D2039" s="11">
        <v>-8566826</v>
      </c>
      <c r="E2039" s="11">
        <v>0</v>
      </c>
      <c r="F2039" s="11">
        <v>0</v>
      </c>
      <c r="G2039" s="11">
        <v>0</v>
      </c>
      <c r="H2039" s="11">
        <v>18121575</v>
      </c>
      <c r="I2039" s="11">
        <v>-18121575</v>
      </c>
      <c r="J2039" s="11">
        <v>0</v>
      </c>
      <c r="K2039" s="11">
        <v>1317866</v>
      </c>
      <c r="L2039" s="11">
        <v>-1317866</v>
      </c>
      <c r="M2039" s="11">
        <v>0</v>
      </c>
      <c r="N2039" s="11">
        <v>0</v>
      </c>
    </row>
    <row r="2040" spans="1:14" ht="15.75" x14ac:dyDescent="0.25">
      <c r="A2040" s="49" t="s">
        <v>235</v>
      </c>
      <c r="B2040" s="72" t="s">
        <v>8</v>
      </c>
      <c r="C2040" s="11">
        <v>18054208</v>
      </c>
      <c r="D2040" s="11">
        <v>-1133045</v>
      </c>
      <c r="E2040" s="11">
        <v>0</v>
      </c>
      <c r="F2040" s="11">
        <v>0</v>
      </c>
      <c r="G2040" s="11">
        <v>0</v>
      </c>
      <c r="H2040" s="11">
        <v>16921163</v>
      </c>
      <c r="I2040" s="11">
        <v>-16921163</v>
      </c>
      <c r="J2040" s="11">
        <v>0</v>
      </c>
      <c r="K2040" s="11">
        <v>494708</v>
      </c>
      <c r="L2040" s="11">
        <v>-494708</v>
      </c>
      <c r="M2040" s="11">
        <v>0</v>
      </c>
      <c r="N2040" s="11">
        <v>0</v>
      </c>
    </row>
    <row r="2041" spans="1:14" ht="15.75" x14ac:dyDescent="0.25">
      <c r="A2041" s="49" t="s">
        <v>237</v>
      </c>
      <c r="B2041" s="72" t="s">
        <v>8</v>
      </c>
      <c r="C2041" s="11">
        <v>1825345</v>
      </c>
      <c r="D2041" s="11">
        <v>-8726</v>
      </c>
      <c r="E2041" s="11">
        <v>0</v>
      </c>
      <c r="F2041" s="11">
        <v>0</v>
      </c>
      <c r="G2041" s="11">
        <v>0</v>
      </c>
      <c r="H2041" s="11">
        <v>1816619</v>
      </c>
      <c r="I2041" s="11">
        <v>0</v>
      </c>
      <c r="J2041" s="11">
        <v>1816619</v>
      </c>
      <c r="K2041" s="11">
        <v>0</v>
      </c>
      <c r="L2041" s="11">
        <v>0</v>
      </c>
      <c r="M2041" s="11">
        <v>0</v>
      </c>
      <c r="N2041" s="11">
        <v>1816619</v>
      </c>
    </row>
    <row r="2042" spans="1:14" ht="15.75" x14ac:dyDescent="0.25">
      <c r="A2042" s="49" t="s">
        <v>239</v>
      </c>
      <c r="B2042" s="72" t="s">
        <v>8</v>
      </c>
      <c r="C2042" s="11">
        <v>45544666</v>
      </c>
      <c r="D2042" s="11">
        <v>-38490015</v>
      </c>
      <c r="E2042" s="11">
        <v>0</v>
      </c>
      <c r="F2042" s="11">
        <v>0</v>
      </c>
      <c r="G2042" s="11">
        <v>0</v>
      </c>
      <c r="H2042" s="11">
        <v>7054651</v>
      </c>
      <c r="I2042" s="11">
        <v>0</v>
      </c>
      <c r="J2042" s="11">
        <v>7054651</v>
      </c>
      <c r="K2042" s="11">
        <v>0</v>
      </c>
      <c r="L2042" s="11">
        <v>0</v>
      </c>
      <c r="M2042" s="11">
        <v>0</v>
      </c>
      <c r="N2042" s="11">
        <v>7054651</v>
      </c>
    </row>
    <row r="2043" spans="1:14" ht="15.75" x14ac:dyDescent="0.25">
      <c r="A2043" s="49" t="s">
        <v>247</v>
      </c>
      <c r="B2043" s="72" t="s">
        <v>8</v>
      </c>
      <c r="C2043" s="11">
        <v>20640213</v>
      </c>
      <c r="D2043" s="11">
        <v>-146409</v>
      </c>
      <c r="E2043" s="11">
        <v>0</v>
      </c>
      <c r="F2043" s="11">
        <v>0</v>
      </c>
      <c r="G2043" s="11">
        <v>0</v>
      </c>
      <c r="H2043" s="11">
        <v>20493804</v>
      </c>
      <c r="I2043" s="11">
        <v>-20493804</v>
      </c>
      <c r="J2043" s="11">
        <v>0</v>
      </c>
      <c r="K2043" s="11">
        <v>377128</v>
      </c>
      <c r="L2043" s="11">
        <v>-377128</v>
      </c>
      <c r="M2043" s="11">
        <v>0</v>
      </c>
      <c r="N2043" s="11">
        <v>0</v>
      </c>
    </row>
    <row r="2044" spans="1:14" ht="15.75" x14ac:dyDescent="0.25">
      <c r="A2044" s="49" t="s">
        <v>249</v>
      </c>
      <c r="B2044" s="72" t="s">
        <v>8</v>
      </c>
      <c r="C2044" s="11">
        <v>19208093</v>
      </c>
      <c r="D2044" s="11">
        <v>-1519480</v>
      </c>
      <c r="E2044" s="11">
        <v>0</v>
      </c>
      <c r="F2044" s="11">
        <v>0</v>
      </c>
      <c r="G2044" s="11">
        <v>0</v>
      </c>
      <c r="H2044" s="11">
        <v>17688613</v>
      </c>
      <c r="I2044" s="11">
        <v>-12474581</v>
      </c>
      <c r="J2044" s="11">
        <v>5214032</v>
      </c>
      <c r="K2044" s="11">
        <v>1628403</v>
      </c>
      <c r="L2044" s="11">
        <v>-1628403</v>
      </c>
      <c r="M2044" s="11">
        <v>0</v>
      </c>
      <c r="N2044" s="11">
        <v>5214032</v>
      </c>
    </row>
    <row r="2045" spans="1:14" ht="15.75" x14ac:dyDescent="0.25">
      <c r="A2045" s="49" t="s">
        <v>251</v>
      </c>
      <c r="B2045" s="72" t="s">
        <v>8</v>
      </c>
      <c r="C2045" s="11">
        <v>61998222</v>
      </c>
      <c r="D2045" s="11">
        <v>-9498640</v>
      </c>
      <c r="E2045" s="11">
        <v>0</v>
      </c>
      <c r="F2045" s="11">
        <v>0</v>
      </c>
      <c r="G2045" s="11">
        <v>0</v>
      </c>
      <c r="H2045" s="11">
        <v>52499582</v>
      </c>
      <c r="I2045" s="11">
        <v>-52499582</v>
      </c>
      <c r="J2045" s="11">
        <v>0</v>
      </c>
      <c r="K2045" s="11">
        <v>6709600</v>
      </c>
      <c r="L2045" s="11">
        <v>-6704058</v>
      </c>
      <c r="M2045" s="11">
        <v>5542</v>
      </c>
      <c r="N2045" s="11">
        <v>-5542</v>
      </c>
    </row>
    <row r="2046" spans="1:14" ht="15.75" x14ac:dyDescent="0.25">
      <c r="A2046" s="49" t="s">
        <v>253</v>
      </c>
      <c r="B2046" s="72" t="s">
        <v>8</v>
      </c>
      <c r="C2046" s="11">
        <v>45674713</v>
      </c>
      <c r="D2046" s="11">
        <v>-14873963</v>
      </c>
      <c r="E2046" s="11">
        <v>0</v>
      </c>
      <c r="F2046" s="11">
        <v>0</v>
      </c>
      <c r="G2046" s="11">
        <v>0</v>
      </c>
      <c r="H2046" s="11">
        <v>30800750</v>
      </c>
      <c r="I2046" s="11">
        <v>-30800750</v>
      </c>
      <c r="J2046" s="11">
        <v>0</v>
      </c>
      <c r="K2046" s="11">
        <v>4250114</v>
      </c>
      <c r="L2046" s="11">
        <v>-4250114</v>
      </c>
      <c r="M2046" s="11">
        <v>0</v>
      </c>
      <c r="N2046" s="11">
        <v>0</v>
      </c>
    </row>
    <row r="2047" spans="1:14" ht="15.75" x14ac:dyDescent="0.25">
      <c r="A2047" s="49" t="s">
        <v>255</v>
      </c>
      <c r="B2047" s="72" t="s">
        <v>8</v>
      </c>
      <c r="C2047" s="11">
        <v>183089545</v>
      </c>
      <c r="D2047" s="11">
        <v>-20070518</v>
      </c>
      <c r="E2047" s="11">
        <v>0</v>
      </c>
      <c r="F2047" s="11">
        <v>-40250</v>
      </c>
      <c r="G2047" s="11">
        <v>0</v>
      </c>
      <c r="H2047" s="11">
        <v>162978777</v>
      </c>
      <c r="I2047" s="11">
        <v>-59056862</v>
      </c>
      <c r="J2047" s="11">
        <v>103921915</v>
      </c>
      <c r="K2047" s="11">
        <v>1972170</v>
      </c>
      <c r="L2047" s="11">
        <v>-1957647</v>
      </c>
      <c r="M2047" s="11">
        <v>14523</v>
      </c>
      <c r="N2047" s="11">
        <v>103907392</v>
      </c>
    </row>
    <row r="2048" spans="1:14" ht="15.75" x14ac:dyDescent="0.25">
      <c r="A2048" s="49" t="s">
        <v>257</v>
      </c>
      <c r="B2048" s="72" t="s">
        <v>8</v>
      </c>
      <c r="C2048" s="11">
        <v>2824485</v>
      </c>
      <c r="D2048" s="11">
        <v>-39920</v>
      </c>
      <c r="E2048" s="11">
        <v>0</v>
      </c>
      <c r="F2048" s="11">
        <v>0</v>
      </c>
      <c r="G2048" s="11">
        <v>0</v>
      </c>
      <c r="H2048" s="11">
        <v>2784565</v>
      </c>
      <c r="I2048" s="11">
        <v>-2440638</v>
      </c>
      <c r="J2048" s="11">
        <v>343927</v>
      </c>
      <c r="K2048" s="11">
        <v>184777</v>
      </c>
      <c r="L2048" s="11">
        <v>-184777</v>
      </c>
      <c r="M2048" s="11">
        <v>0</v>
      </c>
      <c r="N2048" s="11">
        <v>343927</v>
      </c>
    </row>
    <row r="2049" spans="1:14" ht="15.75" x14ac:dyDescent="0.25">
      <c r="A2049" s="49" t="s">
        <v>348</v>
      </c>
      <c r="B2049" s="72" t="s">
        <v>8</v>
      </c>
      <c r="C2049" s="11">
        <v>3211322</v>
      </c>
      <c r="D2049" s="11">
        <v>0</v>
      </c>
      <c r="E2049" s="11">
        <v>-5088</v>
      </c>
      <c r="F2049" s="11">
        <v>0</v>
      </c>
      <c r="G2049" s="11">
        <v>-5464</v>
      </c>
      <c r="H2049" s="11">
        <v>3200770</v>
      </c>
      <c r="I2049" s="11">
        <v>0</v>
      </c>
      <c r="J2049" s="11">
        <v>3200770</v>
      </c>
      <c r="K2049" s="11">
        <v>0</v>
      </c>
      <c r="L2049" s="11">
        <v>0</v>
      </c>
      <c r="M2049" s="11">
        <v>0</v>
      </c>
      <c r="N2049" s="11">
        <v>3200770</v>
      </c>
    </row>
    <row r="2050" spans="1:14" ht="15.75" x14ac:dyDescent="0.25">
      <c r="A2050" s="49" t="s">
        <v>260</v>
      </c>
      <c r="B2050" s="72" t="s">
        <v>8</v>
      </c>
      <c r="C2050" s="11">
        <v>30112466</v>
      </c>
      <c r="D2050" s="11">
        <v>-2750832</v>
      </c>
      <c r="E2050" s="11">
        <v>0</v>
      </c>
      <c r="F2050" s="11">
        <v>0</v>
      </c>
      <c r="G2050" s="11">
        <v>0</v>
      </c>
      <c r="H2050" s="11">
        <v>27361634</v>
      </c>
      <c r="I2050" s="11">
        <v>-22452845</v>
      </c>
      <c r="J2050" s="11">
        <v>4908789</v>
      </c>
      <c r="K2050" s="11">
        <v>1416457</v>
      </c>
      <c r="L2050" s="11">
        <v>-1416457</v>
      </c>
      <c r="M2050" s="11">
        <v>0</v>
      </c>
      <c r="N2050" s="11">
        <v>4908789</v>
      </c>
    </row>
    <row r="2051" spans="1:14" ht="15.75" x14ac:dyDescent="0.25">
      <c r="A2051" s="49" t="s">
        <v>262</v>
      </c>
      <c r="B2051" s="72" t="s">
        <v>8</v>
      </c>
      <c r="C2051" s="11">
        <v>11453357</v>
      </c>
      <c r="D2051" s="11">
        <v>48779</v>
      </c>
      <c r="E2051" s="11">
        <v>0</v>
      </c>
      <c r="F2051" s="11">
        <v>0</v>
      </c>
      <c r="G2051" s="11">
        <v>-954</v>
      </c>
      <c r="H2051" s="11">
        <v>11501182</v>
      </c>
      <c r="I2051" s="11">
        <v>-10642635</v>
      </c>
      <c r="J2051" s="11">
        <v>858547</v>
      </c>
      <c r="K2051" s="11">
        <v>2199</v>
      </c>
      <c r="L2051" s="11">
        <v>0</v>
      </c>
      <c r="M2051" s="11">
        <v>2199</v>
      </c>
      <c r="N2051" s="11">
        <v>856348</v>
      </c>
    </row>
    <row r="2052" spans="1:14" ht="15.75" x14ac:dyDescent="0.25">
      <c r="A2052" s="49" t="s">
        <v>264</v>
      </c>
      <c r="B2052" s="72" t="s">
        <v>8</v>
      </c>
      <c r="C2052" s="11">
        <v>457144463</v>
      </c>
      <c r="D2052" s="11">
        <v>-202878211</v>
      </c>
      <c r="E2052" s="11">
        <v>0</v>
      </c>
      <c r="F2052" s="11">
        <v>0</v>
      </c>
      <c r="G2052" s="11">
        <v>-10721</v>
      </c>
      <c r="H2052" s="11">
        <v>254255531</v>
      </c>
      <c r="I2052" s="11">
        <v>-151619906</v>
      </c>
      <c r="J2052" s="11">
        <v>102635625</v>
      </c>
      <c r="K2052" s="11">
        <v>43406065</v>
      </c>
      <c r="L2052" s="11">
        <v>-43406065</v>
      </c>
      <c r="M2052" s="11">
        <v>0</v>
      </c>
      <c r="N2052" s="11">
        <v>102635625</v>
      </c>
    </row>
    <row r="2053" spans="1:14" ht="15.75" x14ac:dyDescent="0.25">
      <c r="A2053" s="49" t="s">
        <v>266</v>
      </c>
      <c r="B2053" s="72" t="s">
        <v>8</v>
      </c>
      <c r="C2053" s="11">
        <v>7733952</v>
      </c>
      <c r="D2053" s="11">
        <v>-24246</v>
      </c>
      <c r="E2053" s="11">
        <v>0</v>
      </c>
      <c r="F2053" s="11">
        <v>0</v>
      </c>
      <c r="G2053" s="11">
        <v>-508</v>
      </c>
      <c r="H2053" s="11">
        <v>7709198</v>
      </c>
      <c r="I2053" s="11">
        <v>0</v>
      </c>
      <c r="J2053" s="11">
        <v>7709198</v>
      </c>
      <c r="K2053" s="11">
        <v>0</v>
      </c>
      <c r="L2053" s="11">
        <v>0</v>
      </c>
      <c r="M2053" s="11">
        <v>0</v>
      </c>
      <c r="N2053" s="11">
        <v>7709198</v>
      </c>
    </row>
    <row r="2054" spans="1:14" ht="15.75" x14ac:dyDescent="0.25">
      <c r="A2054" s="49" t="s">
        <v>268</v>
      </c>
      <c r="B2054" s="72" t="s">
        <v>8</v>
      </c>
      <c r="C2054" s="11">
        <v>27612510</v>
      </c>
      <c r="D2054" s="11">
        <v>-4895788</v>
      </c>
      <c r="E2054" s="11">
        <v>0</v>
      </c>
      <c r="F2054" s="11">
        <v>0</v>
      </c>
      <c r="G2054" s="11">
        <v>0</v>
      </c>
      <c r="H2054" s="11">
        <v>22716722</v>
      </c>
      <c r="I2054" s="11">
        <v>-20379161</v>
      </c>
      <c r="J2054" s="11">
        <v>2337561</v>
      </c>
      <c r="K2054" s="11">
        <v>5313971</v>
      </c>
      <c r="L2054" s="11">
        <v>-5228195</v>
      </c>
      <c r="M2054" s="11">
        <v>85776</v>
      </c>
      <c r="N2054" s="11">
        <v>2251785</v>
      </c>
    </row>
    <row r="2055" spans="1:14" ht="15.75" x14ac:dyDescent="0.25">
      <c r="A2055" s="49" t="s">
        <v>270</v>
      </c>
      <c r="B2055" s="72" t="s">
        <v>8</v>
      </c>
      <c r="C2055" s="11">
        <v>28567158</v>
      </c>
      <c r="D2055" s="11">
        <v>-433609</v>
      </c>
      <c r="E2055" s="11">
        <v>0</v>
      </c>
      <c r="F2055" s="11">
        <v>0</v>
      </c>
      <c r="G2055" s="11">
        <v>0</v>
      </c>
      <c r="H2055" s="11">
        <v>28133549</v>
      </c>
      <c r="I2055" s="11">
        <v>-26823058</v>
      </c>
      <c r="J2055" s="11">
        <v>1310491</v>
      </c>
      <c r="K2055" s="11">
        <v>2160688</v>
      </c>
      <c r="L2055" s="11">
        <v>-2160688</v>
      </c>
      <c r="M2055" s="11">
        <v>0</v>
      </c>
      <c r="N2055" s="11">
        <v>1310491</v>
      </c>
    </row>
    <row r="2056" spans="1:14" ht="15.75" x14ac:dyDescent="0.25">
      <c r="A2056" s="49" t="s">
        <v>272</v>
      </c>
      <c r="B2056" s="72" t="s">
        <v>8</v>
      </c>
      <c r="C2056" s="11">
        <v>11946862</v>
      </c>
      <c r="D2056" s="11">
        <v>-40155</v>
      </c>
      <c r="E2056" s="11">
        <v>0</v>
      </c>
      <c r="F2056" s="11">
        <v>0</v>
      </c>
      <c r="G2056" s="11">
        <v>0</v>
      </c>
      <c r="H2056" s="11">
        <v>11906707</v>
      </c>
      <c r="I2056" s="11">
        <v>0</v>
      </c>
      <c r="J2056" s="11">
        <v>11906707</v>
      </c>
      <c r="K2056" s="11">
        <v>0</v>
      </c>
      <c r="L2056" s="11">
        <v>0</v>
      </c>
      <c r="M2056" s="11">
        <v>0</v>
      </c>
      <c r="N2056" s="11">
        <v>11906707</v>
      </c>
    </row>
    <row r="2057" spans="1:14" ht="15.75" x14ac:dyDescent="0.25">
      <c r="A2057" s="49" t="s">
        <v>274</v>
      </c>
      <c r="B2057" s="72" t="s">
        <v>8</v>
      </c>
      <c r="C2057" s="11">
        <v>5642939</v>
      </c>
      <c r="D2057" s="11">
        <v>-69727</v>
      </c>
      <c r="E2057" s="11">
        <v>0</v>
      </c>
      <c r="F2057" s="11">
        <v>0</v>
      </c>
      <c r="G2057" s="11">
        <v>0</v>
      </c>
      <c r="H2057" s="11">
        <v>5573212</v>
      </c>
      <c r="I2057" s="11">
        <v>-5573212</v>
      </c>
      <c r="J2057" s="11">
        <v>0</v>
      </c>
      <c r="K2057" s="11">
        <v>163910</v>
      </c>
      <c r="L2057" s="11">
        <v>-161657</v>
      </c>
      <c r="M2057" s="11">
        <v>2253</v>
      </c>
      <c r="N2057" s="11">
        <v>-2253</v>
      </c>
    </row>
    <row r="2058" spans="1:14" ht="15.75" x14ac:dyDescent="0.25">
      <c r="A2058" s="49" t="s">
        <v>276</v>
      </c>
      <c r="B2058" s="72" t="s">
        <v>8</v>
      </c>
      <c r="C2058" s="11">
        <v>4576573</v>
      </c>
      <c r="D2058" s="11">
        <v>-2047809</v>
      </c>
      <c r="E2058" s="11">
        <v>0</v>
      </c>
      <c r="F2058" s="11">
        <v>0</v>
      </c>
      <c r="G2058" s="11">
        <v>0</v>
      </c>
      <c r="H2058" s="11">
        <v>2528764</v>
      </c>
      <c r="I2058" s="11">
        <v>-2444054</v>
      </c>
      <c r="J2058" s="11">
        <v>84710</v>
      </c>
      <c r="K2058" s="11">
        <v>2080333</v>
      </c>
      <c r="L2058" s="11">
        <v>-2080333</v>
      </c>
      <c r="M2058" s="11">
        <v>0</v>
      </c>
      <c r="N2058" s="11">
        <v>84710</v>
      </c>
    </row>
    <row r="2059" spans="1:14" ht="15.75" x14ac:dyDescent="0.25">
      <c r="A2059" s="49" t="s">
        <v>278</v>
      </c>
      <c r="B2059" s="72" t="s">
        <v>8</v>
      </c>
      <c r="C2059" s="11">
        <v>4490633</v>
      </c>
      <c r="D2059" s="11">
        <v>-1008262</v>
      </c>
      <c r="E2059" s="11">
        <v>0</v>
      </c>
      <c r="F2059" s="11">
        <v>0</v>
      </c>
      <c r="G2059" s="11">
        <v>0</v>
      </c>
      <c r="H2059" s="11">
        <v>3482371</v>
      </c>
      <c r="I2059" s="11">
        <v>-3191777</v>
      </c>
      <c r="J2059" s="11">
        <v>290594</v>
      </c>
      <c r="K2059" s="11">
        <v>820407</v>
      </c>
      <c r="L2059" s="11">
        <v>-820407</v>
      </c>
      <c r="M2059" s="11">
        <v>0</v>
      </c>
      <c r="N2059" s="11">
        <v>290594</v>
      </c>
    </row>
    <row r="2060" spans="1:14" ht="15.75" x14ac:dyDescent="0.25">
      <c r="A2060" s="49" t="s">
        <v>280</v>
      </c>
      <c r="B2060" s="72" t="s">
        <v>8</v>
      </c>
      <c r="C2060" s="11">
        <v>381310</v>
      </c>
      <c r="D2060" s="11">
        <v>-7750</v>
      </c>
      <c r="E2060" s="11">
        <v>0</v>
      </c>
      <c r="F2060" s="11">
        <v>0</v>
      </c>
      <c r="G2060" s="11">
        <v>0</v>
      </c>
      <c r="H2060" s="11">
        <v>373560</v>
      </c>
      <c r="I2060" s="11">
        <v>-373560</v>
      </c>
      <c r="J2060" s="11">
        <v>0</v>
      </c>
      <c r="K2060" s="11">
        <v>104659</v>
      </c>
      <c r="L2060" s="11">
        <v>-104659</v>
      </c>
      <c r="M2060" s="11">
        <v>0</v>
      </c>
      <c r="N2060" s="11">
        <v>0</v>
      </c>
    </row>
    <row r="2061" spans="1:14" ht="15.75" x14ac:dyDescent="0.25">
      <c r="A2061" s="49" t="s">
        <v>282</v>
      </c>
      <c r="B2061" s="72" t="s">
        <v>8</v>
      </c>
      <c r="C2061" s="11">
        <v>1225444</v>
      </c>
      <c r="D2061" s="11">
        <v>-29677</v>
      </c>
      <c r="E2061" s="11">
        <v>0</v>
      </c>
      <c r="F2061" s="11">
        <v>0</v>
      </c>
      <c r="G2061" s="11">
        <v>0</v>
      </c>
      <c r="H2061" s="11">
        <v>1195767</v>
      </c>
      <c r="I2061" s="11">
        <v>-785537</v>
      </c>
      <c r="J2061" s="11">
        <v>410230</v>
      </c>
      <c r="K2061" s="11">
        <v>0</v>
      </c>
      <c r="L2061" s="11">
        <v>0</v>
      </c>
      <c r="M2061" s="11">
        <v>0</v>
      </c>
      <c r="N2061" s="11">
        <v>410230</v>
      </c>
    </row>
    <row r="2062" spans="1:14" ht="15.75" x14ac:dyDescent="0.25">
      <c r="A2062" s="49" t="s">
        <v>284</v>
      </c>
      <c r="B2062" s="72" t="s">
        <v>8</v>
      </c>
      <c r="C2062" s="11">
        <v>625288</v>
      </c>
      <c r="D2062" s="11">
        <v>0</v>
      </c>
      <c r="E2062" s="11">
        <v>0</v>
      </c>
      <c r="F2062" s="11">
        <v>0</v>
      </c>
      <c r="G2062" s="11">
        <v>0</v>
      </c>
      <c r="H2062" s="11">
        <v>625288</v>
      </c>
      <c r="I2062" s="11">
        <v>-625288</v>
      </c>
      <c r="J2062" s="11">
        <v>0</v>
      </c>
      <c r="K2062" s="11">
        <v>0</v>
      </c>
      <c r="L2062" s="11">
        <v>0</v>
      </c>
      <c r="M2062" s="11">
        <v>0</v>
      </c>
      <c r="N2062" s="11">
        <v>0</v>
      </c>
    </row>
    <row r="2063" spans="1:14" ht="15.75" x14ac:dyDescent="0.25">
      <c r="A2063" s="49" t="s">
        <v>286</v>
      </c>
      <c r="B2063" s="72" t="s">
        <v>8</v>
      </c>
      <c r="C2063" s="11">
        <v>4436497</v>
      </c>
      <c r="D2063" s="11">
        <v>-4164446</v>
      </c>
      <c r="E2063" s="11">
        <v>0</v>
      </c>
      <c r="F2063" s="11">
        <v>0</v>
      </c>
      <c r="G2063" s="11">
        <v>0</v>
      </c>
      <c r="H2063" s="11">
        <v>272051</v>
      </c>
      <c r="I2063" s="11">
        <v>-266591</v>
      </c>
      <c r="J2063" s="11">
        <v>5460</v>
      </c>
      <c r="K2063" s="11">
        <v>3087909</v>
      </c>
      <c r="L2063" s="11">
        <v>-3087909</v>
      </c>
      <c r="M2063" s="11">
        <v>0</v>
      </c>
      <c r="N2063" s="11">
        <v>5460</v>
      </c>
    </row>
    <row r="2064" spans="1:14" ht="15.75" x14ac:dyDescent="0.25">
      <c r="A2064" s="49" t="s">
        <v>288</v>
      </c>
      <c r="B2064" s="72" t="s">
        <v>8</v>
      </c>
      <c r="C2064" s="11">
        <v>1702444</v>
      </c>
      <c r="D2064" s="11">
        <v>-207945</v>
      </c>
      <c r="E2064" s="11">
        <v>0</v>
      </c>
      <c r="F2064" s="11">
        <v>0</v>
      </c>
      <c r="G2064" s="11">
        <v>0</v>
      </c>
      <c r="H2064" s="11">
        <v>1494499</v>
      </c>
      <c r="I2064" s="11">
        <v>-1494499</v>
      </c>
      <c r="J2064" s="11">
        <v>0</v>
      </c>
      <c r="K2064" s="11">
        <v>0</v>
      </c>
      <c r="L2064" s="11">
        <v>0</v>
      </c>
      <c r="M2064" s="11">
        <v>0</v>
      </c>
      <c r="N2064" s="11">
        <v>0</v>
      </c>
    </row>
    <row r="2065" spans="1:14" ht="15.75" x14ac:dyDescent="0.25">
      <c r="A2065" s="49" t="s">
        <v>290</v>
      </c>
      <c r="B2065" s="72" t="s">
        <v>8</v>
      </c>
      <c r="C2065" s="11">
        <v>23985758</v>
      </c>
      <c r="D2065" s="11">
        <v>-254302</v>
      </c>
      <c r="E2065" s="11">
        <v>0</v>
      </c>
      <c r="F2065" s="11">
        <v>0</v>
      </c>
      <c r="G2065" s="11">
        <v>0</v>
      </c>
      <c r="H2065" s="11">
        <v>23731456</v>
      </c>
      <c r="I2065" s="11">
        <v>-23731456</v>
      </c>
      <c r="J2065" s="11">
        <v>0</v>
      </c>
      <c r="K2065" s="11">
        <v>1189735</v>
      </c>
      <c r="L2065" s="11">
        <v>-1189735</v>
      </c>
      <c r="M2065" s="11">
        <v>0</v>
      </c>
      <c r="N2065" s="11">
        <v>0</v>
      </c>
    </row>
    <row r="2066" spans="1:14" ht="15.75" x14ac:dyDescent="0.25">
      <c r="A2066" s="49" t="s">
        <v>292</v>
      </c>
      <c r="B2066" s="72" t="s">
        <v>8</v>
      </c>
      <c r="C2066" s="11">
        <v>327837</v>
      </c>
      <c r="D2066" s="11">
        <v>-63547</v>
      </c>
      <c r="E2066" s="11">
        <v>0</v>
      </c>
      <c r="F2066" s="11">
        <v>0</v>
      </c>
      <c r="G2066" s="11">
        <v>0</v>
      </c>
      <c r="H2066" s="11">
        <v>264290</v>
      </c>
      <c r="I2066" s="11">
        <v>-264290</v>
      </c>
      <c r="J2066" s="11">
        <v>0</v>
      </c>
      <c r="K2066" s="11">
        <v>59044</v>
      </c>
      <c r="L2066" s="11">
        <v>-59044</v>
      </c>
      <c r="M2066" s="11">
        <v>0</v>
      </c>
      <c r="N2066" s="11">
        <v>0</v>
      </c>
    </row>
    <row r="2067" spans="1:14" ht="15.75" x14ac:dyDescent="0.25">
      <c r="A2067" s="49" t="s">
        <v>294</v>
      </c>
      <c r="B2067" s="72" t="s">
        <v>8</v>
      </c>
      <c r="C2067" s="11">
        <v>9983732</v>
      </c>
      <c r="D2067" s="11">
        <v>-99216</v>
      </c>
      <c r="E2067" s="11">
        <v>0</v>
      </c>
      <c r="F2067" s="11">
        <v>0</v>
      </c>
      <c r="G2067" s="11">
        <v>0</v>
      </c>
      <c r="H2067" s="11">
        <v>9884516</v>
      </c>
      <c r="I2067" s="11">
        <v>-9884516</v>
      </c>
      <c r="J2067" s="11">
        <v>0</v>
      </c>
      <c r="K2067" s="11">
        <v>0</v>
      </c>
      <c r="L2067" s="11">
        <v>0</v>
      </c>
      <c r="M2067" s="11">
        <v>0</v>
      </c>
      <c r="N2067" s="11">
        <v>0</v>
      </c>
    </row>
    <row r="2068" spans="1:14" ht="15.75" x14ac:dyDescent="0.25">
      <c r="A2068" s="49" t="s">
        <v>296</v>
      </c>
      <c r="B2068" s="72" t="s">
        <v>8</v>
      </c>
      <c r="C2068" s="11">
        <v>9613916</v>
      </c>
      <c r="D2068" s="11">
        <v>-184097</v>
      </c>
      <c r="E2068" s="11">
        <v>0</v>
      </c>
      <c r="F2068" s="11">
        <v>0</v>
      </c>
      <c r="G2068" s="11">
        <v>-595</v>
      </c>
      <c r="H2068" s="11">
        <v>9429224</v>
      </c>
      <c r="I2068" s="11">
        <v>-8879006</v>
      </c>
      <c r="J2068" s="11">
        <v>550218</v>
      </c>
      <c r="K2068" s="11">
        <v>316455</v>
      </c>
      <c r="L2068" s="11">
        <v>-316455</v>
      </c>
      <c r="M2068" s="11">
        <v>0</v>
      </c>
      <c r="N2068" s="11">
        <v>550218</v>
      </c>
    </row>
    <row r="2069" spans="1:14" ht="15.75" x14ac:dyDescent="0.25">
      <c r="A2069" s="49" t="s">
        <v>298</v>
      </c>
      <c r="B2069" s="72" t="s">
        <v>8</v>
      </c>
      <c r="C2069" s="11">
        <v>94470</v>
      </c>
      <c r="D2069" s="11">
        <v>-21299</v>
      </c>
      <c r="E2069" s="11">
        <v>0</v>
      </c>
      <c r="F2069" s="11">
        <v>0</v>
      </c>
      <c r="G2069" s="11">
        <v>0</v>
      </c>
      <c r="H2069" s="11">
        <v>73171</v>
      </c>
      <c r="I2069" s="11">
        <v>-73171</v>
      </c>
      <c r="J2069" s="11">
        <v>0</v>
      </c>
      <c r="K2069" s="11">
        <v>0</v>
      </c>
      <c r="L2069" s="11">
        <v>0</v>
      </c>
      <c r="M2069" s="11">
        <v>0</v>
      </c>
      <c r="N2069" s="11">
        <v>0</v>
      </c>
    </row>
    <row r="2070" spans="1:14" ht="15.75" x14ac:dyDescent="0.25">
      <c r="A2070" s="49" t="s">
        <v>300</v>
      </c>
      <c r="B2070" s="72" t="s">
        <v>8</v>
      </c>
      <c r="C2070" s="11">
        <v>21491531</v>
      </c>
      <c r="D2070" s="11">
        <v>-1746678</v>
      </c>
      <c r="E2070" s="11">
        <v>0</v>
      </c>
      <c r="F2070" s="11">
        <v>0</v>
      </c>
      <c r="G2070" s="11">
        <v>0</v>
      </c>
      <c r="H2070" s="11">
        <v>19744853</v>
      </c>
      <c r="I2070" s="11">
        <v>-19744853</v>
      </c>
      <c r="J2070" s="11">
        <v>0</v>
      </c>
      <c r="K2070" s="11">
        <v>1326560</v>
      </c>
      <c r="L2070" s="11">
        <v>-1160859</v>
      </c>
      <c r="M2070" s="11">
        <v>165701</v>
      </c>
      <c r="N2070" s="11">
        <v>-165701</v>
      </c>
    </row>
    <row r="2071" spans="1:14" ht="15.75" x14ac:dyDescent="0.25">
      <c r="A2071" s="49" t="s">
        <v>302</v>
      </c>
      <c r="B2071" s="72" t="s">
        <v>8</v>
      </c>
      <c r="C2071" s="11">
        <v>18579481</v>
      </c>
      <c r="D2071" s="11">
        <v>-534297</v>
      </c>
      <c r="E2071" s="11">
        <v>0</v>
      </c>
      <c r="F2071" s="11">
        <v>0</v>
      </c>
      <c r="G2071" s="11">
        <v>0</v>
      </c>
      <c r="H2071" s="11">
        <v>18045184</v>
      </c>
      <c r="I2071" s="11">
        <v>-16462869</v>
      </c>
      <c r="J2071" s="11">
        <v>1582315</v>
      </c>
      <c r="K2071" s="11">
        <v>1878936</v>
      </c>
      <c r="L2071" s="11">
        <v>-1878936</v>
      </c>
      <c r="M2071" s="11">
        <v>0</v>
      </c>
      <c r="N2071" s="11">
        <v>1582315</v>
      </c>
    </row>
    <row r="2072" spans="1:14" ht="15.75" x14ac:dyDescent="0.25">
      <c r="A2072" s="49" t="s">
        <v>304</v>
      </c>
      <c r="B2072" s="72" t="s">
        <v>8</v>
      </c>
      <c r="C2072" s="11">
        <v>3507040</v>
      </c>
      <c r="D2072" s="11">
        <v>-107155</v>
      </c>
      <c r="E2072" s="11">
        <v>0</v>
      </c>
      <c r="F2072" s="11">
        <v>0</v>
      </c>
      <c r="G2072" s="11">
        <v>0</v>
      </c>
      <c r="H2072" s="11">
        <v>3399885</v>
      </c>
      <c r="I2072" s="11">
        <v>-2919091</v>
      </c>
      <c r="J2072" s="11">
        <v>480794</v>
      </c>
      <c r="K2072" s="11">
        <v>3293.4</v>
      </c>
      <c r="L2072" s="11">
        <v>-3293.4</v>
      </c>
      <c r="M2072" s="11">
        <v>0</v>
      </c>
      <c r="N2072" s="11">
        <v>480794</v>
      </c>
    </row>
    <row r="2073" spans="1:14" ht="15.75" x14ac:dyDescent="0.25">
      <c r="A2073" s="49" t="s">
        <v>306</v>
      </c>
      <c r="B2073" s="72" t="s">
        <v>8</v>
      </c>
      <c r="C2073" s="11">
        <v>175253025</v>
      </c>
      <c r="D2073" s="11">
        <v>-53209263</v>
      </c>
      <c r="E2073" s="11">
        <v>0</v>
      </c>
      <c r="F2073" s="11">
        <v>0</v>
      </c>
      <c r="G2073" s="11">
        <v>0</v>
      </c>
      <c r="H2073" s="11">
        <v>122043762</v>
      </c>
      <c r="I2073" s="11">
        <v>-122043762</v>
      </c>
      <c r="J2073" s="11">
        <v>0</v>
      </c>
      <c r="K2073" s="11">
        <v>13703587</v>
      </c>
      <c r="L2073" s="11">
        <v>-13703587</v>
      </c>
      <c r="M2073" s="11">
        <v>0</v>
      </c>
      <c r="N2073" s="11">
        <v>0</v>
      </c>
    </row>
    <row r="2074" spans="1:14" ht="15.75" x14ac:dyDescent="0.25">
      <c r="A2074" s="49" t="s">
        <v>308</v>
      </c>
      <c r="B2074" s="72" t="s">
        <v>8</v>
      </c>
      <c r="C2074" s="11">
        <v>4585189</v>
      </c>
      <c r="D2074" s="11">
        <v>-111146</v>
      </c>
      <c r="E2074" s="11">
        <v>0</v>
      </c>
      <c r="F2074" s="11">
        <v>0</v>
      </c>
      <c r="G2074" s="11">
        <v>0</v>
      </c>
      <c r="H2074" s="11">
        <v>4474043</v>
      </c>
      <c r="I2074" s="11">
        <v>-4474043</v>
      </c>
      <c r="J2074" s="11">
        <v>0</v>
      </c>
      <c r="K2074" s="11">
        <v>0</v>
      </c>
      <c r="L2074" s="11">
        <v>0</v>
      </c>
      <c r="M2074" s="11">
        <v>0</v>
      </c>
      <c r="N2074" s="11">
        <v>0</v>
      </c>
    </row>
    <row r="2075" spans="1:14" ht="15.75" x14ac:dyDescent="0.25">
      <c r="A2075" s="49" t="s">
        <v>310</v>
      </c>
      <c r="B2075" s="72" t="s">
        <v>8</v>
      </c>
      <c r="C2075" s="11">
        <v>28894249</v>
      </c>
      <c r="D2075" s="11">
        <v>-237012</v>
      </c>
      <c r="E2075" s="11">
        <v>0</v>
      </c>
      <c r="F2075" s="11">
        <v>0</v>
      </c>
      <c r="G2075" s="11">
        <v>0</v>
      </c>
      <c r="H2075" s="11">
        <v>28657237</v>
      </c>
      <c r="I2075" s="11">
        <v>-28657237</v>
      </c>
      <c r="J2075" s="11">
        <v>0</v>
      </c>
      <c r="K2075" s="11">
        <v>0</v>
      </c>
      <c r="L2075" s="11">
        <v>0</v>
      </c>
      <c r="M2075" s="11">
        <v>0</v>
      </c>
      <c r="N2075" s="11">
        <v>0</v>
      </c>
    </row>
    <row r="2076" spans="1:14" ht="15.75" x14ac:dyDescent="0.25">
      <c r="A2076" s="49" t="s">
        <v>312</v>
      </c>
      <c r="B2076" s="72" t="s">
        <v>8</v>
      </c>
      <c r="C2076" s="11">
        <v>254552570</v>
      </c>
      <c r="D2076" s="11">
        <v>-12643108</v>
      </c>
      <c r="E2076" s="11">
        <v>0</v>
      </c>
      <c r="F2076" s="11">
        <v>0</v>
      </c>
      <c r="G2076" s="11">
        <v>-59106</v>
      </c>
      <c r="H2076" s="11">
        <v>241850356</v>
      </c>
      <c r="I2076" s="11">
        <v>-217279638</v>
      </c>
      <c r="J2076" s="11">
        <v>24570718</v>
      </c>
      <c r="K2076" s="11">
        <v>19030798</v>
      </c>
      <c r="L2076" s="11">
        <v>-19030798</v>
      </c>
      <c r="M2076" s="11">
        <v>0</v>
      </c>
      <c r="N2076" s="11">
        <v>24570718</v>
      </c>
    </row>
    <row r="2077" spans="1:14" ht="15.75" x14ac:dyDescent="0.25">
      <c r="A2077" s="49" t="s">
        <v>314</v>
      </c>
      <c r="B2077" s="72" t="s">
        <v>8</v>
      </c>
      <c r="C2077" s="11">
        <v>803289</v>
      </c>
      <c r="D2077" s="11">
        <v>-117945</v>
      </c>
      <c r="E2077" s="11">
        <v>0</v>
      </c>
      <c r="F2077" s="11">
        <v>0</v>
      </c>
      <c r="G2077" s="11">
        <v>0</v>
      </c>
      <c r="H2077" s="11">
        <v>685344</v>
      </c>
      <c r="I2077" s="11">
        <v>-685344</v>
      </c>
      <c r="J2077" s="11">
        <v>0</v>
      </c>
      <c r="K2077" s="11">
        <v>0</v>
      </c>
      <c r="L2077" s="11">
        <v>0</v>
      </c>
      <c r="M2077" s="11">
        <v>0</v>
      </c>
      <c r="N2077" s="11">
        <v>0</v>
      </c>
    </row>
    <row r="2078" spans="1:14" ht="15.75" x14ac:dyDescent="0.25">
      <c r="A2078" s="49" t="s">
        <v>316</v>
      </c>
      <c r="B2078" s="72" t="s">
        <v>8</v>
      </c>
      <c r="C2078" s="11">
        <v>9885</v>
      </c>
      <c r="D2078" s="11">
        <v>-382</v>
      </c>
      <c r="E2078" s="11">
        <v>0</v>
      </c>
      <c r="F2078" s="11">
        <v>0</v>
      </c>
      <c r="G2078" s="11">
        <v>0</v>
      </c>
      <c r="H2078" s="11">
        <v>9503</v>
      </c>
      <c r="I2078" s="11">
        <v>-9503</v>
      </c>
      <c r="J2078" s="11">
        <v>0</v>
      </c>
      <c r="K2078" s="11">
        <v>7961</v>
      </c>
      <c r="L2078" s="11">
        <v>-7961</v>
      </c>
      <c r="M2078" s="11">
        <v>0</v>
      </c>
      <c r="N2078" s="11">
        <v>0</v>
      </c>
    </row>
    <row r="2079" spans="1:14" ht="15.75" x14ac:dyDescent="0.25">
      <c r="A2079" s="49" t="s">
        <v>318</v>
      </c>
      <c r="B2079" s="72" t="s">
        <v>8</v>
      </c>
      <c r="C2079" s="11">
        <v>1847474</v>
      </c>
      <c r="D2079" s="11">
        <v>-16896</v>
      </c>
      <c r="E2079" s="11">
        <v>0</v>
      </c>
      <c r="F2079" s="11">
        <v>0</v>
      </c>
      <c r="G2079" s="11">
        <v>0</v>
      </c>
      <c r="H2079" s="11">
        <v>1830578</v>
      </c>
      <c r="I2079" s="11">
        <v>-1830578</v>
      </c>
      <c r="J2079" s="11">
        <v>0</v>
      </c>
      <c r="K2079" s="11">
        <v>25621</v>
      </c>
      <c r="L2079" s="11">
        <v>-24640</v>
      </c>
      <c r="M2079" s="11">
        <v>981</v>
      </c>
      <c r="N2079" s="11">
        <v>-981</v>
      </c>
    </row>
    <row r="2080" spans="1:14" ht="15.75" x14ac:dyDescent="0.25">
      <c r="A2080" s="49" t="s">
        <v>320</v>
      </c>
      <c r="B2080" s="72" t="s">
        <v>8</v>
      </c>
      <c r="C2080" s="11">
        <v>11228475</v>
      </c>
      <c r="D2080" s="11">
        <v>-467376</v>
      </c>
      <c r="E2080" s="11">
        <v>0</v>
      </c>
      <c r="F2080" s="11">
        <v>0</v>
      </c>
      <c r="G2080" s="11">
        <v>0</v>
      </c>
      <c r="H2080" s="11">
        <v>10761099</v>
      </c>
      <c r="I2080" s="11">
        <v>-10761099</v>
      </c>
      <c r="J2080" s="11">
        <v>0</v>
      </c>
      <c r="K2080" s="11">
        <v>691841</v>
      </c>
      <c r="L2080" s="11">
        <v>-691841</v>
      </c>
      <c r="M2080" s="11">
        <v>0</v>
      </c>
      <c r="N2080" s="11">
        <v>0</v>
      </c>
    </row>
    <row r="2081" spans="1:14" ht="15.75" x14ac:dyDescent="0.25">
      <c r="A2081" s="49" t="s">
        <v>322</v>
      </c>
      <c r="B2081" s="72" t="s">
        <v>8</v>
      </c>
      <c r="C2081" s="11">
        <v>4228986.5100000007</v>
      </c>
      <c r="D2081" s="11">
        <v>-235421</v>
      </c>
      <c r="E2081" s="11">
        <v>0</v>
      </c>
      <c r="F2081" s="11">
        <v>0</v>
      </c>
      <c r="G2081" s="11">
        <v>0</v>
      </c>
      <c r="H2081" s="11">
        <v>3993565.5100000002</v>
      </c>
      <c r="I2081" s="11">
        <v>-3993565.5100000002</v>
      </c>
      <c r="J2081" s="11">
        <v>0</v>
      </c>
      <c r="K2081" s="11">
        <v>224801.96</v>
      </c>
      <c r="L2081" s="11">
        <v>-224801.96</v>
      </c>
      <c r="M2081" s="11">
        <v>0</v>
      </c>
      <c r="N2081" s="11">
        <v>0</v>
      </c>
    </row>
    <row r="2082" spans="1:14" ht="15.75" x14ac:dyDescent="0.25">
      <c r="A2082" s="49" t="s">
        <v>324</v>
      </c>
      <c r="B2082" s="72" t="s">
        <v>8</v>
      </c>
      <c r="C2082" s="11">
        <v>6079258</v>
      </c>
      <c r="D2082" s="11">
        <v>-138440</v>
      </c>
      <c r="E2082" s="11">
        <v>0</v>
      </c>
      <c r="F2082" s="11">
        <v>0</v>
      </c>
      <c r="G2082" s="11">
        <v>-254</v>
      </c>
      <c r="H2082" s="11">
        <v>5940564</v>
      </c>
      <c r="I2082" s="11">
        <v>-5388394</v>
      </c>
      <c r="J2082" s="11">
        <v>552170</v>
      </c>
      <c r="K2082" s="11">
        <v>0</v>
      </c>
      <c r="L2082" s="11">
        <v>0</v>
      </c>
      <c r="M2082" s="11">
        <v>0</v>
      </c>
      <c r="N2082" s="11">
        <v>552170</v>
      </c>
    </row>
    <row r="2083" spans="1:14" ht="15.75" x14ac:dyDescent="0.25">
      <c r="A2083" s="49" t="s">
        <v>326</v>
      </c>
      <c r="B2083" s="72" t="s">
        <v>8</v>
      </c>
      <c r="C2083" s="11">
        <v>8168207.1500000004</v>
      </c>
      <c r="D2083" s="11">
        <v>-378034</v>
      </c>
      <c r="E2083" s="11">
        <v>0</v>
      </c>
      <c r="F2083" s="11">
        <v>0</v>
      </c>
      <c r="G2083" s="11">
        <v>0</v>
      </c>
      <c r="H2083" s="11">
        <v>7790173.1500000004</v>
      </c>
      <c r="I2083" s="11">
        <v>-6673333.1500000004</v>
      </c>
      <c r="J2083" s="11">
        <v>1116840</v>
      </c>
      <c r="K2083" s="11">
        <v>521881.85</v>
      </c>
      <c r="L2083" s="11">
        <v>-521881.85</v>
      </c>
      <c r="M2083" s="11">
        <v>0</v>
      </c>
      <c r="N2083" s="11">
        <v>1116840</v>
      </c>
    </row>
    <row r="2084" spans="1:14" ht="15.75" x14ac:dyDescent="0.25">
      <c r="A2084" s="49" t="s">
        <v>328</v>
      </c>
      <c r="B2084" s="72" t="s">
        <v>8</v>
      </c>
      <c r="C2084" s="11">
        <v>10862445</v>
      </c>
      <c r="D2084" s="11">
        <v>-638544</v>
      </c>
      <c r="E2084" s="11">
        <v>0</v>
      </c>
      <c r="F2084" s="11">
        <v>0</v>
      </c>
      <c r="G2084" s="11">
        <v>0</v>
      </c>
      <c r="H2084" s="11">
        <v>10223901</v>
      </c>
      <c r="I2084" s="11">
        <v>-10223901</v>
      </c>
      <c r="J2084" s="11">
        <v>0</v>
      </c>
      <c r="K2084" s="11">
        <v>1046025</v>
      </c>
      <c r="L2084" s="11">
        <v>-1037303</v>
      </c>
      <c r="M2084" s="11">
        <v>8722</v>
      </c>
      <c r="N2084" s="11">
        <v>-8722</v>
      </c>
    </row>
    <row r="2085" spans="1:14" ht="15.75" x14ac:dyDescent="0.25">
      <c r="A2085" s="49" t="s">
        <v>330</v>
      </c>
      <c r="B2085" s="72" t="s">
        <v>8</v>
      </c>
      <c r="C2085" s="11">
        <v>20255</v>
      </c>
      <c r="D2085" s="11">
        <v>0</v>
      </c>
      <c r="E2085" s="11">
        <v>0</v>
      </c>
      <c r="F2085" s="11">
        <v>0</v>
      </c>
      <c r="G2085" s="11">
        <v>0</v>
      </c>
      <c r="H2085" s="11">
        <v>20255</v>
      </c>
      <c r="I2085" s="11">
        <v>-20255</v>
      </c>
      <c r="J2085" s="11">
        <v>0</v>
      </c>
      <c r="K2085" s="11">
        <v>0</v>
      </c>
      <c r="L2085" s="11">
        <v>0</v>
      </c>
      <c r="M2085" s="11">
        <v>0</v>
      </c>
      <c r="N2085" s="11">
        <v>0</v>
      </c>
    </row>
    <row r="2086" spans="1:14" ht="15.75" x14ac:dyDescent="0.25">
      <c r="A2086" s="49" t="s">
        <v>332</v>
      </c>
      <c r="B2086" s="72" t="s">
        <v>8</v>
      </c>
      <c r="C2086" s="11">
        <v>1477006</v>
      </c>
      <c r="D2086" s="11">
        <v>-69371</v>
      </c>
      <c r="E2086" s="11">
        <v>0</v>
      </c>
      <c r="F2086" s="11">
        <v>0</v>
      </c>
      <c r="G2086" s="11">
        <v>0</v>
      </c>
      <c r="H2086" s="11">
        <v>1407635</v>
      </c>
      <c r="I2086" s="11">
        <v>-1314792</v>
      </c>
      <c r="J2086" s="11">
        <v>92843</v>
      </c>
      <c r="K2086" s="11">
        <v>7899</v>
      </c>
      <c r="L2086" s="11">
        <v>-7899</v>
      </c>
      <c r="M2086" s="11">
        <v>0</v>
      </c>
      <c r="N2086" s="11">
        <v>92843</v>
      </c>
    </row>
    <row r="2087" spans="1:14" ht="15.75" x14ac:dyDescent="0.25">
      <c r="A2087" s="49" t="s">
        <v>334</v>
      </c>
      <c r="B2087" s="72" t="s">
        <v>8</v>
      </c>
      <c r="C2087" s="11">
        <v>1084858</v>
      </c>
      <c r="D2087" s="11">
        <v>0</v>
      </c>
      <c r="E2087" s="11">
        <v>0</v>
      </c>
      <c r="F2087" s="11">
        <v>0</v>
      </c>
      <c r="G2087" s="11">
        <v>0</v>
      </c>
      <c r="H2087" s="11">
        <v>1084858</v>
      </c>
      <c r="I2087" s="11">
        <v>-936793</v>
      </c>
      <c r="J2087" s="11">
        <v>148065</v>
      </c>
      <c r="K2087" s="11">
        <v>0</v>
      </c>
      <c r="L2087" s="11">
        <v>0</v>
      </c>
      <c r="M2087" s="11">
        <v>0</v>
      </c>
      <c r="N2087" s="11">
        <v>148065</v>
      </c>
    </row>
    <row r="2088" spans="1:14" ht="15.75" x14ac:dyDescent="0.25">
      <c r="A2088" s="49" t="s">
        <v>336</v>
      </c>
      <c r="B2088" s="72" t="s">
        <v>8</v>
      </c>
      <c r="C2088" s="11">
        <v>633210</v>
      </c>
      <c r="D2088" s="11">
        <v>-710</v>
      </c>
      <c r="E2088" s="11">
        <v>0</v>
      </c>
      <c r="F2088" s="11">
        <v>0</v>
      </c>
      <c r="G2088" s="11">
        <v>0</v>
      </c>
      <c r="H2088" s="11">
        <v>632500</v>
      </c>
      <c r="I2088" s="11">
        <v>-632500</v>
      </c>
      <c r="J2088" s="11">
        <v>0</v>
      </c>
      <c r="K2088" s="11">
        <v>13294</v>
      </c>
      <c r="L2088" s="11">
        <v>-13294</v>
      </c>
      <c r="M2088" s="11">
        <v>0</v>
      </c>
      <c r="N2088" s="11">
        <v>0</v>
      </c>
    </row>
    <row r="2089" spans="1:14" ht="15.75" x14ac:dyDescent="0.25">
      <c r="A2089" s="49" t="s">
        <v>338</v>
      </c>
      <c r="B2089" s="72" t="s">
        <v>8</v>
      </c>
      <c r="C2089" s="11">
        <v>5565870</v>
      </c>
      <c r="D2089" s="11">
        <v>-16433</v>
      </c>
      <c r="E2089" s="11">
        <v>0</v>
      </c>
      <c r="F2089" s="11">
        <v>0</v>
      </c>
      <c r="G2089" s="11">
        <v>-21656</v>
      </c>
      <c r="H2089" s="11">
        <v>5527781</v>
      </c>
      <c r="I2089" s="11">
        <v>-3300000</v>
      </c>
      <c r="J2089" s="11">
        <v>2227781</v>
      </c>
      <c r="K2089" s="11">
        <v>0</v>
      </c>
      <c r="L2089" s="11">
        <v>0</v>
      </c>
      <c r="M2089" s="11">
        <v>0</v>
      </c>
      <c r="N2089" s="11">
        <v>2227781</v>
      </c>
    </row>
    <row r="2090" spans="1:14" ht="15.75" x14ac:dyDescent="0.25">
      <c r="A2090" s="49" t="s">
        <v>340</v>
      </c>
      <c r="B2090" s="72" t="s">
        <v>8</v>
      </c>
      <c r="C2090" s="11">
        <v>1043306</v>
      </c>
      <c r="D2090" s="11">
        <v>-6189</v>
      </c>
      <c r="E2090" s="11">
        <v>0</v>
      </c>
      <c r="F2090" s="11">
        <v>0</v>
      </c>
      <c r="G2090" s="11">
        <v>0</v>
      </c>
      <c r="H2090" s="11">
        <v>1037117</v>
      </c>
      <c r="I2090" s="11">
        <v>-1037117</v>
      </c>
      <c r="J2090" s="11">
        <v>0</v>
      </c>
      <c r="K2090" s="11">
        <v>21952</v>
      </c>
      <c r="L2090" s="11">
        <v>-21952</v>
      </c>
      <c r="M2090" s="11">
        <v>0</v>
      </c>
      <c r="N2090" s="11">
        <v>0</v>
      </c>
    </row>
    <row r="2091" spans="1:14" ht="15.75" x14ac:dyDescent="0.25">
      <c r="A2091" s="49" t="s">
        <v>342</v>
      </c>
      <c r="B2091" s="72" t="s">
        <v>8</v>
      </c>
      <c r="C2091" s="11">
        <v>451121</v>
      </c>
      <c r="D2091" s="11">
        <v>-1468</v>
      </c>
      <c r="E2091" s="11">
        <v>0</v>
      </c>
      <c r="F2091" s="11">
        <v>0</v>
      </c>
      <c r="G2091" s="11">
        <v>0</v>
      </c>
      <c r="H2091" s="11">
        <v>449653</v>
      </c>
      <c r="I2091" s="11">
        <v>-449653</v>
      </c>
      <c r="J2091" s="11">
        <v>0</v>
      </c>
      <c r="K2091" s="11">
        <v>0</v>
      </c>
      <c r="L2091" s="11">
        <v>0</v>
      </c>
      <c r="M2091" s="11">
        <v>0</v>
      </c>
      <c r="N2091" s="11">
        <v>0</v>
      </c>
    </row>
    <row r="2092" spans="1:14" ht="15.75" x14ac:dyDescent="0.25">
      <c r="A2092" s="49" t="s">
        <v>344</v>
      </c>
      <c r="B2092" s="72" t="s">
        <v>8</v>
      </c>
      <c r="C2092" s="11">
        <v>10164306</v>
      </c>
      <c r="D2092" s="11">
        <v>-88915</v>
      </c>
      <c r="E2092" s="11">
        <v>0</v>
      </c>
      <c r="F2092" s="11">
        <v>0</v>
      </c>
      <c r="G2092" s="11">
        <v>0</v>
      </c>
      <c r="H2092" s="11">
        <v>10075391</v>
      </c>
      <c r="I2092" s="11">
        <v>0</v>
      </c>
      <c r="J2092" s="11">
        <v>10075391</v>
      </c>
      <c r="K2092" s="11">
        <v>0</v>
      </c>
      <c r="L2092" s="11">
        <v>0</v>
      </c>
      <c r="M2092" s="11">
        <v>0</v>
      </c>
      <c r="N2092" s="11">
        <v>10075391</v>
      </c>
    </row>
    <row r="2093" spans="1:14" ht="15.75" x14ac:dyDescent="0.25">
      <c r="A2093" s="49" t="s">
        <v>346</v>
      </c>
      <c r="B2093" s="72" t="s">
        <v>8</v>
      </c>
      <c r="C2093" s="11">
        <v>23874452</v>
      </c>
      <c r="D2093" s="11">
        <v>-364717</v>
      </c>
      <c r="E2093" s="11">
        <v>0</v>
      </c>
      <c r="F2093" s="11">
        <v>0</v>
      </c>
      <c r="G2093" s="11">
        <v>0</v>
      </c>
      <c r="H2093" s="11">
        <v>23509735</v>
      </c>
      <c r="I2093" s="11">
        <v>-21028639</v>
      </c>
      <c r="J2093" s="11">
        <v>2481096</v>
      </c>
      <c r="K2093" s="11">
        <v>97197</v>
      </c>
      <c r="L2093" s="11">
        <v>-97197</v>
      </c>
      <c r="M2093" s="11">
        <v>0</v>
      </c>
      <c r="N2093" s="11">
        <v>2481096</v>
      </c>
    </row>
    <row r="2094" spans="1:14" ht="15.75" x14ac:dyDescent="0.25">
      <c r="A2094" s="52" t="s">
        <v>349</v>
      </c>
      <c r="B2094" s="53" t="s">
        <v>8</v>
      </c>
      <c r="C2094" s="19">
        <f>SUBTOTAL(109,Local[(C)
Program
Costs])</f>
        <v>4991239900.8800001</v>
      </c>
      <c r="D2094" s="19">
        <f>SUBTOTAL(109,Local[(D)
Prior Period Adjustments])</f>
        <v>-798800718</v>
      </c>
      <c r="E2094" s="19">
        <f>SUBTOTAL(109,Local[(E)
Current Period Desk 
Reviews])</f>
        <v>-109946</v>
      </c>
      <c r="F2094" s="19">
        <f>SUBTOTAL(109,Local[(F)
Current Period 
Final 
Audits])</f>
        <v>-5521366</v>
      </c>
      <c r="G2094" s="19">
        <f>SUBTOTAL(109,Local[(G)
Current Period 
Other Adjustments])</f>
        <v>-133318</v>
      </c>
      <c r="H2094" s="19">
        <f>SUBTOTAL(109,Local[(H)
Net Program Costs
Sum (C through G)])</f>
        <v>4186674552.8800006</v>
      </c>
      <c r="I2094" s="19">
        <f>SUBTOTAL(109,Local[(I)
Payments
 and Offsets])</f>
        <v>-3417329260.2100005</v>
      </c>
      <c r="J2094" s="19">
        <f>SUBTOTAL(109,Local[(J)
Accounts Payable Balance
(H + I)])</f>
        <v>769345292.67000008</v>
      </c>
      <c r="K2094" s="19">
        <f>SUBTOTAL(109,Local[(K)
Established 
Accounts Receivable])</f>
        <v>302509990.28000003</v>
      </c>
      <c r="L2094" s="19">
        <f>SUBTOTAL(109,Local[(L)
Recovered
 Accounts Receivable])</f>
        <v>-300259126.28000003</v>
      </c>
      <c r="M2094" s="19">
        <f>SUBTOTAL(109,Local[(M)
Accounts Receivable Balance
(K + L)])</f>
        <v>2250864</v>
      </c>
      <c r="N2094" s="19">
        <f>SUBTOTAL(109,Local[(N)
Net Balance
(J minus M)])</f>
        <v>767094428.67000008</v>
      </c>
    </row>
    <row r="2095" spans="1:14" ht="15.75" x14ac:dyDescent="0.25">
      <c r="A2095" s="17" t="s">
        <v>30</v>
      </c>
      <c r="B2095" s="54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</row>
  </sheetData>
  <printOptions horizontalCentered="1"/>
  <pageMargins left="0.45" right="0.45" top="0.25" bottom="0.75" header="0.4" footer="0.3"/>
  <pageSetup scale="45" firstPageNumber="2" orientation="landscape" useFirstPageNumber="1" r:id="rId1"/>
  <headerFooter>
    <oddFooter>&amp;LLocal Agencies&amp;R&amp;P of &amp;N</oddFooter>
  </headerFooter>
  <rowBreaks count="5" manualBreakCount="5">
    <brk id="318" max="13" man="1"/>
    <brk id="693" max="13" man="1"/>
    <brk id="1051" max="13" man="1"/>
    <brk id="1242" max="13" man="1"/>
    <brk id="1757" max="13" man="1"/>
  </rowBreaks>
  <tableParts count="1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17"/>
  <sheetViews>
    <sheetView zoomScale="90" zoomScaleNormal="90" workbookViewId="0">
      <selection activeCell="A1874" sqref="A1874:A1889"/>
    </sheetView>
  </sheetViews>
  <sheetFormatPr defaultRowHeight="15" x14ac:dyDescent="0.25"/>
  <cols>
    <col min="1" max="1" width="54.140625" customWidth="1"/>
    <col min="2" max="2" width="19.28515625" bestFit="1" customWidth="1"/>
    <col min="3" max="3" width="18.140625" customWidth="1"/>
    <col min="4" max="4" width="18.28515625" customWidth="1"/>
    <col min="5" max="5" width="13.5703125" bestFit="1" customWidth="1"/>
    <col min="6" max="6" width="15.42578125" bestFit="1" customWidth="1"/>
    <col min="7" max="7" width="15.5703125" customWidth="1"/>
    <col min="8" max="8" width="20.140625" customWidth="1"/>
    <col min="9" max="9" width="18.85546875" customWidth="1"/>
    <col min="10" max="11" width="18.28515625" bestFit="1" customWidth="1"/>
    <col min="12" max="12" width="16.42578125" customWidth="1"/>
    <col min="13" max="13" width="15.85546875" customWidth="1"/>
    <col min="14" max="14" width="16.5703125" customWidth="1"/>
    <col min="15" max="15" width="7.7109375" customWidth="1"/>
  </cols>
  <sheetData>
    <row r="1" spans="1:14" ht="99.95" customHeight="1" x14ac:dyDescent="0.25">
      <c r="A1" s="33" t="s">
        <v>31</v>
      </c>
      <c r="B1" s="34"/>
      <c r="C1" s="35"/>
      <c r="D1" s="35"/>
      <c r="E1" s="36"/>
      <c r="F1" s="36"/>
      <c r="G1" s="36"/>
      <c r="H1" s="36"/>
      <c r="I1" s="36"/>
      <c r="J1" s="36"/>
      <c r="K1" s="37"/>
      <c r="L1" s="37"/>
      <c r="M1" s="37"/>
      <c r="N1" s="38"/>
    </row>
    <row r="2" spans="1:14" ht="78.75" x14ac:dyDescent="0.25">
      <c r="A2" s="39" t="s">
        <v>32</v>
      </c>
      <c r="B2" s="40" t="s">
        <v>33</v>
      </c>
      <c r="C2" s="41" t="s">
        <v>34</v>
      </c>
      <c r="D2" s="41" t="s">
        <v>35</v>
      </c>
      <c r="E2" s="42" t="s">
        <v>36</v>
      </c>
      <c r="F2" s="42" t="s">
        <v>37</v>
      </c>
      <c r="G2" s="42" t="s">
        <v>38</v>
      </c>
      <c r="H2" s="43" t="s">
        <v>39</v>
      </c>
      <c r="I2" s="44" t="s">
        <v>40</v>
      </c>
      <c r="J2" s="44" t="s">
        <v>41</v>
      </c>
      <c r="K2" s="42" t="s">
        <v>42</v>
      </c>
      <c r="L2" s="44" t="s">
        <v>43</v>
      </c>
      <c r="M2" s="44" t="s">
        <v>44</v>
      </c>
      <c r="N2" s="45" t="s">
        <v>45</v>
      </c>
    </row>
    <row r="3" spans="1:14" ht="15.75" x14ac:dyDescent="0.25">
      <c r="A3" s="46" t="s">
        <v>607</v>
      </c>
      <c r="B3" s="47" t="s">
        <v>51</v>
      </c>
      <c r="C3" s="48">
        <v>21838</v>
      </c>
      <c r="D3" s="48">
        <v>-21838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1000</v>
      </c>
      <c r="L3" s="48">
        <v>0</v>
      </c>
      <c r="M3" s="48">
        <v>1000</v>
      </c>
      <c r="N3" s="48">
        <v>-1000</v>
      </c>
    </row>
    <row r="4" spans="1:14" ht="15.75" x14ac:dyDescent="0.25">
      <c r="A4" s="49" t="s">
        <v>607</v>
      </c>
      <c r="B4" s="50" t="s">
        <v>55</v>
      </c>
      <c r="C4" s="51">
        <v>8000</v>
      </c>
      <c r="D4" s="51">
        <v>-8000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</row>
    <row r="5" spans="1:14" ht="15.75" x14ac:dyDescent="0.25">
      <c r="A5" s="49" t="s">
        <v>607</v>
      </c>
      <c r="B5" s="50" t="s">
        <v>56</v>
      </c>
      <c r="C5" s="51">
        <v>55244</v>
      </c>
      <c r="D5" s="51">
        <v>-55244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</row>
    <row r="6" spans="1:14" ht="15.75" x14ac:dyDescent="0.25">
      <c r="A6" s="49" t="s">
        <v>607</v>
      </c>
      <c r="B6" s="50" t="s">
        <v>57</v>
      </c>
      <c r="C6" s="51">
        <v>743538</v>
      </c>
      <c r="D6" s="51">
        <v>-6733</v>
      </c>
      <c r="E6" s="51">
        <v>0</v>
      </c>
      <c r="F6" s="51">
        <v>0</v>
      </c>
      <c r="G6" s="51">
        <v>0</v>
      </c>
      <c r="H6" s="51">
        <v>736805</v>
      </c>
      <c r="I6" s="51">
        <v>-736805</v>
      </c>
      <c r="J6" s="51">
        <v>0</v>
      </c>
      <c r="K6" s="51">
        <v>41056</v>
      </c>
      <c r="L6" s="51">
        <v>-41056</v>
      </c>
      <c r="M6" s="51">
        <v>0</v>
      </c>
      <c r="N6" s="51">
        <v>0</v>
      </c>
    </row>
    <row r="7" spans="1:14" ht="15.75" x14ac:dyDescent="0.25">
      <c r="A7" s="49" t="s">
        <v>607</v>
      </c>
      <c r="B7" s="50" t="s">
        <v>58</v>
      </c>
      <c r="C7" s="51">
        <v>546003</v>
      </c>
      <c r="D7" s="51">
        <v>-23728</v>
      </c>
      <c r="E7" s="51">
        <v>0</v>
      </c>
      <c r="F7" s="51">
        <v>0</v>
      </c>
      <c r="G7" s="51">
        <v>0</v>
      </c>
      <c r="H7" s="51">
        <v>522275</v>
      </c>
      <c r="I7" s="51">
        <v>-522275</v>
      </c>
      <c r="J7" s="51">
        <v>0</v>
      </c>
      <c r="K7" s="51">
        <v>109992</v>
      </c>
      <c r="L7" s="51">
        <v>-109992</v>
      </c>
      <c r="M7" s="51">
        <v>0</v>
      </c>
      <c r="N7" s="51">
        <v>0</v>
      </c>
    </row>
    <row r="8" spans="1:14" ht="15.75" x14ac:dyDescent="0.25">
      <c r="A8" s="49" t="s">
        <v>607</v>
      </c>
      <c r="B8" s="50" t="s">
        <v>59</v>
      </c>
      <c r="C8" s="51">
        <v>1458682</v>
      </c>
      <c r="D8" s="51">
        <v>-4047</v>
      </c>
      <c r="E8" s="51">
        <v>0</v>
      </c>
      <c r="F8" s="51">
        <v>0</v>
      </c>
      <c r="G8" s="51">
        <v>0</v>
      </c>
      <c r="H8" s="51">
        <v>1454635</v>
      </c>
      <c r="I8" s="51">
        <v>-1454635</v>
      </c>
      <c r="J8" s="51">
        <v>0</v>
      </c>
      <c r="K8" s="51">
        <v>27202</v>
      </c>
      <c r="L8" s="51">
        <v>-27202</v>
      </c>
      <c r="M8" s="51">
        <v>0</v>
      </c>
      <c r="N8" s="51">
        <v>0</v>
      </c>
    </row>
    <row r="9" spans="1:14" ht="15.75" x14ac:dyDescent="0.25">
      <c r="A9" s="49" t="s">
        <v>607</v>
      </c>
      <c r="B9" s="50" t="s">
        <v>60</v>
      </c>
      <c r="C9" s="51">
        <v>1268441</v>
      </c>
      <c r="D9" s="51">
        <v>-3605</v>
      </c>
      <c r="E9" s="51">
        <v>0</v>
      </c>
      <c r="F9" s="51">
        <v>0</v>
      </c>
      <c r="G9" s="51">
        <v>0</v>
      </c>
      <c r="H9" s="51">
        <v>1264836</v>
      </c>
      <c r="I9" s="51">
        <v>-1264836</v>
      </c>
      <c r="J9" s="51">
        <v>0</v>
      </c>
      <c r="K9" s="51">
        <v>406</v>
      </c>
      <c r="L9" s="51">
        <v>-406</v>
      </c>
      <c r="M9" s="51">
        <v>0</v>
      </c>
      <c r="N9" s="51">
        <v>0</v>
      </c>
    </row>
    <row r="10" spans="1:14" ht="15.75" x14ac:dyDescent="0.25">
      <c r="A10" s="49" t="s">
        <v>607</v>
      </c>
      <c r="B10" s="50" t="s">
        <v>61</v>
      </c>
      <c r="C10" s="51">
        <v>1066064</v>
      </c>
      <c r="D10" s="51">
        <v>-21618</v>
      </c>
      <c r="E10" s="51">
        <v>0</v>
      </c>
      <c r="F10" s="51">
        <v>0</v>
      </c>
      <c r="G10" s="51">
        <v>0</v>
      </c>
      <c r="H10" s="51">
        <v>1044446</v>
      </c>
      <c r="I10" s="51">
        <v>-1044446</v>
      </c>
      <c r="J10" s="51">
        <v>0</v>
      </c>
      <c r="K10" s="51">
        <v>101705</v>
      </c>
      <c r="L10" s="51">
        <v>-101705</v>
      </c>
      <c r="M10" s="51">
        <v>0</v>
      </c>
      <c r="N10" s="51">
        <v>0</v>
      </c>
    </row>
    <row r="11" spans="1:14" ht="15.75" x14ac:dyDescent="0.25">
      <c r="A11" s="49" t="s">
        <v>607</v>
      </c>
      <c r="B11" s="50" t="s">
        <v>62</v>
      </c>
      <c r="C11" s="51">
        <v>916771</v>
      </c>
      <c r="D11" s="51">
        <v>-8669</v>
      </c>
      <c r="E11" s="51">
        <v>0</v>
      </c>
      <c r="F11" s="51">
        <v>0</v>
      </c>
      <c r="G11" s="51">
        <v>0</v>
      </c>
      <c r="H11" s="51">
        <v>908102</v>
      </c>
      <c r="I11" s="51">
        <v>-908102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</row>
    <row r="12" spans="1:14" ht="15.75" x14ac:dyDescent="0.25">
      <c r="A12" s="52" t="s">
        <v>485</v>
      </c>
      <c r="B12" s="53" t="s">
        <v>8</v>
      </c>
      <c r="C12" s="19">
        <f>SUBTOTAL(109,Program170[(C)
Program
Costs])</f>
        <v>6084581</v>
      </c>
      <c r="D12" s="19">
        <f>SUBTOTAL(109,Program170[(D)
Prior Period Adjustments])</f>
        <v>-153482</v>
      </c>
      <c r="E12" s="19">
        <f>SUBTOTAL(109,Program170[(E)
Current Period Desk 
Reviews])</f>
        <v>0</v>
      </c>
      <c r="F12" s="19">
        <f>SUBTOTAL(109,Program170[(F)
Current Period 
Final 
Audits])</f>
        <v>0</v>
      </c>
      <c r="G12" s="19">
        <f>SUBTOTAL(109,Program170[(G)
Current Period 
Other Adjustments])</f>
        <v>0</v>
      </c>
      <c r="H12" s="19">
        <f>SUBTOTAL(109,Program170[(H)
Net Program Costs
Sum (C through G)])</f>
        <v>5931099</v>
      </c>
      <c r="I12" s="19">
        <f>SUBTOTAL(109,Program170[(I)
Payments
 and Offsets])</f>
        <v>-5931099</v>
      </c>
      <c r="J12" s="19">
        <f>SUBTOTAL(109,Program170[(J)
Accounts Payable Balance
(H + I)])</f>
        <v>0</v>
      </c>
      <c r="K12" s="19">
        <f>SUBTOTAL(109,Program170[(K)
Established 
Accounts Receivable])</f>
        <v>281361</v>
      </c>
      <c r="L12" s="19">
        <f>SUBTOTAL(109,Program170[(L)
Recovered
 Accounts Receivable])</f>
        <v>-280361</v>
      </c>
      <c r="M12" s="19">
        <f>SUBTOTAL(109,Program170[(M)
Accounts Receivable Balance
(K + L)])</f>
        <v>1000</v>
      </c>
      <c r="N12" s="19">
        <f>SUBTOTAL(109,Program170[(N)
Net Balance
(J minus M)])</f>
        <v>-1000</v>
      </c>
    </row>
    <row r="13" spans="1:14" ht="15.75" x14ac:dyDescent="0.25">
      <c r="A13" s="17" t="s">
        <v>13</v>
      </c>
      <c r="B13" s="54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</row>
    <row r="14" spans="1:14" ht="78.75" x14ac:dyDescent="0.25">
      <c r="A14" s="39" t="s">
        <v>32</v>
      </c>
      <c r="B14" s="40" t="s">
        <v>33</v>
      </c>
      <c r="C14" s="41" t="s">
        <v>34</v>
      </c>
      <c r="D14" s="41" t="s">
        <v>35</v>
      </c>
      <c r="E14" s="42" t="s">
        <v>36</v>
      </c>
      <c r="F14" s="42" t="s">
        <v>37</v>
      </c>
      <c r="G14" s="42" t="s">
        <v>38</v>
      </c>
      <c r="H14" s="43" t="s">
        <v>39</v>
      </c>
      <c r="I14" s="44" t="s">
        <v>40</v>
      </c>
      <c r="J14" s="44" t="s">
        <v>41</v>
      </c>
      <c r="K14" s="42" t="s">
        <v>42</v>
      </c>
      <c r="L14" s="44" t="s">
        <v>43</v>
      </c>
      <c r="M14" s="44" t="s">
        <v>44</v>
      </c>
      <c r="N14" s="45" t="s">
        <v>45</v>
      </c>
    </row>
    <row r="15" spans="1:14" ht="15.75" x14ac:dyDescent="0.25">
      <c r="A15" s="46" t="s">
        <v>606</v>
      </c>
      <c r="B15" s="47" t="s">
        <v>78</v>
      </c>
      <c r="C15" s="48">
        <v>1217</v>
      </c>
      <c r="D15" s="48">
        <v>-1217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1000</v>
      </c>
      <c r="L15" s="48">
        <v>-1000</v>
      </c>
      <c r="M15" s="48">
        <v>0</v>
      </c>
      <c r="N15" s="48">
        <v>0</v>
      </c>
    </row>
    <row r="16" spans="1:14" ht="15.75" x14ac:dyDescent="0.25">
      <c r="A16" s="49" t="s">
        <v>606</v>
      </c>
      <c r="B16" s="50" t="s">
        <v>47</v>
      </c>
      <c r="C16" s="51">
        <v>1203</v>
      </c>
      <c r="D16" s="51">
        <v>0</v>
      </c>
      <c r="E16" s="51">
        <v>0</v>
      </c>
      <c r="F16" s="51">
        <v>0</v>
      </c>
      <c r="G16" s="51">
        <v>0</v>
      </c>
      <c r="H16" s="51">
        <v>1203</v>
      </c>
      <c r="I16" s="51">
        <v>-1000</v>
      </c>
      <c r="J16" s="51">
        <v>203</v>
      </c>
      <c r="K16" s="51">
        <v>0</v>
      </c>
      <c r="L16" s="51">
        <v>0</v>
      </c>
      <c r="M16" s="51">
        <v>0</v>
      </c>
      <c r="N16" s="51">
        <v>203</v>
      </c>
    </row>
    <row r="17" spans="1:14" ht="15.75" x14ac:dyDescent="0.25">
      <c r="A17" s="49" t="s">
        <v>606</v>
      </c>
      <c r="B17" s="50" t="s">
        <v>79</v>
      </c>
      <c r="C17" s="51">
        <v>1090</v>
      </c>
      <c r="D17" s="51">
        <v>0</v>
      </c>
      <c r="E17" s="51">
        <v>0</v>
      </c>
      <c r="F17" s="51">
        <v>0</v>
      </c>
      <c r="G17" s="51">
        <v>0</v>
      </c>
      <c r="H17" s="51">
        <v>1090</v>
      </c>
      <c r="I17" s="51">
        <v>-1000</v>
      </c>
      <c r="J17" s="51">
        <v>90</v>
      </c>
      <c r="K17" s="51">
        <v>0</v>
      </c>
      <c r="L17" s="51">
        <v>0</v>
      </c>
      <c r="M17" s="51">
        <v>0</v>
      </c>
      <c r="N17" s="51">
        <v>90</v>
      </c>
    </row>
    <row r="18" spans="1:14" ht="15.75" x14ac:dyDescent="0.25">
      <c r="A18" s="49" t="s">
        <v>606</v>
      </c>
      <c r="B18" s="50" t="s">
        <v>80</v>
      </c>
      <c r="C18" s="51">
        <v>1182</v>
      </c>
      <c r="D18" s="51">
        <v>0</v>
      </c>
      <c r="E18" s="51">
        <v>0</v>
      </c>
      <c r="F18" s="51">
        <v>0</v>
      </c>
      <c r="G18" s="51">
        <v>0</v>
      </c>
      <c r="H18" s="51">
        <v>1182</v>
      </c>
      <c r="I18" s="51">
        <v>-1000</v>
      </c>
      <c r="J18" s="51">
        <v>182</v>
      </c>
      <c r="K18" s="51">
        <v>0</v>
      </c>
      <c r="L18" s="51">
        <v>0</v>
      </c>
      <c r="M18" s="51">
        <v>0</v>
      </c>
      <c r="N18" s="51">
        <v>182</v>
      </c>
    </row>
    <row r="19" spans="1:14" ht="15.75" x14ac:dyDescent="0.25">
      <c r="A19" s="49" t="s">
        <v>606</v>
      </c>
      <c r="B19" s="50" t="s">
        <v>81</v>
      </c>
      <c r="C19" s="51">
        <v>11320</v>
      </c>
      <c r="D19" s="51">
        <v>0</v>
      </c>
      <c r="E19" s="51">
        <v>0</v>
      </c>
      <c r="F19" s="51">
        <v>0</v>
      </c>
      <c r="G19" s="51">
        <v>0</v>
      </c>
      <c r="H19" s="51">
        <v>11320</v>
      </c>
      <c r="I19" s="51">
        <v>-5205</v>
      </c>
      <c r="J19" s="51">
        <v>6115</v>
      </c>
      <c r="K19" s="51">
        <v>0</v>
      </c>
      <c r="L19" s="51">
        <v>0</v>
      </c>
      <c r="M19" s="51">
        <v>0</v>
      </c>
      <c r="N19" s="51">
        <v>6115</v>
      </c>
    </row>
    <row r="20" spans="1:14" ht="15.75" x14ac:dyDescent="0.25">
      <c r="A20" s="49" t="s">
        <v>606</v>
      </c>
      <c r="B20" s="50" t="s">
        <v>82</v>
      </c>
      <c r="C20" s="51">
        <v>77719</v>
      </c>
      <c r="D20" s="51">
        <v>-1844</v>
      </c>
      <c r="E20" s="51">
        <v>0</v>
      </c>
      <c r="F20" s="51">
        <v>0</v>
      </c>
      <c r="G20" s="51">
        <v>0</v>
      </c>
      <c r="H20" s="51">
        <v>75875</v>
      </c>
      <c r="I20" s="51">
        <v>-21976</v>
      </c>
      <c r="J20" s="51">
        <v>53899</v>
      </c>
      <c r="K20" s="51">
        <v>0</v>
      </c>
      <c r="L20" s="51">
        <v>0</v>
      </c>
      <c r="M20" s="51">
        <v>0</v>
      </c>
      <c r="N20" s="51">
        <v>53899</v>
      </c>
    </row>
    <row r="21" spans="1:14" ht="15.75" x14ac:dyDescent="0.25">
      <c r="A21" s="49" t="s">
        <v>606</v>
      </c>
      <c r="B21" s="50" t="s">
        <v>83</v>
      </c>
      <c r="C21" s="51">
        <v>509634</v>
      </c>
      <c r="D21" s="51">
        <v>-3575</v>
      </c>
      <c r="E21" s="51">
        <v>0</v>
      </c>
      <c r="F21" s="51">
        <v>0</v>
      </c>
      <c r="G21" s="51">
        <v>0</v>
      </c>
      <c r="H21" s="51">
        <v>506059</v>
      </c>
      <c r="I21" s="51">
        <v>-343920</v>
      </c>
      <c r="J21" s="51">
        <v>162139</v>
      </c>
      <c r="K21" s="51">
        <v>0</v>
      </c>
      <c r="L21" s="51">
        <v>0</v>
      </c>
      <c r="M21" s="51">
        <v>0</v>
      </c>
      <c r="N21" s="51">
        <v>162139</v>
      </c>
    </row>
    <row r="22" spans="1:14" ht="15.75" x14ac:dyDescent="0.25">
      <c r="A22" s="49" t="s">
        <v>606</v>
      </c>
      <c r="B22" s="50" t="s">
        <v>48</v>
      </c>
      <c r="C22" s="51">
        <v>407141</v>
      </c>
      <c r="D22" s="51">
        <v>-2806</v>
      </c>
      <c r="E22" s="51">
        <v>0</v>
      </c>
      <c r="F22" s="51">
        <v>0</v>
      </c>
      <c r="G22" s="51">
        <v>0</v>
      </c>
      <c r="H22" s="51">
        <v>404335</v>
      </c>
      <c r="I22" s="51">
        <v>-284067</v>
      </c>
      <c r="J22" s="51">
        <v>120268</v>
      </c>
      <c r="K22" s="51">
        <v>0</v>
      </c>
      <c r="L22" s="51">
        <v>0</v>
      </c>
      <c r="M22" s="51">
        <v>0</v>
      </c>
      <c r="N22" s="51">
        <v>120268</v>
      </c>
    </row>
    <row r="23" spans="1:14" ht="15.75" x14ac:dyDescent="0.25">
      <c r="A23" s="49" t="s">
        <v>606</v>
      </c>
      <c r="B23" s="50" t="s">
        <v>49</v>
      </c>
      <c r="C23" s="51">
        <v>166085</v>
      </c>
      <c r="D23" s="51">
        <v>-2401</v>
      </c>
      <c r="E23" s="51">
        <v>0</v>
      </c>
      <c r="F23" s="51">
        <v>0</v>
      </c>
      <c r="G23" s="51">
        <v>0</v>
      </c>
      <c r="H23" s="51">
        <v>163684</v>
      </c>
      <c r="I23" s="51">
        <v>-121828</v>
      </c>
      <c r="J23" s="51">
        <v>41856</v>
      </c>
      <c r="K23" s="51">
        <v>0</v>
      </c>
      <c r="L23" s="51">
        <v>0</v>
      </c>
      <c r="M23" s="51">
        <v>0</v>
      </c>
      <c r="N23" s="51">
        <v>41856</v>
      </c>
    </row>
    <row r="24" spans="1:14" ht="15.75" x14ac:dyDescent="0.25">
      <c r="A24" s="49" t="s">
        <v>606</v>
      </c>
      <c r="B24" s="50" t="s">
        <v>50</v>
      </c>
      <c r="C24" s="51">
        <v>125406</v>
      </c>
      <c r="D24" s="51">
        <v>-326</v>
      </c>
      <c r="E24" s="51">
        <v>0</v>
      </c>
      <c r="F24" s="51">
        <v>0</v>
      </c>
      <c r="G24" s="51">
        <v>0</v>
      </c>
      <c r="H24" s="51">
        <v>125080</v>
      </c>
      <c r="I24" s="51">
        <v>-102415</v>
      </c>
      <c r="J24" s="51">
        <v>22665</v>
      </c>
      <c r="K24" s="51">
        <v>0</v>
      </c>
      <c r="L24" s="51">
        <v>0</v>
      </c>
      <c r="M24" s="51">
        <v>0</v>
      </c>
      <c r="N24" s="51">
        <v>22665</v>
      </c>
    </row>
    <row r="25" spans="1:14" ht="15.75" x14ac:dyDescent="0.25">
      <c r="A25" s="49" t="s">
        <v>606</v>
      </c>
      <c r="B25" s="50" t="s">
        <v>51</v>
      </c>
      <c r="C25" s="51">
        <v>117996</v>
      </c>
      <c r="D25" s="51">
        <v>-319</v>
      </c>
      <c r="E25" s="51">
        <v>0</v>
      </c>
      <c r="F25" s="51">
        <v>0</v>
      </c>
      <c r="G25" s="51">
        <v>0</v>
      </c>
      <c r="H25" s="51">
        <v>117677</v>
      </c>
      <c r="I25" s="51">
        <v>-104958</v>
      </c>
      <c r="J25" s="51">
        <v>12719</v>
      </c>
      <c r="K25" s="51">
        <v>0</v>
      </c>
      <c r="L25" s="51">
        <v>0</v>
      </c>
      <c r="M25" s="51">
        <v>0</v>
      </c>
      <c r="N25" s="51">
        <v>12719</v>
      </c>
    </row>
    <row r="26" spans="1:14" ht="15.75" x14ac:dyDescent="0.25">
      <c r="A26" s="49" t="s">
        <v>606</v>
      </c>
      <c r="B26" s="50" t="s">
        <v>52</v>
      </c>
      <c r="C26" s="51">
        <v>110695</v>
      </c>
      <c r="D26" s="51">
        <v>-320</v>
      </c>
      <c r="E26" s="51">
        <v>0</v>
      </c>
      <c r="F26" s="51">
        <v>0</v>
      </c>
      <c r="G26" s="51">
        <v>0</v>
      </c>
      <c r="H26" s="51">
        <v>110375</v>
      </c>
      <c r="I26" s="51">
        <v>-106797</v>
      </c>
      <c r="J26" s="51">
        <v>3578</v>
      </c>
      <c r="K26" s="51">
        <v>0</v>
      </c>
      <c r="L26" s="51">
        <v>0</v>
      </c>
      <c r="M26" s="51">
        <v>0</v>
      </c>
      <c r="N26" s="51">
        <v>3578</v>
      </c>
    </row>
    <row r="27" spans="1:14" ht="15.75" x14ac:dyDescent="0.25">
      <c r="A27" s="49" t="s">
        <v>606</v>
      </c>
      <c r="B27" s="50" t="s">
        <v>53</v>
      </c>
      <c r="C27" s="51">
        <v>91911</v>
      </c>
      <c r="D27" s="51">
        <v>-337</v>
      </c>
      <c r="E27" s="51">
        <v>0</v>
      </c>
      <c r="F27" s="51">
        <v>0</v>
      </c>
      <c r="G27" s="51">
        <v>0</v>
      </c>
      <c r="H27" s="51">
        <v>91574</v>
      </c>
      <c r="I27" s="51">
        <v>-89307</v>
      </c>
      <c r="J27" s="51">
        <v>2267</v>
      </c>
      <c r="K27" s="51">
        <v>0</v>
      </c>
      <c r="L27" s="51">
        <v>0</v>
      </c>
      <c r="M27" s="51">
        <v>0</v>
      </c>
      <c r="N27" s="51">
        <v>2267</v>
      </c>
    </row>
    <row r="28" spans="1:14" ht="15.75" x14ac:dyDescent="0.25">
      <c r="A28" s="49" t="s">
        <v>606</v>
      </c>
      <c r="B28" s="50" t="s">
        <v>54</v>
      </c>
      <c r="C28" s="51">
        <v>84082</v>
      </c>
      <c r="D28" s="51">
        <v>-314</v>
      </c>
      <c r="E28" s="51">
        <v>0</v>
      </c>
      <c r="F28" s="51">
        <v>0</v>
      </c>
      <c r="G28" s="51">
        <v>0</v>
      </c>
      <c r="H28" s="51">
        <v>83768</v>
      </c>
      <c r="I28" s="51">
        <v>-83768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</row>
    <row r="29" spans="1:14" ht="15.75" x14ac:dyDescent="0.25">
      <c r="A29" s="49" t="s">
        <v>606</v>
      </c>
      <c r="B29" s="50" t="s">
        <v>55</v>
      </c>
      <c r="C29" s="51">
        <v>74814</v>
      </c>
      <c r="D29" s="51">
        <v>-303</v>
      </c>
      <c r="E29" s="51">
        <v>0</v>
      </c>
      <c r="F29" s="51">
        <v>0</v>
      </c>
      <c r="G29" s="51">
        <v>0</v>
      </c>
      <c r="H29" s="51">
        <v>74511</v>
      </c>
      <c r="I29" s="51">
        <v>-74511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</row>
    <row r="30" spans="1:14" ht="15.75" x14ac:dyDescent="0.25">
      <c r="A30" s="49" t="s">
        <v>606</v>
      </c>
      <c r="B30" s="50" t="s">
        <v>56</v>
      </c>
      <c r="C30" s="51">
        <v>61408</v>
      </c>
      <c r="D30" s="51">
        <v>-274</v>
      </c>
      <c r="E30" s="51">
        <v>0</v>
      </c>
      <c r="F30" s="51">
        <v>0</v>
      </c>
      <c r="G30" s="51">
        <v>0</v>
      </c>
      <c r="H30" s="51">
        <v>61134</v>
      </c>
      <c r="I30" s="51">
        <v>-61134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</row>
    <row r="31" spans="1:14" ht="15.75" x14ac:dyDescent="0.25">
      <c r="A31" s="49" t="s">
        <v>606</v>
      </c>
      <c r="B31" s="50" t="s">
        <v>57</v>
      </c>
      <c r="C31" s="51">
        <v>57831</v>
      </c>
      <c r="D31" s="51">
        <v>-270</v>
      </c>
      <c r="E31" s="51">
        <v>0</v>
      </c>
      <c r="F31" s="51">
        <v>0</v>
      </c>
      <c r="G31" s="51">
        <v>0</v>
      </c>
      <c r="H31" s="51">
        <v>57561</v>
      </c>
      <c r="I31" s="51">
        <v>-57561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</row>
    <row r="32" spans="1:14" ht="15.75" x14ac:dyDescent="0.25">
      <c r="A32" s="49" t="s">
        <v>606</v>
      </c>
      <c r="B32" s="50" t="s">
        <v>58</v>
      </c>
      <c r="C32" s="51">
        <v>51386</v>
      </c>
      <c r="D32" s="51">
        <v>-236</v>
      </c>
      <c r="E32" s="51">
        <v>0</v>
      </c>
      <c r="F32" s="51">
        <v>0</v>
      </c>
      <c r="G32" s="51">
        <v>0</v>
      </c>
      <c r="H32" s="51">
        <v>51150</v>
      </c>
      <c r="I32" s="51">
        <v>-51150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</row>
    <row r="33" spans="1:14" ht="15.75" x14ac:dyDescent="0.25">
      <c r="A33" s="52" t="s">
        <v>484</v>
      </c>
      <c r="B33" s="53" t="s">
        <v>8</v>
      </c>
      <c r="C33" s="19">
        <f>SUBTOTAL(109,Program305[(C)
Program
Costs])</f>
        <v>1952120</v>
      </c>
      <c r="D33" s="19">
        <f>SUBTOTAL(109,Program305[(D)
Prior Period Adjustments])</f>
        <v>-14542</v>
      </c>
      <c r="E33" s="19">
        <f>SUBTOTAL(109,Program305[(E)
Current Period Desk 
Reviews])</f>
        <v>0</v>
      </c>
      <c r="F33" s="19">
        <f>SUBTOTAL(109,Program305[(F)
Current Period 
Final 
Audits])</f>
        <v>0</v>
      </c>
      <c r="G33" s="19">
        <f>SUBTOTAL(109,Program305[(G)
Current Period 
Other Adjustments])</f>
        <v>0</v>
      </c>
      <c r="H33" s="19">
        <f>SUBTOTAL(109,Program305[(H)
Net Program Costs
Sum (C through G)])</f>
        <v>1937578</v>
      </c>
      <c r="I33" s="19">
        <f>SUBTOTAL(109,Program305[(I)
Payments
 and Offsets])</f>
        <v>-1511597</v>
      </c>
      <c r="J33" s="19">
        <f>SUBTOTAL(109,Program305[(J)
Accounts Payable Balance
(H + I)])</f>
        <v>425981</v>
      </c>
      <c r="K33" s="19">
        <f>SUBTOTAL(109,Program305[(K)
Established 
Accounts Receivable])</f>
        <v>1000</v>
      </c>
      <c r="L33" s="19">
        <f>SUBTOTAL(109,Program305[(L)
Recovered
 Accounts Receivable])</f>
        <v>-1000</v>
      </c>
      <c r="M33" s="19">
        <f>SUBTOTAL(109,Program305[(M)
Accounts Receivable Balance
(K + L)])</f>
        <v>0</v>
      </c>
      <c r="N33" s="19">
        <f>SUBTOTAL(109,Program305[(N)
Net Balance
(J minus M)])</f>
        <v>425981</v>
      </c>
    </row>
    <row r="34" spans="1:14" ht="15.75" x14ac:dyDescent="0.25">
      <c r="A34" s="17" t="s">
        <v>13</v>
      </c>
      <c r="B34" s="54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78.75" x14ac:dyDescent="0.25">
      <c r="A35" s="39" t="s">
        <v>32</v>
      </c>
      <c r="B35" s="40" t="s">
        <v>33</v>
      </c>
      <c r="C35" s="41" t="s">
        <v>34</v>
      </c>
      <c r="D35" s="41" t="s">
        <v>35</v>
      </c>
      <c r="E35" s="42" t="s">
        <v>36</v>
      </c>
      <c r="F35" s="42" t="s">
        <v>37</v>
      </c>
      <c r="G35" s="42" t="s">
        <v>38</v>
      </c>
      <c r="H35" s="43" t="s">
        <v>39</v>
      </c>
      <c r="I35" s="44" t="s">
        <v>40</v>
      </c>
      <c r="J35" s="44" t="s">
        <v>41</v>
      </c>
      <c r="K35" s="42" t="s">
        <v>42</v>
      </c>
      <c r="L35" s="44" t="s">
        <v>43</v>
      </c>
      <c r="M35" s="44" t="s">
        <v>44</v>
      </c>
      <c r="N35" s="45" t="s">
        <v>45</v>
      </c>
    </row>
    <row r="36" spans="1:14" ht="15.75" x14ac:dyDescent="0.25">
      <c r="A36" s="46" t="s">
        <v>605</v>
      </c>
      <c r="B36" s="47" t="s">
        <v>83</v>
      </c>
      <c r="C36" s="48">
        <v>4614</v>
      </c>
      <c r="D36" s="48">
        <v>0</v>
      </c>
      <c r="E36" s="48">
        <v>0</v>
      </c>
      <c r="F36" s="48">
        <v>0</v>
      </c>
      <c r="G36" s="48">
        <v>0</v>
      </c>
      <c r="H36" s="48">
        <v>4614</v>
      </c>
      <c r="I36" s="48">
        <v>-4614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</row>
    <row r="37" spans="1:14" ht="15.75" x14ac:dyDescent="0.25">
      <c r="A37" s="49" t="s">
        <v>605</v>
      </c>
      <c r="B37" s="50" t="s">
        <v>48</v>
      </c>
      <c r="C37" s="51">
        <v>8679</v>
      </c>
      <c r="D37" s="51">
        <v>0</v>
      </c>
      <c r="E37" s="51">
        <v>0</v>
      </c>
      <c r="F37" s="51">
        <v>0</v>
      </c>
      <c r="G37" s="51">
        <v>0</v>
      </c>
      <c r="H37" s="51">
        <v>8679</v>
      </c>
      <c r="I37" s="51">
        <v>-6144</v>
      </c>
      <c r="J37" s="51">
        <v>2535</v>
      </c>
      <c r="K37" s="51">
        <v>0</v>
      </c>
      <c r="L37" s="51">
        <v>0</v>
      </c>
      <c r="M37" s="51">
        <v>0</v>
      </c>
      <c r="N37" s="51">
        <v>2535</v>
      </c>
    </row>
    <row r="38" spans="1:14" ht="15.75" x14ac:dyDescent="0.25">
      <c r="A38" s="49" t="s">
        <v>605</v>
      </c>
      <c r="B38" s="50" t="s">
        <v>49</v>
      </c>
      <c r="C38" s="51">
        <v>12816</v>
      </c>
      <c r="D38" s="51">
        <v>-346</v>
      </c>
      <c r="E38" s="51">
        <v>0</v>
      </c>
      <c r="F38" s="51">
        <v>0</v>
      </c>
      <c r="G38" s="51">
        <v>0</v>
      </c>
      <c r="H38" s="51">
        <v>12470</v>
      </c>
      <c r="I38" s="51">
        <v>-9355</v>
      </c>
      <c r="J38" s="51">
        <v>3115</v>
      </c>
      <c r="K38" s="51">
        <v>0</v>
      </c>
      <c r="L38" s="51">
        <v>0</v>
      </c>
      <c r="M38" s="51">
        <v>0</v>
      </c>
      <c r="N38" s="51">
        <v>3115</v>
      </c>
    </row>
    <row r="39" spans="1:14" ht="15.75" x14ac:dyDescent="0.25">
      <c r="A39" s="49" t="s">
        <v>605</v>
      </c>
      <c r="B39" s="50" t="s">
        <v>50</v>
      </c>
      <c r="C39" s="51">
        <v>27373</v>
      </c>
      <c r="D39" s="51">
        <v>0</v>
      </c>
      <c r="E39" s="51">
        <v>0</v>
      </c>
      <c r="F39" s="51">
        <v>0</v>
      </c>
      <c r="G39" s="51">
        <v>0</v>
      </c>
      <c r="H39" s="51">
        <v>27373</v>
      </c>
      <c r="I39" s="51">
        <v>-27373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</row>
    <row r="40" spans="1:14" ht="15.75" x14ac:dyDescent="0.25">
      <c r="A40" s="49" t="s">
        <v>605</v>
      </c>
      <c r="B40" s="50" t="s">
        <v>51</v>
      </c>
      <c r="C40" s="51">
        <v>5436</v>
      </c>
      <c r="D40" s="51">
        <v>-169</v>
      </c>
      <c r="E40" s="51">
        <v>0</v>
      </c>
      <c r="F40" s="51">
        <v>0</v>
      </c>
      <c r="G40" s="51">
        <v>0</v>
      </c>
      <c r="H40" s="51">
        <v>5267</v>
      </c>
      <c r="I40" s="51">
        <v>-5267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</row>
    <row r="41" spans="1:14" ht="15.75" x14ac:dyDescent="0.25">
      <c r="A41" s="49" t="s">
        <v>605</v>
      </c>
      <c r="B41" s="50" t="s">
        <v>52</v>
      </c>
      <c r="C41" s="51">
        <v>6011</v>
      </c>
      <c r="D41" s="51">
        <v>0</v>
      </c>
      <c r="E41" s="51">
        <v>0</v>
      </c>
      <c r="F41" s="51">
        <v>0</v>
      </c>
      <c r="G41" s="51">
        <v>0</v>
      </c>
      <c r="H41" s="51">
        <v>6011</v>
      </c>
      <c r="I41" s="51">
        <v>-4843</v>
      </c>
      <c r="J41" s="51">
        <v>1168</v>
      </c>
      <c r="K41" s="51">
        <v>0</v>
      </c>
      <c r="L41" s="51">
        <v>0</v>
      </c>
      <c r="M41" s="51">
        <v>0</v>
      </c>
      <c r="N41" s="51">
        <v>1168</v>
      </c>
    </row>
    <row r="42" spans="1:14" ht="15.75" x14ac:dyDescent="0.25">
      <c r="A42" s="49" t="s">
        <v>605</v>
      </c>
      <c r="B42" s="50" t="s">
        <v>53</v>
      </c>
      <c r="C42" s="51">
        <v>13956</v>
      </c>
      <c r="D42" s="51">
        <v>-124</v>
      </c>
      <c r="E42" s="51">
        <v>0</v>
      </c>
      <c r="F42" s="51">
        <v>0</v>
      </c>
      <c r="G42" s="51">
        <v>0</v>
      </c>
      <c r="H42" s="51">
        <v>13832</v>
      </c>
      <c r="I42" s="51">
        <v>-12143</v>
      </c>
      <c r="J42" s="51">
        <v>1689</v>
      </c>
      <c r="K42" s="51">
        <v>0</v>
      </c>
      <c r="L42" s="51">
        <v>0</v>
      </c>
      <c r="M42" s="51">
        <v>0</v>
      </c>
      <c r="N42" s="51">
        <v>1689</v>
      </c>
    </row>
    <row r="43" spans="1:14" ht="15.75" x14ac:dyDescent="0.25">
      <c r="A43" s="49" t="s">
        <v>605</v>
      </c>
      <c r="B43" s="50" t="s">
        <v>54</v>
      </c>
      <c r="C43" s="51">
        <v>11498</v>
      </c>
      <c r="D43" s="51">
        <v>0</v>
      </c>
      <c r="E43" s="51">
        <v>0</v>
      </c>
      <c r="F43" s="51">
        <v>0</v>
      </c>
      <c r="G43" s="51">
        <v>0</v>
      </c>
      <c r="H43" s="51">
        <v>11498</v>
      </c>
      <c r="I43" s="51">
        <v>-10225</v>
      </c>
      <c r="J43" s="51">
        <v>1273</v>
      </c>
      <c r="K43" s="51">
        <v>0</v>
      </c>
      <c r="L43" s="51">
        <v>0</v>
      </c>
      <c r="M43" s="51">
        <v>0</v>
      </c>
      <c r="N43" s="51">
        <v>1273</v>
      </c>
    </row>
    <row r="44" spans="1:14" ht="15.75" x14ac:dyDescent="0.25">
      <c r="A44" s="49" t="s">
        <v>605</v>
      </c>
      <c r="B44" s="50" t="s">
        <v>55</v>
      </c>
      <c r="C44" s="51">
        <v>8283</v>
      </c>
      <c r="D44" s="51">
        <v>0</v>
      </c>
      <c r="E44" s="51">
        <v>0</v>
      </c>
      <c r="F44" s="51">
        <v>0</v>
      </c>
      <c r="G44" s="51">
        <v>0</v>
      </c>
      <c r="H44" s="51">
        <v>8283</v>
      </c>
      <c r="I44" s="51">
        <v>-8283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</row>
    <row r="45" spans="1:14" ht="15.75" x14ac:dyDescent="0.25">
      <c r="A45" s="49" t="s">
        <v>605</v>
      </c>
      <c r="B45" s="50" t="s">
        <v>56</v>
      </c>
      <c r="C45" s="51">
        <v>8599</v>
      </c>
      <c r="D45" s="51">
        <v>0</v>
      </c>
      <c r="E45" s="51">
        <v>0</v>
      </c>
      <c r="F45" s="51">
        <v>0</v>
      </c>
      <c r="G45" s="51">
        <v>0</v>
      </c>
      <c r="H45" s="51">
        <v>8599</v>
      </c>
      <c r="I45" s="51">
        <v>-8599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</row>
    <row r="46" spans="1:14" ht="15.75" x14ac:dyDescent="0.25">
      <c r="A46" s="49" t="s">
        <v>605</v>
      </c>
      <c r="B46" s="50" t="s">
        <v>57</v>
      </c>
      <c r="C46" s="51">
        <v>8200</v>
      </c>
      <c r="D46" s="51">
        <v>0</v>
      </c>
      <c r="E46" s="51">
        <v>0</v>
      </c>
      <c r="F46" s="51">
        <v>0</v>
      </c>
      <c r="G46" s="51">
        <v>0</v>
      </c>
      <c r="H46" s="51">
        <v>8200</v>
      </c>
      <c r="I46" s="51">
        <v>-8200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</row>
    <row r="47" spans="1:14" ht="15.75" x14ac:dyDescent="0.25">
      <c r="A47" s="49" t="s">
        <v>605</v>
      </c>
      <c r="B47" s="50" t="s">
        <v>58</v>
      </c>
      <c r="C47" s="51">
        <v>2469</v>
      </c>
      <c r="D47" s="51">
        <v>0</v>
      </c>
      <c r="E47" s="51">
        <v>0</v>
      </c>
      <c r="F47" s="51">
        <v>0</v>
      </c>
      <c r="G47" s="51">
        <v>0</v>
      </c>
      <c r="H47" s="51">
        <v>2469</v>
      </c>
      <c r="I47" s="51">
        <v>-2469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</row>
    <row r="48" spans="1:14" ht="15.75" x14ac:dyDescent="0.25">
      <c r="A48" s="52" t="s">
        <v>483</v>
      </c>
      <c r="B48" s="53" t="s">
        <v>8</v>
      </c>
      <c r="C48" s="19">
        <f>SUBTOTAL(109,Program269[(C)
Program
Costs])</f>
        <v>117934</v>
      </c>
      <c r="D48" s="19">
        <f>SUBTOTAL(109,Program269[(D)
Prior Period Adjustments])</f>
        <v>-639</v>
      </c>
      <c r="E48" s="19">
        <f>SUBTOTAL(109,Program269[(E)
Current Period Desk 
Reviews])</f>
        <v>0</v>
      </c>
      <c r="F48" s="19">
        <f>SUBTOTAL(109,Program269[(F)
Current Period 
Final 
Audits])</f>
        <v>0</v>
      </c>
      <c r="G48" s="19">
        <f>SUBTOTAL(109,Program269[(G)
Current Period 
Other Adjustments])</f>
        <v>0</v>
      </c>
      <c r="H48" s="19">
        <f>SUBTOTAL(109,Program269[(H)
Net Program Costs
Sum (C through G)])</f>
        <v>117295</v>
      </c>
      <c r="I48" s="19">
        <f>SUBTOTAL(109,Program269[(I)
Payments
 and Offsets])</f>
        <v>-107515</v>
      </c>
      <c r="J48" s="19">
        <f>SUBTOTAL(109,Program269[(J)
Accounts Payable Balance
(H + I)])</f>
        <v>9780</v>
      </c>
      <c r="K48" s="19">
        <f>SUBTOTAL(109,Program269[(K)
Established 
Accounts Receivable])</f>
        <v>0</v>
      </c>
      <c r="L48" s="19">
        <f>SUBTOTAL(109,Program269[(L)
Recovered
 Accounts Receivable])</f>
        <v>0</v>
      </c>
      <c r="M48" s="19">
        <f>SUBTOTAL(109,Program269[(M)
Accounts Receivable Balance
(K + L)])</f>
        <v>0</v>
      </c>
      <c r="N48" s="19">
        <f>SUBTOTAL(109,Program269[(N)
Net Balance
(J minus M)])</f>
        <v>9780</v>
      </c>
    </row>
    <row r="49" spans="1:14" ht="15.75" x14ac:dyDescent="0.25">
      <c r="A49" s="17" t="s">
        <v>13</v>
      </c>
      <c r="B49" s="54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</row>
    <row r="50" spans="1:14" ht="78.75" x14ac:dyDescent="0.25">
      <c r="A50" s="39" t="s">
        <v>32</v>
      </c>
      <c r="B50" s="40" t="s">
        <v>33</v>
      </c>
      <c r="C50" s="41" t="s">
        <v>34</v>
      </c>
      <c r="D50" s="41" t="s">
        <v>35</v>
      </c>
      <c r="E50" s="42" t="s">
        <v>36</v>
      </c>
      <c r="F50" s="42" t="s">
        <v>37</v>
      </c>
      <c r="G50" s="42" t="s">
        <v>38</v>
      </c>
      <c r="H50" s="43" t="s">
        <v>39</v>
      </c>
      <c r="I50" s="44" t="s">
        <v>40</v>
      </c>
      <c r="J50" s="44" t="s">
        <v>41</v>
      </c>
      <c r="K50" s="42" t="s">
        <v>42</v>
      </c>
      <c r="L50" s="44" t="s">
        <v>43</v>
      </c>
      <c r="M50" s="44" t="s">
        <v>44</v>
      </c>
      <c r="N50" s="45" t="s">
        <v>45</v>
      </c>
    </row>
    <row r="51" spans="1:14" ht="15.75" x14ac:dyDescent="0.25">
      <c r="A51" s="46" t="s">
        <v>604</v>
      </c>
      <c r="B51" s="47" t="s">
        <v>56</v>
      </c>
      <c r="C51" s="48">
        <v>3350959</v>
      </c>
      <c r="D51" s="48">
        <v>-6362</v>
      </c>
      <c r="E51" s="48">
        <v>0</v>
      </c>
      <c r="F51" s="48">
        <v>0</v>
      </c>
      <c r="G51" s="48">
        <v>0</v>
      </c>
      <c r="H51" s="48">
        <v>3344597</v>
      </c>
      <c r="I51" s="48">
        <v>-3344597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</row>
    <row r="52" spans="1:14" ht="15.75" x14ac:dyDescent="0.25">
      <c r="A52" s="49" t="s">
        <v>604</v>
      </c>
      <c r="B52" s="50" t="s">
        <v>57</v>
      </c>
      <c r="C52" s="51">
        <v>3803117</v>
      </c>
      <c r="D52" s="51">
        <v>-240010</v>
      </c>
      <c r="E52" s="51">
        <v>0</v>
      </c>
      <c r="F52" s="51">
        <v>0</v>
      </c>
      <c r="G52" s="51">
        <v>0</v>
      </c>
      <c r="H52" s="51">
        <v>3563107</v>
      </c>
      <c r="I52" s="51">
        <v>-3563107</v>
      </c>
      <c r="J52" s="51">
        <v>0</v>
      </c>
      <c r="K52" s="51">
        <v>838033</v>
      </c>
      <c r="L52" s="51">
        <v>-832320</v>
      </c>
      <c r="M52" s="51">
        <v>5713</v>
      </c>
      <c r="N52" s="51">
        <v>-5713</v>
      </c>
    </row>
    <row r="53" spans="1:14" ht="15.75" x14ac:dyDescent="0.25">
      <c r="A53" s="49" t="s">
        <v>604</v>
      </c>
      <c r="B53" s="50" t="s">
        <v>58</v>
      </c>
      <c r="C53" s="51">
        <v>3613576</v>
      </c>
      <c r="D53" s="51">
        <v>-372513</v>
      </c>
      <c r="E53" s="51">
        <v>0</v>
      </c>
      <c r="F53" s="51">
        <v>0</v>
      </c>
      <c r="G53" s="51">
        <v>0</v>
      </c>
      <c r="H53" s="51">
        <v>3241063</v>
      </c>
      <c r="I53" s="51">
        <v>-3241063</v>
      </c>
      <c r="J53" s="51">
        <v>0</v>
      </c>
      <c r="K53" s="51">
        <v>1226753</v>
      </c>
      <c r="L53" s="51">
        <v>-1226753</v>
      </c>
      <c r="M53" s="51">
        <v>0</v>
      </c>
      <c r="N53" s="51">
        <v>0</v>
      </c>
    </row>
    <row r="54" spans="1:14" ht="15.75" x14ac:dyDescent="0.25">
      <c r="A54" s="49" t="s">
        <v>604</v>
      </c>
      <c r="B54" s="50" t="s">
        <v>59</v>
      </c>
      <c r="C54" s="51">
        <v>3630124</v>
      </c>
      <c r="D54" s="51">
        <v>-76310</v>
      </c>
      <c r="E54" s="51">
        <v>0</v>
      </c>
      <c r="F54" s="51">
        <v>0</v>
      </c>
      <c r="G54" s="51">
        <v>0</v>
      </c>
      <c r="H54" s="51">
        <v>3553814</v>
      </c>
      <c r="I54" s="51">
        <v>-3553814</v>
      </c>
      <c r="J54" s="51">
        <v>0</v>
      </c>
      <c r="K54" s="51">
        <v>914986</v>
      </c>
      <c r="L54" s="51">
        <v>-914986</v>
      </c>
      <c r="M54" s="51">
        <v>0</v>
      </c>
      <c r="N54" s="51">
        <v>0</v>
      </c>
    </row>
    <row r="55" spans="1:14" ht="15.75" x14ac:dyDescent="0.25">
      <c r="A55" s="49" t="s">
        <v>604</v>
      </c>
      <c r="B55" s="50" t="s">
        <v>60</v>
      </c>
      <c r="C55" s="51">
        <v>3300658</v>
      </c>
      <c r="D55" s="51">
        <v>-9154</v>
      </c>
      <c r="E55" s="51">
        <v>0</v>
      </c>
      <c r="F55" s="51">
        <v>0</v>
      </c>
      <c r="G55" s="51">
        <v>0</v>
      </c>
      <c r="H55" s="51">
        <v>3291504</v>
      </c>
      <c r="I55" s="51">
        <v>-3291504</v>
      </c>
      <c r="J55" s="51">
        <v>0</v>
      </c>
      <c r="K55" s="51">
        <v>565922</v>
      </c>
      <c r="L55" s="51">
        <v>-565922</v>
      </c>
      <c r="M55" s="51">
        <v>0</v>
      </c>
      <c r="N55" s="51">
        <v>0</v>
      </c>
    </row>
    <row r="56" spans="1:14" ht="15.75" x14ac:dyDescent="0.25">
      <c r="A56" s="49" t="s">
        <v>604</v>
      </c>
      <c r="B56" s="50" t="s">
        <v>61</v>
      </c>
      <c r="C56" s="51">
        <v>3300363</v>
      </c>
      <c r="D56" s="51">
        <v>-46224</v>
      </c>
      <c r="E56" s="51">
        <v>0</v>
      </c>
      <c r="F56" s="51">
        <v>0</v>
      </c>
      <c r="G56" s="51">
        <v>0</v>
      </c>
      <c r="H56" s="51">
        <v>3254139</v>
      </c>
      <c r="I56" s="51">
        <v>-3254139</v>
      </c>
      <c r="J56" s="51">
        <v>0</v>
      </c>
      <c r="K56" s="51">
        <v>731342</v>
      </c>
      <c r="L56" s="51">
        <v>-731342</v>
      </c>
      <c r="M56" s="51">
        <v>0</v>
      </c>
      <c r="N56" s="51">
        <v>0</v>
      </c>
    </row>
    <row r="57" spans="1:14" ht="15.75" x14ac:dyDescent="0.25">
      <c r="A57" s="49" t="s">
        <v>604</v>
      </c>
      <c r="B57" s="50" t="s">
        <v>62</v>
      </c>
      <c r="C57" s="51">
        <v>2655673</v>
      </c>
      <c r="D57" s="51">
        <v>-18074</v>
      </c>
      <c r="E57" s="51">
        <v>0</v>
      </c>
      <c r="F57" s="51">
        <v>0</v>
      </c>
      <c r="G57" s="51">
        <v>0</v>
      </c>
      <c r="H57" s="51">
        <v>2637599</v>
      </c>
      <c r="I57" s="51">
        <v>-2637599</v>
      </c>
      <c r="J57" s="51">
        <v>0</v>
      </c>
      <c r="K57" s="51">
        <v>593397</v>
      </c>
      <c r="L57" s="51">
        <v>-593397</v>
      </c>
      <c r="M57" s="51">
        <v>0</v>
      </c>
      <c r="N57" s="51">
        <v>0</v>
      </c>
    </row>
    <row r="58" spans="1:14" ht="15.75" x14ac:dyDescent="0.25">
      <c r="A58" s="49" t="s">
        <v>604</v>
      </c>
      <c r="B58" s="50" t="s">
        <v>63</v>
      </c>
      <c r="C58" s="51">
        <v>2087568</v>
      </c>
      <c r="D58" s="51">
        <v>-24552</v>
      </c>
      <c r="E58" s="51">
        <v>0</v>
      </c>
      <c r="F58" s="51">
        <v>0</v>
      </c>
      <c r="G58" s="51">
        <v>0</v>
      </c>
      <c r="H58" s="51">
        <v>2063016</v>
      </c>
      <c r="I58" s="51">
        <v>-2063016</v>
      </c>
      <c r="J58" s="51">
        <v>0</v>
      </c>
      <c r="K58" s="51">
        <v>691837</v>
      </c>
      <c r="L58" s="51">
        <v>-691774</v>
      </c>
      <c r="M58" s="51">
        <v>63</v>
      </c>
      <c r="N58" s="51">
        <v>-63</v>
      </c>
    </row>
    <row r="59" spans="1:14" ht="15.75" x14ac:dyDescent="0.25">
      <c r="A59" s="49" t="s">
        <v>604</v>
      </c>
      <c r="B59" s="50" t="s">
        <v>64</v>
      </c>
      <c r="C59" s="51">
        <v>2963217</v>
      </c>
      <c r="D59" s="51">
        <v>-487170</v>
      </c>
      <c r="E59" s="51">
        <v>0</v>
      </c>
      <c r="F59" s="51">
        <v>0</v>
      </c>
      <c r="G59" s="51">
        <v>0</v>
      </c>
      <c r="H59" s="51">
        <v>2476047</v>
      </c>
      <c r="I59" s="51">
        <v>-2476047</v>
      </c>
      <c r="J59" s="51">
        <v>0</v>
      </c>
      <c r="K59" s="51">
        <v>111275</v>
      </c>
      <c r="L59" s="51">
        <v>-111275</v>
      </c>
      <c r="M59" s="51">
        <v>0</v>
      </c>
      <c r="N59" s="51">
        <v>0</v>
      </c>
    </row>
    <row r="60" spans="1:14" ht="15.75" x14ac:dyDescent="0.25">
      <c r="A60" s="49" t="s">
        <v>604</v>
      </c>
      <c r="B60" s="50" t="s">
        <v>65</v>
      </c>
      <c r="C60" s="51">
        <v>2857669</v>
      </c>
      <c r="D60" s="51">
        <v>-482720</v>
      </c>
      <c r="E60" s="51">
        <v>0</v>
      </c>
      <c r="F60" s="51">
        <v>0</v>
      </c>
      <c r="G60" s="51">
        <v>0</v>
      </c>
      <c r="H60" s="51">
        <v>2374949</v>
      </c>
      <c r="I60" s="51">
        <v>-2374949</v>
      </c>
      <c r="J60" s="51">
        <v>0</v>
      </c>
      <c r="K60" s="51">
        <v>204300</v>
      </c>
      <c r="L60" s="51">
        <v>-204300</v>
      </c>
      <c r="M60" s="51">
        <v>0</v>
      </c>
      <c r="N60" s="51">
        <v>0</v>
      </c>
    </row>
    <row r="61" spans="1:14" ht="15.75" x14ac:dyDescent="0.25">
      <c r="A61" s="49" t="s">
        <v>604</v>
      </c>
      <c r="B61" s="50" t="s">
        <v>66</v>
      </c>
      <c r="C61" s="51">
        <v>2753125</v>
      </c>
      <c r="D61" s="51">
        <v>-482039</v>
      </c>
      <c r="E61" s="51">
        <v>0</v>
      </c>
      <c r="F61" s="51">
        <v>0</v>
      </c>
      <c r="G61" s="51">
        <v>0</v>
      </c>
      <c r="H61" s="51">
        <v>2271086</v>
      </c>
      <c r="I61" s="51">
        <v>-2271086</v>
      </c>
      <c r="J61" s="51">
        <v>0</v>
      </c>
      <c r="K61" s="51">
        <v>196542</v>
      </c>
      <c r="L61" s="51">
        <v>-196542</v>
      </c>
      <c r="M61" s="51">
        <v>0</v>
      </c>
      <c r="N61" s="51">
        <v>0</v>
      </c>
    </row>
    <row r="62" spans="1:14" ht="15.75" x14ac:dyDescent="0.25">
      <c r="A62" s="49" t="s">
        <v>604</v>
      </c>
      <c r="B62" s="50" t="s">
        <v>67</v>
      </c>
      <c r="C62" s="51">
        <v>1882495</v>
      </c>
      <c r="D62" s="51">
        <v>-360016</v>
      </c>
      <c r="E62" s="51">
        <v>0</v>
      </c>
      <c r="F62" s="51">
        <v>0</v>
      </c>
      <c r="G62" s="51">
        <v>0</v>
      </c>
      <c r="H62" s="51">
        <v>1522479</v>
      </c>
      <c r="I62" s="51">
        <v>-1522479</v>
      </c>
      <c r="J62" s="51">
        <v>0</v>
      </c>
      <c r="K62" s="51">
        <v>175293</v>
      </c>
      <c r="L62" s="51">
        <v>-175293</v>
      </c>
      <c r="M62" s="51">
        <v>0</v>
      </c>
      <c r="N62" s="51">
        <v>0</v>
      </c>
    </row>
    <row r="63" spans="1:14" ht="15.75" x14ac:dyDescent="0.25">
      <c r="A63" s="52" t="s">
        <v>482</v>
      </c>
      <c r="B63" s="53" t="s">
        <v>8</v>
      </c>
      <c r="C63" s="19">
        <f>SUBTOTAL(109,Program123[(C)
Program
Costs])</f>
        <v>36198544</v>
      </c>
      <c r="D63" s="19">
        <f>SUBTOTAL(109,Program123[(D)
Prior Period Adjustments])</f>
        <v>-2605144</v>
      </c>
      <c r="E63" s="19">
        <f>SUBTOTAL(109,Program123[(E)
Current Period Desk 
Reviews])</f>
        <v>0</v>
      </c>
      <c r="F63" s="19">
        <f>SUBTOTAL(109,Program123[(F)
Current Period 
Final 
Audits])</f>
        <v>0</v>
      </c>
      <c r="G63" s="19">
        <f>SUBTOTAL(109,Program123[(G)
Current Period 
Other Adjustments])</f>
        <v>0</v>
      </c>
      <c r="H63" s="19">
        <f>SUBTOTAL(109,Program123[(H)
Net Program Costs
Sum (C through G)])</f>
        <v>33593400</v>
      </c>
      <c r="I63" s="19">
        <f>SUBTOTAL(109,Program123[(I)
Payments
 and Offsets])</f>
        <v>-33593400</v>
      </c>
      <c r="J63" s="19">
        <f>SUBTOTAL(109,Program123[(J)
Accounts Payable Balance
(H + I)])</f>
        <v>0</v>
      </c>
      <c r="K63" s="19">
        <f>SUBTOTAL(109,Program123[(K)
Established 
Accounts Receivable])</f>
        <v>6249680</v>
      </c>
      <c r="L63" s="19">
        <f>SUBTOTAL(109,Program123[(L)
Recovered
 Accounts Receivable])</f>
        <v>-6243904</v>
      </c>
      <c r="M63" s="19">
        <f>SUBTOTAL(109,Program123[(M)
Accounts Receivable Balance
(K + L)])</f>
        <v>5776</v>
      </c>
      <c r="N63" s="19">
        <f>SUBTOTAL(109,Program123[(N)
Net Balance
(J minus M)])</f>
        <v>-5776</v>
      </c>
    </row>
    <row r="64" spans="1:14" ht="15.75" x14ac:dyDescent="0.25">
      <c r="A64" s="17" t="s">
        <v>13</v>
      </c>
      <c r="B64" s="54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</row>
    <row r="65" spans="1:14" ht="78.75" x14ac:dyDescent="0.25">
      <c r="A65" s="39" t="s">
        <v>32</v>
      </c>
      <c r="B65" s="40" t="s">
        <v>33</v>
      </c>
      <c r="C65" s="41" t="s">
        <v>34</v>
      </c>
      <c r="D65" s="41" t="s">
        <v>35</v>
      </c>
      <c r="E65" s="42" t="s">
        <v>36</v>
      </c>
      <c r="F65" s="42" t="s">
        <v>37</v>
      </c>
      <c r="G65" s="42" t="s">
        <v>38</v>
      </c>
      <c r="H65" s="43" t="s">
        <v>39</v>
      </c>
      <c r="I65" s="44" t="s">
        <v>40</v>
      </c>
      <c r="J65" s="44" t="s">
        <v>41</v>
      </c>
      <c r="K65" s="42" t="s">
        <v>42</v>
      </c>
      <c r="L65" s="44" t="s">
        <v>43</v>
      </c>
      <c r="M65" s="44" t="s">
        <v>44</v>
      </c>
      <c r="N65" s="45" t="s">
        <v>45</v>
      </c>
    </row>
    <row r="66" spans="1:14" ht="15.75" x14ac:dyDescent="0.25">
      <c r="A66" s="46" t="s">
        <v>603</v>
      </c>
      <c r="B66" s="47" t="s">
        <v>76</v>
      </c>
      <c r="C66" s="48">
        <v>7166</v>
      </c>
      <c r="D66" s="48">
        <v>0</v>
      </c>
      <c r="E66" s="48">
        <v>0</v>
      </c>
      <c r="F66" s="48">
        <v>0</v>
      </c>
      <c r="G66" s="48">
        <v>0</v>
      </c>
      <c r="H66" s="48">
        <v>7166</v>
      </c>
      <c r="I66" s="48">
        <v>0</v>
      </c>
      <c r="J66" s="48">
        <v>7166</v>
      </c>
      <c r="K66" s="48">
        <v>0</v>
      </c>
      <c r="L66" s="48">
        <v>0</v>
      </c>
      <c r="M66" s="48">
        <v>0</v>
      </c>
      <c r="N66" s="48">
        <v>7166</v>
      </c>
    </row>
    <row r="67" spans="1:14" ht="15.75" x14ac:dyDescent="0.25">
      <c r="A67" s="49" t="s">
        <v>603</v>
      </c>
      <c r="B67" s="50" t="s">
        <v>77</v>
      </c>
      <c r="C67" s="51">
        <v>15908</v>
      </c>
      <c r="D67" s="51">
        <v>0</v>
      </c>
      <c r="E67" s="51">
        <v>0</v>
      </c>
      <c r="F67" s="51">
        <v>0</v>
      </c>
      <c r="G67" s="51">
        <v>0</v>
      </c>
      <c r="H67" s="51">
        <v>15908</v>
      </c>
      <c r="I67" s="51">
        <v>-1000</v>
      </c>
      <c r="J67" s="51">
        <v>14908</v>
      </c>
      <c r="K67" s="51">
        <v>0</v>
      </c>
      <c r="L67" s="51">
        <v>0</v>
      </c>
      <c r="M67" s="51">
        <v>0</v>
      </c>
      <c r="N67" s="51">
        <v>14908</v>
      </c>
    </row>
    <row r="68" spans="1:14" ht="15.75" x14ac:dyDescent="0.25">
      <c r="A68" s="49" t="s">
        <v>603</v>
      </c>
      <c r="B68" s="50" t="s">
        <v>78</v>
      </c>
      <c r="C68" s="51">
        <v>18960</v>
      </c>
      <c r="D68" s="51">
        <v>0</v>
      </c>
      <c r="E68" s="51">
        <v>0</v>
      </c>
      <c r="F68" s="51">
        <v>0</v>
      </c>
      <c r="G68" s="51">
        <v>0</v>
      </c>
      <c r="H68" s="51">
        <v>18960</v>
      </c>
      <c r="I68" s="51">
        <v>-1000</v>
      </c>
      <c r="J68" s="51">
        <v>17960</v>
      </c>
      <c r="K68" s="51">
        <v>0</v>
      </c>
      <c r="L68" s="51">
        <v>0</v>
      </c>
      <c r="M68" s="51">
        <v>0</v>
      </c>
      <c r="N68" s="51">
        <v>17960</v>
      </c>
    </row>
    <row r="69" spans="1:14" ht="15.75" x14ac:dyDescent="0.25">
      <c r="A69" s="49" t="s">
        <v>603</v>
      </c>
      <c r="B69" s="50" t="s">
        <v>47</v>
      </c>
      <c r="C69" s="51">
        <v>45017</v>
      </c>
      <c r="D69" s="51">
        <v>0</v>
      </c>
      <c r="E69" s="51">
        <v>0</v>
      </c>
      <c r="F69" s="51">
        <v>0</v>
      </c>
      <c r="G69" s="51">
        <v>0</v>
      </c>
      <c r="H69" s="51">
        <v>45017</v>
      </c>
      <c r="I69" s="51">
        <v>-1000</v>
      </c>
      <c r="J69" s="51">
        <v>44017</v>
      </c>
      <c r="K69" s="51">
        <v>0</v>
      </c>
      <c r="L69" s="51">
        <v>0</v>
      </c>
      <c r="M69" s="51">
        <v>0</v>
      </c>
      <c r="N69" s="51">
        <v>44017</v>
      </c>
    </row>
    <row r="70" spans="1:14" ht="15.75" x14ac:dyDescent="0.25">
      <c r="A70" s="49" t="s">
        <v>603</v>
      </c>
      <c r="B70" s="50" t="s">
        <v>79</v>
      </c>
      <c r="C70" s="51">
        <v>77440</v>
      </c>
      <c r="D70" s="51">
        <v>0</v>
      </c>
      <c r="E70" s="51">
        <v>0</v>
      </c>
      <c r="F70" s="51">
        <v>0</v>
      </c>
      <c r="G70" s="51">
        <v>0</v>
      </c>
      <c r="H70" s="51">
        <v>77440</v>
      </c>
      <c r="I70" s="51">
        <v>-1000</v>
      </c>
      <c r="J70" s="51">
        <v>76440</v>
      </c>
      <c r="K70" s="51">
        <v>0</v>
      </c>
      <c r="L70" s="51">
        <v>0</v>
      </c>
      <c r="M70" s="51">
        <v>0</v>
      </c>
      <c r="N70" s="51">
        <v>76440</v>
      </c>
    </row>
    <row r="71" spans="1:14" ht="15.75" x14ac:dyDescent="0.25">
      <c r="A71" s="49" t="s">
        <v>603</v>
      </c>
      <c r="B71" s="50" t="s">
        <v>80</v>
      </c>
      <c r="C71" s="51">
        <v>70758</v>
      </c>
      <c r="D71" s="51">
        <v>0</v>
      </c>
      <c r="E71" s="51">
        <v>0</v>
      </c>
      <c r="F71" s="51">
        <v>0</v>
      </c>
      <c r="G71" s="51">
        <v>0</v>
      </c>
      <c r="H71" s="51">
        <v>70758</v>
      </c>
      <c r="I71" s="51">
        <v>-4554</v>
      </c>
      <c r="J71" s="51">
        <v>66204</v>
      </c>
      <c r="K71" s="51">
        <v>0</v>
      </c>
      <c r="L71" s="51">
        <v>0</v>
      </c>
      <c r="M71" s="51">
        <v>0</v>
      </c>
      <c r="N71" s="51">
        <v>66204</v>
      </c>
    </row>
    <row r="72" spans="1:14" ht="15.75" x14ac:dyDescent="0.25">
      <c r="A72" s="49" t="s">
        <v>603</v>
      </c>
      <c r="B72" s="50" t="s">
        <v>81</v>
      </c>
      <c r="C72" s="51">
        <v>85659</v>
      </c>
      <c r="D72" s="51">
        <v>-1220</v>
      </c>
      <c r="E72" s="51">
        <v>0</v>
      </c>
      <c r="F72" s="51">
        <v>0</v>
      </c>
      <c r="G72" s="51">
        <v>0</v>
      </c>
      <c r="H72" s="51">
        <v>84439</v>
      </c>
      <c r="I72" s="51">
        <v>-13627</v>
      </c>
      <c r="J72" s="51">
        <v>70812</v>
      </c>
      <c r="K72" s="51">
        <v>0</v>
      </c>
      <c r="L72" s="51">
        <v>0</v>
      </c>
      <c r="M72" s="51">
        <v>0</v>
      </c>
      <c r="N72" s="51">
        <v>70812</v>
      </c>
    </row>
    <row r="73" spans="1:14" ht="15.75" x14ac:dyDescent="0.25">
      <c r="A73" s="49" t="s">
        <v>603</v>
      </c>
      <c r="B73" s="50" t="s">
        <v>82</v>
      </c>
      <c r="C73" s="51">
        <v>140238</v>
      </c>
      <c r="D73" s="51">
        <v>0</v>
      </c>
      <c r="E73" s="51">
        <v>0</v>
      </c>
      <c r="F73" s="51">
        <v>0</v>
      </c>
      <c r="G73" s="51">
        <v>0</v>
      </c>
      <c r="H73" s="51">
        <v>140238</v>
      </c>
      <c r="I73" s="51">
        <v>-56175</v>
      </c>
      <c r="J73" s="51">
        <v>84063</v>
      </c>
      <c r="K73" s="51">
        <v>0</v>
      </c>
      <c r="L73" s="51">
        <v>0</v>
      </c>
      <c r="M73" s="51">
        <v>0</v>
      </c>
      <c r="N73" s="51">
        <v>84063</v>
      </c>
    </row>
    <row r="74" spans="1:14" ht="15.75" x14ac:dyDescent="0.25">
      <c r="A74" s="49" t="s">
        <v>603</v>
      </c>
      <c r="B74" s="50" t="s">
        <v>83</v>
      </c>
      <c r="C74" s="51">
        <v>1401071</v>
      </c>
      <c r="D74" s="51">
        <v>-34979</v>
      </c>
      <c r="E74" s="51">
        <v>0</v>
      </c>
      <c r="F74" s="51">
        <v>0</v>
      </c>
      <c r="G74" s="51">
        <v>0</v>
      </c>
      <c r="H74" s="51">
        <v>1366092</v>
      </c>
      <c r="I74" s="51">
        <v>-680526</v>
      </c>
      <c r="J74" s="51">
        <v>685566</v>
      </c>
      <c r="K74" s="51">
        <v>0</v>
      </c>
      <c r="L74" s="51">
        <v>0</v>
      </c>
      <c r="M74" s="51">
        <v>0</v>
      </c>
      <c r="N74" s="51">
        <v>685566</v>
      </c>
    </row>
    <row r="75" spans="1:14" ht="15.75" x14ac:dyDescent="0.25">
      <c r="A75" s="49" t="s">
        <v>603</v>
      </c>
      <c r="B75" s="50" t="s">
        <v>48</v>
      </c>
      <c r="C75" s="51">
        <v>1285592</v>
      </c>
      <c r="D75" s="51">
        <v>-723</v>
      </c>
      <c r="E75" s="51">
        <v>0</v>
      </c>
      <c r="F75" s="51">
        <v>0</v>
      </c>
      <c r="G75" s="51">
        <v>0</v>
      </c>
      <c r="H75" s="51">
        <v>1284869</v>
      </c>
      <c r="I75" s="51">
        <v>-670698</v>
      </c>
      <c r="J75" s="51">
        <v>614171</v>
      </c>
      <c r="K75" s="51">
        <v>0</v>
      </c>
      <c r="L75" s="51">
        <v>0</v>
      </c>
      <c r="M75" s="51">
        <v>0</v>
      </c>
      <c r="N75" s="51">
        <v>614171</v>
      </c>
    </row>
    <row r="76" spans="1:14" ht="15.75" x14ac:dyDescent="0.25">
      <c r="A76" s="49" t="s">
        <v>603</v>
      </c>
      <c r="B76" s="50" t="s">
        <v>49</v>
      </c>
      <c r="C76" s="51">
        <v>1438239</v>
      </c>
      <c r="D76" s="51">
        <v>-55487</v>
      </c>
      <c r="E76" s="51">
        <v>0</v>
      </c>
      <c r="F76" s="51">
        <v>0</v>
      </c>
      <c r="G76" s="51">
        <v>0</v>
      </c>
      <c r="H76" s="51">
        <v>1382752</v>
      </c>
      <c r="I76" s="51">
        <v>-1354624</v>
      </c>
      <c r="J76" s="51">
        <v>28128</v>
      </c>
      <c r="K76" s="51">
        <v>0</v>
      </c>
      <c r="L76" s="51">
        <v>0</v>
      </c>
      <c r="M76" s="51">
        <v>0</v>
      </c>
      <c r="N76" s="51">
        <v>28128</v>
      </c>
    </row>
    <row r="77" spans="1:14" ht="15.75" x14ac:dyDescent="0.25">
      <c r="A77" s="49" t="s">
        <v>603</v>
      </c>
      <c r="B77" s="50" t="s">
        <v>50</v>
      </c>
      <c r="C77" s="51">
        <v>1583253</v>
      </c>
      <c r="D77" s="51">
        <v>-167</v>
      </c>
      <c r="E77" s="51">
        <v>0</v>
      </c>
      <c r="F77" s="51">
        <v>0</v>
      </c>
      <c r="G77" s="51">
        <v>0</v>
      </c>
      <c r="H77" s="51">
        <v>1583086</v>
      </c>
      <c r="I77" s="51">
        <v>-1583086</v>
      </c>
      <c r="J77" s="51">
        <v>0</v>
      </c>
      <c r="K77" s="51">
        <v>5161</v>
      </c>
      <c r="L77" s="51">
        <v>-4112</v>
      </c>
      <c r="M77" s="51">
        <v>1049</v>
      </c>
      <c r="N77" s="51">
        <v>-1049</v>
      </c>
    </row>
    <row r="78" spans="1:14" ht="15.75" x14ac:dyDescent="0.25">
      <c r="A78" s="49" t="s">
        <v>603</v>
      </c>
      <c r="B78" s="50" t="s">
        <v>51</v>
      </c>
      <c r="C78" s="51">
        <v>1729086</v>
      </c>
      <c r="D78" s="51">
        <v>-19305</v>
      </c>
      <c r="E78" s="51">
        <v>0</v>
      </c>
      <c r="F78" s="51">
        <v>0</v>
      </c>
      <c r="G78" s="51">
        <v>0</v>
      </c>
      <c r="H78" s="51">
        <v>1709781</v>
      </c>
      <c r="I78" s="51">
        <v>-1015426</v>
      </c>
      <c r="J78" s="51">
        <v>694355</v>
      </c>
      <c r="K78" s="51">
        <v>7</v>
      </c>
      <c r="L78" s="51">
        <v>-4</v>
      </c>
      <c r="M78" s="51">
        <v>3</v>
      </c>
      <c r="N78" s="51">
        <v>694352</v>
      </c>
    </row>
    <row r="79" spans="1:14" ht="15.75" x14ac:dyDescent="0.25">
      <c r="A79" s="49" t="s">
        <v>603</v>
      </c>
      <c r="B79" s="50" t="s">
        <v>52</v>
      </c>
      <c r="C79" s="51">
        <v>1564795</v>
      </c>
      <c r="D79" s="51">
        <v>-4394</v>
      </c>
      <c r="E79" s="51">
        <v>0</v>
      </c>
      <c r="F79" s="51">
        <v>0</v>
      </c>
      <c r="G79" s="51">
        <v>0</v>
      </c>
      <c r="H79" s="51">
        <v>1560401</v>
      </c>
      <c r="I79" s="51">
        <v>-1454516</v>
      </c>
      <c r="J79" s="51">
        <v>105885</v>
      </c>
      <c r="K79" s="51">
        <v>54327</v>
      </c>
      <c r="L79" s="51">
        <v>-52385</v>
      </c>
      <c r="M79" s="51">
        <v>1942</v>
      </c>
      <c r="N79" s="51">
        <v>103943</v>
      </c>
    </row>
    <row r="80" spans="1:14" ht="15.75" x14ac:dyDescent="0.25">
      <c r="A80" s="49" t="s">
        <v>603</v>
      </c>
      <c r="B80" s="50" t="s">
        <v>53</v>
      </c>
      <c r="C80" s="51">
        <v>1546207</v>
      </c>
      <c r="D80" s="51">
        <v>-16565</v>
      </c>
      <c r="E80" s="51">
        <v>0</v>
      </c>
      <c r="F80" s="51">
        <v>0</v>
      </c>
      <c r="G80" s="51">
        <v>0</v>
      </c>
      <c r="H80" s="51">
        <v>1529642</v>
      </c>
      <c r="I80" s="51">
        <v>-1448507</v>
      </c>
      <c r="J80" s="51">
        <v>81135</v>
      </c>
      <c r="K80" s="51">
        <v>0</v>
      </c>
      <c r="L80" s="51">
        <v>0</v>
      </c>
      <c r="M80" s="51">
        <v>0</v>
      </c>
      <c r="N80" s="51">
        <v>81135</v>
      </c>
    </row>
    <row r="81" spans="1:14" ht="15.75" x14ac:dyDescent="0.25">
      <c r="A81" s="49" t="s">
        <v>603</v>
      </c>
      <c r="B81" s="50" t="s">
        <v>54</v>
      </c>
      <c r="C81" s="51">
        <v>1667873</v>
      </c>
      <c r="D81" s="51">
        <v>-4059</v>
      </c>
      <c r="E81" s="51">
        <v>0</v>
      </c>
      <c r="F81" s="51">
        <v>0</v>
      </c>
      <c r="G81" s="51">
        <v>0</v>
      </c>
      <c r="H81" s="51">
        <v>1663814</v>
      </c>
      <c r="I81" s="51">
        <v>-1663814</v>
      </c>
      <c r="J81" s="51">
        <v>0</v>
      </c>
      <c r="K81" s="51">
        <v>1097</v>
      </c>
      <c r="L81" s="51">
        <v>-1097</v>
      </c>
      <c r="M81" s="51">
        <v>0</v>
      </c>
      <c r="N81" s="51">
        <v>0</v>
      </c>
    </row>
    <row r="82" spans="1:14" ht="15.75" x14ac:dyDescent="0.25">
      <c r="A82" s="49" t="s">
        <v>603</v>
      </c>
      <c r="B82" s="50" t="s">
        <v>55</v>
      </c>
      <c r="C82" s="51">
        <v>2009966</v>
      </c>
      <c r="D82" s="51">
        <v>-1881</v>
      </c>
      <c r="E82" s="51">
        <v>0</v>
      </c>
      <c r="F82" s="51">
        <v>0</v>
      </c>
      <c r="G82" s="51">
        <v>0</v>
      </c>
      <c r="H82" s="51">
        <v>2008085</v>
      </c>
      <c r="I82" s="51">
        <v>-2008085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</row>
    <row r="83" spans="1:14" ht="15.75" x14ac:dyDescent="0.25">
      <c r="A83" s="49" t="s">
        <v>603</v>
      </c>
      <c r="B83" s="50" t="s">
        <v>56</v>
      </c>
      <c r="C83" s="51">
        <v>15022</v>
      </c>
      <c r="D83" s="51">
        <v>0</v>
      </c>
      <c r="E83" s="51">
        <v>0</v>
      </c>
      <c r="F83" s="51">
        <v>0</v>
      </c>
      <c r="G83" s="51">
        <v>0</v>
      </c>
      <c r="H83" s="51">
        <v>15022</v>
      </c>
      <c r="I83" s="51">
        <v>-15022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</row>
    <row r="84" spans="1:14" ht="15.75" x14ac:dyDescent="0.25">
      <c r="A84" s="49" t="s">
        <v>603</v>
      </c>
      <c r="B84" s="50" t="s">
        <v>57</v>
      </c>
      <c r="C84" s="51">
        <v>2849</v>
      </c>
      <c r="D84" s="51">
        <v>0</v>
      </c>
      <c r="E84" s="51">
        <v>0</v>
      </c>
      <c r="F84" s="51">
        <v>0</v>
      </c>
      <c r="G84" s="51">
        <v>0</v>
      </c>
      <c r="H84" s="51">
        <v>2849</v>
      </c>
      <c r="I84" s="51">
        <v>-2849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</row>
    <row r="85" spans="1:14" ht="15.75" x14ac:dyDescent="0.25">
      <c r="A85" s="49" t="s">
        <v>603</v>
      </c>
      <c r="B85" s="50" t="s">
        <v>58</v>
      </c>
      <c r="C85" s="51">
        <v>4834</v>
      </c>
      <c r="D85" s="51">
        <v>0</v>
      </c>
      <c r="E85" s="51">
        <v>0</v>
      </c>
      <c r="F85" s="51">
        <v>0</v>
      </c>
      <c r="G85" s="51">
        <v>0</v>
      </c>
      <c r="H85" s="51">
        <v>4834</v>
      </c>
      <c r="I85" s="51">
        <v>-4834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</row>
    <row r="86" spans="1:14" ht="15.75" x14ac:dyDescent="0.25">
      <c r="A86" s="49" t="s">
        <v>603</v>
      </c>
      <c r="B86" s="50" t="s">
        <v>59</v>
      </c>
      <c r="C86" s="51">
        <v>2942</v>
      </c>
      <c r="D86" s="51">
        <v>0</v>
      </c>
      <c r="E86" s="51">
        <v>0</v>
      </c>
      <c r="F86" s="51">
        <v>0</v>
      </c>
      <c r="G86" s="51">
        <v>0</v>
      </c>
      <c r="H86" s="51">
        <v>2942</v>
      </c>
      <c r="I86" s="51">
        <v>-2942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</row>
    <row r="87" spans="1:14" ht="15.75" x14ac:dyDescent="0.25">
      <c r="A87" s="49" t="s">
        <v>603</v>
      </c>
      <c r="B87" s="50" t="s">
        <v>60</v>
      </c>
      <c r="C87" s="51">
        <v>3018</v>
      </c>
      <c r="D87" s="51">
        <v>0</v>
      </c>
      <c r="E87" s="51">
        <v>0</v>
      </c>
      <c r="F87" s="51">
        <v>0</v>
      </c>
      <c r="G87" s="51">
        <v>0</v>
      </c>
      <c r="H87" s="51">
        <v>3018</v>
      </c>
      <c r="I87" s="51">
        <v>-3018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</row>
    <row r="88" spans="1:14" ht="15.75" x14ac:dyDescent="0.25">
      <c r="A88" s="52" t="s">
        <v>481</v>
      </c>
      <c r="B88" s="53" t="s">
        <v>8</v>
      </c>
      <c r="C88" s="19">
        <f>SUBTOTAL(109,Program250[(C)
Program
Costs])</f>
        <v>14715893</v>
      </c>
      <c r="D88" s="19">
        <f>SUBTOTAL(109,Program250[(D)
Prior Period Adjustments])</f>
        <v>-138780</v>
      </c>
      <c r="E88" s="19">
        <f>SUBTOTAL(109,Program250[(E)
Current Period Desk 
Reviews])</f>
        <v>0</v>
      </c>
      <c r="F88" s="19">
        <f>SUBTOTAL(109,Program250[(F)
Current Period 
Final 
Audits])</f>
        <v>0</v>
      </c>
      <c r="G88" s="19">
        <f>SUBTOTAL(109,Program250[(G)
Current Period 
Other Adjustments])</f>
        <v>0</v>
      </c>
      <c r="H88" s="19">
        <f>SUBTOTAL(109,Program250[(H)
Net Program Costs
Sum (C through G)])</f>
        <v>14577113</v>
      </c>
      <c r="I88" s="19">
        <f>SUBTOTAL(109,Program250[(I)
Payments
 and Offsets])</f>
        <v>-11986303</v>
      </c>
      <c r="J88" s="19">
        <f>SUBTOTAL(109,Program250[(J)
Accounts Payable Balance
(H + I)])</f>
        <v>2590810</v>
      </c>
      <c r="K88" s="19">
        <f>SUBTOTAL(109,Program250[(K)
Established 
Accounts Receivable])</f>
        <v>60592</v>
      </c>
      <c r="L88" s="19">
        <f>SUBTOTAL(109,Program250[(L)
Recovered
 Accounts Receivable])</f>
        <v>-57598</v>
      </c>
      <c r="M88" s="19">
        <f>SUBTOTAL(109,Program250[(M)
Accounts Receivable Balance
(K + L)])</f>
        <v>2994</v>
      </c>
      <c r="N88" s="19">
        <f>SUBTOTAL(109,Program250[(N)
Net Balance
(J minus M)])</f>
        <v>2587816</v>
      </c>
    </row>
    <row r="89" spans="1:14" ht="15.75" x14ac:dyDescent="0.25">
      <c r="A89" s="17" t="s">
        <v>13</v>
      </c>
      <c r="B89" s="54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</row>
    <row r="90" spans="1:14" ht="78.75" x14ac:dyDescent="0.25">
      <c r="A90" s="39" t="s">
        <v>32</v>
      </c>
      <c r="B90" s="40" t="s">
        <v>33</v>
      </c>
      <c r="C90" s="41" t="s">
        <v>34</v>
      </c>
      <c r="D90" s="41" t="s">
        <v>35</v>
      </c>
      <c r="E90" s="42" t="s">
        <v>36</v>
      </c>
      <c r="F90" s="42" t="s">
        <v>37</v>
      </c>
      <c r="G90" s="42" t="s">
        <v>38</v>
      </c>
      <c r="H90" s="43" t="s">
        <v>39</v>
      </c>
      <c r="I90" s="44" t="s">
        <v>40</v>
      </c>
      <c r="J90" s="44" t="s">
        <v>41</v>
      </c>
      <c r="K90" s="42" t="s">
        <v>42</v>
      </c>
      <c r="L90" s="44" t="s">
        <v>43</v>
      </c>
      <c r="M90" s="44" t="s">
        <v>44</v>
      </c>
      <c r="N90" s="45" t="s">
        <v>45</v>
      </c>
    </row>
    <row r="91" spans="1:14" ht="30" x14ac:dyDescent="0.25">
      <c r="A91" s="67" t="s">
        <v>602</v>
      </c>
      <c r="B91" s="57" t="s">
        <v>54</v>
      </c>
      <c r="C91" s="58">
        <v>37551</v>
      </c>
      <c r="D91" s="58">
        <v>-1728</v>
      </c>
      <c r="E91" s="58">
        <v>0</v>
      </c>
      <c r="F91" s="58">
        <v>0</v>
      </c>
      <c r="G91" s="58">
        <v>0</v>
      </c>
      <c r="H91" s="58">
        <v>35823</v>
      </c>
      <c r="I91" s="58">
        <v>-35823</v>
      </c>
      <c r="J91" s="58">
        <v>0</v>
      </c>
      <c r="K91" s="58">
        <v>1728</v>
      </c>
      <c r="L91" s="58">
        <v>0</v>
      </c>
      <c r="M91" s="58">
        <v>1728</v>
      </c>
      <c r="N91" s="58">
        <v>-1728</v>
      </c>
    </row>
    <row r="92" spans="1:14" ht="30" x14ac:dyDescent="0.25">
      <c r="A92" s="68" t="s">
        <v>602</v>
      </c>
      <c r="B92" s="60" t="s">
        <v>55</v>
      </c>
      <c r="C92" s="61">
        <v>101209</v>
      </c>
      <c r="D92" s="61">
        <v>0</v>
      </c>
      <c r="E92" s="61">
        <v>0</v>
      </c>
      <c r="F92" s="61">
        <v>0</v>
      </c>
      <c r="G92" s="61">
        <v>0</v>
      </c>
      <c r="H92" s="61">
        <v>101209</v>
      </c>
      <c r="I92" s="61">
        <v>-101209</v>
      </c>
      <c r="J92" s="61">
        <v>0</v>
      </c>
      <c r="K92" s="61">
        <v>0</v>
      </c>
      <c r="L92" s="61">
        <v>0</v>
      </c>
      <c r="M92" s="61">
        <v>0</v>
      </c>
      <c r="N92" s="61">
        <v>0</v>
      </c>
    </row>
    <row r="93" spans="1:14" ht="30" x14ac:dyDescent="0.25">
      <c r="A93" s="68" t="s">
        <v>602</v>
      </c>
      <c r="B93" s="60" t="s">
        <v>56</v>
      </c>
      <c r="C93" s="61">
        <v>111706</v>
      </c>
      <c r="D93" s="61">
        <v>0</v>
      </c>
      <c r="E93" s="61">
        <v>0</v>
      </c>
      <c r="F93" s="61">
        <v>0</v>
      </c>
      <c r="G93" s="61">
        <v>0</v>
      </c>
      <c r="H93" s="61">
        <v>111706</v>
      </c>
      <c r="I93" s="61">
        <v>-111706</v>
      </c>
      <c r="J93" s="61">
        <v>0</v>
      </c>
      <c r="K93" s="61">
        <v>0</v>
      </c>
      <c r="L93" s="61">
        <v>0</v>
      </c>
      <c r="M93" s="61">
        <v>0</v>
      </c>
      <c r="N93" s="61">
        <v>0</v>
      </c>
    </row>
    <row r="94" spans="1:14" ht="30" x14ac:dyDescent="0.25">
      <c r="A94" s="68" t="s">
        <v>602</v>
      </c>
      <c r="B94" s="60" t="s">
        <v>57</v>
      </c>
      <c r="C94" s="61">
        <v>193848</v>
      </c>
      <c r="D94" s="61">
        <v>-1402</v>
      </c>
      <c r="E94" s="61">
        <v>0</v>
      </c>
      <c r="F94" s="61">
        <v>0</v>
      </c>
      <c r="G94" s="61">
        <v>0</v>
      </c>
      <c r="H94" s="61">
        <v>192446</v>
      </c>
      <c r="I94" s="61">
        <v>-192446</v>
      </c>
      <c r="J94" s="61">
        <v>0</v>
      </c>
      <c r="K94" s="61">
        <v>21615</v>
      </c>
      <c r="L94" s="61">
        <v>-21615</v>
      </c>
      <c r="M94" s="61">
        <v>0</v>
      </c>
      <c r="N94" s="61">
        <v>0</v>
      </c>
    </row>
    <row r="95" spans="1:14" ht="30" x14ac:dyDescent="0.25">
      <c r="A95" s="68" t="s">
        <v>602</v>
      </c>
      <c r="B95" s="60" t="s">
        <v>58</v>
      </c>
      <c r="C95" s="61">
        <v>389183</v>
      </c>
      <c r="D95" s="61">
        <v>-23388</v>
      </c>
      <c r="E95" s="61">
        <v>0</v>
      </c>
      <c r="F95" s="61">
        <v>0</v>
      </c>
      <c r="G95" s="61">
        <v>0</v>
      </c>
      <c r="H95" s="61">
        <v>365795</v>
      </c>
      <c r="I95" s="61">
        <v>-365795</v>
      </c>
      <c r="J95" s="61">
        <v>0</v>
      </c>
      <c r="K95" s="61">
        <v>57790</v>
      </c>
      <c r="L95" s="61">
        <v>-57790</v>
      </c>
      <c r="M95" s="61">
        <v>0</v>
      </c>
      <c r="N95" s="61">
        <v>0</v>
      </c>
    </row>
    <row r="96" spans="1:14" ht="30" x14ac:dyDescent="0.25">
      <c r="A96" s="68" t="s">
        <v>602</v>
      </c>
      <c r="B96" s="60" t="s">
        <v>59</v>
      </c>
      <c r="C96" s="61">
        <v>395245</v>
      </c>
      <c r="D96" s="61">
        <v>-2724</v>
      </c>
      <c r="E96" s="61">
        <v>0</v>
      </c>
      <c r="F96" s="61">
        <v>0</v>
      </c>
      <c r="G96" s="61">
        <v>0</v>
      </c>
      <c r="H96" s="61">
        <v>392521</v>
      </c>
      <c r="I96" s="61">
        <v>-392521</v>
      </c>
      <c r="J96" s="61">
        <v>0</v>
      </c>
      <c r="K96" s="61">
        <v>0</v>
      </c>
      <c r="L96" s="61">
        <v>0</v>
      </c>
      <c r="M96" s="61">
        <v>0</v>
      </c>
      <c r="N96" s="61">
        <v>0</v>
      </c>
    </row>
    <row r="97" spans="1:14" ht="30" x14ac:dyDescent="0.25">
      <c r="A97" s="68" t="s">
        <v>602</v>
      </c>
      <c r="B97" s="60" t="s">
        <v>60</v>
      </c>
      <c r="C97" s="61">
        <v>321588</v>
      </c>
      <c r="D97" s="61">
        <v>-1240</v>
      </c>
      <c r="E97" s="61">
        <v>0</v>
      </c>
      <c r="F97" s="61">
        <v>0</v>
      </c>
      <c r="G97" s="61">
        <v>0</v>
      </c>
      <c r="H97" s="61">
        <v>320348</v>
      </c>
      <c r="I97" s="61">
        <v>-320348</v>
      </c>
      <c r="J97" s="61">
        <v>0</v>
      </c>
      <c r="K97" s="61">
        <v>0</v>
      </c>
      <c r="L97" s="61">
        <v>0</v>
      </c>
      <c r="M97" s="61">
        <v>0</v>
      </c>
      <c r="N97" s="61">
        <v>0</v>
      </c>
    </row>
    <row r="98" spans="1:14" ht="30" x14ac:dyDescent="0.25">
      <c r="A98" s="68" t="s">
        <v>602</v>
      </c>
      <c r="B98" s="60" t="s">
        <v>61</v>
      </c>
      <c r="C98" s="61">
        <v>153404</v>
      </c>
      <c r="D98" s="61">
        <v>-55</v>
      </c>
      <c r="E98" s="61">
        <v>0</v>
      </c>
      <c r="F98" s="61">
        <v>0</v>
      </c>
      <c r="G98" s="61">
        <v>0</v>
      </c>
      <c r="H98" s="61">
        <v>153349</v>
      </c>
      <c r="I98" s="61">
        <v>-153349</v>
      </c>
      <c r="J98" s="61">
        <v>0</v>
      </c>
      <c r="K98" s="61">
        <v>0</v>
      </c>
      <c r="L98" s="61">
        <v>0</v>
      </c>
      <c r="M98" s="61">
        <v>0</v>
      </c>
      <c r="N98" s="61">
        <v>0</v>
      </c>
    </row>
    <row r="99" spans="1:14" ht="30" x14ac:dyDescent="0.25">
      <c r="A99" s="68" t="s">
        <v>602</v>
      </c>
      <c r="B99" s="60" t="s">
        <v>62</v>
      </c>
      <c r="C99" s="61">
        <v>79301</v>
      </c>
      <c r="D99" s="61">
        <v>0</v>
      </c>
      <c r="E99" s="61">
        <v>0</v>
      </c>
      <c r="F99" s="61">
        <v>0</v>
      </c>
      <c r="G99" s="61">
        <v>0</v>
      </c>
      <c r="H99" s="61">
        <v>79301</v>
      </c>
      <c r="I99" s="61">
        <v>-79301</v>
      </c>
      <c r="J99" s="61">
        <v>0</v>
      </c>
      <c r="K99" s="61">
        <v>0</v>
      </c>
      <c r="L99" s="61">
        <v>0</v>
      </c>
      <c r="M99" s="61">
        <v>0</v>
      </c>
      <c r="N99" s="61">
        <v>0</v>
      </c>
    </row>
    <row r="100" spans="1:14" ht="15.75" x14ac:dyDescent="0.25">
      <c r="A100" s="52" t="s">
        <v>480</v>
      </c>
      <c r="B100" s="53" t="s">
        <v>8</v>
      </c>
      <c r="C100" s="19">
        <f>SUBTOTAL(109,Program179[(C)
Program
Costs])</f>
        <v>1783035</v>
      </c>
      <c r="D100" s="19">
        <f>SUBTOTAL(109,Program179[(D)
Prior Period Adjustments])</f>
        <v>-30537</v>
      </c>
      <c r="E100" s="19">
        <f>SUBTOTAL(109,Program179[(E)
Current Period Desk 
Reviews])</f>
        <v>0</v>
      </c>
      <c r="F100" s="19">
        <f>SUBTOTAL(109,Program179[(F)
Current Period 
Final 
Audits])</f>
        <v>0</v>
      </c>
      <c r="G100" s="19">
        <f>SUBTOTAL(109,Program179[(G)
Current Period 
Other Adjustments])</f>
        <v>0</v>
      </c>
      <c r="H100" s="19">
        <f>SUBTOTAL(109,Program179[(H)
Net Program Costs
Sum (C through G)])</f>
        <v>1752498</v>
      </c>
      <c r="I100" s="19">
        <f>SUBTOTAL(109,Program179[(I)
Payments
 and Offsets])</f>
        <v>-1752498</v>
      </c>
      <c r="J100" s="19">
        <f>SUBTOTAL(109,Program179[(J)
Accounts Payable Balance
(H + I)])</f>
        <v>0</v>
      </c>
      <c r="K100" s="19">
        <f>SUBTOTAL(109,Program179[(K)
Established 
Accounts Receivable])</f>
        <v>81133</v>
      </c>
      <c r="L100" s="19">
        <f>SUBTOTAL(109,Program179[(L)
Recovered
 Accounts Receivable])</f>
        <v>-79405</v>
      </c>
      <c r="M100" s="19">
        <f>SUBTOTAL(109,Program179[(M)
Accounts Receivable Balance
(K + L)])</f>
        <v>1728</v>
      </c>
      <c r="N100" s="19">
        <f>SUBTOTAL(109,Program179[(N)
Net Balance
(J minus M)])</f>
        <v>-1728</v>
      </c>
    </row>
    <row r="101" spans="1:14" ht="15.75" x14ac:dyDescent="0.25">
      <c r="A101" s="17" t="s">
        <v>13</v>
      </c>
      <c r="B101" s="54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</row>
    <row r="102" spans="1:14" ht="78.75" x14ac:dyDescent="0.25">
      <c r="A102" s="39" t="s">
        <v>32</v>
      </c>
      <c r="B102" s="40" t="s">
        <v>33</v>
      </c>
      <c r="C102" s="41" t="s">
        <v>34</v>
      </c>
      <c r="D102" s="41" t="s">
        <v>35</v>
      </c>
      <c r="E102" s="42" t="s">
        <v>36</v>
      </c>
      <c r="F102" s="42" t="s">
        <v>37</v>
      </c>
      <c r="G102" s="42" t="s">
        <v>38</v>
      </c>
      <c r="H102" s="43" t="s">
        <v>39</v>
      </c>
      <c r="I102" s="44" t="s">
        <v>40</v>
      </c>
      <c r="J102" s="44" t="s">
        <v>41</v>
      </c>
      <c r="K102" s="42" t="s">
        <v>42</v>
      </c>
      <c r="L102" s="44" t="s">
        <v>43</v>
      </c>
      <c r="M102" s="44" t="s">
        <v>44</v>
      </c>
      <c r="N102" s="45" t="s">
        <v>45</v>
      </c>
    </row>
    <row r="103" spans="1:14" ht="15.75" x14ac:dyDescent="0.25">
      <c r="A103" s="46" t="s">
        <v>601</v>
      </c>
      <c r="B103" s="47" t="s">
        <v>59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452</v>
      </c>
      <c r="L103" s="48">
        <v>-452</v>
      </c>
      <c r="M103" s="48">
        <v>0</v>
      </c>
      <c r="N103" s="48">
        <v>0</v>
      </c>
    </row>
    <row r="104" spans="1:14" ht="15.75" x14ac:dyDescent="0.25">
      <c r="A104" s="49" t="s">
        <v>601</v>
      </c>
      <c r="B104" s="50" t="s">
        <v>60</v>
      </c>
      <c r="C104" s="51">
        <v>3680683</v>
      </c>
      <c r="D104" s="51">
        <v>-550155</v>
      </c>
      <c r="E104" s="51">
        <v>0</v>
      </c>
      <c r="F104" s="51">
        <v>0</v>
      </c>
      <c r="G104" s="51">
        <v>0</v>
      </c>
      <c r="H104" s="51">
        <v>3130528</v>
      </c>
      <c r="I104" s="51">
        <v>-3130528</v>
      </c>
      <c r="J104" s="51">
        <v>0</v>
      </c>
      <c r="K104" s="51">
        <v>168667</v>
      </c>
      <c r="L104" s="51">
        <v>-168667</v>
      </c>
      <c r="M104" s="51">
        <v>0</v>
      </c>
      <c r="N104" s="51">
        <v>0</v>
      </c>
    </row>
    <row r="105" spans="1:14" ht="15.75" x14ac:dyDescent="0.25">
      <c r="A105" s="49" t="s">
        <v>601</v>
      </c>
      <c r="B105" s="50" t="s">
        <v>61</v>
      </c>
      <c r="C105" s="51">
        <v>3546280</v>
      </c>
      <c r="D105" s="51">
        <v>-590294</v>
      </c>
      <c r="E105" s="51">
        <v>0</v>
      </c>
      <c r="F105" s="51">
        <v>0</v>
      </c>
      <c r="G105" s="51">
        <v>0</v>
      </c>
      <c r="H105" s="51">
        <v>2955986</v>
      </c>
      <c r="I105" s="51">
        <v>-2955986</v>
      </c>
      <c r="J105" s="51">
        <v>0</v>
      </c>
      <c r="K105" s="51">
        <v>43464</v>
      </c>
      <c r="L105" s="51">
        <v>-43464</v>
      </c>
      <c r="M105" s="51">
        <v>0</v>
      </c>
      <c r="N105" s="51">
        <v>0</v>
      </c>
    </row>
    <row r="106" spans="1:14" ht="15.75" x14ac:dyDescent="0.25">
      <c r="A106" s="49" t="s">
        <v>601</v>
      </c>
      <c r="B106" s="50" t="s">
        <v>62</v>
      </c>
      <c r="C106" s="51">
        <v>3076221</v>
      </c>
      <c r="D106" s="51">
        <v>-79754</v>
      </c>
      <c r="E106" s="51">
        <v>0</v>
      </c>
      <c r="F106" s="51">
        <v>0</v>
      </c>
      <c r="G106" s="51">
        <v>0</v>
      </c>
      <c r="H106" s="51">
        <v>2996467</v>
      </c>
      <c r="I106" s="51">
        <v>-2996467</v>
      </c>
      <c r="J106" s="51">
        <v>0</v>
      </c>
      <c r="K106" s="51">
        <v>10272</v>
      </c>
      <c r="L106" s="51">
        <v>-10272</v>
      </c>
      <c r="M106" s="51">
        <v>0</v>
      </c>
      <c r="N106" s="51">
        <v>0</v>
      </c>
    </row>
    <row r="107" spans="1:14" ht="15.75" x14ac:dyDescent="0.25">
      <c r="A107" s="49" t="s">
        <v>601</v>
      </c>
      <c r="B107" s="50" t="s">
        <v>63</v>
      </c>
      <c r="C107" s="51">
        <v>2904283</v>
      </c>
      <c r="D107" s="51">
        <v>-95601</v>
      </c>
      <c r="E107" s="51">
        <v>0</v>
      </c>
      <c r="F107" s="51">
        <v>0</v>
      </c>
      <c r="G107" s="51">
        <v>0</v>
      </c>
      <c r="H107" s="51">
        <v>2808682</v>
      </c>
      <c r="I107" s="51">
        <v>-2808682</v>
      </c>
      <c r="J107" s="51">
        <v>0</v>
      </c>
      <c r="K107" s="51">
        <v>8702</v>
      </c>
      <c r="L107" s="51">
        <v>-8702</v>
      </c>
      <c r="M107" s="51">
        <v>0</v>
      </c>
      <c r="N107" s="51">
        <v>0</v>
      </c>
    </row>
    <row r="108" spans="1:14" ht="15.75" x14ac:dyDescent="0.25">
      <c r="A108" s="49" t="s">
        <v>601</v>
      </c>
      <c r="B108" s="50" t="s">
        <v>64</v>
      </c>
      <c r="C108" s="51">
        <v>2757138</v>
      </c>
      <c r="D108" s="51">
        <v>-80755</v>
      </c>
      <c r="E108" s="51">
        <v>0</v>
      </c>
      <c r="F108" s="51">
        <v>0</v>
      </c>
      <c r="G108" s="51">
        <v>0</v>
      </c>
      <c r="H108" s="51">
        <v>2676383</v>
      </c>
      <c r="I108" s="51">
        <v>-2676383</v>
      </c>
      <c r="J108" s="51">
        <v>0</v>
      </c>
      <c r="K108" s="51">
        <v>10572</v>
      </c>
      <c r="L108" s="51">
        <v>-10572</v>
      </c>
      <c r="M108" s="51">
        <v>0</v>
      </c>
      <c r="N108" s="51">
        <v>0</v>
      </c>
    </row>
    <row r="109" spans="1:14" ht="15.75" x14ac:dyDescent="0.25">
      <c r="A109" s="49" t="s">
        <v>601</v>
      </c>
      <c r="B109" s="50" t="s">
        <v>65</v>
      </c>
      <c r="C109" s="51">
        <v>1154276</v>
      </c>
      <c r="D109" s="51">
        <v>-70302</v>
      </c>
      <c r="E109" s="51">
        <v>0</v>
      </c>
      <c r="F109" s="51">
        <v>0</v>
      </c>
      <c r="G109" s="51">
        <v>0</v>
      </c>
      <c r="H109" s="51">
        <v>1083974</v>
      </c>
      <c r="I109" s="51">
        <v>-1083974</v>
      </c>
      <c r="J109" s="51">
        <v>0</v>
      </c>
      <c r="K109" s="51">
        <v>6939</v>
      </c>
      <c r="L109" s="51">
        <v>-6939</v>
      </c>
      <c r="M109" s="51">
        <v>0</v>
      </c>
      <c r="N109" s="51">
        <v>0</v>
      </c>
    </row>
    <row r="110" spans="1:14" ht="15.75" x14ac:dyDescent="0.25">
      <c r="A110" s="49" t="s">
        <v>601</v>
      </c>
      <c r="B110" s="50" t="s">
        <v>66</v>
      </c>
      <c r="C110" s="51">
        <v>54770</v>
      </c>
      <c r="D110" s="51">
        <v>-16445</v>
      </c>
      <c r="E110" s="51">
        <v>0</v>
      </c>
      <c r="F110" s="51">
        <v>0</v>
      </c>
      <c r="G110" s="51">
        <v>0</v>
      </c>
      <c r="H110" s="51">
        <v>38325</v>
      </c>
      <c r="I110" s="51">
        <v>-38325</v>
      </c>
      <c r="J110" s="51">
        <v>0</v>
      </c>
      <c r="K110" s="51">
        <v>420</v>
      </c>
      <c r="L110" s="51">
        <v>-420</v>
      </c>
      <c r="M110" s="51">
        <v>0</v>
      </c>
      <c r="N110" s="51">
        <v>0</v>
      </c>
    </row>
    <row r="111" spans="1:14" ht="15.75" x14ac:dyDescent="0.25">
      <c r="A111" s="52" t="s">
        <v>479</v>
      </c>
      <c r="B111" s="53" t="s">
        <v>8</v>
      </c>
      <c r="C111" s="19">
        <f>SUBTOTAL(109,Program145[(C)
Program
Costs])</f>
        <v>17173651</v>
      </c>
      <c r="D111" s="19">
        <f>SUBTOTAL(109,Program145[(D)
Prior Period Adjustments])</f>
        <v>-1483306</v>
      </c>
      <c r="E111" s="19">
        <f>SUBTOTAL(109,Program145[(E)
Current Period Desk 
Reviews])</f>
        <v>0</v>
      </c>
      <c r="F111" s="19">
        <f>SUBTOTAL(109,Program145[(F)
Current Period 
Final 
Audits])</f>
        <v>0</v>
      </c>
      <c r="G111" s="19">
        <f>SUBTOTAL(109,Program145[(G)
Current Period 
Other Adjustments])</f>
        <v>0</v>
      </c>
      <c r="H111" s="19">
        <f>SUBTOTAL(109,Program145[(H)
Net Program Costs
Sum (C through G)])</f>
        <v>15690345</v>
      </c>
      <c r="I111" s="19">
        <f>SUBTOTAL(109,Program145[(I)
Payments
 and Offsets])</f>
        <v>-15690345</v>
      </c>
      <c r="J111" s="19">
        <f>SUBTOTAL(109,Program145[(J)
Accounts Payable Balance
(H + I)])</f>
        <v>0</v>
      </c>
      <c r="K111" s="19">
        <f>SUBTOTAL(109,Program145[(K)
Established 
Accounts Receivable])</f>
        <v>249488</v>
      </c>
      <c r="L111" s="19">
        <f>SUBTOTAL(109,Program145[(L)
Recovered
 Accounts Receivable])</f>
        <v>-249488</v>
      </c>
      <c r="M111" s="19">
        <f>SUBTOTAL(109,Program145[(M)
Accounts Receivable Balance
(K + L)])</f>
        <v>0</v>
      </c>
      <c r="N111" s="19">
        <f>SUBTOTAL(109,Program145[(N)
Net Balance
(J minus M)])</f>
        <v>0</v>
      </c>
    </row>
    <row r="112" spans="1:14" ht="15.75" x14ac:dyDescent="0.25">
      <c r="A112" s="17" t="s">
        <v>13</v>
      </c>
      <c r="B112" s="54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78.75" x14ac:dyDescent="0.25">
      <c r="A113" s="39" t="s">
        <v>32</v>
      </c>
      <c r="B113" s="40" t="s">
        <v>33</v>
      </c>
      <c r="C113" s="41" t="s">
        <v>34</v>
      </c>
      <c r="D113" s="41" t="s">
        <v>35</v>
      </c>
      <c r="E113" s="42" t="s">
        <v>36</v>
      </c>
      <c r="F113" s="42" t="s">
        <v>37</v>
      </c>
      <c r="G113" s="42" t="s">
        <v>38</v>
      </c>
      <c r="H113" s="43" t="s">
        <v>39</v>
      </c>
      <c r="I113" s="44" t="s">
        <v>40</v>
      </c>
      <c r="J113" s="44" t="s">
        <v>41</v>
      </c>
      <c r="K113" s="42" t="s">
        <v>42</v>
      </c>
      <c r="L113" s="44" t="s">
        <v>43</v>
      </c>
      <c r="M113" s="44" t="s">
        <v>44</v>
      </c>
      <c r="N113" s="45" t="s">
        <v>45</v>
      </c>
    </row>
    <row r="114" spans="1:14" ht="15.75" x14ac:dyDescent="0.25">
      <c r="A114" s="46" t="s">
        <v>600</v>
      </c>
      <c r="B114" s="47" t="s">
        <v>58</v>
      </c>
      <c r="C114" s="48">
        <v>5328341</v>
      </c>
      <c r="D114" s="48">
        <v>1015455</v>
      </c>
      <c r="E114" s="48">
        <v>0</v>
      </c>
      <c r="F114" s="48">
        <v>0</v>
      </c>
      <c r="G114" s="48">
        <v>0</v>
      </c>
      <c r="H114" s="48">
        <v>6343796</v>
      </c>
      <c r="I114" s="48">
        <v>-6343796</v>
      </c>
      <c r="J114" s="48">
        <v>0</v>
      </c>
      <c r="K114" s="48">
        <v>152726</v>
      </c>
      <c r="L114" s="48">
        <v>-152726</v>
      </c>
      <c r="M114" s="48">
        <v>0</v>
      </c>
      <c r="N114" s="48">
        <v>0</v>
      </c>
    </row>
    <row r="115" spans="1:14" ht="15.75" x14ac:dyDescent="0.25">
      <c r="A115" s="49" t="s">
        <v>600</v>
      </c>
      <c r="B115" s="50" t="s">
        <v>59</v>
      </c>
      <c r="C115" s="51">
        <v>5159059</v>
      </c>
      <c r="D115" s="51">
        <v>-31581</v>
      </c>
      <c r="E115" s="51">
        <v>0</v>
      </c>
      <c r="F115" s="51">
        <v>0</v>
      </c>
      <c r="G115" s="51">
        <v>0</v>
      </c>
      <c r="H115" s="51">
        <v>5127478</v>
      </c>
      <c r="I115" s="51">
        <v>-5127478</v>
      </c>
      <c r="J115" s="51">
        <v>0</v>
      </c>
      <c r="K115" s="51">
        <v>40993</v>
      </c>
      <c r="L115" s="51">
        <v>-40993</v>
      </c>
      <c r="M115" s="51">
        <v>0</v>
      </c>
      <c r="N115" s="51">
        <v>0</v>
      </c>
    </row>
    <row r="116" spans="1:14" ht="15.75" x14ac:dyDescent="0.25">
      <c r="A116" s="49" t="s">
        <v>600</v>
      </c>
      <c r="B116" s="50" t="s">
        <v>60</v>
      </c>
      <c r="C116" s="51">
        <v>3879423</v>
      </c>
      <c r="D116" s="51">
        <v>-2791447</v>
      </c>
      <c r="E116" s="51">
        <v>0</v>
      </c>
      <c r="F116" s="51">
        <v>0</v>
      </c>
      <c r="G116" s="51">
        <v>0</v>
      </c>
      <c r="H116" s="51">
        <v>1087976</v>
      </c>
      <c r="I116" s="51">
        <v>-1087976</v>
      </c>
      <c r="J116" s="51">
        <v>0</v>
      </c>
      <c r="K116" s="51">
        <v>699336</v>
      </c>
      <c r="L116" s="51">
        <v>-699336</v>
      </c>
      <c r="M116" s="51">
        <v>0</v>
      </c>
      <c r="N116" s="51">
        <v>0</v>
      </c>
    </row>
    <row r="117" spans="1:14" ht="15.75" x14ac:dyDescent="0.25">
      <c r="A117" s="49" t="s">
        <v>600</v>
      </c>
      <c r="B117" s="50" t="s">
        <v>61</v>
      </c>
      <c r="C117" s="51">
        <v>3112275</v>
      </c>
      <c r="D117" s="51">
        <v>-2599493</v>
      </c>
      <c r="E117" s="51">
        <v>0</v>
      </c>
      <c r="F117" s="51">
        <v>0</v>
      </c>
      <c r="G117" s="51">
        <v>0</v>
      </c>
      <c r="H117" s="51">
        <v>512782</v>
      </c>
      <c r="I117" s="51">
        <v>-512782</v>
      </c>
      <c r="J117" s="51">
        <v>0</v>
      </c>
      <c r="K117" s="51">
        <v>586851</v>
      </c>
      <c r="L117" s="51">
        <v>-586851</v>
      </c>
      <c r="M117" s="51">
        <v>0</v>
      </c>
      <c r="N117" s="51">
        <v>0</v>
      </c>
    </row>
    <row r="118" spans="1:14" ht="15.75" x14ac:dyDescent="0.25">
      <c r="A118" s="52" t="s">
        <v>478</v>
      </c>
      <c r="B118" s="53" t="s">
        <v>8</v>
      </c>
      <c r="C118" s="19">
        <f>SUBTOTAL(109,Program189[(C)
Program
Costs])</f>
        <v>17479098</v>
      </c>
      <c r="D118" s="19">
        <f>SUBTOTAL(109,Program189[(D)
Prior Period Adjustments])</f>
        <v>-4407066</v>
      </c>
      <c r="E118" s="19">
        <f>SUBTOTAL(109,Program189[(E)
Current Period Desk 
Reviews])</f>
        <v>0</v>
      </c>
      <c r="F118" s="19">
        <f>SUBTOTAL(109,Program189[(F)
Current Period 
Final 
Audits])</f>
        <v>0</v>
      </c>
      <c r="G118" s="19">
        <f>SUBTOTAL(109,Program189[(G)
Current Period 
Other Adjustments])</f>
        <v>0</v>
      </c>
      <c r="H118" s="19">
        <f>SUBTOTAL(109,Program189[(H)
Net Program Costs
Sum (C through G)])</f>
        <v>13072032</v>
      </c>
      <c r="I118" s="19">
        <f>SUBTOTAL(109,Program189[(I)
Payments
 and Offsets])</f>
        <v>-13072032</v>
      </c>
      <c r="J118" s="19">
        <f>SUBTOTAL(109,Program189[(J)
Accounts Payable Balance
(H + I)])</f>
        <v>0</v>
      </c>
      <c r="K118" s="19">
        <f>SUBTOTAL(109,Program189[(K)
Established 
Accounts Receivable])</f>
        <v>1479906</v>
      </c>
      <c r="L118" s="19">
        <f>SUBTOTAL(109,Program189[(L)
Recovered
 Accounts Receivable])</f>
        <v>-1479906</v>
      </c>
      <c r="M118" s="19">
        <f>SUBTOTAL(109,Program189[(M)
Accounts Receivable Balance
(K + L)])</f>
        <v>0</v>
      </c>
      <c r="N118" s="19">
        <f>SUBTOTAL(109,Program189[(N)
Net Balance
(J minus M)])</f>
        <v>0</v>
      </c>
    </row>
    <row r="119" spans="1:14" ht="15.75" x14ac:dyDescent="0.25">
      <c r="A119" s="17" t="s">
        <v>13</v>
      </c>
      <c r="B119" s="54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</row>
    <row r="120" spans="1:14" ht="78.75" x14ac:dyDescent="0.25">
      <c r="A120" s="39" t="s">
        <v>32</v>
      </c>
      <c r="B120" s="40" t="s">
        <v>33</v>
      </c>
      <c r="C120" s="41" t="s">
        <v>34</v>
      </c>
      <c r="D120" s="41" t="s">
        <v>35</v>
      </c>
      <c r="E120" s="42" t="s">
        <v>36</v>
      </c>
      <c r="F120" s="42" t="s">
        <v>37</v>
      </c>
      <c r="G120" s="42" t="s">
        <v>38</v>
      </c>
      <c r="H120" s="43" t="s">
        <v>39</v>
      </c>
      <c r="I120" s="44" t="s">
        <v>40</v>
      </c>
      <c r="J120" s="44" t="s">
        <v>41</v>
      </c>
      <c r="K120" s="42" t="s">
        <v>42</v>
      </c>
      <c r="L120" s="44" t="s">
        <v>43</v>
      </c>
      <c r="M120" s="44" t="s">
        <v>44</v>
      </c>
      <c r="N120" s="45" t="s">
        <v>45</v>
      </c>
    </row>
    <row r="121" spans="1:14" ht="15.75" x14ac:dyDescent="0.25">
      <c r="A121" s="46" t="s">
        <v>599</v>
      </c>
      <c r="B121" s="47" t="s">
        <v>54</v>
      </c>
      <c r="C121" s="48">
        <v>6566928</v>
      </c>
      <c r="D121" s="48">
        <v>-16288</v>
      </c>
      <c r="E121" s="48">
        <v>0</v>
      </c>
      <c r="F121" s="48">
        <v>0</v>
      </c>
      <c r="G121" s="48">
        <v>0</v>
      </c>
      <c r="H121" s="48">
        <v>6550640</v>
      </c>
      <c r="I121" s="48">
        <v>-6550640</v>
      </c>
      <c r="J121" s="48">
        <v>0</v>
      </c>
      <c r="K121" s="48">
        <v>11682</v>
      </c>
      <c r="L121" s="48">
        <v>-1131</v>
      </c>
      <c r="M121" s="48">
        <v>10551</v>
      </c>
      <c r="N121" s="48">
        <v>-10551</v>
      </c>
    </row>
    <row r="122" spans="1:14" ht="15.75" x14ac:dyDescent="0.25">
      <c r="A122" s="49" t="s">
        <v>599</v>
      </c>
      <c r="B122" s="50" t="s">
        <v>55</v>
      </c>
      <c r="C122" s="51">
        <v>6080461</v>
      </c>
      <c r="D122" s="51">
        <v>-21114</v>
      </c>
      <c r="E122" s="51">
        <v>0</v>
      </c>
      <c r="F122" s="51">
        <v>0</v>
      </c>
      <c r="G122" s="51">
        <v>0</v>
      </c>
      <c r="H122" s="51">
        <v>6059347</v>
      </c>
      <c r="I122" s="51">
        <v>-6059347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</row>
    <row r="123" spans="1:14" ht="15.75" x14ac:dyDescent="0.25">
      <c r="A123" s="49" t="s">
        <v>599</v>
      </c>
      <c r="B123" s="50" t="s">
        <v>56</v>
      </c>
      <c r="C123" s="51">
        <v>5582724</v>
      </c>
      <c r="D123" s="51">
        <v>-9136</v>
      </c>
      <c r="E123" s="51">
        <v>0</v>
      </c>
      <c r="F123" s="51">
        <v>0</v>
      </c>
      <c r="G123" s="51">
        <v>0</v>
      </c>
      <c r="H123" s="51">
        <v>5573588</v>
      </c>
      <c r="I123" s="51">
        <v>-5573588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</row>
    <row r="124" spans="1:14" ht="15.75" x14ac:dyDescent="0.25">
      <c r="A124" s="49" t="s">
        <v>599</v>
      </c>
      <c r="B124" s="50" t="s">
        <v>57</v>
      </c>
      <c r="C124" s="51">
        <v>5686897</v>
      </c>
      <c r="D124" s="51">
        <v>-128358</v>
      </c>
      <c r="E124" s="51">
        <v>0</v>
      </c>
      <c r="F124" s="51">
        <v>0</v>
      </c>
      <c r="G124" s="51">
        <v>0</v>
      </c>
      <c r="H124" s="51">
        <v>5558539</v>
      </c>
      <c r="I124" s="51">
        <v>-5558539</v>
      </c>
      <c r="J124" s="51">
        <v>0</v>
      </c>
      <c r="K124" s="51">
        <v>101641</v>
      </c>
      <c r="L124" s="51">
        <v>-101641</v>
      </c>
      <c r="M124" s="51">
        <v>0</v>
      </c>
      <c r="N124" s="51">
        <v>0</v>
      </c>
    </row>
    <row r="125" spans="1:14" ht="15.75" x14ac:dyDescent="0.25">
      <c r="A125" s="49" t="s">
        <v>599</v>
      </c>
      <c r="B125" s="50" t="s">
        <v>58</v>
      </c>
      <c r="C125" s="51">
        <v>2026624</v>
      </c>
      <c r="D125" s="51">
        <v>-85303</v>
      </c>
      <c r="E125" s="51">
        <v>0</v>
      </c>
      <c r="F125" s="51">
        <v>0</v>
      </c>
      <c r="G125" s="51">
        <v>0</v>
      </c>
      <c r="H125" s="51">
        <v>1941321</v>
      </c>
      <c r="I125" s="51">
        <v>-1941321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</row>
    <row r="126" spans="1:14" ht="15.75" x14ac:dyDescent="0.25">
      <c r="A126" s="49" t="s">
        <v>599</v>
      </c>
      <c r="B126" s="50" t="s">
        <v>59</v>
      </c>
      <c r="C126" s="51">
        <v>5712333</v>
      </c>
      <c r="D126" s="51">
        <v>-1231</v>
      </c>
      <c r="E126" s="51">
        <v>0</v>
      </c>
      <c r="F126" s="51">
        <v>0</v>
      </c>
      <c r="G126" s="51">
        <v>0</v>
      </c>
      <c r="H126" s="51">
        <v>5711102</v>
      </c>
      <c r="I126" s="51">
        <v>-5711102</v>
      </c>
      <c r="J126" s="51">
        <v>0</v>
      </c>
      <c r="K126" s="51">
        <v>1122</v>
      </c>
      <c r="L126" s="51">
        <v>-1122</v>
      </c>
      <c r="M126" s="51">
        <v>0</v>
      </c>
      <c r="N126" s="51">
        <v>0</v>
      </c>
    </row>
    <row r="127" spans="1:14" ht="15.75" x14ac:dyDescent="0.25">
      <c r="A127" s="52" t="s">
        <v>477</v>
      </c>
      <c r="B127" s="53" t="s">
        <v>8</v>
      </c>
      <c r="C127" s="19">
        <f>SUBTOTAL(109,Program221[(C)
Program
Costs])</f>
        <v>31655967</v>
      </c>
      <c r="D127" s="19">
        <f>SUBTOTAL(109,Program221[(D)
Prior Period Adjustments])</f>
        <v>-261430</v>
      </c>
      <c r="E127" s="19">
        <f>SUBTOTAL(109,Program221[(E)
Current Period Desk 
Reviews])</f>
        <v>0</v>
      </c>
      <c r="F127" s="19">
        <f>SUBTOTAL(109,Program221[(F)
Current Period 
Final 
Audits])</f>
        <v>0</v>
      </c>
      <c r="G127" s="19">
        <f>SUBTOTAL(109,Program221[(G)
Current Period 
Other Adjustments])</f>
        <v>0</v>
      </c>
      <c r="H127" s="19">
        <f>SUBTOTAL(109,Program221[(H)
Net Program Costs
Sum (C through G)])</f>
        <v>31394537</v>
      </c>
      <c r="I127" s="19">
        <f>SUBTOTAL(109,Program221[(I)
Payments
 and Offsets])</f>
        <v>-31394537</v>
      </c>
      <c r="J127" s="19">
        <f>SUBTOTAL(109,Program221[(J)
Accounts Payable Balance
(H + I)])</f>
        <v>0</v>
      </c>
      <c r="K127" s="19">
        <f>SUBTOTAL(109,Program221[(K)
Established 
Accounts Receivable])</f>
        <v>114445</v>
      </c>
      <c r="L127" s="19">
        <f>SUBTOTAL(109,Program221[(L)
Recovered
 Accounts Receivable])</f>
        <v>-103894</v>
      </c>
      <c r="M127" s="19">
        <f>SUBTOTAL(109,Program221[(M)
Accounts Receivable Balance
(K + L)])</f>
        <v>10551</v>
      </c>
      <c r="N127" s="19">
        <f>SUBTOTAL(109,Program221[(N)
Net Balance
(J minus M)])</f>
        <v>-10551</v>
      </c>
    </row>
    <row r="128" spans="1:14" ht="15.75" x14ac:dyDescent="0.25">
      <c r="A128" s="17" t="s">
        <v>13</v>
      </c>
      <c r="B128" s="54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ht="78.75" x14ac:dyDescent="0.25">
      <c r="A129" s="39" t="s">
        <v>32</v>
      </c>
      <c r="B129" s="40" t="s">
        <v>33</v>
      </c>
      <c r="C129" s="41" t="s">
        <v>34</v>
      </c>
      <c r="D129" s="41" t="s">
        <v>35</v>
      </c>
      <c r="E129" s="42" t="s">
        <v>36</v>
      </c>
      <c r="F129" s="42" t="s">
        <v>37</v>
      </c>
      <c r="G129" s="42" t="s">
        <v>38</v>
      </c>
      <c r="H129" s="43" t="s">
        <v>39</v>
      </c>
      <c r="I129" s="44" t="s">
        <v>40</v>
      </c>
      <c r="J129" s="44" t="s">
        <v>41</v>
      </c>
      <c r="K129" s="42" t="s">
        <v>42</v>
      </c>
      <c r="L129" s="44" t="s">
        <v>43</v>
      </c>
      <c r="M129" s="44" t="s">
        <v>44</v>
      </c>
      <c r="N129" s="45" t="s">
        <v>45</v>
      </c>
    </row>
    <row r="130" spans="1:14" ht="15.75" x14ac:dyDescent="0.25">
      <c r="A130" s="46" t="s">
        <v>598</v>
      </c>
      <c r="B130" s="47" t="s">
        <v>60</v>
      </c>
      <c r="C130" s="48">
        <v>54393</v>
      </c>
      <c r="D130" s="48">
        <v>0</v>
      </c>
      <c r="E130" s="48">
        <v>0</v>
      </c>
      <c r="F130" s="48">
        <v>0</v>
      </c>
      <c r="G130" s="48">
        <v>0</v>
      </c>
      <c r="H130" s="48">
        <v>54393</v>
      </c>
      <c r="I130" s="48">
        <v>-54393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</row>
    <row r="131" spans="1:14" ht="15.75" x14ac:dyDescent="0.25">
      <c r="A131" s="52" t="s">
        <v>476</v>
      </c>
      <c r="B131" s="53" t="s">
        <v>8</v>
      </c>
      <c r="C131" s="19">
        <f>SUBTOTAL(109,Program229[(C)
Program
Costs])</f>
        <v>54393</v>
      </c>
      <c r="D131" s="19">
        <f>SUBTOTAL(109,Program229[(D)
Prior Period Adjustments])</f>
        <v>0</v>
      </c>
      <c r="E131" s="19">
        <f>SUBTOTAL(109,Program229[(E)
Current Period Desk 
Reviews])</f>
        <v>0</v>
      </c>
      <c r="F131" s="19">
        <f>SUBTOTAL(109,Program229[(F)
Current Period 
Final 
Audits])</f>
        <v>0</v>
      </c>
      <c r="G131" s="19">
        <f>SUBTOTAL(109,Program229[(G)
Current Period 
Other Adjustments])</f>
        <v>0</v>
      </c>
      <c r="H131" s="19">
        <f>SUBTOTAL(109,Program229[(H)
Net Program Costs
Sum (C through G)])</f>
        <v>54393</v>
      </c>
      <c r="I131" s="19">
        <f>SUBTOTAL(109,Program229[(I)
Payments
 and Offsets])</f>
        <v>-54393</v>
      </c>
      <c r="J131" s="19">
        <f>SUBTOTAL(109,Program229[(J)
Accounts Payable Balance
(H + I)])</f>
        <v>0</v>
      </c>
      <c r="K131" s="19">
        <f>SUBTOTAL(109,Program229[(K)
Established 
Accounts Receivable])</f>
        <v>0</v>
      </c>
      <c r="L131" s="19">
        <f>SUBTOTAL(109,Program229[(L)
Recovered
 Accounts Receivable])</f>
        <v>0</v>
      </c>
      <c r="M131" s="19">
        <f>SUBTOTAL(109,Program229[(M)
Accounts Receivable Balance
(K + L)])</f>
        <v>0</v>
      </c>
      <c r="N131" s="19">
        <f>SUBTOTAL(109,Program229[(N)
Net Balance
(J minus M)])</f>
        <v>0</v>
      </c>
    </row>
    <row r="132" spans="1:14" ht="15.75" x14ac:dyDescent="0.25">
      <c r="A132" s="17" t="s">
        <v>13</v>
      </c>
      <c r="B132" s="54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</row>
    <row r="133" spans="1:14" ht="78.75" x14ac:dyDescent="0.25">
      <c r="A133" s="39" t="s">
        <v>32</v>
      </c>
      <c r="B133" s="40" t="s">
        <v>33</v>
      </c>
      <c r="C133" s="41" t="s">
        <v>34</v>
      </c>
      <c r="D133" s="41" t="s">
        <v>35</v>
      </c>
      <c r="E133" s="42" t="s">
        <v>36</v>
      </c>
      <c r="F133" s="42" t="s">
        <v>37</v>
      </c>
      <c r="G133" s="42" t="s">
        <v>38</v>
      </c>
      <c r="H133" s="43" t="s">
        <v>39</v>
      </c>
      <c r="I133" s="44" t="s">
        <v>40</v>
      </c>
      <c r="J133" s="44" t="s">
        <v>41</v>
      </c>
      <c r="K133" s="42" t="s">
        <v>42</v>
      </c>
      <c r="L133" s="44" t="s">
        <v>43</v>
      </c>
      <c r="M133" s="44" t="s">
        <v>44</v>
      </c>
      <c r="N133" s="45" t="s">
        <v>45</v>
      </c>
    </row>
    <row r="134" spans="1:14" ht="30" x14ac:dyDescent="0.25">
      <c r="A134" s="67" t="s">
        <v>597</v>
      </c>
      <c r="B134" s="57" t="s">
        <v>83</v>
      </c>
      <c r="C134" s="58">
        <v>57779373</v>
      </c>
      <c r="D134" s="58">
        <v>-56297188</v>
      </c>
      <c r="E134" s="58">
        <v>0</v>
      </c>
      <c r="F134" s="58">
        <v>0</v>
      </c>
      <c r="G134" s="58">
        <v>0</v>
      </c>
      <c r="H134" s="58">
        <v>1482185</v>
      </c>
      <c r="I134" s="58">
        <v>-1046875</v>
      </c>
      <c r="J134" s="58">
        <v>435310</v>
      </c>
      <c r="K134" s="58">
        <v>0</v>
      </c>
      <c r="L134" s="58">
        <v>0</v>
      </c>
      <c r="M134" s="58">
        <v>0</v>
      </c>
      <c r="N134" s="58">
        <v>435310</v>
      </c>
    </row>
    <row r="135" spans="1:14" ht="30" x14ac:dyDescent="0.25">
      <c r="A135" s="68" t="s">
        <v>597</v>
      </c>
      <c r="B135" s="60" t="s">
        <v>48</v>
      </c>
      <c r="C135" s="61">
        <v>56330780</v>
      </c>
      <c r="D135" s="61">
        <v>-55107028</v>
      </c>
      <c r="E135" s="61">
        <v>0</v>
      </c>
      <c r="F135" s="61">
        <v>0</v>
      </c>
      <c r="G135" s="61">
        <v>0</v>
      </c>
      <c r="H135" s="61">
        <v>1223752</v>
      </c>
      <c r="I135" s="61">
        <v>-860241</v>
      </c>
      <c r="J135" s="61">
        <v>363511</v>
      </c>
      <c r="K135" s="61">
        <v>0</v>
      </c>
      <c r="L135" s="61">
        <v>0</v>
      </c>
      <c r="M135" s="61">
        <v>0</v>
      </c>
      <c r="N135" s="61">
        <v>363511</v>
      </c>
    </row>
    <row r="136" spans="1:14" ht="30" x14ac:dyDescent="0.25">
      <c r="A136" s="68" t="s">
        <v>597</v>
      </c>
      <c r="B136" s="60" t="s">
        <v>49</v>
      </c>
      <c r="C136" s="61">
        <v>55236129</v>
      </c>
      <c r="D136" s="61">
        <v>-961239</v>
      </c>
      <c r="E136" s="61">
        <v>0</v>
      </c>
      <c r="F136" s="61">
        <v>0</v>
      </c>
      <c r="G136" s="61">
        <v>0</v>
      </c>
      <c r="H136" s="61">
        <v>54274890</v>
      </c>
      <c r="I136" s="61">
        <v>-43186728</v>
      </c>
      <c r="J136" s="61">
        <v>11088162</v>
      </c>
      <c r="K136" s="61">
        <v>0</v>
      </c>
      <c r="L136" s="61">
        <v>0</v>
      </c>
      <c r="M136" s="61">
        <v>0</v>
      </c>
      <c r="N136" s="61">
        <v>11088162</v>
      </c>
    </row>
    <row r="137" spans="1:14" ht="30" x14ac:dyDescent="0.25">
      <c r="A137" s="68" t="s">
        <v>597</v>
      </c>
      <c r="B137" s="60" t="s">
        <v>50</v>
      </c>
      <c r="C137" s="61">
        <v>55847343</v>
      </c>
      <c r="D137" s="61">
        <v>-927197</v>
      </c>
      <c r="E137" s="61">
        <v>0</v>
      </c>
      <c r="F137" s="61">
        <v>0</v>
      </c>
      <c r="G137" s="61">
        <v>0</v>
      </c>
      <c r="H137" s="61">
        <v>54920146</v>
      </c>
      <c r="I137" s="61">
        <v>-44829887</v>
      </c>
      <c r="J137" s="61">
        <v>10090259</v>
      </c>
      <c r="K137" s="61">
        <v>0</v>
      </c>
      <c r="L137" s="61">
        <v>0</v>
      </c>
      <c r="M137" s="61">
        <v>0</v>
      </c>
      <c r="N137" s="61">
        <v>10090259</v>
      </c>
    </row>
    <row r="138" spans="1:14" ht="30" x14ac:dyDescent="0.25">
      <c r="A138" s="68" t="s">
        <v>597</v>
      </c>
      <c r="B138" s="60" t="s">
        <v>51</v>
      </c>
      <c r="C138" s="61">
        <v>54759166</v>
      </c>
      <c r="D138" s="61">
        <v>-891952</v>
      </c>
      <c r="E138" s="61">
        <v>0</v>
      </c>
      <c r="F138" s="61">
        <v>0</v>
      </c>
      <c r="G138" s="61">
        <v>0</v>
      </c>
      <c r="H138" s="61">
        <v>53867214</v>
      </c>
      <c r="I138" s="61">
        <v>-45736429</v>
      </c>
      <c r="J138" s="61">
        <v>8130785</v>
      </c>
      <c r="K138" s="61">
        <v>0</v>
      </c>
      <c r="L138" s="61">
        <v>0</v>
      </c>
      <c r="M138" s="61">
        <v>0</v>
      </c>
      <c r="N138" s="61">
        <v>8130785</v>
      </c>
    </row>
    <row r="139" spans="1:14" ht="30" x14ac:dyDescent="0.25">
      <c r="A139" s="68" t="s">
        <v>597</v>
      </c>
      <c r="B139" s="60" t="s">
        <v>52</v>
      </c>
      <c r="C139" s="61">
        <v>51534451</v>
      </c>
      <c r="D139" s="61">
        <v>-807165</v>
      </c>
      <c r="E139" s="61">
        <v>0</v>
      </c>
      <c r="F139" s="61">
        <v>0</v>
      </c>
      <c r="G139" s="61">
        <v>0</v>
      </c>
      <c r="H139" s="61">
        <v>50727286</v>
      </c>
      <c r="I139" s="61">
        <v>-43697065</v>
      </c>
      <c r="J139" s="61">
        <v>7030221</v>
      </c>
      <c r="K139" s="61">
        <v>0</v>
      </c>
      <c r="L139" s="61">
        <v>0</v>
      </c>
      <c r="M139" s="61">
        <v>0</v>
      </c>
      <c r="N139" s="61">
        <v>7030221</v>
      </c>
    </row>
    <row r="140" spans="1:14" ht="30" x14ac:dyDescent="0.25">
      <c r="A140" s="68" t="s">
        <v>597</v>
      </c>
      <c r="B140" s="60" t="s">
        <v>53</v>
      </c>
      <c r="C140" s="61">
        <v>49291977</v>
      </c>
      <c r="D140" s="61">
        <v>-753834</v>
      </c>
      <c r="E140" s="61">
        <v>0</v>
      </c>
      <c r="F140" s="61">
        <v>0</v>
      </c>
      <c r="G140" s="61">
        <v>0</v>
      </c>
      <c r="H140" s="61">
        <v>48538143</v>
      </c>
      <c r="I140" s="61">
        <v>-42415623</v>
      </c>
      <c r="J140" s="61">
        <v>6122520</v>
      </c>
      <c r="K140" s="61">
        <v>0</v>
      </c>
      <c r="L140" s="61">
        <v>0</v>
      </c>
      <c r="M140" s="61">
        <v>0</v>
      </c>
      <c r="N140" s="61">
        <v>6122520</v>
      </c>
    </row>
    <row r="141" spans="1:14" ht="30" x14ac:dyDescent="0.25">
      <c r="A141" s="68" t="s">
        <v>597</v>
      </c>
      <c r="B141" s="60" t="s">
        <v>54</v>
      </c>
      <c r="C141" s="61">
        <v>46473382</v>
      </c>
      <c r="D141" s="61">
        <v>-688755</v>
      </c>
      <c r="E141" s="61">
        <v>0</v>
      </c>
      <c r="F141" s="61">
        <v>0</v>
      </c>
      <c r="G141" s="61">
        <v>0</v>
      </c>
      <c r="H141" s="61">
        <v>45784627</v>
      </c>
      <c r="I141" s="61">
        <v>-40536570</v>
      </c>
      <c r="J141" s="61">
        <v>5248057</v>
      </c>
      <c r="K141" s="61">
        <v>0</v>
      </c>
      <c r="L141" s="61">
        <v>0</v>
      </c>
      <c r="M141" s="61">
        <v>0</v>
      </c>
      <c r="N141" s="61">
        <v>5248057</v>
      </c>
    </row>
    <row r="142" spans="1:14" ht="30" x14ac:dyDescent="0.25">
      <c r="A142" s="68" t="s">
        <v>597</v>
      </c>
      <c r="B142" s="60" t="s">
        <v>55</v>
      </c>
      <c r="C142" s="61">
        <v>43760523</v>
      </c>
      <c r="D142" s="61">
        <v>-608383</v>
      </c>
      <c r="E142" s="61">
        <v>0</v>
      </c>
      <c r="F142" s="61">
        <v>0</v>
      </c>
      <c r="G142" s="61">
        <v>0</v>
      </c>
      <c r="H142" s="61">
        <v>43152140</v>
      </c>
      <c r="I142" s="61">
        <v>-38771342</v>
      </c>
      <c r="J142" s="61">
        <v>4380798</v>
      </c>
      <c r="K142" s="61">
        <v>0</v>
      </c>
      <c r="L142" s="61">
        <v>0</v>
      </c>
      <c r="M142" s="61">
        <v>0</v>
      </c>
      <c r="N142" s="61">
        <v>4380798</v>
      </c>
    </row>
    <row r="143" spans="1:14" ht="30" x14ac:dyDescent="0.25">
      <c r="A143" s="68" t="s">
        <v>597</v>
      </c>
      <c r="B143" s="60" t="s">
        <v>56</v>
      </c>
      <c r="C143" s="61">
        <v>41954863</v>
      </c>
      <c r="D143" s="61">
        <v>-591709</v>
      </c>
      <c r="E143" s="61">
        <v>0</v>
      </c>
      <c r="F143" s="61">
        <v>0</v>
      </c>
      <c r="G143" s="61">
        <v>0</v>
      </c>
      <c r="H143" s="61">
        <v>41363154</v>
      </c>
      <c r="I143" s="61">
        <v>-37738313</v>
      </c>
      <c r="J143" s="61">
        <v>3624841</v>
      </c>
      <c r="K143" s="61">
        <v>0</v>
      </c>
      <c r="L143" s="61">
        <v>0</v>
      </c>
      <c r="M143" s="61">
        <v>0</v>
      </c>
      <c r="N143" s="61">
        <v>3624841</v>
      </c>
    </row>
    <row r="144" spans="1:14" ht="30" x14ac:dyDescent="0.25">
      <c r="A144" s="68" t="s">
        <v>597</v>
      </c>
      <c r="B144" s="60" t="s">
        <v>57</v>
      </c>
      <c r="C144" s="61">
        <v>39550486</v>
      </c>
      <c r="D144" s="61">
        <v>-540615</v>
      </c>
      <c r="E144" s="61">
        <v>0</v>
      </c>
      <c r="F144" s="61">
        <v>0</v>
      </c>
      <c r="G144" s="61">
        <v>0</v>
      </c>
      <c r="H144" s="61">
        <v>39009871</v>
      </c>
      <c r="I144" s="61">
        <v>-35783447</v>
      </c>
      <c r="J144" s="61">
        <v>3226424</v>
      </c>
      <c r="K144" s="61">
        <v>0</v>
      </c>
      <c r="L144" s="61">
        <v>0</v>
      </c>
      <c r="M144" s="61">
        <v>0</v>
      </c>
      <c r="N144" s="61">
        <v>3226424</v>
      </c>
    </row>
    <row r="145" spans="1:14" ht="30" x14ac:dyDescent="0.25">
      <c r="A145" s="68" t="s">
        <v>597</v>
      </c>
      <c r="B145" s="60" t="s">
        <v>58</v>
      </c>
      <c r="C145" s="61">
        <v>37994751</v>
      </c>
      <c r="D145" s="61">
        <v>-487582</v>
      </c>
      <c r="E145" s="61">
        <v>0</v>
      </c>
      <c r="F145" s="61">
        <v>0</v>
      </c>
      <c r="G145" s="61">
        <v>0</v>
      </c>
      <c r="H145" s="61">
        <v>37507169</v>
      </c>
      <c r="I145" s="61">
        <v>-34737941</v>
      </c>
      <c r="J145" s="61">
        <v>2769228</v>
      </c>
      <c r="K145" s="61">
        <v>0</v>
      </c>
      <c r="L145" s="61">
        <v>0</v>
      </c>
      <c r="M145" s="61">
        <v>0</v>
      </c>
      <c r="N145" s="61">
        <v>2769228</v>
      </c>
    </row>
    <row r="146" spans="1:14" ht="30" x14ac:dyDescent="0.25">
      <c r="A146" s="68" t="s">
        <v>597</v>
      </c>
      <c r="B146" s="60" t="s">
        <v>59</v>
      </c>
      <c r="C146" s="61">
        <v>35654717</v>
      </c>
      <c r="D146" s="61">
        <v>-426206</v>
      </c>
      <c r="E146" s="61">
        <v>0</v>
      </c>
      <c r="F146" s="61">
        <v>0</v>
      </c>
      <c r="G146" s="61">
        <v>0</v>
      </c>
      <c r="H146" s="61">
        <v>35228511</v>
      </c>
      <c r="I146" s="61">
        <v>-32753841</v>
      </c>
      <c r="J146" s="61">
        <v>2474670</v>
      </c>
      <c r="K146" s="61">
        <v>0</v>
      </c>
      <c r="L146" s="61">
        <v>0</v>
      </c>
      <c r="M146" s="61">
        <v>0</v>
      </c>
      <c r="N146" s="61">
        <v>2474670</v>
      </c>
    </row>
    <row r="147" spans="1:14" ht="30" x14ac:dyDescent="0.25">
      <c r="A147" s="68" t="s">
        <v>597</v>
      </c>
      <c r="B147" s="60" t="s">
        <v>60</v>
      </c>
      <c r="C147" s="61">
        <v>33835597</v>
      </c>
      <c r="D147" s="61">
        <v>-395777</v>
      </c>
      <c r="E147" s="61">
        <v>0</v>
      </c>
      <c r="F147" s="61">
        <v>0</v>
      </c>
      <c r="G147" s="61">
        <v>0</v>
      </c>
      <c r="H147" s="61">
        <v>33439820</v>
      </c>
      <c r="I147" s="61">
        <v>-31066839</v>
      </c>
      <c r="J147" s="61">
        <v>2372981</v>
      </c>
      <c r="K147" s="61">
        <v>0</v>
      </c>
      <c r="L147" s="61">
        <v>0</v>
      </c>
      <c r="M147" s="61">
        <v>0</v>
      </c>
      <c r="N147" s="61">
        <v>2372981</v>
      </c>
    </row>
    <row r="148" spans="1:14" ht="30" x14ac:dyDescent="0.25">
      <c r="A148" s="68" t="s">
        <v>597</v>
      </c>
      <c r="B148" s="60" t="s">
        <v>61</v>
      </c>
      <c r="C148" s="61">
        <v>33383819</v>
      </c>
      <c r="D148" s="61">
        <v>-386421</v>
      </c>
      <c r="E148" s="61">
        <v>0</v>
      </c>
      <c r="F148" s="61">
        <v>0</v>
      </c>
      <c r="G148" s="61">
        <v>0</v>
      </c>
      <c r="H148" s="61">
        <v>32997398</v>
      </c>
      <c r="I148" s="61">
        <v>-30671594</v>
      </c>
      <c r="J148" s="61">
        <v>2325804</v>
      </c>
      <c r="K148" s="61">
        <v>0</v>
      </c>
      <c r="L148" s="61">
        <v>0</v>
      </c>
      <c r="M148" s="61">
        <v>0</v>
      </c>
      <c r="N148" s="61">
        <v>2325804</v>
      </c>
    </row>
    <row r="149" spans="1:14" ht="30" x14ac:dyDescent="0.25">
      <c r="A149" s="68" t="s">
        <v>597</v>
      </c>
      <c r="B149" s="60" t="s">
        <v>62</v>
      </c>
      <c r="C149" s="61">
        <v>32098530</v>
      </c>
      <c r="D149" s="61">
        <v>-369938</v>
      </c>
      <c r="E149" s="61">
        <v>0</v>
      </c>
      <c r="F149" s="61">
        <v>0</v>
      </c>
      <c r="G149" s="61">
        <v>0</v>
      </c>
      <c r="H149" s="61">
        <v>31728592</v>
      </c>
      <c r="I149" s="61">
        <v>-29479003</v>
      </c>
      <c r="J149" s="61">
        <v>2249589</v>
      </c>
      <c r="K149" s="61">
        <v>0</v>
      </c>
      <c r="L149" s="61">
        <v>0</v>
      </c>
      <c r="M149" s="61">
        <v>0</v>
      </c>
      <c r="N149" s="61">
        <v>2249589</v>
      </c>
    </row>
    <row r="150" spans="1:14" ht="30" x14ac:dyDescent="0.25">
      <c r="A150" s="68" t="s">
        <v>597</v>
      </c>
      <c r="B150" s="60" t="s">
        <v>63</v>
      </c>
      <c r="C150" s="61">
        <v>30405477</v>
      </c>
      <c r="D150" s="61">
        <v>-340705</v>
      </c>
      <c r="E150" s="61">
        <v>0</v>
      </c>
      <c r="F150" s="61">
        <v>0</v>
      </c>
      <c r="G150" s="61">
        <v>0</v>
      </c>
      <c r="H150" s="61">
        <v>30064772</v>
      </c>
      <c r="I150" s="61">
        <v>-27948374</v>
      </c>
      <c r="J150" s="61">
        <v>2116398</v>
      </c>
      <c r="K150" s="61">
        <v>0</v>
      </c>
      <c r="L150" s="61">
        <v>0</v>
      </c>
      <c r="M150" s="61">
        <v>0</v>
      </c>
      <c r="N150" s="61">
        <v>2116398</v>
      </c>
    </row>
    <row r="151" spans="1:14" ht="30" x14ac:dyDescent="0.25">
      <c r="A151" s="68" t="s">
        <v>597</v>
      </c>
      <c r="B151" s="60" t="s">
        <v>64</v>
      </c>
      <c r="C151" s="61">
        <v>28713900</v>
      </c>
      <c r="D151" s="61">
        <v>-313247</v>
      </c>
      <c r="E151" s="61">
        <v>0</v>
      </c>
      <c r="F151" s="61">
        <v>0</v>
      </c>
      <c r="G151" s="61">
        <v>0</v>
      </c>
      <c r="H151" s="61">
        <v>28400653</v>
      </c>
      <c r="I151" s="61">
        <v>-26404035</v>
      </c>
      <c r="J151" s="61">
        <v>1996618</v>
      </c>
      <c r="K151" s="61">
        <v>0</v>
      </c>
      <c r="L151" s="61">
        <v>0</v>
      </c>
      <c r="M151" s="61">
        <v>0</v>
      </c>
      <c r="N151" s="61">
        <v>1996618</v>
      </c>
    </row>
    <row r="152" spans="1:14" ht="30" x14ac:dyDescent="0.25">
      <c r="A152" s="68" t="s">
        <v>597</v>
      </c>
      <c r="B152" s="60" t="s">
        <v>65</v>
      </c>
      <c r="C152" s="61">
        <v>27838777</v>
      </c>
      <c r="D152" s="61">
        <v>-242281</v>
      </c>
      <c r="E152" s="61">
        <v>0</v>
      </c>
      <c r="F152" s="61">
        <v>0</v>
      </c>
      <c r="G152" s="61">
        <v>0</v>
      </c>
      <c r="H152" s="61">
        <v>27596496</v>
      </c>
      <c r="I152" s="61">
        <v>-25255912</v>
      </c>
      <c r="J152" s="61">
        <v>2340584</v>
      </c>
      <c r="K152" s="61">
        <v>0</v>
      </c>
      <c r="L152" s="61">
        <v>0</v>
      </c>
      <c r="M152" s="61">
        <v>0</v>
      </c>
      <c r="N152" s="61">
        <v>2340584</v>
      </c>
    </row>
    <row r="153" spans="1:14" ht="15.75" x14ac:dyDescent="0.25">
      <c r="A153" s="52" t="s">
        <v>475</v>
      </c>
      <c r="B153" s="53" t="s">
        <v>8</v>
      </c>
      <c r="C153" s="19">
        <f>SUBTOTAL(109,Program348[(C)
Program
Costs])</f>
        <v>812444041</v>
      </c>
      <c r="D153" s="19">
        <f>SUBTOTAL(109,Program348[(D)
Prior Period Adjustments])</f>
        <v>-121137222</v>
      </c>
      <c r="E153" s="19">
        <f>SUBTOTAL(109,Program348[(E)
Current Period Desk 
Reviews])</f>
        <v>0</v>
      </c>
      <c r="F153" s="19">
        <f>SUBTOTAL(109,Program348[(F)
Current Period 
Final 
Audits])</f>
        <v>0</v>
      </c>
      <c r="G153" s="19">
        <f>SUBTOTAL(109,Program348[(G)
Current Period 
Other Adjustments])</f>
        <v>0</v>
      </c>
      <c r="H153" s="19">
        <f>SUBTOTAL(109,Program348[(H)
Net Program Costs
Sum (C through G)])</f>
        <v>691306819</v>
      </c>
      <c r="I153" s="19">
        <f>SUBTOTAL(109,Program348[(I)
Payments
 and Offsets])</f>
        <v>-612920059</v>
      </c>
      <c r="J153" s="19">
        <f>SUBTOTAL(109,Program348[(J)
Accounts Payable Balance
(H + I)])</f>
        <v>78386760</v>
      </c>
      <c r="K153" s="19">
        <f>SUBTOTAL(109,Program348[(K)
Established 
Accounts Receivable])</f>
        <v>0</v>
      </c>
      <c r="L153" s="19">
        <f>SUBTOTAL(109,Program348[(L)
Recovered
 Accounts Receivable])</f>
        <v>0</v>
      </c>
      <c r="M153" s="19">
        <f>SUBTOTAL(109,Program348[(M)
Accounts Receivable Balance
(K + L)])</f>
        <v>0</v>
      </c>
      <c r="N153" s="19">
        <f>SUBTOTAL(109,Program348[(N)
Net Balance
(J minus M)])</f>
        <v>78386760</v>
      </c>
    </row>
    <row r="154" spans="1:14" ht="15.75" x14ac:dyDescent="0.25">
      <c r="A154" s="17" t="s">
        <v>13</v>
      </c>
      <c r="B154" s="54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78.75" x14ac:dyDescent="0.25">
      <c r="A155" s="39" t="s">
        <v>32</v>
      </c>
      <c r="B155" s="40" t="s">
        <v>33</v>
      </c>
      <c r="C155" s="41" t="s">
        <v>34</v>
      </c>
      <c r="D155" s="41" t="s">
        <v>35</v>
      </c>
      <c r="E155" s="42" t="s">
        <v>36</v>
      </c>
      <c r="F155" s="42" t="s">
        <v>37</v>
      </c>
      <c r="G155" s="42" t="s">
        <v>38</v>
      </c>
      <c r="H155" s="43" t="s">
        <v>39</v>
      </c>
      <c r="I155" s="44" t="s">
        <v>40</v>
      </c>
      <c r="J155" s="44" t="s">
        <v>41</v>
      </c>
      <c r="K155" s="42" t="s">
        <v>42</v>
      </c>
      <c r="L155" s="44" t="s">
        <v>43</v>
      </c>
      <c r="M155" s="44" t="s">
        <v>44</v>
      </c>
      <c r="N155" s="45" t="s">
        <v>45</v>
      </c>
    </row>
    <row r="156" spans="1:14" ht="30" x14ac:dyDescent="0.25">
      <c r="A156" s="67" t="s">
        <v>596</v>
      </c>
      <c r="B156" s="57" t="s">
        <v>81</v>
      </c>
      <c r="C156" s="58">
        <v>127851</v>
      </c>
      <c r="D156" s="58">
        <v>-127851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30" x14ac:dyDescent="0.25">
      <c r="A157" s="68" t="s">
        <v>596</v>
      </c>
      <c r="B157" s="60" t="s">
        <v>82</v>
      </c>
      <c r="C157" s="61">
        <v>5574938</v>
      </c>
      <c r="D157" s="61">
        <v>-5007423</v>
      </c>
      <c r="E157" s="61">
        <v>0</v>
      </c>
      <c r="F157" s="61">
        <v>0</v>
      </c>
      <c r="G157" s="61">
        <v>0</v>
      </c>
      <c r="H157" s="61">
        <v>567515</v>
      </c>
      <c r="I157" s="61">
        <v>-339292</v>
      </c>
      <c r="J157" s="61">
        <v>228223</v>
      </c>
      <c r="K157" s="61">
        <v>0</v>
      </c>
      <c r="L157" s="61">
        <v>0</v>
      </c>
      <c r="M157" s="61">
        <v>0</v>
      </c>
      <c r="N157" s="61">
        <v>228223</v>
      </c>
    </row>
    <row r="158" spans="1:14" ht="15.75" x14ac:dyDescent="0.25">
      <c r="A158" s="52" t="s">
        <v>474</v>
      </c>
      <c r="B158" s="53" t="s">
        <v>8</v>
      </c>
      <c r="C158" s="19">
        <f>SUBTOTAL(109,Program349[(C)
Program
Costs])</f>
        <v>5702789</v>
      </c>
      <c r="D158" s="19">
        <f>SUBTOTAL(109,Program349[(D)
Prior Period Adjustments])</f>
        <v>-5135274</v>
      </c>
      <c r="E158" s="19">
        <f>SUBTOTAL(109,Program349[(E)
Current Period Desk 
Reviews])</f>
        <v>0</v>
      </c>
      <c r="F158" s="19">
        <f>SUBTOTAL(109,Program349[(F)
Current Period 
Final 
Audits])</f>
        <v>0</v>
      </c>
      <c r="G158" s="19">
        <f>SUBTOTAL(109,Program349[(G)
Current Period 
Other Adjustments])</f>
        <v>0</v>
      </c>
      <c r="H158" s="19">
        <f>SUBTOTAL(109,Program349[(H)
Net Program Costs
Sum (C through G)])</f>
        <v>567515</v>
      </c>
      <c r="I158" s="19">
        <f>SUBTOTAL(109,Program349[(I)
Payments
 and Offsets])</f>
        <v>-339292</v>
      </c>
      <c r="J158" s="19">
        <f>SUBTOTAL(109,Program349[(J)
Accounts Payable Balance
(H + I)])</f>
        <v>228223</v>
      </c>
      <c r="K158" s="19">
        <f>SUBTOTAL(109,Program349[(K)
Established 
Accounts Receivable])</f>
        <v>0</v>
      </c>
      <c r="L158" s="19">
        <f>SUBTOTAL(109,Program349[(L)
Recovered
 Accounts Receivable])</f>
        <v>0</v>
      </c>
      <c r="M158" s="19">
        <f>SUBTOTAL(109,Program349[(M)
Accounts Receivable Balance
(K + L)])</f>
        <v>0</v>
      </c>
      <c r="N158" s="19">
        <f>SUBTOTAL(109,Program349[(N)
Net Balance
(J minus M)])</f>
        <v>228223</v>
      </c>
    </row>
    <row r="159" spans="1:14" ht="15.75" x14ac:dyDescent="0.25">
      <c r="A159" s="17" t="s">
        <v>13</v>
      </c>
      <c r="B159" s="54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78.75" x14ac:dyDescent="0.25">
      <c r="A160" s="39" t="s">
        <v>32</v>
      </c>
      <c r="B160" s="40" t="s">
        <v>33</v>
      </c>
      <c r="C160" s="41" t="s">
        <v>34</v>
      </c>
      <c r="D160" s="41" t="s">
        <v>35</v>
      </c>
      <c r="E160" s="42" t="s">
        <v>36</v>
      </c>
      <c r="F160" s="42" t="s">
        <v>37</v>
      </c>
      <c r="G160" s="42" t="s">
        <v>38</v>
      </c>
      <c r="H160" s="43" t="s">
        <v>39</v>
      </c>
      <c r="I160" s="44" t="s">
        <v>40</v>
      </c>
      <c r="J160" s="44" t="s">
        <v>41</v>
      </c>
      <c r="K160" s="42" t="s">
        <v>42</v>
      </c>
      <c r="L160" s="44" t="s">
        <v>43</v>
      </c>
      <c r="M160" s="44" t="s">
        <v>44</v>
      </c>
      <c r="N160" s="45" t="s">
        <v>45</v>
      </c>
    </row>
    <row r="161" spans="1:14" ht="30" x14ac:dyDescent="0.25">
      <c r="A161" s="67" t="s">
        <v>595</v>
      </c>
      <c r="B161" s="57" t="s">
        <v>77</v>
      </c>
      <c r="C161" s="58">
        <v>49754</v>
      </c>
      <c r="D161" s="58">
        <v>0</v>
      </c>
      <c r="E161" s="58">
        <v>0</v>
      </c>
      <c r="F161" s="58">
        <v>0</v>
      </c>
      <c r="G161" s="58">
        <v>0</v>
      </c>
      <c r="H161" s="58">
        <v>49754</v>
      </c>
      <c r="I161" s="58">
        <v>-1000</v>
      </c>
      <c r="J161" s="58">
        <v>48754</v>
      </c>
      <c r="K161" s="58">
        <v>0</v>
      </c>
      <c r="L161" s="58">
        <v>0</v>
      </c>
      <c r="M161" s="58">
        <v>0</v>
      </c>
      <c r="N161" s="58">
        <v>48754</v>
      </c>
    </row>
    <row r="162" spans="1:14" ht="30" x14ac:dyDescent="0.25">
      <c r="A162" s="68" t="s">
        <v>595</v>
      </c>
      <c r="B162" s="60" t="s">
        <v>78</v>
      </c>
      <c r="C162" s="61">
        <v>209840</v>
      </c>
      <c r="D162" s="61">
        <v>-3315</v>
      </c>
      <c r="E162" s="61">
        <v>0</v>
      </c>
      <c r="F162" s="61">
        <v>0</v>
      </c>
      <c r="G162" s="61">
        <v>0</v>
      </c>
      <c r="H162" s="61">
        <v>206525</v>
      </c>
      <c r="I162" s="61">
        <v>-12444</v>
      </c>
      <c r="J162" s="61">
        <v>194081</v>
      </c>
      <c r="K162" s="61">
        <v>0</v>
      </c>
      <c r="L162" s="61">
        <v>0</v>
      </c>
      <c r="M162" s="61">
        <v>0</v>
      </c>
      <c r="N162" s="61">
        <v>194081</v>
      </c>
    </row>
    <row r="163" spans="1:14" ht="30" x14ac:dyDescent="0.25">
      <c r="A163" s="68" t="s">
        <v>595</v>
      </c>
      <c r="B163" s="60" t="s">
        <v>47</v>
      </c>
      <c r="C163" s="61">
        <v>232272</v>
      </c>
      <c r="D163" s="61">
        <v>-4364</v>
      </c>
      <c r="E163" s="61">
        <v>0</v>
      </c>
      <c r="F163" s="61">
        <v>0</v>
      </c>
      <c r="G163" s="61">
        <v>0</v>
      </c>
      <c r="H163" s="61">
        <v>227908</v>
      </c>
      <c r="I163" s="61">
        <v>-14748</v>
      </c>
      <c r="J163" s="61">
        <v>213160</v>
      </c>
      <c r="K163" s="61">
        <v>0</v>
      </c>
      <c r="L163" s="61">
        <v>0</v>
      </c>
      <c r="M163" s="61">
        <v>0</v>
      </c>
      <c r="N163" s="61">
        <v>213160</v>
      </c>
    </row>
    <row r="164" spans="1:14" ht="30" x14ac:dyDescent="0.25">
      <c r="A164" s="68" t="s">
        <v>595</v>
      </c>
      <c r="B164" s="60" t="s">
        <v>79</v>
      </c>
      <c r="C164" s="61">
        <v>184814</v>
      </c>
      <c r="D164" s="61">
        <v>-2560</v>
      </c>
      <c r="E164" s="61">
        <v>0</v>
      </c>
      <c r="F164" s="61">
        <v>0</v>
      </c>
      <c r="G164" s="61">
        <v>0</v>
      </c>
      <c r="H164" s="61">
        <v>182254</v>
      </c>
      <c r="I164" s="61">
        <v>-9975</v>
      </c>
      <c r="J164" s="61">
        <v>172279</v>
      </c>
      <c r="K164" s="61">
        <v>0</v>
      </c>
      <c r="L164" s="61">
        <v>0</v>
      </c>
      <c r="M164" s="61">
        <v>0</v>
      </c>
      <c r="N164" s="61">
        <v>172279</v>
      </c>
    </row>
    <row r="165" spans="1:14" ht="15.75" x14ac:dyDescent="0.25">
      <c r="A165" s="52" t="s">
        <v>473</v>
      </c>
      <c r="B165" s="53" t="s">
        <v>8</v>
      </c>
      <c r="C165" s="19">
        <f>SUBTOTAL(109,Program370[(C)
Program
Costs])</f>
        <v>676680</v>
      </c>
      <c r="D165" s="19">
        <f>SUBTOTAL(109,Program370[(D)
Prior Period Adjustments])</f>
        <v>-10239</v>
      </c>
      <c r="E165" s="19">
        <f>SUBTOTAL(109,Program370[(E)
Current Period Desk 
Reviews])</f>
        <v>0</v>
      </c>
      <c r="F165" s="19">
        <f>SUBTOTAL(109,Program370[(F)
Current Period 
Final 
Audits])</f>
        <v>0</v>
      </c>
      <c r="G165" s="19">
        <f>SUBTOTAL(109,Program370[(G)
Current Period 
Other Adjustments])</f>
        <v>0</v>
      </c>
      <c r="H165" s="19">
        <f>SUBTOTAL(109,Program370[(H)
Net Program Costs
Sum (C through G)])</f>
        <v>666441</v>
      </c>
      <c r="I165" s="19">
        <f>SUBTOTAL(109,Program370[(I)
Payments
 and Offsets])</f>
        <v>-38167</v>
      </c>
      <c r="J165" s="19">
        <f>SUBTOTAL(109,Program370[(J)
Accounts Payable Balance
(H + I)])</f>
        <v>628274</v>
      </c>
      <c r="K165" s="19">
        <f>SUBTOTAL(109,Program370[(K)
Established 
Accounts Receivable])</f>
        <v>0</v>
      </c>
      <c r="L165" s="19">
        <f>SUBTOTAL(109,Program370[(L)
Recovered
 Accounts Receivable])</f>
        <v>0</v>
      </c>
      <c r="M165" s="19">
        <f>SUBTOTAL(109,Program370[(M)
Accounts Receivable Balance
(K + L)])</f>
        <v>0</v>
      </c>
      <c r="N165" s="19">
        <f>SUBTOTAL(109,Program370[(N)
Net Balance
(J minus M)])</f>
        <v>628274</v>
      </c>
    </row>
    <row r="166" spans="1:14" ht="15.75" x14ac:dyDescent="0.25">
      <c r="A166" s="17" t="s">
        <v>13</v>
      </c>
      <c r="B166" s="54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</row>
    <row r="167" spans="1:14" ht="78.75" x14ac:dyDescent="0.25">
      <c r="A167" s="39" t="s">
        <v>32</v>
      </c>
      <c r="B167" s="40" t="s">
        <v>33</v>
      </c>
      <c r="C167" s="41" t="s">
        <v>34</v>
      </c>
      <c r="D167" s="41" t="s">
        <v>35</v>
      </c>
      <c r="E167" s="42" t="s">
        <v>36</v>
      </c>
      <c r="F167" s="42" t="s">
        <v>37</v>
      </c>
      <c r="G167" s="42" t="s">
        <v>38</v>
      </c>
      <c r="H167" s="43" t="s">
        <v>39</v>
      </c>
      <c r="I167" s="44" t="s">
        <v>40</v>
      </c>
      <c r="J167" s="44" t="s">
        <v>41</v>
      </c>
      <c r="K167" s="42" t="s">
        <v>42</v>
      </c>
      <c r="L167" s="44" t="s">
        <v>43</v>
      </c>
      <c r="M167" s="44" t="s">
        <v>44</v>
      </c>
      <c r="N167" s="45" t="s">
        <v>45</v>
      </c>
    </row>
    <row r="168" spans="1:14" ht="30" x14ac:dyDescent="0.25">
      <c r="A168" s="67" t="s">
        <v>594</v>
      </c>
      <c r="B168" s="57" t="s">
        <v>76</v>
      </c>
      <c r="C168" s="58">
        <v>8376</v>
      </c>
      <c r="D168" s="58">
        <v>0</v>
      </c>
      <c r="E168" s="58">
        <v>0</v>
      </c>
      <c r="F168" s="58">
        <v>0</v>
      </c>
      <c r="G168" s="58">
        <v>0</v>
      </c>
      <c r="H168" s="58">
        <v>8376</v>
      </c>
      <c r="I168" s="58">
        <v>0</v>
      </c>
      <c r="J168" s="58">
        <v>8376</v>
      </c>
      <c r="K168" s="58">
        <v>0</v>
      </c>
      <c r="L168" s="58">
        <v>0</v>
      </c>
      <c r="M168" s="58">
        <v>0</v>
      </c>
      <c r="N168" s="58">
        <v>8376</v>
      </c>
    </row>
    <row r="169" spans="1:14" ht="30" x14ac:dyDescent="0.25">
      <c r="A169" s="68" t="s">
        <v>594</v>
      </c>
      <c r="B169" s="60" t="s">
        <v>77</v>
      </c>
      <c r="C169" s="61">
        <v>73358</v>
      </c>
      <c r="D169" s="61">
        <v>0</v>
      </c>
      <c r="E169" s="61">
        <v>0</v>
      </c>
      <c r="F169" s="61">
        <v>0</v>
      </c>
      <c r="G169" s="61">
        <v>0</v>
      </c>
      <c r="H169" s="61">
        <v>73358</v>
      </c>
      <c r="I169" s="61">
        <v>-1000</v>
      </c>
      <c r="J169" s="61">
        <v>72358</v>
      </c>
      <c r="K169" s="61">
        <v>0</v>
      </c>
      <c r="L169" s="61">
        <v>0</v>
      </c>
      <c r="M169" s="61">
        <v>0</v>
      </c>
      <c r="N169" s="61">
        <v>72358</v>
      </c>
    </row>
    <row r="170" spans="1:14" ht="30" x14ac:dyDescent="0.25">
      <c r="A170" s="68" t="s">
        <v>594</v>
      </c>
      <c r="B170" s="60" t="s">
        <v>78</v>
      </c>
      <c r="C170" s="61">
        <v>3254717</v>
      </c>
      <c r="D170" s="61">
        <v>-3162466</v>
      </c>
      <c r="E170" s="61">
        <v>0</v>
      </c>
      <c r="F170" s="61">
        <v>0</v>
      </c>
      <c r="G170" s="61">
        <v>0</v>
      </c>
      <c r="H170" s="61">
        <v>92251</v>
      </c>
      <c r="I170" s="61">
        <v>-1000</v>
      </c>
      <c r="J170" s="61">
        <v>91251</v>
      </c>
      <c r="K170" s="61">
        <v>0</v>
      </c>
      <c r="L170" s="61">
        <v>0</v>
      </c>
      <c r="M170" s="61">
        <v>0</v>
      </c>
      <c r="N170" s="61">
        <v>91251</v>
      </c>
    </row>
    <row r="171" spans="1:14" ht="30" x14ac:dyDescent="0.25">
      <c r="A171" s="68" t="s">
        <v>594</v>
      </c>
      <c r="B171" s="60" t="s">
        <v>47</v>
      </c>
      <c r="C171" s="61">
        <v>13791673</v>
      </c>
      <c r="D171" s="61">
        <v>-2901639</v>
      </c>
      <c r="E171" s="61">
        <v>0</v>
      </c>
      <c r="F171" s="61">
        <v>-3055011</v>
      </c>
      <c r="G171" s="61">
        <v>0</v>
      </c>
      <c r="H171" s="61">
        <v>7835023</v>
      </c>
      <c r="I171" s="61">
        <v>-5761209</v>
      </c>
      <c r="J171" s="61">
        <v>2073814</v>
      </c>
      <c r="K171" s="61">
        <v>0</v>
      </c>
      <c r="L171" s="61">
        <v>0</v>
      </c>
      <c r="M171" s="61">
        <v>0</v>
      </c>
      <c r="N171" s="61">
        <v>2073814</v>
      </c>
    </row>
    <row r="172" spans="1:14" ht="30" x14ac:dyDescent="0.25">
      <c r="A172" s="68" t="s">
        <v>594</v>
      </c>
      <c r="B172" s="60" t="s">
        <v>79</v>
      </c>
      <c r="C172" s="61">
        <v>41748467</v>
      </c>
      <c r="D172" s="61">
        <v>-13112009</v>
      </c>
      <c r="E172" s="61">
        <v>0</v>
      </c>
      <c r="F172" s="61">
        <v>-6279223</v>
      </c>
      <c r="G172" s="61">
        <v>0</v>
      </c>
      <c r="H172" s="61">
        <v>22357235</v>
      </c>
      <c r="I172" s="61">
        <v>-19716701</v>
      </c>
      <c r="J172" s="61">
        <v>2640534</v>
      </c>
      <c r="K172" s="61">
        <v>1000</v>
      </c>
      <c r="L172" s="61">
        <v>0</v>
      </c>
      <c r="M172" s="61">
        <v>1000</v>
      </c>
      <c r="N172" s="61">
        <v>2639534</v>
      </c>
    </row>
    <row r="173" spans="1:14" ht="30" x14ac:dyDescent="0.25">
      <c r="A173" s="68" t="s">
        <v>594</v>
      </c>
      <c r="B173" s="60" t="s">
        <v>80</v>
      </c>
      <c r="C173" s="61">
        <v>74605497</v>
      </c>
      <c r="D173" s="61">
        <v>-17292261</v>
      </c>
      <c r="E173" s="61">
        <v>0</v>
      </c>
      <c r="F173" s="61">
        <v>-10578400</v>
      </c>
      <c r="G173" s="61">
        <v>0</v>
      </c>
      <c r="H173" s="61">
        <v>46734836</v>
      </c>
      <c r="I173" s="61">
        <v>-43690705</v>
      </c>
      <c r="J173" s="61">
        <v>3044131</v>
      </c>
      <c r="K173" s="61">
        <v>416801</v>
      </c>
      <c r="L173" s="61">
        <v>-416801</v>
      </c>
      <c r="M173" s="61">
        <v>0</v>
      </c>
      <c r="N173" s="61">
        <v>3044131</v>
      </c>
    </row>
    <row r="174" spans="1:14" ht="30" x14ac:dyDescent="0.25">
      <c r="A174" s="68" t="s">
        <v>594</v>
      </c>
      <c r="B174" s="60" t="s">
        <v>81</v>
      </c>
      <c r="C174" s="61">
        <v>77646316</v>
      </c>
      <c r="D174" s="61">
        <v>-4449898</v>
      </c>
      <c r="E174" s="61">
        <v>0</v>
      </c>
      <c r="F174" s="61">
        <v>-6510899</v>
      </c>
      <c r="G174" s="61">
        <v>0</v>
      </c>
      <c r="H174" s="61">
        <v>66685519</v>
      </c>
      <c r="I174" s="61">
        <v>-65815255</v>
      </c>
      <c r="J174" s="61">
        <v>870264</v>
      </c>
      <c r="K174" s="61">
        <v>0</v>
      </c>
      <c r="L174" s="61">
        <v>0</v>
      </c>
      <c r="M174" s="61">
        <v>0</v>
      </c>
      <c r="N174" s="61">
        <v>870264</v>
      </c>
    </row>
    <row r="175" spans="1:14" ht="15.75" x14ac:dyDescent="0.25">
      <c r="A175" s="52" t="s">
        <v>472</v>
      </c>
      <c r="B175" s="53" t="s">
        <v>8</v>
      </c>
      <c r="C175" s="19">
        <f>SUBTOTAL(109,Program369[(C)
Program
Costs])</f>
        <v>211128404</v>
      </c>
      <c r="D175" s="19">
        <f>SUBTOTAL(109,Program369[(D)
Prior Period Adjustments])</f>
        <v>-40918273</v>
      </c>
      <c r="E175" s="19">
        <f>SUBTOTAL(109,Program369[(E)
Current Period Desk 
Reviews])</f>
        <v>0</v>
      </c>
      <c r="F175" s="19">
        <f>SUBTOTAL(109,Program369[(F)
Current Period 
Final 
Audits])</f>
        <v>-26423533</v>
      </c>
      <c r="G175" s="19">
        <f>SUBTOTAL(109,Program369[(G)
Current Period 
Other Adjustments])</f>
        <v>0</v>
      </c>
      <c r="H175" s="19">
        <f>SUBTOTAL(109,Program369[(H)
Net Program Costs
Sum (C through G)])</f>
        <v>143786598</v>
      </c>
      <c r="I175" s="19">
        <f>SUBTOTAL(109,Program369[(I)
Payments
 and Offsets])</f>
        <v>-134985870</v>
      </c>
      <c r="J175" s="19">
        <f>SUBTOTAL(109,Program369[(J)
Accounts Payable Balance
(H + I)])</f>
        <v>8800728</v>
      </c>
      <c r="K175" s="19">
        <f>SUBTOTAL(109,Program369[(K)
Established 
Accounts Receivable])</f>
        <v>417801</v>
      </c>
      <c r="L175" s="19">
        <f>SUBTOTAL(109,Program369[(L)
Recovered
 Accounts Receivable])</f>
        <v>-416801</v>
      </c>
      <c r="M175" s="19">
        <f>SUBTOTAL(109,Program369[(M)
Accounts Receivable Balance
(K + L)])</f>
        <v>1000</v>
      </c>
      <c r="N175" s="19">
        <f>SUBTOTAL(109,Program369[(N)
Net Balance
(J minus M)])</f>
        <v>8799728</v>
      </c>
    </row>
    <row r="176" spans="1:14" ht="15.75" x14ac:dyDescent="0.25">
      <c r="A176" s="17" t="s">
        <v>13</v>
      </c>
      <c r="B176" s="54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</row>
    <row r="177" spans="1:14" ht="78.75" x14ac:dyDescent="0.25">
      <c r="A177" s="39" t="s">
        <v>32</v>
      </c>
      <c r="B177" s="40" t="s">
        <v>33</v>
      </c>
      <c r="C177" s="41" t="s">
        <v>34</v>
      </c>
      <c r="D177" s="41" t="s">
        <v>35</v>
      </c>
      <c r="E177" s="42" t="s">
        <v>36</v>
      </c>
      <c r="F177" s="42" t="s">
        <v>37</v>
      </c>
      <c r="G177" s="42" t="s">
        <v>38</v>
      </c>
      <c r="H177" s="43" t="s">
        <v>39</v>
      </c>
      <c r="I177" s="44" t="s">
        <v>40</v>
      </c>
      <c r="J177" s="44" t="s">
        <v>41</v>
      </c>
      <c r="K177" s="42" t="s">
        <v>42</v>
      </c>
      <c r="L177" s="44" t="s">
        <v>43</v>
      </c>
      <c r="M177" s="44" t="s">
        <v>44</v>
      </c>
      <c r="N177" s="45" t="s">
        <v>45</v>
      </c>
    </row>
    <row r="178" spans="1:14" ht="15.75" x14ac:dyDescent="0.25">
      <c r="A178" s="46" t="s">
        <v>593</v>
      </c>
      <c r="B178" s="47" t="s">
        <v>81</v>
      </c>
      <c r="C178" s="48">
        <v>166689</v>
      </c>
      <c r="D178" s="48">
        <v>-6198</v>
      </c>
      <c r="E178" s="48">
        <v>0</v>
      </c>
      <c r="F178" s="48">
        <v>0</v>
      </c>
      <c r="G178" s="48">
        <v>0</v>
      </c>
      <c r="H178" s="48">
        <v>160491</v>
      </c>
      <c r="I178" s="48">
        <v>-80368</v>
      </c>
      <c r="J178" s="48">
        <v>80123</v>
      </c>
      <c r="K178" s="48">
        <v>0</v>
      </c>
      <c r="L178" s="48">
        <v>0</v>
      </c>
      <c r="M178" s="48">
        <v>0</v>
      </c>
      <c r="N178" s="48">
        <v>80123</v>
      </c>
    </row>
    <row r="179" spans="1:14" ht="15.75" x14ac:dyDescent="0.25">
      <c r="A179" s="49" t="s">
        <v>593</v>
      </c>
      <c r="B179" s="50" t="s">
        <v>82</v>
      </c>
      <c r="C179" s="51">
        <v>138947</v>
      </c>
      <c r="D179" s="51">
        <v>-121</v>
      </c>
      <c r="E179" s="51">
        <v>0</v>
      </c>
      <c r="F179" s="51">
        <v>0</v>
      </c>
      <c r="G179" s="51">
        <v>0</v>
      </c>
      <c r="H179" s="51">
        <v>138826</v>
      </c>
      <c r="I179" s="51">
        <v>-96195</v>
      </c>
      <c r="J179" s="51">
        <v>42631</v>
      </c>
      <c r="K179" s="51">
        <v>0</v>
      </c>
      <c r="L179" s="51">
        <v>0</v>
      </c>
      <c r="M179" s="51">
        <v>0</v>
      </c>
      <c r="N179" s="51">
        <v>42631</v>
      </c>
    </row>
    <row r="180" spans="1:14" ht="15.75" x14ac:dyDescent="0.25">
      <c r="A180" s="49" t="s">
        <v>593</v>
      </c>
      <c r="B180" s="50" t="s">
        <v>83</v>
      </c>
      <c r="C180" s="51">
        <v>120165</v>
      </c>
      <c r="D180" s="51">
        <v>-235</v>
      </c>
      <c r="E180" s="51">
        <v>0</v>
      </c>
      <c r="F180" s="51">
        <v>0</v>
      </c>
      <c r="G180" s="51">
        <v>0</v>
      </c>
      <c r="H180" s="51">
        <v>119930</v>
      </c>
      <c r="I180" s="51">
        <v>-91042</v>
      </c>
      <c r="J180" s="51">
        <v>28888</v>
      </c>
      <c r="K180" s="51">
        <v>0</v>
      </c>
      <c r="L180" s="51">
        <v>0</v>
      </c>
      <c r="M180" s="51">
        <v>0</v>
      </c>
      <c r="N180" s="51">
        <v>28888</v>
      </c>
    </row>
    <row r="181" spans="1:14" ht="15.75" x14ac:dyDescent="0.25">
      <c r="A181" s="49" t="s">
        <v>593</v>
      </c>
      <c r="B181" s="50" t="s">
        <v>48</v>
      </c>
      <c r="C181" s="51">
        <v>86858</v>
      </c>
      <c r="D181" s="51">
        <v>-173</v>
      </c>
      <c r="E181" s="51">
        <v>0</v>
      </c>
      <c r="F181" s="51">
        <v>0</v>
      </c>
      <c r="G181" s="51">
        <v>0</v>
      </c>
      <c r="H181" s="51">
        <v>86685</v>
      </c>
      <c r="I181" s="51">
        <v>-72103</v>
      </c>
      <c r="J181" s="51">
        <v>14582</v>
      </c>
      <c r="K181" s="51">
        <v>0</v>
      </c>
      <c r="L181" s="51">
        <v>0</v>
      </c>
      <c r="M181" s="51">
        <v>0</v>
      </c>
      <c r="N181" s="51">
        <v>14582</v>
      </c>
    </row>
    <row r="182" spans="1:14" ht="15.75" x14ac:dyDescent="0.25">
      <c r="A182" s="49" t="s">
        <v>593</v>
      </c>
      <c r="B182" s="50" t="s">
        <v>49</v>
      </c>
      <c r="C182" s="51">
        <v>49027</v>
      </c>
      <c r="D182" s="51">
        <v>0</v>
      </c>
      <c r="E182" s="51">
        <v>0</v>
      </c>
      <c r="F182" s="51">
        <v>0</v>
      </c>
      <c r="G182" s="51">
        <v>0</v>
      </c>
      <c r="H182" s="51">
        <v>49027</v>
      </c>
      <c r="I182" s="51">
        <v>-43176</v>
      </c>
      <c r="J182" s="51">
        <v>5851</v>
      </c>
      <c r="K182" s="51">
        <v>0</v>
      </c>
      <c r="L182" s="51">
        <v>0</v>
      </c>
      <c r="M182" s="51">
        <v>0</v>
      </c>
      <c r="N182" s="51">
        <v>5851</v>
      </c>
    </row>
    <row r="183" spans="1:14" ht="15.75" x14ac:dyDescent="0.25">
      <c r="A183" s="49" t="s">
        <v>593</v>
      </c>
      <c r="B183" s="50" t="s">
        <v>50</v>
      </c>
      <c r="C183" s="51">
        <v>34650</v>
      </c>
      <c r="D183" s="51">
        <v>0</v>
      </c>
      <c r="E183" s="51">
        <v>0</v>
      </c>
      <c r="F183" s="51">
        <v>0</v>
      </c>
      <c r="G183" s="51">
        <v>0</v>
      </c>
      <c r="H183" s="51">
        <v>34650</v>
      </c>
      <c r="I183" s="51">
        <v>-24641</v>
      </c>
      <c r="J183" s="51">
        <v>10009</v>
      </c>
      <c r="K183" s="51">
        <v>0</v>
      </c>
      <c r="L183" s="51">
        <v>0</v>
      </c>
      <c r="M183" s="51">
        <v>0</v>
      </c>
      <c r="N183" s="51">
        <v>10009</v>
      </c>
    </row>
    <row r="184" spans="1:14" ht="15.75" x14ac:dyDescent="0.25">
      <c r="A184" s="49" t="s">
        <v>593</v>
      </c>
      <c r="B184" s="50" t="s">
        <v>51</v>
      </c>
      <c r="C184" s="51">
        <v>9928</v>
      </c>
      <c r="D184" s="51">
        <v>0</v>
      </c>
      <c r="E184" s="51">
        <v>0</v>
      </c>
      <c r="F184" s="51">
        <v>0</v>
      </c>
      <c r="G184" s="51">
        <v>0</v>
      </c>
      <c r="H184" s="51">
        <v>9928</v>
      </c>
      <c r="I184" s="51">
        <v>-9928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</row>
    <row r="185" spans="1:14" ht="15.75" x14ac:dyDescent="0.25">
      <c r="A185" s="49" t="s">
        <v>593</v>
      </c>
      <c r="B185" s="50" t="s">
        <v>52</v>
      </c>
      <c r="C185" s="51">
        <v>45752</v>
      </c>
      <c r="D185" s="51">
        <v>0</v>
      </c>
      <c r="E185" s="51">
        <v>0</v>
      </c>
      <c r="F185" s="51">
        <v>0</v>
      </c>
      <c r="G185" s="51">
        <v>0</v>
      </c>
      <c r="H185" s="51">
        <v>45752</v>
      </c>
      <c r="I185" s="51">
        <v>-45752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</row>
    <row r="186" spans="1:14" ht="15.75" x14ac:dyDescent="0.25">
      <c r="A186" s="49" t="s">
        <v>593</v>
      </c>
      <c r="B186" s="50" t="s">
        <v>53</v>
      </c>
      <c r="C186" s="51">
        <v>19255</v>
      </c>
      <c r="D186" s="51">
        <v>0</v>
      </c>
      <c r="E186" s="51">
        <v>0</v>
      </c>
      <c r="F186" s="51">
        <v>0</v>
      </c>
      <c r="G186" s="51">
        <v>0</v>
      </c>
      <c r="H186" s="51">
        <v>19255</v>
      </c>
      <c r="I186" s="51">
        <v>-19255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</row>
    <row r="187" spans="1:14" ht="15.75" x14ac:dyDescent="0.25">
      <c r="A187" s="49" t="s">
        <v>593</v>
      </c>
      <c r="B187" s="50" t="s">
        <v>54</v>
      </c>
      <c r="C187" s="51">
        <v>3432</v>
      </c>
      <c r="D187" s="51">
        <v>0</v>
      </c>
      <c r="E187" s="51">
        <v>0</v>
      </c>
      <c r="F187" s="51">
        <v>0</v>
      </c>
      <c r="G187" s="51">
        <v>0</v>
      </c>
      <c r="H187" s="51">
        <v>3432</v>
      </c>
      <c r="I187" s="51">
        <v>-3432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</row>
    <row r="188" spans="1:14" ht="15.75" x14ac:dyDescent="0.25">
      <c r="A188" s="49" t="s">
        <v>593</v>
      </c>
      <c r="B188" s="50" t="s">
        <v>55</v>
      </c>
      <c r="C188" s="51">
        <v>3454</v>
      </c>
      <c r="D188" s="51">
        <v>0</v>
      </c>
      <c r="E188" s="51">
        <v>0</v>
      </c>
      <c r="F188" s="51">
        <v>0</v>
      </c>
      <c r="G188" s="51">
        <v>0</v>
      </c>
      <c r="H188" s="51">
        <v>3454</v>
      </c>
      <c r="I188" s="51">
        <v>-3454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</row>
    <row r="189" spans="1:14" ht="15.75" x14ac:dyDescent="0.25">
      <c r="A189" s="49" t="s">
        <v>593</v>
      </c>
      <c r="B189" s="50" t="s">
        <v>56</v>
      </c>
      <c r="C189" s="51">
        <v>3363</v>
      </c>
      <c r="D189" s="51">
        <v>0</v>
      </c>
      <c r="E189" s="51">
        <v>0</v>
      </c>
      <c r="F189" s="51">
        <v>0</v>
      </c>
      <c r="G189" s="51">
        <v>0</v>
      </c>
      <c r="H189" s="51">
        <v>3363</v>
      </c>
      <c r="I189" s="51">
        <v>-3363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</row>
    <row r="190" spans="1:14" ht="15.75" x14ac:dyDescent="0.25">
      <c r="A190" s="49" t="s">
        <v>593</v>
      </c>
      <c r="B190" s="50" t="s">
        <v>57</v>
      </c>
      <c r="C190" s="51">
        <v>1464</v>
      </c>
      <c r="D190" s="51">
        <v>0</v>
      </c>
      <c r="E190" s="51">
        <v>0</v>
      </c>
      <c r="F190" s="51">
        <v>0</v>
      </c>
      <c r="G190" s="51">
        <v>0</v>
      </c>
      <c r="H190" s="51">
        <v>1464</v>
      </c>
      <c r="I190" s="51">
        <v>-1464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</row>
    <row r="191" spans="1:14" ht="15.75" x14ac:dyDescent="0.25">
      <c r="A191" s="52" t="s">
        <v>471</v>
      </c>
      <c r="B191" s="53" t="s">
        <v>8</v>
      </c>
      <c r="C191" s="19">
        <f>SUBTOTAL(109,Program354[(C)
Program
Costs])</f>
        <v>682984</v>
      </c>
      <c r="D191" s="19">
        <f>SUBTOTAL(109,Program354[(D)
Prior Period Adjustments])</f>
        <v>-6727</v>
      </c>
      <c r="E191" s="19">
        <f>SUBTOTAL(109,Program354[(E)
Current Period Desk 
Reviews])</f>
        <v>0</v>
      </c>
      <c r="F191" s="19">
        <f>SUBTOTAL(109,Program354[(F)
Current Period 
Final 
Audits])</f>
        <v>0</v>
      </c>
      <c r="G191" s="19">
        <f>SUBTOTAL(109,Program354[(G)
Current Period 
Other Adjustments])</f>
        <v>0</v>
      </c>
      <c r="H191" s="19">
        <f>SUBTOTAL(109,Program354[(H)
Net Program Costs
Sum (C through G)])</f>
        <v>676257</v>
      </c>
      <c r="I191" s="19">
        <f>SUBTOTAL(109,Program354[(I)
Payments
 and Offsets])</f>
        <v>-494173</v>
      </c>
      <c r="J191" s="19">
        <f>SUBTOTAL(109,Program354[(J)
Accounts Payable Balance
(H + I)])</f>
        <v>182084</v>
      </c>
      <c r="K191" s="19">
        <f>SUBTOTAL(109,Program354[(K)
Established 
Accounts Receivable])</f>
        <v>0</v>
      </c>
      <c r="L191" s="19">
        <f>SUBTOTAL(109,Program354[(L)
Recovered
 Accounts Receivable])</f>
        <v>0</v>
      </c>
      <c r="M191" s="19">
        <f>SUBTOTAL(109,Program354[(M)
Accounts Receivable Balance
(K + L)])</f>
        <v>0</v>
      </c>
      <c r="N191" s="19">
        <f>SUBTOTAL(109,Program354[(N)
Net Balance
(J minus M)])</f>
        <v>182084</v>
      </c>
    </row>
    <row r="192" spans="1:14" ht="15.75" x14ac:dyDescent="0.25">
      <c r="A192" s="17" t="s">
        <v>13</v>
      </c>
      <c r="B192" s="54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</row>
    <row r="193" spans="1:14" ht="78.75" x14ac:dyDescent="0.25">
      <c r="A193" s="39" t="s">
        <v>32</v>
      </c>
      <c r="B193" s="40" t="s">
        <v>33</v>
      </c>
      <c r="C193" s="41" t="s">
        <v>34</v>
      </c>
      <c r="D193" s="41" t="s">
        <v>35</v>
      </c>
      <c r="E193" s="42" t="s">
        <v>36</v>
      </c>
      <c r="F193" s="42" t="s">
        <v>37</v>
      </c>
      <c r="G193" s="42" t="s">
        <v>38</v>
      </c>
      <c r="H193" s="43" t="s">
        <v>39</v>
      </c>
      <c r="I193" s="44" t="s">
        <v>40</v>
      </c>
      <c r="J193" s="44" t="s">
        <v>41</v>
      </c>
      <c r="K193" s="42" t="s">
        <v>42</v>
      </c>
      <c r="L193" s="44" t="s">
        <v>43</v>
      </c>
      <c r="M193" s="44" t="s">
        <v>44</v>
      </c>
      <c r="N193" s="45" t="s">
        <v>45</v>
      </c>
    </row>
    <row r="194" spans="1:14" ht="30" x14ac:dyDescent="0.25">
      <c r="A194" s="67" t="s">
        <v>592</v>
      </c>
      <c r="B194" s="57" t="s">
        <v>47</v>
      </c>
      <c r="C194" s="58">
        <v>1492</v>
      </c>
      <c r="D194" s="58">
        <v>0</v>
      </c>
      <c r="E194" s="58">
        <v>0</v>
      </c>
      <c r="F194" s="58">
        <v>0</v>
      </c>
      <c r="G194" s="58">
        <v>0</v>
      </c>
      <c r="H194" s="58">
        <v>1492</v>
      </c>
      <c r="I194" s="58">
        <v>-1492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</row>
    <row r="195" spans="1:14" ht="30" x14ac:dyDescent="0.25">
      <c r="A195" s="68" t="s">
        <v>592</v>
      </c>
      <c r="B195" s="60" t="s">
        <v>79</v>
      </c>
      <c r="C195" s="61">
        <v>1525</v>
      </c>
      <c r="D195" s="61">
        <v>0</v>
      </c>
      <c r="E195" s="61">
        <v>0</v>
      </c>
      <c r="F195" s="61">
        <v>0</v>
      </c>
      <c r="G195" s="61">
        <v>0</v>
      </c>
      <c r="H195" s="61">
        <v>1525</v>
      </c>
      <c r="I195" s="61">
        <v>-1525</v>
      </c>
      <c r="J195" s="61">
        <v>0</v>
      </c>
      <c r="K195" s="61">
        <v>0</v>
      </c>
      <c r="L195" s="61">
        <v>0</v>
      </c>
      <c r="M195" s="61">
        <v>0</v>
      </c>
      <c r="N195" s="61">
        <v>0</v>
      </c>
    </row>
    <row r="196" spans="1:14" ht="30" x14ac:dyDescent="0.25">
      <c r="A196" s="68" t="s">
        <v>592</v>
      </c>
      <c r="B196" s="60" t="s">
        <v>81</v>
      </c>
      <c r="C196" s="61">
        <v>3934</v>
      </c>
      <c r="D196" s="61">
        <v>0</v>
      </c>
      <c r="E196" s="61">
        <v>0</v>
      </c>
      <c r="F196" s="61">
        <v>0</v>
      </c>
      <c r="G196" s="61">
        <v>0</v>
      </c>
      <c r="H196" s="61">
        <v>3934</v>
      </c>
      <c r="I196" s="61">
        <v>-1000</v>
      </c>
      <c r="J196" s="61">
        <v>2934</v>
      </c>
      <c r="K196" s="61">
        <v>0</v>
      </c>
      <c r="L196" s="61">
        <v>0</v>
      </c>
      <c r="M196" s="61">
        <v>0</v>
      </c>
      <c r="N196" s="61">
        <v>2934</v>
      </c>
    </row>
    <row r="197" spans="1:14" ht="30" x14ac:dyDescent="0.25">
      <c r="A197" s="68" t="s">
        <v>592</v>
      </c>
      <c r="B197" s="60" t="s">
        <v>82</v>
      </c>
      <c r="C197" s="61">
        <v>3927</v>
      </c>
      <c r="D197" s="61">
        <v>0</v>
      </c>
      <c r="E197" s="61">
        <v>0</v>
      </c>
      <c r="F197" s="61">
        <v>0</v>
      </c>
      <c r="G197" s="61">
        <v>0</v>
      </c>
      <c r="H197" s="61">
        <v>3927</v>
      </c>
      <c r="I197" s="61">
        <v>-2888</v>
      </c>
      <c r="J197" s="61">
        <v>1039</v>
      </c>
      <c r="K197" s="61">
        <v>0</v>
      </c>
      <c r="L197" s="61">
        <v>0</v>
      </c>
      <c r="M197" s="61">
        <v>0</v>
      </c>
      <c r="N197" s="61">
        <v>1039</v>
      </c>
    </row>
    <row r="198" spans="1:14" ht="30" x14ac:dyDescent="0.25">
      <c r="A198" s="68" t="s">
        <v>592</v>
      </c>
      <c r="B198" s="60" t="s">
        <v>83</v>
      </c>
      <c r="C198" s="61">
        <v>46015</v>
      </c>
      <c r="D198" s="61">
        <v>-198</v>
      </c>
      <c r="E198" s="61">
        <v>0</v>
      </c>
      <c r="F198" s="61">
        <v>0</v>
      </c>
      <c r="G198" s="61">
        <v>0</v>
      </c>
      <c r="H198" s="61">
        <v>45817</v>
      </c>
      <c r="I198" s="61">
        <v>-39849</v>
      </c>
      <c r="J198" s="61">
        <v>5968</v>
      </c>
      <c r="K198" s="61">
        <v>0</v>
      </c>
      <c r="L198" s="61">
        <v>0</v>
      </c>
      <c r="M198" s="61">
        <v>0</v>
      </c>
      <c r="N198" s="61">
        <v>5968</v>
      </c>
    </row>
    <row r="199" spans="1:14" ht="30" x14ac:dyDescent="0.25">
      <c r="A199" s="68" t="s">
        <v>592</v>
      </c>
      <c r="B199" s="60" t="s">
        <v>48</v>
      </c>
      <c r="C199" s="61">
        <v>48564</v>
      </c>
      <c r="D199" s="61">
        <v>0</v>
      </c>
      <c r="E199" s="61">
        <v>0</v>
      </c>
      <c r="F199" s="61">
        <v>0</v>
      </c>
      <c r="G199" s="61">
        <v>0</v>
      </c>
      <c r="H199" s="61">
        <v>48564</v>
      </c>
      <c r="I199" s="61">
        <v>-38573</v>
      </c>
      <c r="J199" s="61">
        <v>9991</v>
      </c>
      <c r="K199" s="61">
        <v>0</v>
      </c>
      <c r="L199" s="61">
        <v>0</v>
      </c>
      <c r="M199" s="61">
        <v>0</v>
      </c>
      <c r="N199" s="61">
        <v>9991</v>
      </c>
    </row>
    <row r="200" spans="1:14" ht="30" x14ac:dyDescent="0.25">
      <c r="A200" s="68" t="s">
        <v>592</v>
      </c>
      <c r="B200" s="60" t="s">
        <v>49</v>
      </c>
      <c r="C200" s="61">
        <v>53331</v>
      </c>
      <c r="D200" s="61">
        <v>0</v>
      </c>
      <c r="E200" s="61">
        <v>0</v>
      </c>
      <c r="F200" s="61">
        <v>0</v>
      </c>
      <c r="G200" s="61">
        <v>0</v>
      </c>
      <c r="H200" s="61">
        <v>53331</v>
      </c>
      <c r="I200" s="61">
        <v>-53331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</row>
    <row r="201" spans="1:14" ht="30" x14ac:dyDescent="0.25">
      <c r="A201" s="68" t="s">
        <v>592</v>
      </c>
      <c r="B201" s="60" t="s">
        <v>50</v>
      </c>
      <c r="C201" s="61">
        <v>103369</v>
      </c>
      <c r="D201" s="61">
        <v>0</v>
      </c>
      <c r="E201" s="61">
        <v>0</v>
      </c>
      <c r="F201" s="61">
        <v>0</v>
      </c>
      <c r="G201" s="61">
        <v>0</v>
      </c>
      <c r="H201" s="61">
        <v>103369</v>
      </c>
      <c r="I201" s="61">
        <v>-99494</v>
      </c>
      <c r="J201" s="61">
        <v>3875</v>
      </c>
      <c r="K201" s="61">
        <v>0</v>
      </c>
      <c r="L201" s="61">
        <v>0</v>
      </c>
      <c r="M201" s="61">
        <v>0</v>
      </c>
      <c r="N201" s="61">
        <v>3875</v>
      </c>
    </row>
    <row r="202" spans="1:14" ht="30" x14ac:dyDescent="0.25">
      <c r="A202" s="68" t="s">
        <v>592</v>
      </c>
      <c r="B202" s="60" t="s">
        <v>51</v>
      </c>
      <c r="C202" s="61">
        <v>72433</v>
      </c>
      <c r="D202" s="61">
        <v>-174</v>
      </c>
      <c r="E202" s="61">
        <v>0</v>
      </c>
      <c r="F202" s="61">
        <v>0</v>
      </c>
      <c r="G202" s="61">
        <v>0</v>
      </c>
      <c r="H202" s="61">
        <v>72259</v>
      </c>
      <c r="I202" s="61">
        <v>-49294</v>
      </c>
      <c r="J202" s="61">
        <v>22965</v>
      </c>
      <c r="K202" s="61">
        <v>0</v>
      </c>
      <c r="L202" s="61">
        <v>0</v>
      </c>
      <c r="M202" s="61">
        <v>0</v>
      </c>
      <c r="N202" s="61">
        <v>22965</v>
      </c>
    </row>
    <row r="203" spans="1:14" ht="30" x14ac:dyDescent="0.25">
      <c r="A203" s="68" t="s">
        <v>592</v>
      </c>
      <c r="B203" s="60" t="s">
        <v>52</v>
      </c>
      <c r="C203" s="61">
        <v>88376</v>
      </c>
      <c r="D203" s="61">
        <v>-651</v>
      </c>
      <c r="E203" s="61">
        <v>0</v>
      </c>
      <c r="F203" s="61">
        <v>0</v>
      </c>
      <c r="G203" s="61">
        <v>0</v>
      </c>
      <c r="H203" s="61">
        <v>87725</v>
      </c>
      <c r="I203" s="61">
        <v>-61922</v>
      </c>
      <c r="J203" s="61">
        <v>25803</v>
      </c>
      <c r="K203" s="61">
        <v>0</v>
      </c>
      <c r="L203" s="61">
        <v>0</v>
      </c>
      <c r="M203" s="61">
        <v>0</v>
      </c>
      <c r="N203" s="61">
        <v>25803</v>
      </c>
    </row>
    <row r="204" spans="1:14" ht="30" x14ac:dyDescent="0.25">
      <c r="A204" s="68" t="s">
        <v>592</v>
      </c>
      <c r="B204" s="60" t="s">
        <v>53</v>
      </c>
      <c r="C204" s="61">
        <v>82233</v>
      </c>
      <c r="D204" s="61">
        <v>-601</v>
      </c>
      <c r="E204" s="61">
        <v>0</v>
      </c>
      <c r="F204" s="61">
        <v>0</v>
      </c>
      <c r="G204" s="61">
        <v>0</v>
      </c>
      <c r="H204" s="61">
        <v>81632</v>
      </c>
      <c r="I204" s="61">
        <v>-66048</v>
      </c>
      <c r="J204" s="61">
        <v>15584</v>
      </c>
      <c r="K204" s="61">
        <v>0</v>
      </c>
      <c r="L204" s="61">
        <v>0</v>
      </c>
      <c r="M204" s="61">
        <v>0</v>
      </c>
      <c r="N204" s="61">
        <v>15584</v>
      </c>
    </row>
    <row r="205" spans="1:14" ht="30" x14ac:dyDescent="0.25">
      <c r="A205" s="68" t="s">
        <v>592</v>
      </c>
      <c r="B205" s="60" t="s">
        <v>54</v>
      </c>
      <c r="C205" s="61">
        <v>85399</v>
      </c>
      <c r="D205" s="61">
        <v>-469</v>
      </c>
      <c r="E205" s="61">
        <v>0</v>
      </c>
      <c r="F205" s="61">
        <v>0</v>
      </c>
      <c r="G205" s="61">
        <v>0</v>
      </c>
      <c r="H205" s="61">
        <v>84930</v>
      </c>
      <c r="I205" s="61">
        <v>-83406</v>
      </c>
      <c r="J205" s="61">
        <v>1524</v>
      </c>
      <c r="K205" s="61">
        <v>0</v>
      </c>
      <c r="L205" s="61">
        <v>0</v>
      </c>
      <c r="M205" s="61">
        <v>0</v>
      </c>
      <c r="N205" s="61">
        <v>1524</v>
      </c>
    </row>
    <row r="206" spans="1:14" ht="30" x14ac:dyDescent="0.25">
      <c r="A206" s="68" t="s">
        <v>592</v>
      </c>
      <c r="B206" s="60" t="s">
        <v>55</v>
      </c>
      <c r="C206" s="61">
        <v>49800</v>
      </c>
      <c r="D206" s="61">
        <v>-455</v>
      </c>
      <c r="E206" s="61">
        <v>0</v>
      </c>
      <c r="F206" s="61">
        <v>0</v>
      </c>
      <c r="G206" s="61">
        <v>0</v>
      </c>
      <c r="H206" s="61">
        <v>49345</v>
      </c>
      <c r="I206" s="61">
        <v>-49345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</row>
    <row r="207" spans="1:14" ht="30" x14ac:dyDescent="0.25">
      <c r="A207" s="68" t="s">
        <v>592</v>
      </c>
      <c r="B207" s="60" t="s">
        <v>56</v>
      </c>
      <c r="C207" s="61">
        <v>39897</v>
      </c>
      <c r="D207" s="61">
        <v>-124</v>
      </c>
      <c r="E207" s="61">
        <v>0</v>
      </c>
      <c r="F207" s="61">
        <v>0</v>
      </c>
      <c r="G207" s="61">
        <v>0</v>
      </c>
      <c r="H207" s="61">
        <v>39773</v>
      </c>
      <c r="I207" s="61">
        <v>-39773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</row>
    <row r="208" spans="1:14" ht="30" x14ac:dyDescent="0.25">
      <c r="A208" s="68" t="s">
        <v>592</v>
      </c>
      <c r="B208" s="60" t="s">
        <v>57</v>
      </c>
      <c r="C208" s="61">
        <v>33715</v>
      </c>
      <c r="D208" s="61">
        <v>-141</v>
      </c>
      <c r="E208" s="61">
        <v>0</v>
      </c>
      <c r="F208" s="61">
        <v>0</v>
      </c>
      <c r="G208" s="61">
        <v>0</v>
      </c>
      <c r="H208" s="61">
        <v>33574</v>
      </c>
      <c r="I208" s="61">
        <v>-33574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</row>
    <row r="209" spans="1:14" ht="15.75" x14ac:dyDescent="0.25">
      <c r="A209" s="52" t="s">
        <v>470</v>
      </c>
      <c r="B209" s="53" t="s">
        <v>8</v>
      </c>
      <c r="C209" s="19">
        <f>SUBTOTAL(109,Program286[(C)
Program
Costs])</f>
        <v>714010</v>
      </c>
      <c r="D209" s="19">
        <f>SUBTOTAL(109,Program286[(D)
Prior Period Adjustments])</f>
        <v>-2813</v>
      </c>
      <c r="E209" s="19">
        <f>SUBTOTAL(109,Program286[(E)
Current Period Desk 
Reviews])</f>
        <v>0</v>
      </c>
      <c r="F209" s="19">
        <f>SUBTOTAL(109,Program286[(F)
Current Period 
Final 
Audits])</f>
        <v>0</v>
      </c>
      <c r="G209" s="19">
        <f>SUBTOTAL(109,Program286[(G)
Current Period 
Other Adjustments])</f>
        <v>0</v>
      </c>
      <c r="H209" s="19">
        <f>SUBTOTAL(109,Program286[(H)
Net Program Costs
Sum (C through G)])</f>
        <v>711197</v>
      </c>
      <c r="I209" s="19">
        <f>SUBTOTAL(109,Program286[(I)
Payments
 and Offsets])</f>
        <v>-621514</v>
      </c>
      <c r="J209" s="19">
        <f>SUBTOTAL(109,Program286[(J)
Accounts Payable Balance
(H + I)])</f>
        <v>89683</v>
      </c>
      <c r="K209" s="19">
        <f>SUBTOTAL(109,Program286[(K)
Established 
Accounts Receivable])</f>
        <v>0</v>
      </c>
      <c r="L209" s="19">
        <f>SUBTOTAL(109,Program286[(L)
Recovered
 Accounts Receivable])</f>
        <v>0</v>
      </c>
      <c r="M209" s="19">
        <f>SUBTOTAL(109,Program286[(M)
Accounts Receivable Balance
(K + L)])</f>
        <v>0</v>
      </c>
      <c r="N209" s="19">
        <f>SUBTOTAL(109,Program286[(N)
Net Balance
(J minus M)])</f>
        <v>89683</v>
      </c>
    </row>
    <row r="210" spans="1:14" ht="15.75" x14ac:dyDescent="0.25">
      <c r="A210" s="17" t="s">
        <v>13</v>
      </c>
      <c r="B210" s="54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78.75" x14ac:dyDescent="0.25">
      <c r="A211" s="39" t="s">
        <v>32</v>
      </c>
      <c r="B211" s="40" t="s">
        <v>33</v>
      </c>
      <c r="C211" s="41" t="s">
        <v>34</v>
      </c>
      <c r="D211" s="41" t="s">
        <v>35</v>
      </c>
      <c r="E211" s="42" t="s">
        <v>36</v>
      </c>
      <c r="F211" s="42" t="s">
        <v>37</v>
      </c>
      <c r="G211" s="42" t="s">
        <v>38</v>
      </c>
      <c r="H211" s="43" t="s">
        <v>39</v>
      </c>
      <c r="I211" s="44" t="s">
        <v>40</v>
      </c>
      <c r="J211" s="44" t="s">
        <v>41</v>
      </c>
      <c r="K211" s="42" t="s">
        <v>42</v>
      </c>
      <c r="L211" s="44" t="s">
        <v>43</v>
      </c>
      <c r="M211" s="44" t="s">
        <v>44</v>
      </c>
      <c r="N211" s="45" t="s">
        <v>45</v>
      </c>
    </row>
    <row r="212" spans="1:14" ht="30" x14ac:dyDescent="0.25">
      <c r="A212" s="67" t="s">
        <v>591</v>
      </c>
      <c r="B212" s="57" t="s">
        <v>76</v>
      </c>
      <c r="C212" s="58">
        <v>1202</v>
      </c>
      <c r="D212" s="58">
        <v>0</v>
      </c>
      <c r="E212" s="58">
        <v>0</v>
      </c>
      <c r="F212" s="58">
        <v>0</v>
      </c>
      <c r="G212" s="58">
        <v>0</v>
      </c>
      <c r="H212" s="58">
        <v>1202</v>
      </c>
      <c r="I212" s="58">
        <v>0</v>
      </c>
      <c r="J212" s="58">
        <v>1202</v>
      </c>
      <c r="K212" s="58">
        <v>0</v>
      </c>
      <c r="L212" s="58">
        <v>0</v>
      </c>
      <c r="M212" s="58">
        <v>0</v>
      </c>
      <c r="N212" s="58">
        <v>1202</v>
      </c>
    </row>
    <row r="213" spans="1:14" ht="30" x14ac:dyDescent="0.25">
      <c r="A213" s="68" t="s">
        <v>591</v>
      </c>
      <c r="B213" s="60" t="s">
        <v>77</v>
      </c>
      <c r="C213" s="61">
        <v>2715</v>
      </c>
      <c r="D213" s="61">
        <v>0</v>
      </c>
      <c r="E213" s="61">
        <v>0</v>
      </c>
      <c r="F213" s="61">
        <v>0</v>
      </c>
      <c r="G213" s="61">
        <v>0</v>
      </c>
      <c r="H213" s="61">
        <v>2715</v>
      </c>
      <c r="I213" s="61">
        <v>-1000</v>
      </c>
      <c r="J213" s="61">
        <v>1715</v>
      </c>
      <c r="K213" s="61">
        <v>0</v>
      </c>
      <c r="L213" s="61">
        <v>0</v>
      </c>
      <c r="M213" s="61">
        <v>0</v>
      </c>
      <c r="N213" s="61">
        <v>1715</v>
      </c>
    </row>
    <row r="214" spans="1:14" ht="30" x14ac:dyDescent="0.25">
      <c r="A214" s="68" t="s">
        <v>591</v>
      </c>
      <c r="B214" s="60" t="s">
        <v>78</v>
      </c>
      <c r="C214" s="61">
        <v>2572</v>
      </c>
      <c r="D214" s="61">
        <v>0</v>
      </c>
      <c r="E214" s="61">
        <v>0</v>
      </c>
      <c r="F214" s="61">
        <v>0</v>
      </c>
      <c r="G214" s="61">
        <v>0</v>
      </c>
      <c r="H214" s="61">
        <v>2572</v>
      </c>
      <c r="I214" s="61">
        <v>-1000</v>
      </c>
      <c r="J214" s="61">
        <v>1572</v>
      </c>
      <c r="K214" s="61">
        <v>0</v>
      </c>
      <c r="L214" s="61">
        <v>0</v>
      </c>
      <c r="M214" s="61">
        <v>0</v>
      </c>
      <c r="N214" s="61">
        <v>1572</v>
      </c>
    </row>
    <row r="215" spans="1:14" ht="30" x14ac:dyDescent="0.25">
      <c r="A215" s="68" t="s">
        <v>591</v>
      </c>
      <c r="B215" s="60" t="s">
        <v>47</v>
      </c>
      <c r="C215" s="61">
        <v>3190</v>
      </c>
      <c r="D215" s="61">
        <v>0</v>
      </c>
      <c r="E215" s="61">
        <v>0</v>
      </c>
      <c r="F215" s="61">
        <v>0</v>
      </c>
      <c r="G215" s="61">
        <v>0</v>
      </c>
      <c r="H215" s="61">
        <v>3190</v>
      </c>
      <c r="I215" s="61">
        <v>-1000</v>
      </c>
      <c r="J215" s="61">
        <v>2190</v>
      </c>
      <c r="K215" s="61">
        <v>0</v>
      </c>
      <c r="L215" s="61">
        <v>0</v>
      </c>
      <c r="M215" s="61">
        <v>0</v>
      </c>
      <c r="N215" s="61">
        <v>2190</v>
      </c>
    </row>
    <row r="216" spans="1:14" ht="30" x14ac:dyDescent="0.25">
      <c r="A216" s="68" t="s">
        <v>591</v>
      </c>
      <c r="B216" s="60" t="s">
        <v>79</v>
      </c>
      <c r="C216" s="61">
        <v>8527</v>
      </c>
      <c r="D216" s="61">
        <v>0</v>
      </c>
      <c r="E216" s="61">
        <v>0</v>
      </c>
      <c r="F216" s="61">
        <v>0</v>
      </c>
      <c r="G216" s="61">
        <v>0</v>
      </c>
      <c r="H216" s="61">
        <v>8527</v>
      </c>
      <c r="I216" s="61">
        <v>-1000</v>
      </c>
      <c r="J216" s="61">
        <v>7527</v>
      </c>
      <c r="K216" s="61">
        <v>0</v>
      </c>
      <c r="L216" s="61">
        <v>0</v>
      </c>
      <c r="M216" s="61">
        <v>0</v>
      </c>
      <c r="N216" s="61">
        <v>7527</v>
      </c>
    </row>
    <row r="217" spans="1:14" ht="30" x14ac:dyDescent="0.25">
      <c r="A217" s="68" t="s">
        <v>591</v>
      </c>
      <c r="B217" s="60" t="s">
        <v>80</v>
      </c>
      <c r="C217" s="61">
        <v>51776</v>
      </c>
      <c r="D217" s="61">
        <v>0</v>
      </c>
      <c r="E217" s="61">
        <v>0</v>
      </c>
      <c r="F217" s="61">
        <v>0</v>
      </c>
      <c r="G217" s="61">
        <v>0</v>
      </c>
      <c r="H217" s="61">
        <v>51776</v>
      </c>
      <c r="I217" s="61">
        <v>-21615</v>
      </c>
      <c r="J217" s="61">
        <v>30161</v>
      </c>
      <c r="K217" s="61">
        <v>0</v>
      </c>
      <c r="L217" s="61">
        <v>0</v>
      </c>
      <c r="M217" s="61">
        <v>0</v>
      </c>
      <c r="N217" s="61">
        <v>30161</v>
      </c>
    </row>
    <row r="218" spans="1:14" ht="30" x14ac:dyDescent="0.25">
      <c r="A218" s="68" t="s">
        <v>591</v>
      </c>
      <c r="B218" s="60" t="s">
        <v>81</v>
      </c>
      <c r="C218" s="61">
        <v>39745</v>
      </c>
      <c r="D218" s="61">
        <v>-224</v>
      </c>
      <c r="E218" s="61">
        <v>0</v>
      </c>
      <c r="F218" s="61">
        <v>0</v>
      </c>
      <c r="G218" s="61">
        <v>0</v>
      </c>
      <c r="H218" s="61">
        <v>39521</v>
      </c>
      <c r="I218" s="61">
        <v>-18266</v>
      </c>
      <c r="J218" s="61">
        <v>21255</v>
      </c>
      <c r="K218" s="61">
        <v>0</v>
      </c>
      <c r="L218" s="61">
        <v>0</v>
      </c>
      <c r="M218" s="61">
        <v>0</v>
      </c>
      <c r="N218" s="61">
        <v>21255</v>
      </c>
    </row>
    <row r="219" spans="1:14" ht="30" x14ac:dyDescent="0.25">
      <c r="A219" s="68" t="s">
        <v>591</v>
      </c>
      <c r="B219" s="60" t="s">
        <v>82</v>
      </c>
      <c r="C219" s="61">
        <v>112635</v>
      </c>
      <c r="D219" s="61">
        <v>0</v>
      </c>
      <c r="E219" s="61">
        <v>0</v>
      </c>
      <c r="F219" s="61">
        <v>0</v>
      </c>
      <c r="G219" s="61">
        <v>0</v>
      </c>
      <c r="H219" s="61">
        <v>112635</v>
      </c>
      <c r="I219" s="61">
        <v>-61328</v>
      </c>
      <c r="J219" s="61">
        <v>51307</v>
      </c>
      <c r="K219" s="61">
        <v>0</v>
      </c>
      <c r="L219" s="61">
        <v>0</v>
      </c>
      <c r="M219" s="61">
        <v>0</v>
      </c>
      <c r="N219" s="61">
        <v>51307</v>
      </c>
    </row>
    <row r="220" spans="1:14" ht="30" x14ac:dyDescent="0.25">
      <c r="A220" s="68" t="s">
        <v>591</v>
      </c>
      <c r="B220" s="60" t="s">
        <v>83</v>
      </c>
      <c r="C220" s="61">
        <v>434906</v>
      </c>
      <c r="D220" s="61">
        <v>-863</v>
      </c>
      <c r="E220" s="61">
        <v>0</v>
      </c>
      <c r="F220" s="61">
        <v>0</v>
      </c>
      <c r="G220" s="61">
        <v>0</v>
      </c>
      <c r="H220" s="61">
        <v>434043</v>
      </c>
      <c r="I220" s="61">
        <v>-297644</v>
      </c>
      <c r="J220" s="61">
        <v>136399</v>
      </c>
      <c r="K220" s="61">
        <v>0</v>
      </c>
      <c r="L220" s="61">
        <v>0</v>
      </c>
      <c r="M220" s="61">
        <v>0</v>
      </c>
      <c r="N220" s="61">
        <v>136399</v>
      </c>
    </row>
    <row r="221" spans="1:14" ht="30" x14ac:dyDescent="0.25">
      <c r="A221" s="68" t="s">
        <v>591</v>
      </c>
      <c r="B221" s="60" t="s">
        <v>48</v>
      </c>
      <c r="C221" s="61">
        <v>510406</v>
      </c>
      <c r="D221" s="61">
        <v>-494</v>
      </c>
      <c r="E221" s="61">
        <v>0</v>
      </c>
      <c r="F221" s="61">
        <v>0</v>
      </c>
      <c r="G221" s="61">
        <v>0</v>
      </c>
      <c r="H221" s="61">
        <v>509912</v>
      </c>
      <c r="I221" s="61">
        <v>-359546</v>
      </c>
      <c r="J221" s="61">
        <v>150366</v>
      </c>
      <c r="K221" s="61">
        <v>0</v>
      </c>
      <c r="L221" s="61">
        <v>0</v>
      </c>
      <c r="M221" s="61">
        <v>0</v>
      </c>
      <c r="N221" s="61">
        <v>150366</v>
      </c>
    </row>
    <row r="222" spans="1:14" ht="30" x14ac:dyDescent="0.25">
      <c r="A222" s="68" t="s">
        <v>591</v>
      </c>
      <c r="B222" s="60" t="s">
        <v>49</v>
      </c>
      <c r="C222" s="61">
        <v>494008</v>
      </c>
      <c r="D222" s="61">
        <v>-3124</v>
      </c>
      <c r="E222" s="61">
        <v>0</v>
      </c>
      <c r="F222" s="61">
        <v>0</v>
      </c>
      <c r="G222" s="61">
        <v>0</v>
      </c>
      <c r="H222" s="61">
        <v>490884</v>
      </c>
      <c r="I222" s="61">
        <v>-490884</v>
      </c>
      <c r="J222" s="61">
        <v>0</v>
      </c>
      <c r="K222" s="61">
        <v>64</v>
      </c>
      <c r="L222" s="61">
        <v>-64</v>
      </c>
      <c r="M222" s="61">
        <v>0</v>
      </c>
      <c r="N222" s="61">
        <v>0</v>
      </c>
    </row>
    <row r="223" spans="1:14" ht="30" x14ac:dyDescent="0.25">
      <c r="A223" s="68" t="s">
        <v>591</v>
      </c>
      <c r="B223" s="60" t="s">
        <v>50</v>
      </c>
      <c r="C223" s="61">
        <v>614283</v>
      </c>
      <c r="D223" s="61">
        <v>0</v>
      </c>
      <c r="E223" s="61">
        <v>0</v>
      </c>
      <c r="F223" s="61">
        <v>0</v>
      </c>
      <c r="G223" s="61">
        <v>0</v>
      </c>
      <c r="H223" s="61">
        <v>614283</v>
      </c>
      <c r="I223" s="61">
        <v>-610927</v>
      </c>
      <c r="J223" s="61">
        <v>3356</v>
      </c>
      <c r="K223" s="61">
        <v>1120</v>
      </c>
      <c r="L223" s="61">
        <v>-1120</v>
      </c>
      <c r="M223" s="61">
        <v>0</v>
      </c>
      <c r="N223" s="61">
        <v>3356</v>
      </c>
    </row>
    <row r="224" spans="1:14" ht="30" x14ac:dyDescent="0.25">
      <c r="A224" s="68" t="s">
        <v>591</v>
      </c>
      <c r="B224" s="60" t="s">
        <v>51</v>
      </c>
      <c r="C224" s="61">
        <v>629152</v>
      </c>
      <c r="D224" s="61">
        <v>-4208</v>
      </c>
      <c r="E224" s="61">
        <v>0</v>
      </c>
      <c r="F224" s="61">
        <v>0</v>
      </c>
      <c r="G224" s="61">
        <v>0</v>
      </c>
      <c r="H224" s="61">
        <v>624944</v>
      </c>
      <c r="I224" s="61">
        <v>-536418</v>
      </c>
      <c r="J224" s="61">
        <v>88526</v>
      </c>
      <c r="K224" s="61">
        <v>0</v>
      </c>
      <c r="L224" s="61">
        <v>0</v>
      </c>
      <c r="M224" s="61">
        <v>0</v>
      </c>
      <c r="N224" s="61">
        <v>88526</v>
      </c>
    </row>
    <row r="225" spans="1:14" ht="30" x14ac:dyDescent="0.25">
      <c r="A225" s="68" t="s">
        <v>591</v>
      </c>
      <c r="B225" s="60" t="s">
        <v>52</v>
      </c>
      <c r="C225" s="61">
        <v>731152</v>
      </c>
      <c r="D225" s="61">
        <v>-17840</v>
      </c>
      <c r="E225" s="61">
        <v>0</v>
      </c>
      <c r="F225" s="61">
        <v>0</v>
      </c>
      <c r="G225" s="61">
        <v>0</v>
      </c>
      <c r="H225" s="61">
        <v>713312</v>
      </c>
      <c r="I225" s="61">
        <v>-650007</v>
      </c>
      <c r="J225" s="61">
        <v>63305</v>
      </c>
      <c r="K225" s="61">
        <v>28693</v>
      </c>
      <c r="L225" s="61">
        <v>-15027</v>
      </c>
      <c r="M225" s="61">
        <v>13666</v>
      </c>
      <c r="N225" s="61">
        <v>49639</v>
      </c>
    </row>
    <row r="226" spans="1:14" ht="30" x14ac:dyDescent="0.25">
      <c r="A226" s="68" t="s">
        <v>591</v>
      </c>
      <c r="B226" s="60" t="s">
        <v>53</v>
      </c>
      <c r="C226" s="61">
        <v>799821</v>
      </c>
      <c r="D226" s="61">
        <v>-9855</v>
      </c>
      <c r="E226" s="61">
        <v>0</v>
      </c>
      <c r="F226" s="61">
        <v>0</v>
      </c>
      <c r="G226" s="61">
        <v>0</v>
      </c>
      <c r="H226" s="61">
        <v>789966</v>
      </c>
      <c r="I226" s="61">
        <v>-701787</v>
      </c>
      <c r="J226" s="61">
        <v>88179</v>
      </c>
      <c r="K226" s="61">
        <v>0</v>
      </c>
      <c r="L226" s="61">
        <v>0</v>
      </c>
      <c r="M226" s="61">
        <v>0</v>
      </c>
      <c r="N226" s="61">
        <v>88179</v>
      </c>
    </row>
    <row r="227" spans="1:14" ht="30" x14ac:dyDescent="0.25">
      <c r="A227" s="68" t="s">
        <v>591</v>
      </c>
      <c r="B227" s="60" t="s">
        <v>54</v>
      </c>
      <c r="C227" s="61">
        <v>881955</v>
      </c>
      <c r="D227" s="61">
        <v>-19664</v>
      </c>
      <c r="E227" s="61">
        <v>0</v>
      </c>
      <c r="F227" s="61">
        <v>0</v>
      </c>
      <c r="G227" s="61">
        <v>0</v>
      </c>
      <c r="H227" s="61">
        <v>862291</v>
      </c>
      <c r="I227" s="61">
        <v>-862291</v>
      </c>
      <c r="J227" s="61">
        <v>0</v>
      </c>
      <c r="K227" s="61">
        <v>8341</v>
      </c>
      <c r="L227" s="61">
        <v>0</v>
      </c>
      <c r="M227" s="61">
        <v>8341</v>
      </c>
      <c r="N227" s="61">
        <v>-8341</v>
      </c>
    </row>
    <row r="228" spans="1:14" ht="30" x14ac:dyDescent="0.25">
      <c r="A228" s="68" t="s">
        <v>591</v>
      </c>
      <c r="B228" s="60" t="s">
        <v>55</v>
      </c>
      <c r="C228" s="61">
        <v>1050033</v>
      </c>
      <c r="D228" s="61">
        <v>-5084</v>
      </c>
      <c r="E228" s="61">
        <v>0</v>
      </c>
      <c r="F228" s="61">
        <v>0</v>
      </c>
      <c r="G228" s="61">
        <v>0</v>
      </c>
      <c r="H228" s="61">
        <v>1044949</v>
      </c>
      <c r="I228" s="61">
        <v>-1044949</v>
      </c>
      <c r="J228" s="61">
        <v>0</v>
      </c>
      <c r="K228" s="61">
        <v>0</v>
      </c>
      <c r="L228" s="61">
        <v>0</v>
      </c>
      <c r="M228" s="61">
        <v>0</v>
      </c>
      <c r="N228" s="61">
        <v>0</v>
      </c>
    </row>
    <row r="229" spans="1:14" ht="30" x14ac:dyDescent="0.25">
      <c r="A229" s="68" t="s">
        <v>591</v>
      </c>
      <c r="B229" s="60" t="s">
        <v>56</v>
      </c>
      <c r="C229" s="61">
        <v>1397380</v>
      </c>
      <c r="D229" s="61">
        <v>-1153</v>
      </c>
      <c r="E229" s="61">
        <v>0</v>
      </c>
      <c r="F229" s="61">
        <v>0</v>
      </c>
      <c r="G229" s="61">
        <v>0</v>
      </c>
      <c r="H229" s="61">
        <v>1396227</v>
      </c>
      <c r="I229" s="61">
        <v>-1396227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</row>
    <row r="230" spans="1:14" ht="30" x14ac:dyDescent="0.25">
      <c r="A230" s="68" t="s">
        <v>591</v>
      </c>
      <c r="B230" s="60" t="s">
        <v>57</v>
      </c>
      <c r="C230" s="61">
        <v>954338</v>
      </c>
      <c r="D230" s="61">
        <v>-36633</v>
      </c>
      <c r="E230" s="61">
        <v>0</v>
      </c>
      <c r="F230" s="61">
        <v>0</v>
      </c>
      <c r="G230" s="61">
        <v>0</v>
      </c>
      <c r="H230" s="61">
        <v>917705</v>
      </c>
      <c r="I230" s="61">
        <v>-917705</v>
      </c>
      <c r="J230" s="61">
        <v>0</v>
      </c>
      <c r="K230" s="61">
        <v>88709</v>
      </c>
      <c r="L230" s="61">
        <v>-88709</v>
      </c>
      <c r="M230" s="61">
        <v>0</v>
      </c>
      <c r="N230" s="61">
        <v>0</v>
      </c>
    </row>
    <row r="231" spans="1:14" ht="30" x14ac:dyDescent="0.25">
      <c r="A231" s="68" t="s">
        <v>591</v>
      </c>
      <c r="B231" s="60" t="s">
        <v>58</v>
      </c>
      <c r="C231" s="61">
        <v>955988</v>
      </c>
      <c r="D231" s="61">
        <v>-3932</v>
      </c>
      <c r="E231" s="61">
        <v>0</v>
      </c>
      <c r="F231" s="61">
        <v>0</v>
      </c>
      <c r="G231" s="61">
        <v>0</v>
      </c>
      <c r="H231" s="61">
        <v>952056</v>
      </c>
      <c r="I231" s="61">
        <v>-952056</v>
      </c>
      <c r="J231" s="61">
        <v>0</v>
      </c>
      <c r="K231" s="61">
        <v>114256</v>
      </c>
      <c r="L231" s="61">
        <v>-114256</v>
      </c>
      <c r="M231" s="61">
        <v>0</v>
      </c>
      <c r="N231" s="61">
        <v>0</v>
      </c>
    </row>
    <row r="232" spans="1:14" ht="30" x14ac:dyDescent="0.25">
      <c r="A232" s="68" t="s">
        <v>591</v>
      </c>
      <c r="B232" s="60" t="s">
        <v>59</v>
      </c>
      <c r="C232" s="61">
        <v>914985</v>
      </c>
      <c r="D232" s="61">
        <v>-3922</v>
      </c>
      <c r="E232" s="61">
        <v>0</v>
      </c>
      <c r="F232" s="61">
        <v>0</v>
      </c>
      <c r="G232" s="61">
        <v>0</v>
      </c>
      <c r="H232" s="61">
        <v>911063</v>
      </c>
      <c r="I232" s="61">
        <v>-911063</v>
      </c>
      <c r="J232" s="61">
        <v>0</v>
      </c>
      <c r="K232" s="61">
        <v>0</v>
      </c>
      <c r="L232" s="61">
        <v>0</v>
      </c>
      <c r="M232" s="61">
        <v>0</v>
      </c>
      <c r="N232" s="61">
        <v>0</v>
      </c>
    </row>
    <row r="233" spans="1:14" ht="30" x14ac:dyDescent="0.25">
      <c r="A233" s="68" t="s">
        <v>591</v>
      </c>
      <c r="B233" s="60" t="s">
        <v>60</v>
      </c>
      <c r="C233" s="61">
        <v>807945</v>
      </c>
      <c r="D233" s="61">
        <v>-6458</v>
      </c>
      <c r="E233" s="61">
        <v>0</v>
      </c>
      <c r="F233" s="61">
        <v>0</v>
      </c>
      <c r="G233" s="61">
        <v>0</v>
      </c>
      <c r="H233" s="61">
        <v>801487</v>
      </c>
      <c r="I233" s="61">
        <v>-801487</v>
      </c>
      <c r="J233" s="61">
        <v>0</v>
      </c>
      <c r="K233" s="61">
        <v>73988</v>
      </c>
      <c r="L233" s="61">
        <v>-73988</v>
      </c>
      <c r="M233" s="61">
        <v>0</v>
      </c>
      <c r="N233" s="61">
        <v>0</v>
      </c>
    </row>
    <row r="234" spans="1:14" ht="30" x14ac:dyDescent="0.25">
      <c r="A234" s="68" t="s">
        <v>591</v>
      </c>
      <c r="B234" s="60" t="s">
        <v>61</v>
      </c>
      <c r="C234" s="61">
        <v>414236</v>
      </c>
      <c r="D234" s="61">
        <v>-3352</v>
      </c>
      <c r="E234" s="61">
        <v>0</v>
      </c>
      <c r="F234" s="61">
        <v>0</v>
      </c>
      <c r="G234" s="61">
        <v>0</v>
      </c>
      <c r="H234" s="61">
        <v>410884</v>
      </c>
      <c r="I234" s="61">
        <v>-410884</v>
      </c>
      <c r="J234" s="61">
        <v>0</v>
      </c>
      <c r="K234" s="61">
        <v>0</v>
      </c>
      <c r="L234" s="61">
        <v>0</v>
      </c>
      <c r="M234" s="61">
        <v>0</v>
      </c>
      <c r="N234" s="61">
        <v>0</v>
      </c>
    </row>
    <row r="235" spans="1:14" ht="30" x14ac:dyDescent="0.25">
      <c r="A235" s="68" t="s">
        <v>591</v>
      </c>
      <c r="B235" s="60" t="s">
        <v>62</v>
      </c>
      <c r="C235" s="61">
        <v>376359</v>
      </c>
      <c r="D235" s="61">
        <v>-3029</v>
      </c>
      <c r="E235" s="61">
        <v>0</v>
      </c>
      <c r="F235" s="61">
        <v>0</v>
      </c>
      <c r="G235" s="61">
        <v>0</v>
      </c>
      <c r="H235" s="61">
        <v>373330</v>
      </c>
      <c r="I235" s="61">
        <v>-373330</v>
      </c>
      <c r="J235" s="61">
        <v>0</v>
      </c>
      <c r="K235" s="61">
        <v>0</v>
      </c>
      <c r="L235" s="61">
        <v>0</v>
      </c>
      <c r="M235" s="61">
        <v>0</v>
      </c>
      <c r="N235" s="61">
        <v>0</v>
      </c>
    </row>
    <row r="236" spans="1:14" ht="30" x14ac:dyDescent="0.25">
      <c r="A236" s="68" t="s">
        <v>591</v>
      </c>
      <c r="B236" s="60" t="s">
        <v>63</v>
      </c>
      <c r="C236" s="61">
        <v>296932</v>
      </c>
      <c r="D236" s="61">
        <v>-1634</v>
      </c>
      <c r="E236" s="61">
        <v>0</v>
      </c>
      <c r="F236" s="61">
        <v>0</v>
      </c>
      <c r="G236" s="61">
        <v>0</v>
      </c>
      <c r="H236" s="61">
        <v>295298</v>
      </c>
      <c r="I236" s="61">
        <v>-295298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</row>
    <row r="237" spans="1:14" ht="30" x14ac:dyDescent="0.25">
      <c r="A237" s="68" t="s">
        <v>591</v>
      </c>
      <c r="B237" s="60" t="s">
        <v>64</v>
      </c>
      <c r="C237" s="61">
        <v>246157</v>
      </c>
      <c r="D237" s="61">
        <v>-1583</v>
      </c>
      <c r="E237" s="61">
        <v>0</v>
      </c>
      <c r="F237" s="61">
        <v>0</v>
      </c>
      <c r="G237" s="61">
        <v>0</v>
      </c>
      <c r="H237" s="61">
        <v>244574</v>
      </c>
      <c r="I237" s="61">
        <v>-244574</v>
      </c>
      <c r="J237" s="61">
        <v>0</v>
      </c>
      <c r="K237" s="61">
        <v>3252</v>
      </c>
      <c r="L237" s="61">
        <v>-3252</v>
      </c>
      <c r="M237" s="61">
        <v>0</v>
      </c>
      <c r="N237" s="61">
        <v>0</v>
      </c>
    </row>
    <row r="238" spans="1:14" ht="15.75" x14ac:dyDescent="0.25">
      <c r="A238" s="52" t="s">
        <v>469</v>
      </c>
      <c r="B238" s="53" t="s">
        <v>8</v>
      </c>
      <c r="C238" s="19">
        <f>SUBTOTAL(109,Program172[(C)
Program
Costs])</f>
        <v>12732398</v>
      </c>
      <c r="D238" s="19">
        <f>SUBTOTAL(109,Program172[(D)
Prior Period Adjustments])</f>
        <v>-123052</v>
      </c>
      <c r="E238" s="19">
        <f>SUBTOTAL(109,Program172[(E)
Current Period Desk 
Reviews])</f>
        <v>0</v>
      </c>
      <c r="F238" s="19">
        <f>SUBTOTAL(109,Program172[(F)
Current Period 
Final 
Audits])</f>
        <v>0</v>
      </c>
      <c r="G238" s="19">
        <f>SUBTOTAL(109,Program172[(G)
Current Period 
Other Adjustments])</f>
        <v>0</v>
      </c>
      <c r="H238" s="19">
        <f>SUBTOTAL(109,Program172[(H)
Net Program Costs
Sum (C through G)])</f>
        <v>12609346</v>
      </c>
      <c r="I238" s="19">
        <f>SUBTOTAL(109,Program172[(I)
Payments
 and Offsets])</f>
        <v>-11962286</v>
      </c>
      <c r="J238" s="19">
        <f>SUBTOTAL(109,Program172[(J)
Accounts Payable Balance
(H + I)])</f>
        <v>647060</v>
      </c>
      <c r="K238" s="19">
        <f>SUBTOTAL(109,Program172[(K)
Established 
Accounts Receivable])</f>
        <v>318423</v>
      </c>
      <c r="L238" s="19">
        <f>SUBTOTAL(109,Program172[(L)
Recovered
 Accounts Receivable])</f>
        <v>-296416</v>
      </c>
      <c r="M238" s="19">
        <f>SUBTOTAL(109,Program172[(M)
Accounts Receivable Balance
(K + L)])</f>
        <v>22007</v>
      </c>
      <c r="N238" s="19">
        <f>SUBTOTAL(109,Program172[(N)
Net Balance
(J minus M)])</f>
        <v>625053</v>
      </c>
    </row>
    <row r="239" spans="1:14" ht="15.75" x14ac:dyDescent="0.25">
      <c r="A239" s="17" t="s">
        <v>13</v>
      </c>
      <c r="B239" s="54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</row>
    <row r="240" spans="1:14" ht="78.75" x14ac:dyDescent="0.25">
      <c r="A240" s="39" t="s">
        <v>32</v>
      </c>
      <c r="B240" s="40" t="s">
        <v>33</v>
      </c>
      <c r="C240" s="41" t="s">
        <v>34</v>
      </c>
      <c r="D240" s="41" t="s">
        <v>35</v>
      </c>
      <c r="E240" s="42" t="s">
        <v>36</v>
      </c>
      <c r="F240" s="42" t="s">
        <v>37</v>
      </c>
      <c r="G240" s="42" t="s">
        <v>38</v>
      </c>
      <c r="H240" s="43" t="s">
        <v>39</v>
      </c>
      <c r="I240" s="44" t="s">
        <v>40</v>
      </c>
      <c r="J240" s="44" t="s">
        <v>41</v>
      </c>
      <c r="K240" s="42" t="s">
        <v>42</v>
      </c>
      <c r="L240" s="44" t="s">
        <v>43</v>
      </c>
      <c r="M240" s="44" t="s">
        <v>44</v>
      </c>
      <c r="N240" s="45" t="s">
        <v>45</v>
      </c>
    </row>
    <row r="241" spans="1:14" ht="15.75" x14ac:dyDescent="0.25">
      <c r="A241" s="46" t="s">
        <v>590</v>
      </c>
      <c r="B241" s="47" t="s">
        <v>63</v>
      </c>
      <c r="C241" s="48">
        <v>27210494</v>
      </c>
      <c r="D241" s="48">
        <v>-8276156</v>
      </c>
      <c r="E241" s="48">
        <v>0</v>
      </c>
      <c r="F241" s="48">
        <v>0</v>
      </c>
      <c r="G241" s="48">
        <v>0</v>
      </c>
      <c r="H241" s="48">
        <v>18934338</v>
      </c>
      <c r="I241" s="48">
        <v>-18934338</v>
      </c>
      <c r="J241" s="48">
        <v>0</v>
      </c>
      <c r="K241" s="48">
        <v>2392576</v>
      </c>
      <c r="L241" s="48">
        <v>-2392576</v>
      </c>
      <c r="M241" s="48">
        <v>0</v>
      </c>
      <c r="N241" s="48">
        <v>0</v>
      </c>
    </row>
    <row r="242" spans="1:14" ht="15.75" x14ac:dyDescent="0.25">
      <c r="A242" s="49" t="s">
        <v>590</v>
      </c>
      <c r="B242" s="50" t="s">
        <v>64</v>
      </c>
      <c r="C242" s="51">
        <v>20429897</v>
      </c>
      <c r="D242" s="51">
        <v>-5119882</v>
      </c>
      <c r="E242" s="51">
        <v>0</v>
      </c>
      <c r="F242" s="51">
        <v>0</v>
      </c>
      <c r="G242" s="51">
        <v>0</v>
      </c>
      <c r="H242" s="51">
        <v>15310015</v>
      </c>
      <c r="I242" s="51">
        <v>-15310015</v>
      </c>
      <c r="J242" s="51">
        <v>0</v>
      </c>
      <c r="K242" s="51">
        <v>5571</v>
      </c>
      <c r="L242" s="51">
        <v>-5571</v>
      </c>
      <c r="M242" s="51">
        <v>0</v>
      </c>
      <c r="N242" s="51">
        <v>0</v>
      </c>
    </row>
    <row r="243" spans="1:14" ht="15.75" x14ac:dyDescent="0.25">
      <c r="A243" s="49" t="s">
        <v>590</v>
      </c>
      <c r="B243" s="50" t="s">
        <v>65</v>
      </c>
      <c r="C243" s="51">
        <v>13739387</v>
      </c>
      <c r="D243" s="51">
        <v>-164310</v>
      </c>
      <c r="E243" s="51">
        <v>0</v>
      </c>
      <c r="F243" s="51">
        <v>0</v>
      </c>
      <c r="G243" s="51">
        <v>0</v>
      </c>
      <c r="H243" s="51">
        <v>13575077</v>
      </c>
      <c r="I243" s="51">
        <v>-13575077</v>
      </c>
      <c r="J243" s="51">
        <v>0</v>
      </c>
      <c r="K243" s="51">
        <v>6669</v>
      </c>
      <c r="L243" s="51">
        <v>-6669</v>
      </c>
      <c r="M243" s="51">
        <v>0</v>
      </c>
      <c r="N243" s="51">
        <v>0</v>
      </c>
    </row>
    <row r="244" spans="1:14" ht="15.75" x14ac:dyDescent="0.25">
      <c r="A244" s="49" t="s">
        <v>590</v>
      </c>
      <c r="B244" s="50" t="s">
        <v>66</v>
      </c>
      <c r="C244" s="51">
        <v>8075906</v>
      </c>
      <c r="D244" s="51">
        <v>-14087</v>
      </c>
      <c r="E244" s="51">
        <v>0</v>
      </c>
      <c r="F244" s="51">
        <v>0</v>
      </c>
      <c r="G244" s="51">
        <v>0</v>
      </c>
      <c r="H244" s="51">
        <v>8061819</v>
      </c>
      <c r="I244" s="51">
        <v>-8061819</v>
      </c>
      <c r="J244" s="51">
        <v>0</v>
      </c>
      <c r="K244" s="51">
        <v>12445</v>
      </c>
      <c r="L244" s="51">
        <v>-12445</v>
      </c>
      <c r="M244" s="51">
        <v>0</v>
      </c>
      <c r="N244" s="51">
        <v>0</v>
      </c>
    </row>
    <row r="245" spans="1:14" ht="15.75" x14ac:dyDescent="0.25">
      <c r="A245" s="49" t="s">
        <v>590</v>
      </c>
      <c r="B245" s="50" t="s">
        <v>67</v>
      </c>
      <c r="C245" s="51">
        <v>5895285</v>
      </c>
      <c r="D245" s="51">
        <v>-75583</v>
      </c>
      <c r="E245" s="51">
        <v>0</v>
      </c>
      <c r="F245" s="51">
        <v>0</v>
      </c>
      <c r="G245" s="51">
        <v>0</v>
      </c>
      <c r="H245" s="51">
        <v>5819702</v>
      </c>
      <c r="I245" s="51">
        <v>-5819702</v>
      </c>
      <c r="J245" s="51">
        <v>0</v>
      </c>
      <c r="K245" s="51">
        <v>11884</v>
      </c>
      <c r="L245" s="51">
        <v>-11884</v>
      </c>
      <c r="M245" s="51">
        <v>0</v>
      </c>
      <c r="N245" s="51">
        <v>0</v>
      </c>
    </row>
    <row r="246" spans="1:14" ht="15.75" x14ac:dyDescent="0.25">
      <c r="A246" s="49" t="s">
        <v>590</v>
      </c>
      <c r="B246" s="50" t="s">
        <v>68</v>
      </c>
      <c r="C246" s="51">
        <v>7821</v>
      </c>
      <c r="D246" s="51">
        <v>0</v>
      </c>
      <c r="E246" s="51">
        <v>0</v>
      </c>
      <c r="F246" s="51">
        <v>0</v>
      </c>
      <c r="G246" s="51">
        <v>0</v>
      </c>
      <c r="H246" s="51">
        <v>7821</v>
      </c>
      <c r="I246" s="51">
        <v>-7821</v>
      </c>
      <c r="J246" s="51">
        <v>0</v>
      </c>
      <c r="K246" s="51">
        <v>3736</v>
      </c>
      <c r="L246" s="51">
        <v>-3736</v>
      </c>
      <c r="M246" s="51">
        <v>0</v>
      </c>
      <c r="N246" s="51">
        <v>0</v>
      </c>
    </row>
    <row r="247" spans="1:14" ht="15.75" x14ac:dyDescent="0.25">
      <c r="A247" s="49" t="s">
        <v>590</v>
      </c>
      <c r="B247" s="50" t="s">
        <v>69</v>
      </c>
      <c r="C247" s="51">
        <v>0</v>
      </c>
      <c r="D247" s="51">
        <v>0</v>
      </c>
      <c r="E247" s="51">
        <v>0</v>
      </c>
      <c r="F247" s="51">
        <v>0</v>
      </c>
      <c r="G247" s="51">
        <v>0</v>
      </c>
      <c r="H247" s="51">
        <v>0</v>
      </c>
      <c r="I247" s="51">
        <v>0</v>
      </c>
      <c r="J247" s="51">
        <v>0</v>
      </c>
      <c r="K247" s="51">
        <v>9779</v>
      </c>
      <c r="L247" s="51">
        <v>-9779</v>
      </c>
      <c r="M247" s="51">
        <v>0</v>
      </c>
      <c r="N247" s="51">
        <v>0</v>
      </c>
    </row>
    <row r="248" spans="1:14" ht="15.75" x14ac:dyDescent="0.25">
      <c r="A248" s="49" t="s">
        <v>590</v>
      </c>
      <c r="B248" s="50" t="s">
        <v>115</v>
      </c>
      <c r="C248" s="51">
        <v>3204065</v>
      </c>
      <c r="D248" s="51">
        <v>-288653</v>
      </c>
      <c r="E248" s="51">
        <v>0</v>
      </c>
      <c r="F248" s="51">
        <v>0</v>
      </c>
      <c r="G248" s="51">
        <v>0</v>
      </c>
      <c r="H248" s="51">
        <v>2915412</v>
      </c>
      <c r="I248" s="51">
        <v>-2915412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</row>
    <row r="249" spans="1:14" ht="15.75" x14ac:dyDescent="0.25">
      <c r="A249" s="49" t="s">
        <v>590</v>
      </c>
      <c r="B249" s="50" t="s">
        <v>99</v>
      </c>
      <c r="C249" s="51">
        <v>0</v>
      </c>
      <c r="D249" s="51">
        <v>0</v>
      </c>
      <c r="E249" s="51">
        <v>0</v>
      </c>
      <c r="F249" s="51">
        <v>0</v>
      </c>
      <c r="G249" s="51">
        <v>0</v>
      </c>
      <c r="H249" s="51">
        <v>0</v>
      </c>
      <c r="I249" s="51">
        <v>0</v>
      </c>
      <c r="J249" s="51">
        <v>0</v>
      </c>
      <c r="K249" s="51">
        <v>18417</v>
      </c>
      <c r="L249" s="51">
        <v>-18417</v>
      </c>
      <c r="M249" s="51">
        <v>0</v>
      </c>
      <c r="N249" s="51">
        <v>0</v>
      </c>
    </row>
    <row r="250" spans="1:14" ht="15.75" x14ac:dyDescent="0.25">
      <c r="A250" s="49" t="s">
        <v>590</v>
      </c>
      <c r="B250" s="50" t="s">
        <v>100</v>
      </c>
      <c r="C250" s="51">
        <v>0</v>
      </c>
      <c r="D250" s="51">
        <v>0</v>
      </c>
      <c r="E250" s="51">
        <v>0</v>
      </c>
      <c r="F250" s="51">
        <v>0</v>
      </c>
      <c r="G250" s="51">
        <v>0</v>
      </c>
      <c r="H250" s="51">
        <v>0</v>
      </c>
      <c r="I250" s="51">
        <v>0</v>
      </c>
      <c r="J250" s="51">
        <v>0</v>
      </c>
      <c r="K250" s="51">
        <v>3644</v>
      </c>
      <c r="L250" s="51">
        <v>-3644</v>
      </c>
      <c r="M250" s="51">
        <v>0</v>
      </c>
      <c r="N250" s="51">
        <v>0</v>
      </c>
    </row>
    <row r="251" spans="1:14" ht="15.75" x14ac:dyDescent="0.25">
      <c r="A251" s="52" t="s">
        <v>468</v>
      </c>
      <c r="B251" s="53" t="s">
        <v>8</v>
      </c>
      <c r="C251" s="19">
        <f>SUBTOTAL(109,Program009[(C)
Program
Costs])</f>
        <v>78562855</v>
      </c>
      <c r="D251" s="19">
        <f>SUBTOTAL(109,Program009[(D)
Prior Period Adjustments])</f>
        <v>-13938671</v>
      </c>
      <c r="E251" s="19">
        <f>SUBTOTAL(109,Program009[(E)
Current Period Desk 
Reviews])</f>
        <v>0</v>
      </c>
      <c r="F251" s="19">
        <f>SUBTOTAL(109,Program009[(F)
Current Period 
Final 
Audits])</f>
        <v>0</v>
      </c>
      <c r="G251" s="19">
        <f>SUBTOTAL(109,Program009[(G)
Current Period 
Other Adjustments])</f>
        <v>0</v>
      </c>
      <c r="H251" s="19">
        <f>SUBTOTAL(109,Program009[(H)
Net Program Costs
Sum (C through G)])</f>
        <v>64624184</v>
      </c>
      <c r="I251" s="19">
        <f>SUBTOTAL(109,Program009[(I)
Payments
 and Offsets])</f>
        <v>-64624184</v>
      </c>
      <c r="J251" s="19">
        <f>SUBTOTAL(109,Program009[(J)
Accounts Payable Balance
(H + I)])</f>
        <v>0</v>
      </c>
      <c r="K251" s="19">
        <f>SUBTOTAL(109,Program009[(K)
Established 
Accounts Receivable])</f>
        <v>2464721</v>
      </c>
      <c r="L251" s="19">
        <f>SUBTOTAL(109,Program009[(L)
Recovered
 Accounts Receivable])</f>
        <v>-2464721</v>
      </c>
      <c r="M251" s="19">
        <f>SUBTOTAL(109,Program009[(M)
Accounts Receivable Balance
(K + L)])</f>
        <v>0</v>
      </c>
      <c r="N251" s="19">
        <f>SUBTOTAL(109,Program009[(N)
Net Balance
(J minus M)])</f>
        <v>0</v>
      </c>
    </row>
    <row r="252" spans="1:14" ht="15.75" x14ac:dyDescent="0.25">
      <c r="A252" s="17" t="s">
        <v>13</v>
      </c>
      <c r="B252" s="54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78.75" x14ac:dyDescent="0.25">
      <c r="A253" s="39" t="s">
        <v>32</v>
      </c>
      <c r="B253" s="40" t="s">
        <v>33</v>
      </c>
      <c r="C253" s="41" t="s">
        <v>34</v>
      </c>
      <c r="D253" s="41" t="s">
        <v>35</v>
      </c>
      <c r="E253" s="42" t="s">
        <v>36</v>
      </c>
      <c r="F253" s="42" t="s">
        <v>37</v>
      </c>
      <c r="G253" s="42" t="s">
        <v>38</v>
      </c>
      <c r="H253" s="43" t="s">
        <v>39</v>
      </c>
      <c r="I253" s="44" t="s">
        <v>40</v>
      </c>
      <c r="J253" s="44" t="s">
        <v>41</v>
      </c>
      <c r="K253" s="42" t="s">
        <v>42</v>
      </c>
      <c r="L253" s="44" t="s">
        <v>43</v>
      </c>
      <c r="M253" s="44" t="s">
        <v>44</v>
      </c>
      <c r="N253" s="45" t="s">
        <v>45</v>
      </c>
    </row>
    <row r="254" spans="1:14" ht="15.75" x14ac:dyDescent="0.25">
      <c r="A254" s="46" t="s">
        <v>589</v>
      </c>
      <c r="B254" s="47" t="s">
        <v>56</v>
      </c>
      <c r="C254" s="48">
        <v>1984220</v>
      </c>
      <c r="D254" s="48">
        <v>-7060</v>
      </c>
      <c r="E254" s="48">
        <v>0</v>
      </c>
      <c r="F254" s="48">
        <v>0</v>
      </c>
      <c r="G254" s="48">
        <v>0</v>
      </c>
      <c r="H254" s="48">
        <v>1977160</v>
      </c>
      <c r="I254" s="48">
        <v>-1977160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</row>
    <row r="255" spans="1:14" ht="15.75" x14ac:dyDescent="0.25">
      <c r="A255" s="49" t="s">
        <v>589</v>
      </c>
      <c r="B255" s="50" t="s">
        <v>57</v>
      </c>
      <c r="C255" s="51">
        <v>2486347</v>
      </c>
      <c r="D255" s="51">
        <v>-29216</v>
      </c>
      <c r="E255" s="51">
        <v>0</v>
      </c>
      <c r="F255" s="51">
        <v>0</v>
      </c>
      <c r="G255" s="51">
        <v>0</v>
      </c>
      <c r="H255" s="51">
        <v>2457131</v>
      </c>
      <c r="I255" s="51">
        <v>-2457131</v>
      </c>
      <c r="J255" s="51">
        <v>0</v>
      </c>
      <c r="K255" s="51">
        <v>237816</v>
      </c>
      <c r="L255" s="51">
        <v>-226307</v>
      </c>
      <c r="M255" s="51">
        <v>11509</v>
      </c>
      <c r="N255" s="51">
        <v>-11509</v>
      </c>
    </row>
    <row r="256" spans="1:14" ht="15.75" x14ac:dyDescent="0.25">
      <c r="A256" s="49" t="s">
        <v>589</v>
      </c>
      <c r="B256" s="50" t="s">
        <v>58</v>
      </c>
      <c r="C256" s="51">
        <v>4293935</v>
      </c>
      <c r="D256" s="51">
        <v>-20210</v>
      </c>
      <c r="E256" s="51">
        <v>0</v>
      </c>
      <c r="F256" s="51">
        <v>0</v>
      </c>
      <c r="G256" s="51">
        <v>0</v>
      </c>
      <c r="H256" s="51">
        <v>4273725</v>
      </c>
      <c r="I256" s="51">
        <v>-4273725</v>
      </c>
      <c r="J256" s="51">
        <v>0</v>
      </c>
      <c r="K256" s="51">
        <v>84006</v>
      </c>
      <c r="L256" s="51">
        <v>-82254</v>
      </c>
      <c r="M256" s="51">
        <v>1752</v>
      </c>
      <c r="N256" s="51">
        <v>-1752</v>
      </c>
    </row>
    <row r="257" spans="1:14" ht="15.75" x14ac:dyDescent="0.25">
      <c r="A257" s="49" t="s">
        <v>589</v>
      </c>
      <c r="B257" s="50" t="s">
        <v>59</v>
      </c>
      <c r="C257" s="51">
        <v>3789028</v>
      </c>
      <c r="D257" s="51">
        <v>-8799</v>
      </c>
      <c r="E257" s="51">
        <v>0</v>
      </c>
      <c r="F257" s="51">
        <v>0</v>
      </c>
      <c r="G257" s="51">
        <v>0</v>
      </c>
      <c r="H257" s="51">
        <v>3780229</v>
      </c>
      <c r="I257" s="51">
        <v>-3780229</v>
      </c>
      <c r="J257" s="51">
        <v>0</v>
      </c>
      <c r="K257" s="51">
        <v>66628</v>
      </c>
      <c r="L257" s="51">
        <v>-64889</v>
      </c>
      <c r="M257" s="51">
        <v>1739</v>
      </c>
      <c r="N257" s="51">
        <v>-1739</v>
      </c>
    </row>
    <row r="258" spans="1:14" ht="15.75" x14ac:dyDescent="0.25">
      <c r="A258" s="49" t="s">
        <v>589</v>
      </c>
      <c r="B258" s="50" t="s">
        <v>60</v>
      </c>
      <c r="C258" s="51">
        <v>3084052</v>
      </c>
      <c r="D258" s="51">
        <v>-19627</v>
      </c>
      <c r="E258" s="51">
        <v>0</v>
      </c>
      <c r="F258" s="51">
        <v>0</v>
      </c>
      <c r="G258" s="51">
        <v>0</v>
      </c>
      <c r="H258" s="51">
        <v>3064425</v>
      </c>
      <c r="I258" s="51">
        <v>-3064425</v>
      </c>
      <c r="J258" s="51">
        <v>0</v>
      </c>
      <c r="K258" s="51">
        <v>408608</v>
      </c>
      <c r="L258" s="51">
        <v>-408608</v>
      </c>
      <c r="M258" s="51">
        <v>0</v>
      </c>
      <c r="N258" s="51">
        <v>0</v>
      </c>
    </row>
    <row r="259" spans="1:14" ht="15.75" x14ac:dyDescent="0.25">
      <c r="A259" s="49" t="s">
        <v>589</v>
      </c>
      <c r="B259" s="50" t="s">
        <v>61</v>
      </c>
      <c r="C259" s="51">
        <v>1790366</v>
      </c>
      <c r="D259" s="51">
        <v>314298</v>
      </c>
      <c r="E259" s="51">
        <v>0</v>
      </c>
      <c r="F259" s="51">
        <v>0</v>
      </c>
      <c r="G259" s="51">
        <v>0</v>
      </c>
      <c r="H259" s="51">
        <v>2104664</v>
      </c>
      <c r="I259" s="51">
        <v>-2104664</v>
      </c>
      <c r="J259" s="51">
        <v>0</v>
      </c>
      <c r="K259" s="51">
        <v>367071</v>
      </c>
      <c r="L259" s="51">
        <v>-367071</v>
      </c>
      <c r="M259" s="51">
        <v>0</v>
      </c>
      <c r="N259" s="51">
        <v>0</v>
      </c>
    </row>
    <row r="260" spans="1:14" ht="15.75" x14ac:dyDescent="0.25">
      <c r="A260" s="49" t="s">
        <v>589</v>
      </c>
      <c r="B260" s="50" t="s">
        <v>62</v>
      </c>
      <c r="C260" s="51">
        <v>596681</v>
      </c>
      <c r="D260" s="51">
        <v>-96769</v>
      </c>
      <c r="E260" s="51">
        <v>0</v>
      </c>
      <c r="F260" s="51">
        <v>0</v>
      </c>
      <c r="G260" s="51">
        <v>0</v>
      </c>
      <c r="H260" s="51">
        <v>499912</v>
      </c>
      <c r="I260" s="51">
        <v>-499912</v>
      </c>
      <c r="J260" s="51">
        <v>0</v>
      </c>
      <c r="K260" s="51">
        <v>176218</v>
      </c>
      <c r="L260" s="51">
        <v>-176218</v>
      </c>
      <c r="M260" s="51">
        <v>0</v>
      </c>
      <c r="N260" s="51">
        <v>0</v>
      </c>
    </row>
    <row r="261" spans="1:14" ht="15.75" x14ac:dyDescent="0.25">
      <c r="A261" s="49" t="s">
        <v>589</v>
      </c>
      <c r="B261" s="50" t="s">
        <v>63</v>
      </c>
      <c r="C261" s="51">
        <v>577104</v>
      </c>
      <c r="D261" s="51">
        <v>-3559</v>
      </c>
      <c r="E261" s="51">
        <v>0</v>
      </c>
      <c r="F261" s="51">
        <v>0</v>
      </c>
      <c r="G261" s="51">
        <v>0</v>
      </c>
      <c r="H261" s="51">
        <v>573545</v>
      </c>
      <c r="I261" s="51">
        <v>-573545</v>
      </c>
      <c r="J261" s="51">
        <v>0</v>
      </c>
      <c r="K261" s="51">
        <v>19882</v>
      </c>
      <c r="L261" s="51">
        <v>-19882</v>
      </c>
      <c r="M261" s="51">
        <v>0</v>
      </c>
      <c r="N261" s="51">
        <v>0</v>
      </c>
    </row>
    <row r="262" spans="1:14" ht="15.75" x14ac:dyDescent="0.25">
      <c r="A262" s="49" t="s">
        <v>589</v>
      </c>
      <c r="B262" s="50" t="s">
        <v>64</v>
      </c>
      <c r="C262" s="51">
        <v>439171</v>
      </c>
      <c r="D262" s="51">
        <v>-155</v>
      </c>
      <c r="E262" s="51">
        <v>0</v>
      </c>
      <c r="F262" s="51">
        <v>0</v>
      </c>
      <c r="G262" s="51">
        <v>0</v>
      </c>
      <c r="H262" s="51">
        <v>439016</v>
      </c>
      <c r="I262" s="51">
        <v>-439016</v>
      </c>
      <c r="J262" s="51">
        <v>0</v>
      </c>
      <c r="K262" s="51">
        <v>5275</v>
      </c>
      <c r="L262" s="51">
        <v>-5275</v>
      </c>
      <c r="M262" s="51">
        <v>0</v>
      </c>
      <c r="N262" s="51">
        <v>0</v>
      </c>
    </row>
    <row r="263" spans="1:14" ht="15.75" x14ac:dyDescent="0.25">
      <c r="A263" s="49" t="s">
        <v>589</v>
      </c>
      <c r="B263" s="50" t="s">
        <v>65</v>
      </c>
      <c r="C263" s="51">
        <v>330021</v>
      </c>
      <c r="D263" s="51">
        <v>-2983</v>
      </c>
      <c r="E263" s="51">
        <v>0</v>
      </c>
      <c r="F263" s="51">
        <v>0</v>
      </c>
      <c r="G263" s="51">
        <v>0</v>
      </c>
      <c r="H263" s="51">
        <v>327038</v>
      </c>
      <c r="I263" s="51">
        <v>-327038</v>
      </c>
      <c r="J263" s="51">
        <v>0</v>
      </c>
      <c r="K263" s="51">
        <v>1823</v>
      </c>
      <c r="L263" s="51">
        <v>-1823</v>
      </c>
      <c r="M263" s="51">
        <v>0</v>
      </c>
      <c r="N263" s="51">
        <v>0</v>
      </c>
    </row>
    <row r="264" spans="1:14" ht="15.75" x14ac:dyDescent="0.25">
      <c r="A264" s="49" t="s">
        <v>589</v>
      </c>
      <c r="B264" s="50" t="s">
        <v>66</v>
      </c>
      <c r="C264" s="51">
        <v>205186</v>
      </c>
      <c r="D264" s="51">
        <v>-7628</v>
      </c>
      <c r="E264" s="51">
        <v>0</v>
      </c>
      <c r="F264" s="51">
        <v>0</v>
      </c>
      <c r="G264" s="51">
        <v>0</v>
      </c>
      <c r="H264" s="51">
        <v>197558</v>
      </c>
      <c r="I264" s="51">
        <v>-197558</v>
      </c>
      <c r="J264" s="51">
        <v>0</v>
      </c>
      <c r="K264" s="51">
        <v>5945</v>
      </c>
      <c r="L264" s="51">
        <v>-5945</v>
      </c>
      <c r="M264" s="51">
        <v>0</v>
      </c>
      <c r="N264" s="51">
        <v>0</v>
      </c>
    </row>
    <row r="265" spans="1:14" ht="15.75" x14ac:dyDescent="0.25">
      <c r="A265" s="52" t="s">
        <v>467</v>
      </c>
      <c r="B265" s="53" t="s">
        <v>8</v>
      </c>
      <c r="C265" s="19">
        <f>SUBTOTAL(109,Program140[(C)
Program
Costs])</f>
        <v>19576111</v>
      </c>
      <c r="D265" s="19">
        <f>SUBTOTAL(109,Program140[(D)
Prior Period Adjustments])</f>
        <v>118292</v>
      </c>
      <c r="E265" s="19">
        <f>SUBTOTAL(109,Program140[(E)
Current Period Desk 
Reviews])</f>
        <v>0</v>
      </c>
      <c r="F265" s="19">
        <f>SUBTOTAL(109,Program140[(F)
Current Period 
Final 
Audits])</f>
        <v>0</v>
      </c>
      <c r="G265" s="19">
        <f>SUBTOTAL(109,Program140[(G)
Current Period 
Other Adjustments])</f>
        <v>0</v>
      </c>
      <c r="H265" s="19">
        <f>SUBTOTAL(109,Program140[(H)
Net Program Costs
Sum (C through G)])</f>
        <v>19694403</v>
      </c>
      <c r="I265" s="19">
        <f>SUBTOTAL(109,Program140[(I)
Payments
 and Offsets])</f>
        <v>-19694403</v>
      </c>
      <c r="J265" s="19">
        <f>SUBTOTAL(109,Program140[(J)
Accounts Payable Balance
(H + I)])</f>
        <v>0</v>
      </c>
      <c r="K265" s="19">
        <f>SUBTOTAL(109,Program140[(K)
Established 
Accounts Receivable])</f>
        <v>1373272</v>
      </c>
      <c r="L265" s="19">
        <f>SUBTOTAL(109,Program140[(L)
Recovered
 Accounts Receivable])</f>
        <v>-1358272</v>
      </c>
      <c r="M265" s="19">
        <f>SUBTOTAL(109,Program140[(M)
Accounts Receivable Balance
(K + L)])</f>
        <v>15000</v>
      </c>
      <c r="N265" s="19">
        <f>SUBTOTAL(109,Program140[(N)
Net Balance
(J minus M)])</f>
        <v>-15000</v>
      </c>
    </row>
    <row r="266" spans="1:14" ht="15.75" x14ac:dyDescent="0.25">
      <c r="A266" s="17" t="s">
        <v>13</v>
      </c>
      <c r="B266" s="54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78.75" x14ac:dyDescent="0.25">
      <c r="A267" s="39" t="s">
        <v>32</v>
      </c>
      <c r="B267" s="40" t="s">
        <v>33</v>
      </c>
      <c r="C267" s="41" t="s">
        <v>34</v>
      </c>
      <c r="D267" s="41" t="s">
        <v>35</v>
      </c>
      <c r="E267" s="42" t="s">
        <v>36</v>
      </c>
      <c r="F267" s="42" t="s">
        <v>37</v>
      </c>
      <c r="G267" s="42" t="s">
        <v>38</v>
      </c>
      <c r="H267" s="43" t="s">
        <v>39</v>
      </c>
      <c r="I267" s="44" t="s">
        <v>40</v>
      </c>
      <c r="J267" s="44" t="s">
        <v>41</v>
      </c>
      <c r="K267" s="42" t="s">
        <v>42</v>
      </c>
      <c r="L267" s="44" t="s">
        <v>43</v>
      </c>
      <c r="M267" s="44" t="s">
        <v>44</v>
      </c>
      <c r="N267" s="45" t="s">
        <v>45</v>
      </c>
    </row>
    <row r="268" spans="1:14" ht="15.75" x14ac:dyDescent="0.25">
      <c r="A268" s="46" t="s">
        <v>588</v>
      </c>
      <c r="B268" s="47" t="s">
        <v>78</v>
      </c>
      <c r="C268" s="48">
        <v>7603</v>
      </c>
      <c r="D268" s="48">
        <v>0</v>
      </c>
      <c r="E268" s="48">
        <v>0</v>
      </c>
      <c r="F268" s="48">
        <v>0</v>
      </c>
      <c r="G268" s="48">
        <v>0</v>
      </c>
      <c r="H268" s="48">
        <v>7603</v>
      </c>
      <c r="I268" s="48">
        <v>-1000</v>
      </c>
      <c r="J268" s="48">
        <v>6603</v>
      </c>
      <c r="K268" s="48">
        <v>0</v>
      </c>
      <c r="L268" s="48">
        <v>0</v>
      </c>
      <c r="M268" s="48">
        <v>0</v>
      </c>
      <c r="N268" s="48">
        <v>6603</v>
      </c>
    </row>
    <row r="269" spans="1:14" ht="15.75" x14ac:dyDescent="0.25">
      <c r="A269" s="49" t="s">
        <v>588</v>
      </c>
      <c r="B269" s="50" t="s">
        <v>47</v>
      </c>
      <c r="C269" s="51">
        <v>14543</v>
      </c>
      <c r="D269" s="51">
        <v>0</v>
      </c>
      <c r="E269" s="51">
        <v>0</v>
      </c>
      <c r="F269" s="51">
        <v>0</v>
      </c>
      <c r="G269" s="51">
        <v>0</v>
      </c>
      <c r="H269" s="51">
        <v>14543</v>
      </c>
      <c r="I269" s="51">
        <v>-1039</v>
      </c>
      <c r="J269" s="51">
        <v>13504</v>
      </c>
      <c r="K269" s="51">
        <v>0</v>
      </c>
      <c r="L269" s="51">
        <v>0</v>
      </c>
      <c r="M269" s="51">
        <v>0</v>
      </c>
      <c r="N269" s="51">
        <v>13504</v>
      </c>
    </row>
    <row r="270" spans="1:14" ht="15.75" x14ac:dyDescent="0.25">
      <c r="A270" s="49" t="s">
        <v>588</v>
      </c>
      <c r="B270" s="50" t="s">
        <v>80</v>
      </c>
      <c r="C270" s="51">
        <v>80581</v>
      </c>
      <c r="D270" s="51">
        <v>0</v>
      </c>
      <c r="E270" s="51">
        <v>0</v>
      </c>
      <c r="F270" s="51">
        <v>0</v>
      </c>
      <c r="G270" s="51">
        <v>0</v>
      </c>
      <c r="H270" s="51">
        <v>80581</v>
      </c>
      <c r="I270" s="51">
        <v>-1000</v>
      </c>
      <c r="J270" s="51">
        <v>79581</v>
      </c>
      <c r="K270" s="51">
        <v>0</v>
      </c>
      <c r="L270" s="51">
        <v>0</v>
      </c>
      <c r="M270" s="51">
        <v>0</v>
      </c>
      <c r="N270" s="51">
        <v>79581</v>
      </c>
    </row>
    <row r="271" spans="1:14" ht="15.75" x14ac:dyDescent="0.25">
      <c r="A271" s="49" t="s">
        <v>588</v>
      </c>
      <c r="B271" s="50" t="s">
        <v>81</v>
      </c>
      <c r="C271" s="51">
        <v>68418</v>
      </c>
      <c r="D271" s="51">
        <v>0</v>
      </c>
      <c r="E271" s="51">
        <v>0</v>
      </c>
      <c r="F271" s="51">
        <v>0</v>
      </c>
      <c r="G271" s="51">
        <v>0</v>
      </c>
      <c r="H271" s="51">
        <v>68418</v>
      </c>
      <c r="I271" s="51">
        <v>-5575</v>
      </c>
      <c r="J271" s="51">
        <v>62843</v>
      </c>
      <c r="K271" s="51">
        <v>0</v>
      </c>
      <c r="L271" s="51">
        <v>0</v>
      </c>
      <c r="M271" s="51">
        <v>0</v>
      </c>
      <c r="N271" s="51">
        <v>62843</v>
      </c>
    </row>
    <row r="272" spans="1:14" ht="15.75" x14ac:dyDescent="0.25">
      <c r="A272" s="49" t="s">
        <v>588</v>
      </c>
      <c r="B272" s="50" t="s">
        <v>82</v>
      </c>
      <c r="C272" s="51">
        <v>125147</v>
      </c>
      <c r="D272" s="51">
        <v>0</v>
      </c>
      <c r="E272" s="51">
        <v>0</v>
      </c>
      <c r="F272" s="51">
        <v>0</v>
      </c>
      <c r="G272" s="51">
        <v>0</v>
      </c>
      <c r="H272" s="51">
        <v>125147</v>
      </c>
      <c r="I272" s="51">
        <v>-88618</v>
      </c>
      <c r="J272" s="51">
        <v>36529</v>
      </c>
      <c r="K272" s="51">
        <v>0</v>
      </c>
      <c r="L272" s="51">
        <v>0</v>
      </c>
      <c r="M272" s="51">
        <v>0</v>
      </c>
      <c r="N272" s="51">
        <v>36529</v>
      </c>
    </row>
    <row r="273" spans="1:14" ht="15.75" x14ac:dyDescent="0.25">
      <c r="A273" s="49" t="s">
        <v>588</v>
      </c>
      <c r="B273" s="50" t="s">
        <v>83</v>
      </c>
      <c r="C273" s="51">
        <v>2400506</v>
      </c>
      <c r="D273" s="51">
        <v>-787832</v>
      </c>
      <c r="E273" s="51">
        <v>0</v>
      </c>
      <c r="F273" s="51">
        <v>0</v>
      </c>
      <c r="G273" s="51">
        <v>0</v>
      </c>
      <c r="H273" s="51">
        <v>1612674</v>
      </c>
      <c r="I273" s="51">
        <v>-1156102</v>
      </c>
      <c r="J273" s="51">
        <v>456572</v>
      </c>
      <c r="K273" s="51">
        <v>0</v>
      </c>
      <c r="L273" s="51">
        <v>0</v>
      </c>
      <c r="M273" s="51">
        <v>0</v>
      </c>
      <c r="N273" s="51">
        <v>456572</v>
      </c>
    </row>
    <row r="274" spans="1:14" ht="15.75" x14ac:dyDescent="0.25">
      <c r="A274" s="49" t="s">
        <v>588</v>
      </c>
      <c r="B274" s="50" t="s">
        <v>48</v>
      </c>
      <c r="C274" s="51">
        <v>2052978</v>
      </c>
      <c r="D274" s="51">
        <v>-116988</v>
      </c>
      <c r="E274" s="51">
        <v>0</v>
      </c>
      <c r="F274" s="51">
        <v>0</v>
      </c>
      <c r="G274" s="51">
        <v>0</v>
      </c>
      <c r="H274" s="51">
        <v>1935990</v>
      </c>
      <c r="I274" s="51">
        <v>-1331459</v>
      </c>
      <c r="J274" s="51">
        <v>604531</v>
      </c>
      <c r="K274" s="51">
        <v>0</v>
      </c>
      <c r="L274" s="51">
        <v>0</v>
      </c>
      <c r="M274" s="51">
        <v>0</v>
      </c>
      <c r="N274" s="51">
        <v>604531</v>
      </c>
    </row>
    <row r="275" spans="1:14" ht="15.75" x14ac:dyDescent="0.25">
      <c r="A275" s="49" t="s">
        <v>588</v>
      </c>
      <c r="B275" s="50" t="s">
        <v>49</v>
      </c>
      <c r="C275" s="51">
        <v>2858255</v>
      </c>
      <c r="D275" s="51">
        <v>-912643</v>
      </c>
      <c r="E275" s="51">
        <v>0</v>
      </c>
      <c r="F275" s="51">
        <v>0</v>
      </c>
      <c r="G275" s="51">
        <v>0</v>
      </c>
      <c r="H275" s="51">
        <v>1945612</v>
      </c>
      <c r="I275" s="51">
        <v>-1771159</v>
      </c>
      <c r="J275" s="51">
        <v>174453</v>
      </c>
      <c r="K275" s="51">
        <v>0</v>
      </c>
      <c r="L275" s="51">
        <v>0</v>
      </c>
      <c r="M275" s="51">
        <v>0</v>
      </c>
      <c r="N275" s="51">
        <v>174453</v>
      </c>
    </row>
    <row r="276" spans="1:14" ht="15.75" x14ac:dyDescent="0.25">
      <c r="A276" s="49" t="s">
        <v>588</v>
      </c>
      <c r="B276" s="50" t="s">
        <v>50</v>
      </c>
      <c r="C276" s="51">
        <v>2574327</v>
      </c>
      <c r="D276" s="51">
        <v>-803036</v>
      </c>
      <c r="E276" s="51">
        <v>0</v>
      </c>
      <c r="F276" s="51">
        <v>0</v>
      </c>
      <c r="G276" s="51">
        <v>0</v>
      </c>
      <c r="H276" s="51">
        <v>1771291</v>
      </c>
      <c r="I276" s="51">
        <v>-1699854</v>
      </c>
      <c r="J276" s="51">
        <v>71437</v>
      </c>
      <c r="K276" s="51">
        <v>0</v>
      </c>
      <c r="L276" s="51">
        <v>0</v>
      </c>
      <c r="M276" s="51">
        <v>0</v>
      </c>
      <c r="N276" s="51">
        <v>71437</v>
      </c>
    </row>
    <row r="277" spans="1:14" ht="15.75" x14ac:dyDescent="0.25">
      <c r="A277" s="49" t="s">
        <v>588</v>
      </c>
      <c r="B277" s="50" t="s">
        <v>51</v>
      </c>
      <c r="C277" s="51">
        <v>1749574</v>
      </c>
      <c r="D277" s="51">
        <v>-9467</v>
      </c>
      <c r="E277" s="51">
        <v>0</v>
      </c>
      <c r="F277" s="51">
        <v>0</v>
      </c>
      <c r="G277" s="51">
        <v>0</v>
      </c>
      <c r="H277" s="51">
        <v>1740107</v>
      </c>
      <c r="I277" s="51">
        <v>-1552010</v>
      </c>
      <c r="J277" s="51">
        <v>188097</v>
      </c>
      <c r="K277" s="51">
        <v>0</v>
      </c>
      <c r="L277" s="51">
        <v>0</v>
      </c>
      <c r="M277" s="51">
        <v>0</v>
      </c>
      <c r="N277" s="51">
        <v>188097</v>
      </c>
    </row>
    <row r="278" spans="1:14" ht="15.75" x14ac:dyDescent="0.25">
      <c r="A278" s="52" t="s">
        <v>466</v>
      </c>
      <c r="B278" s="53" t="s">
        <v>8</v>
      </c>
      <c r="C278" s="19">
        <f>SUBTOTAL(109,Program278[(C)
Program
Costs])</f>
        <v>11931932</v>
      </c>
      <c r="D278" s="19">
        <f>SUBTOTAL(109,Program278[(D)
Prior Period Adjustments])</f>
        <v>-2629966</v>
      </c>
      <c r="E278" s="19">
        <f>SUBTOTAL(109,Program278[(E)
Current Period Desk 
Reviews])</f>
        <v>0</v>
      </c>
      <c r="F278" s="19">
        <f>SUBTOTAL(109,Program278[(F)
Current Period 
Final 
Audits])</f>
        <v>0</v>
      </c>
      <c r="G278" s="19">
        <f>SUBTOTAL(109,Program278[(G)
Current Period 
Other Adjustments])</f>
        <v>0</v>
      </c>
      <c r="H278" s="19">
        <f>SUBTOTAL(109,Program278[(H)
Net Program Costs
Sum (C through G)])</f>
        <v>9301966</v>
      </c>
      <c r="I278" s="19">
        <f>SUBTOTAL(109,Program278[(I)
Payments
 and Offsets])</f>
        <v>-7607816</v>
      </c>
      <c r="J278" s="19">
        <f>SUBTOTAL(109,Program278[(J)
Accounts Payable Balance
(H + I)])</f>
        <v>1694150</v>
      </c>
      <c r="K278" s="19">
        <f>SUBTOTAL(109,Program278[(K)
Established 
Accounts Receivable])</f>
        <v>0</v>
      </c>
      <c r="L278" s="19">
        <f>SUBTOTAL(109,Program278[(L)
Recovered
 Accounts Receivable])</f>
        <v>0</v>
      </c>
      <c r="M278" s="19">
        <f>SUBTOTAL(109,Program278[(M)
Accounts Receivable Balance
(K + L)])</f>
        <v>0</v>
      </c>
      <c r="N278" s="19">
        <f>SUBTOTAL(109,Program278[(N)
Net Balance
(J minus M)])</f>
        <v>1694150</v>
      </c>
    </row>
    <row r="279" spans="1:14" ht="15.75" x14ac:dyDescent="0.25">
      <c r="A279" s="17" t="s">
        <v>13</v>
      </c>
      <c r="B279" s="54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</row>
    <row r="280" spans="1:14" ht="78.75" x14ac:dyDescent="0.25">
      <c r="A280" s="39" t="s">
        <v>32</v>
      </c>
      <c r="B280" s="40" t="s">
        <v>33</v>
      </c>
      <c r="C280" s="41" t="s">
        <v>34</v>
      </c>
      <c r="D280" s="41" t="s">
        <v>35</v>
      </c>
      <c r="E280" s="42" t="s">
        <v>36</v>
      </c>
      <c r="F280" s="42" t="s">
        <v>37</v>
      </c>
      <c r="G280" s="42" t="s">
        <v>38</v>
      </c>
      <c r="H280" s="43" t="s">
        <v>39</v>
      </c>
      <c r="I280" s="44" t="s">
        <v>40</v>
      </c>
      <c r="J280" s="44" t="s">
        <v>41</v>
      </c>
      <c r="K280" s="42" t="s">
        <v>42</v>
      </c>
      <c r="L280" s="44" t="s">
        <v>43</v>
      </c>
      <c r="M280" s="44" t="s">
        <v>44</v>
      </c>
      <c r="N280" s="45" t="s">
        <v>45</v>
      </c>
    </row>
    <row r="281" spans="1:14" ht="15.75" x14ac:dyDescent="0.25">
      <c r="A281" s="46" t="s">
        <v>587</v>
      </c>
      <c r="B281" s="47" t="s">
        <v>52</v>
      </c>
      <c r="C281" s="48">
        <v>2314459</v>
      </c>
      <c r="D281" s="48">
        <v>-4373</v>
      </c>
      <c r="E281" s="48">
        <v>0</v>
      </c>
      <c r="F281" s="48">
        <v>0</v>
      </c>
      <c r="G281" s="48">
        <v>0</v>
      </c>
      <c r="H281" s="48">
        <v>2310086</v>
      </c>
      <c r="I281" s="48">
        <v>-2072028</v>
      </c>
      <c r="J281" s="48">
        <v>238058</v>
      </c>
      <c r="K281" s="48">
        <v>20038</v>
      </c>
      <c r="L281" s="48">
        <v>-20038</v>
      </c>
      <c r="M281" s="48">
        <v>0</v>
      </c>
      <c r="N281" s="48">
        <v>238058</v>
      </c>
    </row>
    <row r="282" spans="1:14" ht="15.75" x14ac:dyDescent="0.25">
      <c r="A282" s="49" t="s">
        <v>587</v>
      </c>
      <c r="B282" s="50" t="s">
        <v>53</v>
      </c>
      <c r="C282" s="51">
        <v>1907277</v>
      </c>
      <c r="D282" s="51">
        <v>-12925</v>
      </c>
      <c r="E282" s="51">
        <v>0</v>
      </c>
      <c r="F282" s="51">
        <v>0</v>
      </c>
      <c r="G282" s="51">
        <v>0</v>
      </c>
      <c r="H282" s="51">
        <v>1894352</v>
      </c>
      <c r="I282" s="51">
        <v>-1761720</v>
      </c>
      <c r="J282" s="51">
        <v>132632</v>
      </c>
      <c r="K282" s="51">
        <v>0</v>
      </c>
      <c r="L282" s="51">
        <v>0</v>
      </c>
      <c r="M282" s="51">
        <v>0</v>
      </c>
      <c r="N282" s="51">
        <v>132632</v>
      </c>
    </row>
    <row r="283" spans="1:14" ht="15.75" x14ac:dyDescent="0.25">
      <c r="A283" s="49" t="s">
        <v>587</v>
      </c>
      <c r="B283" s="50" t="s">
        <v>54</v>
      </c>
      <c r="C283" s="51">
        <v>1861230</v>
      </c>
      <c r="D283" s="51">
        <v>-2874</v>
      </c>
      <c r="E283" s="51">
        <v>0</v>
      </c>
      <c r="F283" s="51">
        <v>0</v>
      </c>
      <c r="G283" s="51">
        <v>0</v>
      </c>
      <c r="H283" s="51">
        <v>1858356</v>
      </c>
      <c r="I283" s="51">
        <v>-1858356</v>
      </c>
      <c r="J283" s="51">
        <v>0</v>
      </c>
      <c r="K283" s="51">
        <v>1332</v>
      </c>
      <c r="L283" s="51">
        <v>-1332</v>
      </c>
      <c r="M283" s="51">
        <v>0</v>
      </c>
      <c r="N283" s="51">
        <v>0</v>
      </c>
    </row>
    <row r="284" spans="1:14" ht="15.75" x14ac:dyDescent="0.25">
      <c r="A284" s="49" t="s">
        <v>587</v>
      </c>
      <c r="B284" s="50" t="s">
        <v>55</v>
      </c>
      <c r="C284" s="51">
        <v>1947200</v>
      </c>
      <c r="D284" s="51">
        <v>-4912</v>
      </c>
      <c r="E284" s="51">
        <v>0</v>
      </c>
      <c r="F284" s="51">
        <v>0</v>
      </c>
      <c r="G284" s="51">
        <v>0</v>
      </c>
      <c r="H284" s="51">
        <v>1942288</v>
      </c>
      <c r="I284" s="51">
        <v>-1942288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</row>
    <row r="285" spans="1:14" ht="15.75" x14ac:dyDescent="0.25">
      <c r="A285" s="49" t="s">
        <v>587</v>
      </c>
      <c r="B285" s="50" t="s">
        <v>56</v>
      </c>
      <c r="C285" s="51">
        <v>58943</v>
      </c>
      <c r="D285" s="51">
        <v>0</v>
      </c>
      <c r="E285" s="51">
        <v>0</v>
      </c>
      <c r="F285" s="51">
        <v>0</v>
      </c>
      <c r="G285" s="51">
        <v>0</v>
      </c>
      <c r="H285" s="51">
        <v>58943</v>
      </c>
      <c r="I285" s="51">
        <v>-58943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</row>
    <row r="286" spans="1:14" ht="15.75" x14ac:dyDescent="0.25">
      <c r="A286" s="49" t="s">
        <v>587</v>
      </c>
      <c r="B286" s="50" t="s">
        <v>57</v>
      </c>
      <c r="C286" s="51">
        <v>13844</v>
      </c>
      <c r="D286" s="51">
        <v>0</v>
      </c>
      <c r="E286" s="51">
        <v>0</v>
      </c>
      <c r="F286" s="51">
        <v>0</v>
      </c>
      <c r="G286" s="51">
        <v>0</v>
      </c>
      <c r="H286" s="51">
        <v>13844</v>
      </c>
      <c r="I286" s="51">
        <v>-13844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</row>
    <row r="287" spans="1:14" ht="15.75" x14ac:dyDescent="0.25">
      <c r="A287" s="49" t="s">
        <v>587</v>
      </c>
      <c r="B287" s="50" t="s">
        <v>58</v>
      </c>
      <c r="C287" s="51">
        <v>9419</v>
      </c>
      <c r="D287" s="51">
        <v>0</v>
      </c>
      <c r="E287" s="51">
        <v>0</v>
      </c>
      <c r="F287" s="51">
        <v>0</v>
      </c>
      <c r="G287" s="51">
        <v>0</v>
      </c>
      <c r="H287" s="51">
        <v>9419</v>
      </c>
      <c r="I287" s="51">
        <v>-9419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</row>
    <row r="288" spans="1:14" ht="15.75" x14ac:dyDescent="0.25">
      <c r="A288" s="49" t="s">
        <v>587</v>
      </c>
      <c r="B288" s="50" t="s">
        <v>59</v>
      </c>
      <c r="C288" s="51">
        <v>2042</v>
      </c>
      <c r="D288" s="51">
        <v>0</v>
      </c>
      <c r="E288" s="51">
        <v>0</v>
      </c>
      <c r="F288" s="51">
        <v>0</v>
      </c>
      <c r="G288" s="51">
        <v>0</v>
      </c>
      <c r="H288" s="51">
        <v>2042</v>
      </c>
      <c r="I288" s="51">
        <v>-2042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</row>
    <row r="289" spans="1:14" ht="15.75" x14ac:dyDescent="0.25">
      <c r="A289" s="52" t="s">
        <v>465</v>
      </c>
      <c r="B289" s="53" t="s">
        <v>8</v>
      </c>
      <c r="C289" s="19">
        <f>SUBTOTAL(109,Program249[(C)
Program
Costs])</f>
        <v>8114414</v>
      </c>
      <c r="D289" s="19">
        <f>SUBTOTAL(109,Program249[(D)
Prior Period Adjustments])</f>
        <v>-25084</v>
      </c>
      <c r="E289" s="19">
        <f>SUBTOTAL(109,Program249[(E)
Current Period Desk 
Reviews])</f>
        <v>0</v>
      </c>
      <c r="F289" s="19">
        <f>SUBTOTAL(109,Program249[(F)
Current Period 
Final 
Audits])</f>
        <v>0</v>
      </c>
      <c r="G289" s="19">
        <f>SUBTOTAL(109,Program249[(G)
Current Period 
Other Adjustments])</f>
        <v>0</v>
      </c>
      <c r="H289" s="19">
        <f>SUBTOTAL(109,Program249[(H)
Net Program Costs
Sum (C through G)])</f>
        <v>8089330</v>
      </c>
      <c r="I289" s="19">
        <f>SUBTOTAL(109,Program249[(I)
Payments
 and Offsets])</f>
        <v>-7718640</v>
      </c>
      <c r="J289" s="19">
        <f>SUBTOTAL(109,Program249[(J)
Accounts Payable Balance
(H + I)])</f>
        <v>370690</v>
      </c>
      <c r="K289" s="19">
        <f>SUBTOTAL(109,Program249[(K)
Established 
Accounts Receivable])</f>
        <v>21370</v>
      </c>
      <c r="L289" s="19">
        <f>SUBTOTAL(109,Program249[(L)
Recovered
 Accounts Receivable])</f>
        <v>-21370</v>
      </c>
      <c r="M289" s="19">
        <f>SUBTOTAL(109,Program249[(M)
Accounts Receivable Balance
(K + L)])</f>
        <v>0</v>
      </c>
      <c r="N289" s="19">
        <f>SUBTOTAL(109,Program249[(N)
Net Balance
(J minus M)])</f>
        <v>370690</v>
      </c>
    </row>
    <row r="290" spans="1:14" ht="15.75" x14ac:dyDescent="0.25">
      <c r="A290" s="17" t="s">
        <v>13</v>
      </c>
      <c r="B290" s="54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ht="78.75" x14ac:dyDescent="0.25">
      <c r="A291" s="39" t="s">
        <v>32</v>
      </c>
      <c r="B291" s="40" t="s">
        <v>33</v>
      </c>
      <c r="C291" s="41" t="s">
        <v>34</v>
      </c>
      <c r="D291" s="41" t="s">
        <v>35</v>
      </c>
      <c r="E291" s="42" t="s">
        <v>36</v>
      </c>
      <c r="F291" s="42" t="s">
        <v>37</v>
      </c>
      <c r="G291" s="42" t="s">
        <v>38</v>
      </c>
      <c r="H291" s="43" t="s">
        <v>39</v>
      </c>
      <c r="I291" s="44" t="s">
        <v>40</v>
      </c>
      <c r="J291" s="44" t="s">
        <v>41</v>
      </c>
      <c r="K291" s="42" t="s">
        <v>42</v>
      </c>
      <c r="L291" s="44" t="s">
        <v>43</v>
      </c>
      <c r="M291" s="44" t="s">
        <v>44</v>
      </c>
      <c r="N291" s="45" t="s">
        <v>45</v>
      </c>
    </row>
    <row r="292" spans="1:14" ht="15.75" x14ac:dyDescent="0.25">
      <c r="A292" s="46" t="s">
        <v>586</v>
      </c>
      <c r="B292" s="47" t="s">
        <v>52</v>
      </c>
      <c r="C292" s="48">
        <v>84983</v>
      </c>
      <c r="D292" s="48">
        <v>0</v>
      </c>
      <c r="E292" s="48">
        <v>0</v>
      </c>
      <c r="F292" s="48">
        <v>0</v>
      </c>
      <c r="G292" s="48">
        <v>0</v>
      </c>
      <c r="H292" s="48">
        <v>84983</v>
      </c>
      <c r="I292" s="48">
        <v>-83679</v>
      </c>
      <c r="J292" s="48">
        <v>1304</v>
      </c>
      <c r="K292" s="48">
        <v>0</v>
      </c>
      <c r="L292" s="48">
        <v>0</v>
      </c>
      <c r="M292" s="48">
        <v>0</v>
      </c>
      <c r="N292" s="48">
        <v>1304</v>
      </c>
    </row>
    <row r="293" spans="1:14" ht="15.75" x14ac:dyDescent="0.25">
      <c r="A293" s="49" t="s">
        <v>586</v>
      </c>
      <c r="B293" s="50" t="s">
        <v>53</v>
      </c>
      <c r="C293" s="51">
        <v>9700</v>
      </c>
      <c r="D293" s="51">
        <v>-179</v>
      </c>
      <c r="E293" s="51">
        <v>0</v>
      </c>
      <c r="F293" s="51">
        <v>0</v>
      </c>
      <c r="G293" s="51">
        <v>0</v>
      </c>
      <c r="H293" s="51">
        <v>9521</v>
      </c>
      <c r="I293" s="51">
        <v>-9521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</row>
    <row r="294" spans="1:14" ht="15.75" x14ac:dyDescent="0.25">
      <c r="A294" s="49" t="s">
        <v>586</v>
      </c>
      <c r="B294" s="50" t="s">
        <v>54</v>
      </c>
      <c r="C294" s="51">
        <v>1932</v>
      </c>
      <c r="D294" s="51">
        <v>0</v>
      </c>
      <c r="E294" s="51">
        <v>0</v>
      </c>
      <c r="F294" s="51">
        <v>0</v>
      </c>
      <c r="G294" s="51">
        <v>0</v>
      </c>
      <c r="H294" s="51">
        <v>1932</v>
      </c>
      <c r="I294" s="51">
        <v>-1932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</row>
    <row r="295" spans="1:14" ht="15.75" x14ac:dyDescent="0.25">
      <c r="A295" s="49" t="s">
        <v>586</v>
      </c>
      <c r="B295" s="50" t="s">
        <v>55</v>
      </c>
      <c r="C295" s="51">
        <v>1295</v>
      </c>
      <c r="D295" s="51">
        <v>0</v>
      </c>
      <c r="E295" s="51">
        <v>0</v>
      </c>
      <c r="F295" s="51">
        <v>0</v>
      </c>
      <c r="G295" s="51">
        <v>0</v>
      </c>
      <c r="H295" s="51">
        <v>1295</v>
      </c>
      <c r="I295" s="51">
        <v>-1295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</row>
    <row r="296" spans="1:14" ht="15.75" x14ac:dyDescent="0.25">
      <c r="A296" s="49" t="s">
        <v>586</v>
      </c>
      <c r="B296" s="50" t="s">
        <v>56</v>
      </c>
      <c r="C296" s="51">
        <v>1180</v>
      </c>
      <c r="D296" s="51">
        <v>0</v>
      </c>
      <c r="E296" s="51">
        <v>0</v>
      </c>
      <c r="F296" s="51">
        <v>0</v>
      </c>
      <c r="G296" s="51">
        <v>0</v>
      </c>
      <c r="H296" s="51">
        <v>1180</v>
      </c>
      <c r="I296" s="51">
        <v>-1180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</row>
    <row r="297" spans="1:14" ht="15.75" x14ac:dyDescent="0.25">
      <c r="A297" s="49" t="s">
        <v>586</v>
      </c>
      <c r="B297" s="50" t="s">
        <v>57</v>
      </c>
      <c r="C297" s="51">
        <v>1100</v>
      </c>
      <c r="D297" s="51">
        <v>0</v>
      </c>
      <c r="E297" s="51">
        <v>0</v>
      </c>
      <c r="F297" s="51">
        <v>0</v>
      </c>
      <c r="G297" s="51">
        <v>0</v>
      </c>
      <c r="H297" s="51">
        <v>1100</v>
      </c>
      <c r="I297" s="51">
        <v>-1100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</row>
    <row r="298" spans="1:14" ht="15.75" x14ac:dyDescent="0.25">
      <c r="A298" s="49" t="s">
        <v>586</v>
      </c>
      <c r="B298" s="50" t="s">
        <v>58</v>
      </c>
      <c r="C298" s="51">
        <v>1225</v>
      </c>
      <c r="D298" s="51">
        <v>0</v>
      </c>
      <c r="E298" s="51">
        <v>0</v>
      </c>
      <c r="F298" s="51">
        <v>0</v>
      </c>
      <c r="G298" s="51">
        <v>0</v>
      </c>
      <c r="H298" s="51">
        <v>1225</v>
      </c>
      <c r="I298" s="51">
        <v>-1225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</row>
    <row r="299" spans="1:14" ht="15.75" x14ac:dyDescent="0.25">
      <c r="A299" s="49" t="s">
        <v>586</v>
      </c>
      <c r="B299" s="50" t="s">
        <v>59</v>
      </c>
      <c r="C299" s="51">
        <v>1005</v>
      </c>
      <c r="D299" s="51">
        <v>0</v>
      </c>
      <c r="E299" s="51">
        <v>0</v>
      </c>
      <c r="F299" s="51">
        <v>0</v>
      </c>
      <c r="G299" s="51">
        <v>0</v>
      </c>
      <c r="H299" s="51">
        <v>1005</v>
      </c>
      <c r="I299" s="51">
        <v>-1005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</row>
    <row r="300" spans="1:14" ht="15.75" x14ac:dyDescent="0.25">
      <c r="A300" s="52" t="s">
        <v>464</v>
      </c>
      <c r="B300" s="53" t="s">
        <v>8</v>
      </c>
      <c r="C300" s="19">
        <f>SUBTOTAL(109,Program277[(C)
Program
Costs])</f>
        <v>102420</v>
      </c>
      <c r="D300" s="19">
        <f>SUBTOTAL(109,Program277[(D)
Prior Period Adjustments])</f>
        <v>-179</v>
      </c>
      <c r="E300" s="19">
        <f>SUBTOTAL(109,Program277[(E)
Current Period Desk 
Reviews])</f>
        <v>0</v>
      </c>
      <c r="F300" s="19">
        <f>SUBTOTAL(109,Program277[(F)
Current Period 
Final 
Audits])</f>
        <v>0</v>
      </c>
      <c r="G300" s="19">
        <f>SUBTOTAL(109,Program277[(G)
Current Period 
Other Adjustments])</f>
        <v>0</v>
      </c>
      <c r="H300" s="19">
        <f>SUBTOTAL(109,Program277[(H)
Net Program Costs
Sum (C through G)])</f>
        <v>102241</v>
      </c>
      <c r="I300" s="19">
        <f>SUBTOTAL(109,Program277[(I)
Payments
 and Offsets])</f>
        <v>-100937</v>
      </c>
      <c r="J300" s="19">
        <f>SUBTOTAL(109,Program277[(J)
Accounts Payable Balance
(H + I)])</f>
        <v>1304</v>
      </c>
      <c r="K300" s="19">
        <f>SUBTOTAL(109,Program277[(K)
Established 
Accounts Receivable])</f>
        <v>0</v>
      </c>
      <c r="L300" s="19">
        <f>SUBTOTAL(109,Program277[(L)
Recovered
 Accounts Receivable])</f>
        <v>0</v>
      </c>
      <c r="M300" s="19">
        <f>SUBTOTAL(109,Program277[(M)
Accounts Receivable Balance
(K + L)])</f>
        <v>0</v>
      </c>
      <c r="N300" s="19">
        <f>SUBTOTAL(109,Program277[(N)
Net Balance
(J minus M)])</f>
        <v>1304</v>
      </c>
    </row>
    <row r="301" spans="1:14" ht="15.75" x14ac:dyDescent="0.25">
      <c r="A301" s="17" t="s">
        <v>13</v>
      </c>
      <c r="B301" s="54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</row>
    <row r="302" spans="1:14" ht="78.75" x14ac:dyDescent="0.25">
      <c r="A302" s="39" t="s">
        <v>32</v>
      </c>
      <c r="B302" s="40" t="s">
        <v>33</v>
      </c>
      <c r="C302" s="41" t="s">
        <v>34</v>
      </c>
      <c r="D302" s="41" t="s">
        <v>35</v>
      </c>
      <c r="E302" s="42" t="s">
        <v>36</v>
      </c>
      <c r="F302" s="42" t="s">
        <v>37</v>
      </c>
      <c r="G302" s="42" t="s">
        <v>38</v>
      </c>
      <c r="H302" s="43" t="s">
        <v>39</v>
      </c>
      <c r="I302" s="44" t="s">
        <v>40</v>
      </c>
      <c r="J302" s="44" t="s">
        <v>41</v>
      </c>
      <c r="K302" s="42" t="s">
        <v>42</v>
      </c>
      <c r="L302" s="44" t="s">
        <v>43</v>
      </c>
      <c r="M302" s="44" t="s">
        <v>44</v>
      </c>
      <c r="N302" s="45" t="s">
        <v>45</v>
      </c>
    </row>
    <row r="303" spans="1:14" ht="15.75" x14ac:dyDescent="0.25">
      <c r="A303" s="46" t="s">
        <v>585</v>
      </c>
      <c r="B303" s="47" t="s">
        <v>79</v>
      </c>
      <c r="C303" s="48">
        <v>4943</v>
      </c>
      <c r="D303" s="48">
        <v>0</v>
      </c>
      <c r="E303" s="48">
        <v>0</v>
      </c>
      <c r="F303" s="48">
        <v>0</v>
      </c>
      <c r="G303" s="48">
        <v>0</v>
      </c>
      <c r="H303" s="48">
        <v>4943</v>
      </c>
      <c r="I303" s="48">
        <v>-4943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</row>
    <row r="304" spans="1:14" ht="15.75" x14ac:dyDescent="0.25">
      <c r="A304" s="49" t="s">
        <v>585</v>
      </c>
      <c r="B304" s="50" t="s">
        <v>80</v>
      </c>
      <c r="C304" s="51">
        <v>5156</v>
      </c>
      <c r="D304" s="51">
        <v>0</v>
      </c>
      <c r="E304" s="51">
        <v>0</v>
      </c>
      <c r="F304" s="51">
        <v>0</v>
      </c>
      <c r="G304" s="51">
        <v>0</v>
      </c>
      <c r="H304" s="51">
        <v>5156</v>
      </c>
      <c r="I304" s="51">
        <v>-5156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</row>
    <row r="305" spans="1:14" ht="15.75" x14ac:dyDescent="0.25">
      <c r="A305" s="49" t="s">
        <v>585</v>
      </c>
      <c r="B305" s="50" t="s">
        <v>81</v>
      </c>
      <c r="C305" s="51">
        <v>56740</v>
      </c>
      <c r="D305" s="51">
        <v>0</v>
      </c>
      <c r="E305" s="51">
        <v>0</v>
      </c>
      <c r="F305" s="51">
        <v>0</v>
      </c>
      <c r="G305" s="51">
        <v>0</v>
      </c>
      <c r="H305" s="51">
        <v>56740</v>
      </c>
      <c r="I305" s="51">
        <v>-55085</v>
      </c>
      <c r="J305" s="51">
        <v>1655</v>
      </c>
      <c r="K305" s="51">
        <v>0</v>
      </c>
      <c r="L305" s="51">
        <v>0</v>
      </c>
      <c r="M305" s="51">
        <v>0</v>
      </c>
      <c r="N305" s="51">
        <v>1655</v>
      </c>
    </row>
    <row r="306" spans="1:14" ht="15.75" x14ac:dyDescent="0.25">
      <c r="A306" s="49" t="s">
        <v>585</v>
      </c>
      <c r="B306" s="50" t="s">
        <v>82</v>
      </c>
      <c r="C306" s="51">
        <v>25128</v>
      </c>
      <c r="D306" s="51">
        <v>0</v>
      </c>
      <c r="E306" s="51">
        <v>0</v>
      </c>
      <c r="F306" s="51">
        <v>0</v>
      </c>
      <c r="G306" s="51">
        <v>0</v>
      </c>
      <c r="H306" s="51">
        <v>25128</v>
      </c>
      <c r="I306" s="51">
        <v>-9606</v>
      </c>
      <c r="J306" s="51">
        <v>15522</v>
      </c>
      <c r="K306" s="51">
        <v>0</v>
      </c>
      <c r="L306" s="51">
        <v>0</v>
      </c>
      <c r="M306" s="51">
        <v>0</v>
      </c>
      <c r="N306" s="51">
        <v>15522</v>
      </c>
    </row>
    <row r="307" spans="1:14" ht="15.75" x14ac:dyDescent="0.25">
      <c r="A307" s="49" t="s">
        <v>585</v>
      </c>
      <c r="B307" s="50" t="s">
        <v>83</v>
      </c>
      <c r="C307" s="51">
        <v>8523</v>
      </c>
      <c r="D307" s="51">
        <v>0</v>
      </c>
      <c r="E307" s="51">
        <v>0</v>
      </c>
      <c r="F307" s="51">
        <v>0</v>
      </c>
      <c r="G307" s="51">
        <v>0</v>
      </c>
      <c r="H307" s="51">
        <v>8523</v>
      </c>
      <c r="I307" s="51">
        <v>-8523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</row>
    <row r="308" spans="1:14" ht="15.75" x14ac:dyDescent="0.25">
      <c r="A308" s="49" t="s">
        <v>585</v>
      </c>
      <c r="B308" s="50" t="s">
        <v>48</v>
      </c>
      <c r="C308" s="51">
        <v>2820</v>
      </c>
      <c r="D308" s="51">
        <v>0</v>
      </c>
      <c r="E308" s="51">
        <v>0</v>
      </c>
      <c r="F308" s="51">
        <v>0</v>
      </c>
      <c r="G308" s="51">
        <v>0</v>
      </c>
      <c r="H308" s="51">
        <v>2820</v>
      </c>
      <c r="I308" s="51">
        <v>-2820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</row>
    <row r="309" spans="1:14" ht="15.75" x14ac:dyDescent="0.25">
      <c r="A309" s="49" t="s">
        <v>585</v>
      </c>
      <c r="B309" s="50" t="s">
        <v>49</v>
      </c>
      <c r="C309" s="51">
        <v>1440</v>
      </c>
      <c r="D309" s="51">
        <v>0</v>
      </c>
      <c r="E309" s="51">
        <v>0</v>
      </c>
      <c r="F309" s="51">
        <v>0</v>
      </c>
      <c r="G309" s="51">
        <v>0</v>
      </c>
      <c r="H309" s="51">
        <v>1440</v>
      </c>
      <c r="I309" s="51">
        <v>-1440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</row>
    <row r="310" spans="1:14" ht="15.75" x14ac:dyDescent="0.25">
      <c r="A310" s="52" t="s">
        <v>463</v>
      </c>
      <c r="B310" s="53" t="s">
        <v>8</v>
      </c>
      <c r="C310" s="19">
        <f>SUBTOTAL(109,Program337[(C)
Program
Costs])</f>
        <v>104750</v>
      </c>
      <c r="D310" s="19">
        <f>SUBTOTAL(109,Program337[(D)
Prior Period Adjustments])</f>
        <v>0</v>
      </c>
      <c r="E310" s="19">
        <f>SUBTOTAL(109,Program337[(E)
Current Period Desk 
Reviews])</f>
        <v>0</v>
      </c>
      <c r="F310" s="19">
        <f>SUBTOTAL(109,Program337[(F)
Current Period 
Final 
Audits])</f>
        <v>0</v>
      </c>
      <c r="G310" s="19">
        <f>SUBTOTAL(109,Program337[(G)
Current Period 
Other Adjustments])</f>
        <v>0</v>
      </c>
      <c r="H310" s="19">
        <f>SUBTOTAL(109,Program337[(H)
Net Program Costs
Sum (C through G)])</f>
        <v>104750</v>
      </c>
      <c r="I310" s="19">
        <f>SUBTOTAL(109,Program337[(I)
Payments
 and Offsets])</f>
        <v>-87573</v>
      </c>
      <c r="J310" s="19">
        <f>SUBTOTAL(109,Program337[(J)
Accounts Payable Balance
(H + I)])</f>
        <v>17177</v>
      </c>
      <c r="K310" s="19">
        <f>SUBTOTAL(109,Program337[(K)
Established 
Accounts Receivable])</f>
        <v>0</v>
      </c>
      <c r="L310" s="19">
        <f>SUBTOTAL(109,Program337[(L)
Recovered
 Accounts Receivable])</f>
        <v>0</v>
      </c>
      <c r="M310" s="19">
        <f>SUBTOTAL(109,Program337[(M)
Accounts Receivable Balance
(K + L)])</f>
        <v>0</v>
      </c>
      <c r="N310" s="19">
        <f>SUBTOTAL(109,Program337[(N)
Net Balance
(J minus M)])</f>
        <v>17177</v>
      </c>
    </row>
    <row r="311" spans="1:14" ht="15.75" x14ac:dyDescent="0.25">
      <c r="A311" s="17" t="s">
        <v>13</v>
      </c>
      <c r="B311" s="54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ht="78.75" x14ac:dyDescent="0.25">
      <c r="A312" s="39" t="s">
        <v>32</v>
      </c>
      <c r="B312" s="40" t="s">
        <v>33</v>
      </c>
      <c r="C312" s="41" t="s">
        <v>34</v>
      </c>
      <c r="D312" s="41" t="s">
        <v>35</v>
      </c>
      <c r="E312" s="42" t="s">
        <v>36</v>
      </c>
      <c r="F312" s="42" t="s">
        <v>37</v>
      </c>
      <c r="G312" s="42" t="s">
        <v>38</v>
      </c>
      <c r="H312" s="43" t="s">
        <v>39</v>
      </c>
      <c r="I312" s="44" t="s">
        <v>40</v>
      </c>
      <c r="J312" s="44" t="s">
        <v>41</v>
      </c>
      <c r="K312" s="42" t="s">
        <v>42</v>
      </c>
      <c r="L312" s="44" t="s">
        <v>43</v>
      </c>
      <c r="M312" s="44" t="s">
        <v>44</v>
      </c>
      <c r="N312" s="45" t="s">
        <v>45</v>
      </c>
    </row>
    <row r="313" spans="1:14" ht="15.75" x14ac:dyDescent="0.25">
      <c r="A313" s="46" t="s">
        <v>584</v>
      </c>
      <c r="B313" s="47" t="s">
        <v>79</v>
      </c>
      <c r="C313" s="48">
        <v>3445</v>
      </c>
      <c r="D313" s="48">
        <v>-2156</v>
      </c>
      <c r="E313" s="48">
        <v>0</v>
      </c>
      <c r="F313" s="48">
        <v>0</v>
      </c>
      <c r="G313" s="48">
        <v>0</v>
      </c>
      <c r="H313" s="48">
        <v>1289</v>
      </c>
      <c r="I313" s="48">
        <v>-1000</v>
      </c>
      <c r="J313" s="48">
        <v>289</v>
      </c>
      <c r="K313" s="48">
        <v>0</v>
      </c>
      <c r="L313" s="48">
        <v>0</v>
      </c>
      <c r="M313" s="48">
        <v>0</v>
      </c>
      <c r="N313" s="48">
        <v>289</v>
      </c>
    </row>
    <row r="314" spans="1:14" ht="15.75" x14ac:dyDescent="0.25">
      <c r="A314" s="49" t="s">
        <v>584</v>
      </c>
      <c r="B314" s="50" t="s">
        <v>80</v>
      </c>
      <c r="C314" s="51">
        <v>1367</v>
      </c>
      <c r="D314" s="51">
        <v>0</v>
      </c>
      <c r="E314" s="51">
        <v>0</v>
      </c>
      <c r="F314" s="51">
        <v>0</v>
      </c>
      <c r="G314" s="51">
        <v>0</v>
      </c>
      <c r="H314" s="51">
        <v>1367</v>
      </c>
      <c r="I314" s="51">
        <v>-1000</v>
      </c>
      <c r="J314" s="51">
        <v>367</v>
      </c>
      <c r="K314" s="51">
        <v>0</v>
      </c>
      <c r="L314" s="51">
        <v>0</v>
      </c>
      <c r="M314" s="51">
        <v>0</v>
      </c>
      <c r="N314" s="51">
        <v>367</v>
      </c>
    </row>
    <row r="315" spans="1:14" ht="15.75" x14ac:dyDescent="0.25">
      <c r="A315" s="49" t="s">
        <v>584</v>
      </c>
      <c r="B315" s="50" t="s">
        <v>82</v>
      </c>
      <c r="C315" s="51">
        <v>1813</v>
      </c>
      <c r="D315" s="51">
        <v>0</v>
      </c>
      <c r="E315" s="51">
        <v>0</v>
      </c>
      <c r="F315" s="51">
        <v>0</v>
      </c>
      <c r="G315" s="51">
        <v>0</v>
      </c>
      <c r="H315" s="51">
        <v>1813</v>
      </c>
      <c r="I315" s="51">
        <v>-1000</v>
      </c>
      <c r="J315" s="51">
        <v>813</v>
      </c>
      <c r="K315" s="51">
        <v>0</v>
      </c>
      <c r="L315" s="51">
        <v>0</v>
      </c>
      <c r="M315" s="51">
        <v>0</v>
      </c>
      <c r="N315" s="51">
        <v>813</v>
      </c>
    </row>
    <row r="316" spans="1:14" ht="15.75" x14ac:dyDescent="0.25">
      <c r="A316" s="49" t="s">
        <v>584</v>
      </c>
      <c r="B316" s="50" t="s">
        <v>83</v>
      </c>
      <c r="C316" s="51">
        <v>19747</v>
      </c>
      <c r="D316" s="51">
        <v>-171</v>
      </c>
      <c r="E316" s="51">
        <v>0</v>
      </c>
      <c r="F316" s="51">
        <v>0</v>
      </c>
      <c r="G316" s="51">
        <v>0</v>
      </c>
      <c r="H316" s="51">
        <v>19576</v>
      </c>
      <c r="I316" s="51">
        <v>-13333</v>
      </c>
      <c r="J316" s="51">
        <v>6243</v>
      </c>
      <c r="K316" s="51">
        <v>0</v>
      </c>
      <c r="L316" s="51">
        <v>0</v>
      </c>
      <c r="M316" s="51">
        <v>0</v>
      </c>
      <c r="N316" s="51">
        <v>6243</v>
      </c>
    </row>
    <row r="317" spans="1:14" ht="15.75" x14ac:dyDescent="0.25">
      <c r="A317" s="49" t="s">
        <v>584</v>
      </c>
      <c r="B317" s="50" t="s">
        <v>48</v>
      </c>
      <c r="C317" s="51">
        <v>13640</v>
      </c>
      <c r="D317" s="51">
        <v>0</v>
      </c>
      <c r="E317" s="51">
        <v>0</v>
      </c>
      <c r="F317" s="51">
        <v>0</v>
      </c>
      <c r="G317" s="51">
        <v>0</v>
      </c>
      <c r="H317" s="51">
        <v>13640</v>
      </c>
      <c r="I317" s="51">
        <v>-7429</v>
      </c>
      <c r="J317" s="51">
        <v>6211</v>
      </c>
      <c r="K317" s="51">
        <v>0</v>
      </c>
      <c r="L317" s="51">
        <v>0</v>
      </c>
      <c r="M317" s="51">
        <v>0</v>
      </c>
      <c r="N317" s="51">
        <v>6211</v>
      </c>
    </row>
    <row r="318" spans="1:14" ht="15.75" x14ac:dyDescent="0.25">
      <c r="A318" s="49" t="s">
        <v>584</v>
      </c>
      <c r="B318" s="50" t="s">
        <v>49</v>
      </c>
      <c r="C318" s="51">
        <v>10638</v>
      </c>
      <c r="D318" s="51">
        <v>0</v>
      </c>
      <c r="E318" s="51">
        <v>0</v>
      </c>
      <c r="F318" s="51">
        <v>0</v>
      </c>
      <c r="G318" s="51">
        <v>0</v>
      </c>
      <c r="H318" s="51">
        <v>10638</v>
      </c>
      <c r="I318" s="51">
        <v>-1061</v>
      </c>
      <c r="J318" s="51">
        <v>9577</v>
      </c>
      <c r="K318" s="51">
        <v>0</v>
      </c>
      <c r="L318" s="51">
        <v>0</v>
      </c>
      <c r="M318" s="51">
        <v>0</v>
      </c>
      <c r="N318" s="51">
        <v>9577</v>
      </c>
    </row>
    <row r="319" spans="1:14" ht="15.75" x14ac:dyDescent="0.25">
      <c r="A319" s="52" t="s">
        <v>462</v>
      </c>
      <c r="B319" s="53" t="s">
        <v>8</v>
      </c>
      <c r="C319" s="19">
        <f>SUBTOTAL(109,Program309[(C)
Program
Costs])</f>
        <v>50650</v>
      </c>
      <c r="D319" s="19">
        <f>SUBTOTAL(109,Program309[(D)
Prior Period Adjustments])</f>
        <v>-2327</v>
      </c>
      <c r="E319" s="19">
        <f>SUBTOTAL(109,Program309[(E)
Current Period Desk 
Reviews])</f>
        <v>0</v>
      </c>
      <c r="F319" s="19">
        <f>SUBTOTAL(109,Program309[(F)
Current Period 
Final 
Audits])</f>
        <v>0</v>
      </c>
      <c r="G319" s="19">
        <f>SUBTOTAL(109,Program309[(G)
Current Period 
Other Adjustments])</f>
        <v>0</v>
      </c>
      <c r="H319" s="19">
        <f>SUBTOTAL(109,Program309[(H)
Net Program Costs
Sum (C through G)])</f>
        <v>48323</v>
      </c>
      <c r="I319" s="19">
        <f>SUBTOTAL(109,Program309[(I)
Payments
 and Offsets])</f>
        <v>-24823</v>
      </c>
      <c r="J319" s="19">
        <f>SUBTOTAL(109,Program309[(J)
Accounts Payable Balance
(H + I)])</f>
        <v>23500</v>
      </c>
      <c r="K319" s="19">
        <f>SUBTOTAL(109,Program309[(K)
Established 
Accounts Receivable])</f>
        <v>0</v>
      </c>
      <c r="L319" s="19">
        <f>SUBTOTAL(109,Program309[(L)
Recovered
 Accounts Receivable])</f>
        <v>0</v>
      </c>
      <c r="M319" s="19">
        <f>SUBTOTAL(109,Program309[(M)
Accounts Receivable Balance
(K + L)])</f>
        <v>0</v>
      </c>
      <c r="N319" s="19">
        <f>SUBTOTAL(109,Program309[(N)
Net Balance
(J minus M)])</f>
        <v>23500</v>
      </c>
    </row>
    <row r="320" spans="1:14" ht="15.75" x14ac:dyDescent="0.25">
      <c r="A320" s="17" t="s">
        <v>13</v>
      </c>
      <c r="B320" s="54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</row>
    <row r="321" spans="1:14" ht="78.75" x14ac:dyDescent="0.25">
      <c r="A321" s="39" t="s">
        <v>32</v>
      </c>
      <c r="B321" s="40" t="s">
        <v>33</v>
      </c>
      <c r="C321" s="41" t="s">
        <v>34</v>
      </c>
      <c r="D321" s="41" t="s">
        <v>35</v>
      </c>
      <c r="E321" s="42" t="s">
        <v>36</v>
      </c>
      <c r="F321" s="42" t="s">
        <v>37</v>
      </c>
      <c r="G321" s="42" t="s">
        <v>38</v>
      </c>
      <c r="H321" s="43" t="s">
        <v>39</v>
      </c>
      <c r="I321" s="44" t="s">
        <v>40</v>
      </c>
      <c r="J321" s="44" t="s">
        <v>41</v>
      </c>
      <c r="K321" s="42" t="s">
        <v>42</v>
      </c>
      <c r="L321" s="44" t="s">
        <v>43</v>
      </c>
      <c r="M321" s="44" t="s">
        <v>44</v>
      </c>
      <c r="N321" s="45" t="s">
        <v>45</v>
      </c>
    </row>
    <row r="322" spans="1:14" ht="15.75" x14ac:dyDescent="0.25">
      <c r="A322" s="46" t="s">
        <v>583</v>
      </c>
      <c r="B322" s="47" t="s">
        <v>66</v>
      </c>
      <c r="C322" s="48">
        <v>17750643</v>
      </c>
      <c r="D322" s="48">
        <v>-5904448</v>
      </c>
      <c r="E322" s="48">
        <v>0</v>
      </c>
      <c r="F322" s="48">
        <v>0</v>
      </c>
      <c r="G322" s="48">
        <v>0</v>
      </c>
      <c r="H322" s="48">
        <v>11846195</v>
      </c>
      <c r="I322" s="48">
        <v>-11846195</v>
      </c>
      <c r="J322" s="48">
        <v>0</v>
      </c>
      <c r="K322" s="48">
        <v>1179938</v>
      </c>
      <c r="L322" s="48">
        <v>-1179552</v>
      </c>
      <c r="M322" s="48">
        <v>386</v>
      </c>
      <c r="N322" s="48">
        <v>-386</v>
      </c>
    </row>
    <row r="323" spans="1:14" ht="15.75" x14ac:dyDescent="0.25">
      <c r="A323" s="49" t="s">
        <v>583</v>
      </c>
      <c r="B323" s="50" t="s">
        <v>67</v>
      </c>
      <c r="C323" s="51">
        <v>15977515</v>
      </c>
      <c r="D323" s="51">
        <v>-5327170</v>
      </c>
      <c r="E323" s="51">
        <v>0</v>
      </c>
      <c r="F323" s="51">
        <v>0</v>
      </c>
      <c r="G323" s="51">
        <v>0</v>
      </c>
      <c r="H323" s="51">
        <v>10650345</v>
      </c>
      <c r="I323" s="51">
        <v>-10650345</v>
      </c>
      <c r="J323" s="51">
        <v>0</v>
      </c>
      <c r="K323" s="51">
        <v>1058329</v>
      </c>
      <c r="L323" s="51">
        <v>-1057915</v>
      </c>
      <c r="M323" s="51">
        <v>414</v>
      </c>
      <c r="N323" s="51">
        <v>-414</v>
      </c>
    </row>
    <row r="324" spans="1:14" ht="15.75" x14ac:dyDescent="0.25">
      <c r="A324" s="49" t="s">
        <v>583</v>
      </c>
      <c r="B324" s="50" t="s">
        <v>68</v>
      </c>
      <c r="C324" s="51">
        <v>14153859</v>
      </c>
      <c r="D324" s="51">
        <v>-4191919</v>
      </c>
      <c r="E324" s="51">
        <v>0</v>
      </c>
      <c r="F324" s="51">
        <v>0</v>
      </c>
      <c r="G324" s="51">
        <v>0</v>
      </c>
      <c r="H324" s="51">
        <v>9961940</v>
      </c>
      <c r="I324" s="51">
        <v>-9961940</v>
      </c>
      <c r="J324" s="51">
        <v>0</v>
      </c>
      <c r="K324" s="51">
        <v>1019995</v>
      </c>
      <c r="L324" s="51">
        <v>-1019595</v>
      </c>
      <c r="M324" s="51">
        <v>400</v>
      </c>
      <c r="N324" s="51">
        <v>-400</v>
      </c>
    </row>
    <row r="325" spans="1:14" ht="15.75" x14ac:dyDescent="0.25">
      <c r="A325" s="49" t="s">
        <v>583</v>
      </c>
      <c r="B325" s="50" t="s">
        <v>69</v>
      </c>
      <c r="C325" s="51">
        <v>13749741</v>
      </c>
      <c r="D325" s="51">
        <v>-4065471</v>
      </c>
      <c r="E325" s="51">
        <v>0</v>
      </c>
      <c r="F325" s="51">
        <v>0</v>
      </c>
      <c r="G325" s="51">
        <v>0</v>
      </c>
      <c r="H325" s="51">
        <v>9684270</v>
      </c>
      <c r="I325" s="51">
        <v>-9684270</v>
      </c>
      <c r="J325" s="51">
        <v>0</v>
      </c>
      <c r="K325" s="51">
        <v>954100</v>
      </c>
      <c r="L325" s="51">
        <v>-953623</v>
      </c>
      <c r="M325" s="51">
        <v>477</v>
      </c>
      <c r="N325" s="51">
        <v>-477</v>
      </c>
    </row>
    <row r="326" spans="1:14" ht="15.75" x14ac:dyDescent="0.25">
      <c r="A326" s="49" t="s">
        <v>583</v>
      </c>
      <c r="B326" s="50" t="s">
        <v>115</v>
      </c>
      <c r="C326" s="51">
        <v>10831928</v>
      </c>
      <c r="D326" s="51">
        <v>-2635960</v>
      </c>
      <c r="E326" s="51">
        <v>0</v>
      </c>
      <c r="F326" s="51">
        <v>0</v>
      </c>
      <c r="G326" s="51">
        <v>0</v>
      </c>
      <c r="H326" s="51">
        <v>8195968</v>
      </c>
      <c r="I326" s="51">
        <v>-8195968</v>
      </c>
      <c r="J326" s="51">
        <v>0</v>
      </c>
      <c r="K326" s="51">
        <v>880183</v>
      </c>
      <c r="L326" s="51">
        <v>-879682</v>
      </c>
      <c r="M326" s="51">
        <v>501</v>
      </c>
      <c r="N326" s="51">
        <v>-501</v>
      </c>
    </row>
    <row r="327" spans="1:14" ht="15.75" x14ac:dyDescent="0.25">
      <c r="A327" s="49" t="s">
        <v>583</v>
      </c>
      <c r="B327" s="50" t="s">
        <v>99</v>
      </c>
      <c r="C327" s="51">
        <v>11441832</v>
      </c>
      <c r="D327" s="51">
        <v>-3386770</v>
      </c>
      <c r="E327" s="51">
        <v>0</v>
      </c>
      <c r="F327" s="51">
        <v>0</v>
      </c>
      <c r="G327" s="51">
        <v>0</v>
      </c>
      <c r="H327" s="51">
        <v>8055062</v>
      </c>
      <c r="I327" s="51">
        <v>-8055062</v>
      </c>
      <c r="J327" s="51">
        <v>0</v>
      </c>
      <c r="K327" s="51">
        <v>803598</v>
      </c>
      <c r="L327" s="51">
        <v>-803123</v>
      </c>
      <c r="M327" s="51">
        <v>475</v>
      </c>
      <c r="N327" s="51">
        <v>-475</v>
      </c>
    </row>
    <row r="328" spans="1:14" ht="15.75" x14ac:dyDescent="0.25">
      <c r="A328" s="49" t="s">
        <v>583</v>
      </c>
      <c r="B328" s="50" t="s">
        <v>100</v>
      </c>
      <c r="C328" s="51">
        <v>10603741</v>
      </c>
      <c r="D328" s="51">
        <v>-3226944</v>
      </c>
      <c r="E328" s="51">
        <v>0</v>
      </c>
      <c r="F328" s="51">
        <v>0</v>
      </c>
      <c r="G328" s="51">
        <v>0</v>
      </c>
      <c r="H328" s="51">
        <v>7376797</v>
      </c>
      <c r="I328" s="51">
        <v>-7376797</v>
      </c>
      <c r="J328" s="51">
        <v>0</v>
      </c>
      <c r="K328" s="51">
        <v>727817</v>
      </c>
      <c r="L328" s="51">
        <v>-726917</v>
      </c>
      <c r="M328" s="51">
        <v>900</v>
      </c>
      <c r="N328" s="51">
        <v>-900</v>
      </c>
    </row>
    <row r="329" spans="1:14" ht="15.75" x14ac:dyDescent="0.25">
      <c r="A329" s="49" t="s">
        <v>583</v>
      </c>
      <c r="B329" s="50" t="s">
        <v>176</v>
      </c>
      <c r="C329" s="51">
        <v>10310746</v>
      </c>
      <c r="D329" s="51">
        <v>-2797438</v>
      </c>
      <c r="E329" s="51">
        <v>0</v>
      </c>
      <c r="F329" s="51">
        <v>0</v>
      </c>
      <c r="G329" s="51">
        <v>0</v>
      </c>
      <c r="H329" s="51">
        <v>7513308</v>
      </c>
      <c r="I329" s="51">
        <v>-7513308</v>
      </c>
      <c r="J329" s="51">
        <v>0</v>
      </c>
      <c r="K329" s="51">
        <v>588899</v>
      </c>
      <c r="L329" s="51">
        <v>-588367</v>
      </c>
      <c r="M329" s="51">
        <v>532</v>
      </c>
      <c r="N329" s="51">
        <v>-532</v>
      </c>
    </row>
    <row r="330" spans="1:14" ht="15.75" x14ac:dyDescent="0.25">
      <c r="A330" s="52" t="s">
        <v>461</v>
      </c>
      <c r="B330" s="53" t="s">
        <v>8</v>
      </c>
      <c r="C330" s="19">
        <f>SUBTOTAL(109,Program114[(C)
Program
Costs])</f>
        <v>104820005</v>
      </c>
      <c r="D330" s="19">
        <f>SUBTOTAL(109,Program114[(D)
Prior Period Adjustments])</f>
        <v>-31536120</v>
      </c>
      <c r="E330" s="19">
        <f>SUBTOTAL(109,Program114[(E)
Current Period Desk 
Reviews])</f>
        <v>0</v>
      </c>
      <c r="F330" s="19">
        <f>SUBTOTAL(109,Program114[(F)
Current Period 
Final 
Audits])</f>
        <v>0</v>
      </c>
      <c r="G330" s="19">
        <f>SUBTOTAL(109,Program114[(G)
Current Period 
Other Adjustments])</f>
        <v>0</v>
      </c>
      <c r="H330" s="19">
        <f>SUBTOTAL(109,Program114[(H)
Net Program Costs
Sum (C through G)])</f>
        <v>73283885</v>
      </c>
      <c r="I330" s="19">
        <f>SUBTOTAL(109,Program114[(I)
Payments
 and Offsets])</f>
        <v>-73283885</v>
      </c>
      <c r="J330" s="19">
        <f>SUBTOTAL(109,Program114[(J)
Accounts Payable Balance
(H + I)])</f>
        <v>0</v>
      </c>
      <c r="K330" s="19">
        <f>SUBTOTAL(109,Program114[(K)
Established 
Accounts Receivable])</f>
        <v>7212859</v>
      </c>
      <c r="L330" s="19">
        <f>SUBTOTAL(109,Program114[(L)
Recovered
 Accounts Receivable])</f>
        <v>-7208774</v>
      </c>
      <c r="M330" s="19">
        <f>SUBTOTAL(109,Program114[(M)
Accounts Receivable Balance
(K + L)])</f>
        <v>4085</v>
      </c>
      <c r="N330" s="19">
        <f>SUBTOTAL(109,Program114[(N)
Net Balance
(J minus M)])</f>
        <v>-4085</v>
      </c>
    </row>
    <row r="331" spans="1:14" ht="15.75" x14ac:dyDescent="0.25">
      <c r="A331" s="17" t="s">
        <v>13</v>
      </c>
      <c r="B331" s="54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</row>
    <row r="332" spans="1:14" ht="78.75" x14ac:dyDescent="0.25">
      <c r="A332" s="39" t="s">
        <v>32</v>
      </c>
      <c r="B332" s="40" t="s">
        <v>33</v>
      </c>
      <c r="C332" s="41" t="s">
        <v>34</v>
      </c>
      <c r="D332" s="41" t="s">
        <v>35</v>
      </c>
      <c r="E332" s="42" t="s">
        <v>36</v>
      </c>
      <c r="F332" s="42" t="s">
        <v>37</v>
      </c>
      <c r="G332" s="42" t="s">
        <v>38</v>
      </c>
      <c r="H332" s="43" t="s">
        <v>39</v>
      </c>
      <c r="I332" s="44" t="s">
        <v>40</v>
      </c>
      <c r="J332" s="44" t="s">
        <v>41</v>
      </c>
      <c r="K332" s="42" t="s">
        <v>42</v>
      </c>
      <c r="L332" s="44" t="s">
        <v>43</v>
      </c>
      <c r="M332" s="44" t="s">
        <v>44</v>
      </c>
      <c r="N332" s="45" t="s">
        <v>45</v>
      </c>
    </row>
    <row r="333" spans="1:14" ht="30" x14ac:dyDescent="0.25">
      <c r="A333" s="67" t="s">
        <v>582</v>
      </c>
      <c r="B333" s="57" t="s">
        <v>76</v>
      </c>
      <c r="C333" s="58">
        <v>27854</v>
      </c>
      <c r="D333" s="58">
        <v>0</v>
      </c>
      <c r="E333" s="58">
        <v>0</v>
      </c>
      <c r="F333" s="58">
        <v>0</v>
      </c>
      <c r="G333" s="58">
        <v>0</v>
      </c>
      <c r="H333" s="58">
        <v>27854</v>
      </c>
      <c r="I333" s="58">
        <v>0</v>
      </c>
      <c r="J333" s="58">
        <v>27854</v>
      </c>
      <c r="K333" s="58">
        <v>0</v>
      </c>
      <c r="L333" s="58">
        <v>0</v>
      </c>
      <c r="M333" s="58">
        <v>0</v>
      </c>
      <c r="N333" s="58">
        <v>27854</v>
      </c>
    </row>
    <row r="334" spans="1:14" ht="30" x14ac:dyDescent="0.25">
      <c r="A334" s="68" t="s">
        <v>582</v>
      </c>
      <c r="B334" s="60" t="s">
        <v>77</v>
      </c>
      <c r="C334" s="61">
        <v>136002</v>
      </c>
      <c r="D334" s="61">
        <v>0</v>
      </c>
      <c r="E334" s="61">
        <v>0</v>
      </c>
      <c r="F334" s="61">
        <v>0</v>
      </c>
      <c r="G334" s="61">
        <v>0</v>
      </c>
      <c r="H334" s="61">
        <v>136002</v>
      </c>
      <c r="I334" s="61">
        <v>-1000</v>
      </c>
      <c r="J334" s="61">
        <v>135002</v>
      </c>
      <c r="K334" s="61">
        <v>0</v>
      </c>
      <c r="L334" s="61">
        <v>0</v>
      </c>
      <c r="M334" s="61">
        <v>0</v>
      </c>
      <c r="N334" s="61">
        <v>135002</v>
      </c>
    </row>
    <row r="335" spans="1:14" ht="30" x14ac:dyDescent="0.25">
      <c r="A335" s="68" t="s">
        <v>582</v>
      </c>
      <c r="B335" s="60" t="s">
        <v>78</v>
      </c>
      <c r="C335" s="61">
        <v>185663</v>
      </c>
      <c r="D335" s="61">
        <v>0</v>
      </c>
      <c r="E335" s="61">
        <v>0</v>
      </c>
      <c r="F335" s="61">
        <v>0</v>
      </c>
      <c r="G335" s="61">
        <v>0</v>
      </c>
      <c r="H335" s="61">
        <v>185663</v>
      </c>
      <c r="I335" s="61">
        <v>-1000</v>
      </c>
      <c r="J335" s="61">
        <v>184663</v>
      </c>
      <c r="K335" s="61">
        <v>0</v>
      </c>
      <c r="L335" s="61">
        <v>0</v>
      </c>
      <c r="M335" s="61">
        <v>0</v>
      </c>
      <c r="N335" s="61">
        <v>184663</v>
      </c>
    </row>
    <row r="336" spans="1:14" ht="30" x14ac:dyDescent="0.25">
      <c r="A336" s="68" t="s">
        <v>582</v>
      </c>
      <c r="B336" s="60" t="s">
        <v>47</v>
      </c>
      <c r="C336" s="61">
        <v>205625</v>
      </c>
      <c r="D336" s="61">
        <v>-1140</v>
      </c>
      <c r="E336" s="61">
        <v>0</v>
      </c>
      <c r="F336" s="61">
        <v>0</v>
      </c>
      <c r="G336" s="61">
        <v>0</v>
      </c>
      <c r="H336" s="61">
        <v>204485</v>
      </c>
      <c r="I336" s="61">
        <v>-22063</v>
      </c>
      <c r="J336" s="61">
        <v>182422</v>
      </c>
      <c r="K336" s="61">
        <v>0</v>
      </c>
      <c r="L336" s="61">
        <v>0</v>
      </c>
      <c r="M336" s="61">
        <v>0</v>
      </c>
      <c r="N336" s="61">
        <v>182422</v>
      </c>
    </row>
    <row r="337" spans="1:14" ht="30" x14ac:dyDescent="0.25">
      <c r="A337" s="68" t="s">
        <v>582</v>
      </c>
      <c r="B337" s="60" t="s">
        <v>79</v>
      </c>
      <c r="C337" s="61">
        <v>327509</v>
      </c>
      <c r="D337" s="61">
        <v>-270</v>
      </c>
      <c r="E337" s="61">
        <v>0</v>
      </c>
      <c r="F337" s="61">
        <v>0</v>
      </c>
      <c r="G337" s="61">
        <v>0</v>
      </c>
      <c r="H337" s="61">
        <v>327239</v>
      </c>
      <c r="I337" s="61">
        <v>-76959</v>
      </c>
      <c r="J337" s="61">
        <v>250280</v>
      </c>
      <c r="K337" s="61">
        <v>0</v>
      </c>
      <c r="L337" s="61">
        <v>0</v>
      </c>
      <c r="M337" s="61">
        <v>0</v>
      </c>
      <c r="N337" s="61">
        <v>250280</v>
      </c>
    </row>
    <row r="338" spans="1:14" ht="30" x14ac:dyDescent="0.25">
      <c r="A338" s="68" t="s">
        <v>582</v>
      </c>
      <c r="B338" s="60" t="s">
        <v>80</v>
      </c>
      <c r="C338" s="61">
        <v>1012925</v>
      </c>
      <c r="D338" s="61">
        <v>-165</v>
      </c>
      <c r="E338" s="61">
        <v>0</v>
      </c>
      <c r="F338" s="61">
        <v>0</v>
      </c>
      <c r="G338" s="61">
        <v>0</v>
      </c>
      <c r="H338" s="61">
        <v>1012760</v>
      </c>
      <c r="I338" s="61">
        <v>-356650</v>
      </c>
      <c r="J338" s="61">
        <v>656110</v>
      </c>
      <c r="K338" s="61">
        <v>0</v>
      </c>
      <c r="L338" s="61">
        <v>0</v>
      </c>
      <c r="M338" s="61">
        <v>0</v>
      </c>
      <c r="N338" s="61">
        <v>656110</v>
      </c>
    </row>
    <row r="339" spans="1:14" ht="30" x14ac:dyDescent="0.25">
      <c r="A339" s="68" t="s">
        <v>582</v>
      </c>
      <c r="B339" s="60" t="s">
        <v>81</v>
      </c>
      <c r="C339" s="61">
        <v>2039283</v>
      </c>
      <c r="D339" s="61">
        <v>-35593</v>
      </c>
      <c r="E339" s="61">
        <v>0</v>
      </c>
      <c r="F339" s="61">
        <v>0</v>
      </c>
      <c r="G339" s="61">
        <v>0</v>
      </c>
      <c r="H339" s="61">
        <v>2003690</v>
      </c>
      <c r="I339" s="61">
        <v>-1183130</v>
      </c>
      <c r="J339" s="61">
        <v>820560</v>
      </c>
      <c r="K339" s="61">
        <v>0</v>
      </c>
      <c r="L339" s="61">
        <v>0</v>
      </c>
      <c r="M339" s="61">
        <v>0</v>
      </c>
      <c r="N339" s="61">
        <v>820560</v>
      </c>
    </row>
    <row r="340" spans="1:14" ht="30" x14ac:dyDescent="0.25">
      <c r="A340" s="68" t="s">
        <v>582</v>
      </c>
      <c r="B340" s="60" t="s">
        <v>82</v>
      </c>
      <c r="C340" s="61">
        <v>3665738</v>
      </c>
      <c r="D340" s="61">
        <v>-166344</v>
      </c>
      <c r="E340" s="61">
        <v>0</v>
      </c>
      <c r="F340" s="61">
        <v>0</v>
      </c>
      <c r="G340" s="61">
        <v>0</v>
      </c>
      <c r="H340" s="61">
        <v>3499394</v>
      </c>
      <c r="I340" s="61">
        <v>-2246286</v>
      </c>
      <c r="J340" s="61">
        <v>1253108</v>
      </c>
      <c r="K340" s="61">
        <v>0</v>
      </c>
      <c r="L340" s="61">
        <v>0</v>
      </c>
      <c r="M340" s="61">
        <v>0</v>
      </c>
      <c r="N340" s="61">
        <v>1253108</v>
      </c>
    </row>
    <row r="341" spans="1:14" ht="30" x14ac:dyDescent="0.25">
      <c r="A341" s="68" t="s">
        <v>582</v>
      </c>
      <c r="B341" s="60" t="s">
        <v>83</v>
      </c>
      <c r="C341" s="61">
        <v>18255416</v>
      </c>
      <c r="D341" s="61">
        <v>-1371582</v>
      </c>
      <c r="E341" s="61">
        <v>0</v>
      </c>
      <c r="F341" s="61">
        <v>0</v>
      </c>
      <c r="G341" s="61">
        <v>0</v>
      </c>
      <c r="H341" s="61">
        <v>16883834</v>
      </c>
      <c r="I341" s="61">
        <v>-12873998</v>
      </c>
      <c r="J341" s="61">
        <v>4009836</v>
      </c>
      <c r="K341" s="61">
        <v>0</v>
      </c>
      <c r="L341" s="61">
        <v>0</v>
      </c>
      <c r="M341" s="61">
        <v>0</v>
      </c>
      <c r="N341" s="61">
        <v>4009836</v>
      </c>
    </row>
    <row r="342" spans="1:14" ht="30" x14ac:dyDescent="0.25">
      <c r="A342" s="68" t="s">
        <v>582</v>
      </c>
      <c r="B342" s="60" t="s">
        <v>48</v>
      </c>
      <c r="C342" s="61">
        <v>20135425</v>
      </c>
      <c r="D342" s="61">
        <v>-2152572</v>
      </c>
      <c r="E342" s="61">
        <v>0</v>
      </c>
      <c r="F342" s="61">
        <v>0</v>
      </c>
      <c r="G342" s="61">
        <v>0</v>
      </c>
      <c r="H342" s="61">
        <v>17982853</v>
      </c>
      <c r="I342" s="61">
        <v>-14351227</v>
      </c>
      <c r="J342" s="61">
        <v>3631626</v>
      </c>
      <c r="K342" s="61">
        <v>0</v>
      </c>
      <c r="L342" s="61">
        <v>0</v>
      </c>
      <c r="M342" s="61">
        <v>0</v>
      </c>
      <c r="N342" s="61">
        <v>3631626</v>
      </c>
    </row>
    <row r="343" spans="1:14" ht="30" x14ac:dyDescent="0.25">
      <c r="A343" s="68" t="s">
        <v>582</v>
      </c>
      <c r="B343" s="60" t="s">
        <v>49</v>
      </c>
      <c r="C343" s="61">
        <v>23413656</v>
      </c>
      <c r="D343" s="61">
        <v>-2267107</v>
      </c>
      <c r="E343" s="61">
        <v>0</v>
      </c>
      <c r="F343" s="61">
        <v>0</v>
      </c>
      <c r="G343" s="61">
        <v>0</v>
      </c>
      <c r="H343" s="61">
        <v>21146549</v>
      </c>
      <c r="I343" s="61">
        <v>-17942274</v>
      </c>
      <c r="J343" s="61">
        <v>3204275</v>
      </c>
      <c r="K343" s="61">
        <v>6116</v>
      </c>
      <c r="L343" s="61">
        <v>-2133</v>
      </c>
      <c r="M343" s="61">
        <v>3983</v>
      </c>
      <c r="N343" s="61">
        <v>3200292</v>
      </c>
    </row>
    <row r="344" spans="1:14" ht="30" x14ac:dyDescent="0.25">
      <c r="A344" s="68" t="s">
        <v>582</v>
      </c>
      <c r="B344" s="60" t="s">
        <v>50</v>
      </c>
      <c r="C344" s="61">
        <v>22346501</v>
      </c>
      <c r="D344" s="61">
        <v>-1876161</v>
      </c>
      <c r="E344" s="61">
        <v>0</v>
      </c>
      <c r="F344" s="61">
        <v>0</v>
      </c>
      <c r="G344" s="61">
        <v>0</v>
      </c>
      <c r="H344" s="61">
        <v>20470340</v>
      </c>
      <c r="I344" s="61">
        <v>-17977474</v>
      </c>
      <c r="J344" s="61">
        <v>2492866</v>
      </c>
      <c r="K344" s="61">
        <v>26683</v>
      </c>
      <c r="L344" s="61">
        <v>-12350</v>
      </c>
      <c r="M344" s="61">
        <v>14333</v>
      </c>
      <c r="N344" s="61">
        <v>2478533</v>
      </c>
    </row>
    <row r="345" spans="1:14" ht="30" x14ac:dyDescent="0.25">
      <c r="A345" s="68" t="s">
        <v>582</v>
      </c>
      <c r="B345" s="60" t="s">
        <v>51</v>
      </c>
      <c r="C345" s="61">
        <v>25352146</v>
      </c>
      <c r="D345" s="61">
        <v>-1380042</v>
      </c>
      <c r="E345" s="61">
        <v>0</v>
      </c>
      <c r="F345" s="61">
        <v>0</v>
      </c>
      <c r="G345" s="61">
        <v>0</v>
      </c>
      <c r="H345" s="61">
        <v>23972104</v>
      </c>
      <c r="I345" s="61">
        <v>-21133564</v>
      </c>
      <c r="J345" s="61">
        <v>2838540</v>
      </c>
      <c r="K345" s="61">
        <v>2</v>
      </c>
      <c r="L345" s="61">
        <v>0</v>
      </c>
      <c r="M345" s="61">
        <v>2</v>
      </c>
      <c r="N345" s="61">
        <v>2838538</v>
      </c>
    </row>
    <row r="346" spans="1:14" ht="30" x14ac:dyDescent="0.25">
      <c r="A346" s="68" t="s">
        <v>582</v>
      </c>
      <c r="B346" s="60" t="s">
        <v>52</v>
      </c>
      <c r="C346" s="61">
        <v>28138503</v>
      </c>
      <c r="D346" s="61">
        <v>-426042</v>
      </c>
      <c r="E346" s="61">
        <v>0</v>
      </c>
      <c r="F346" s="61">
        <v>0</v>
      </c>
      <c r="G346" s="61">
        <v>0</v>
      </c>
      <c r="H346" s="61">
        <v>27712461</v>
      </c>
      <c r="I346" s="61">
        <v>-25951794</v>
      </c>
      <c r="J346" s="61">
        <v>1760667</v>
      </c>
      <c r="K346" s="61">
        <v>147591</v>
      </c>
      <c r="L346" s="61">
        <v>-118837</v>
      </c>
      <c r="M346" s="61">
        <v>28754</v>
      </c>
      <c r="N346" s="61">
        <v>1731913</v>
      </c>
    </row>
    <row r="347" spans="1:14" ht="30" x14ac:dyDescent="0.25">
      <c r="A347" s="68" t="s">
        <v>582</v>
      </c>
      <c r="B347" s="60" t="s">
        <v>53</v>
      </c>
      <c r="C347" s="61">
        <v>28540468</v>
      </c>
      <c r="D347" s="61">
        <v>-422217</v>
      </c>
      <c r="E347" s="61">
        <v>0</v>
      </c>
      <c r="F347" s="61">
        <v>0</v>
      </c>
      <c r="G347" s="61">
        <v>0</v>
      </c>
      <c r="H347" s="61">
        <v>28118251</v>
      </c>
      <c r="I347" s="61">
        <v>-27647949</v>
      </c>
      <c r="J347" s="61">
        <v>470302</v>
      </c>
      <c r="K347" s="61">
        <v>6504563</v>
      </c>
      <c r="L347" s="61">
        <v>-5420317</v>
      </c>
      <c r="M347" s="61">
        <v>1084246</v>
      </c>
      <c r="N347" s="61">
        <v>-613944</v>
      </c>
    </row>
    <row r="348" spans="1:14" ht="30" x14ac:dyDescent="0.25">
      <c r="A348" s="68" t="s">
        <v>582</v>
      </c>
      <c r="B348" s="60" t="s">
        <v>54</v>
      </c>
      <c r="C348" s="61">
        <v>27688064</v>
      </c>
      <c r="D348" s="61">
        <v>-254817</v>
      </c>
      <c r="E348" s="61">
        <v>0</v>
      </c>
      <c r="F348" s="61">
        <v>0</v>
      </c>
      <c r="G348" s="61">
        <v>0</v>
      </c>
      <c r="H348" s="61">
        <v>27433247</v>
      </c>
      <c r="I348" s="61">
        <v>-27433247</v>
      </c>
      <c r="J348" s="61">
        <v>0</v>
      </c>
      <c r="K348" s="61">
        <v>240489</v>
      </c>
      <c r="L348" s="61">
        <v>-240489</v>
      </c>
      <c r="M348" s="61">
        <v>0</v>
      </c>
      <c r="N348" s="61">
        <v>0</v>
      </c>
    </row>
    <row r="349" spans="1:14" ht="30" x14ac:dyDescent="0.25">
      <c r="A349" s="68" t="s">
        <v>582</v>
      </c>
      <c r="B349" s="60" t="s">
        <v>55</v>
      </c>
      <c r="C349" s="61">
        <v>28660209</v>
      </c>
      <c r="D349" s="61">
        <v>-553190</v>
      </c>
      <c r="E349" s="61">
        <v>0</v>
      </c>
      <c r="F349" s="61">
        <v>0</v>
      </c>
      <c r="G349" s="61">
        <v>0</v>
      </c>
      <c r="H349" s="61">
        <v>28107019</v>
      </c>
      <c r="I349" s="61">
        <v>-28107019</v>
      </c>
      <c r="J349" s="61">
        <v>0</v>
      </c>
      <c r="K349" s="61">
        <v>517475</v>
      </c>
      <c r="L349" s="61">
        <v>-433247</v>
      </c>
      <c r="M349" s="61">
        <v>84228</v>
      </c>
      <c r="N349" s="61">
        <v>-84228</v>
      </c>
    </row>
    <row r="350" spans="1:14" ht="30" x14ac:dyDescent="0.25">
      <c r="A350" s="68" t="s">
        <v>582</v>
      </c>
      <c r="B350" s="60" t="s">
        <v>56</v>
      </c>
      <c r="C350" s="61">
        <v>31718684</v>
      </c>
      <c r="D350" s="61">
        <v>-948079</v>
      </c>
      <c r="E350" s="61">
        <v>0</v>
      </c>
      <c r="F350" s="61">
        <v>0</v>
      </c>
      <c r="G350" s="61">
        <v>0</v>
      </c>
      <c r="H350" s="61">
        <v>30770605</v>
      </c>
      <c r="I350" s="61">
        <v>-30770605</v>
      </c>
      <c r="J350" s="61">
        <v>0</v>
      </c>
      <c r="K350" s="61">
        <v>867444</v>
      </c>
      <c r="L350" s="61">
        <v>-826768</v>
      </c>
      <c r="M350" s="61">
        <v>40676</v>
      </c>
      <c r="N350" s="61">
        <v>-40676</v>
      </c>
    </row>
    <row r="351" spans="1:14" ht="30" x14ac:dyDescent="0.25">
      <c r="A351" s="68" t="s">
        <v>582</v>
      </c>
      <c r="B351" s="60" t="s">
        <v>57</v>
      </c>
      <c r="C351" s="61">
        <v>36410253</v>
      </c>
      <c r="D351" s="61">
        <v>-1739236</v>
      </c>
      <c r="E351" s="61">
        <v>0</v>
      </c>
      <c r="F351" s="61">
        <v>0</v>
      </c>
      <c r="G351" s="61">
        <v>0</v>
      </c>
      <c r="H351" s="61">
        <v>34671017</v>
      </c>
      <c r="I351" s="61">
        <v>-34671017</v>
      </c>
      <c r="J351" s="61">
        <v>0</v>
      </c>
      <c r="K351" s="61">
        <v>7346372</v>
      </c>
      <c r="L351" s="61">
        <v>-7327621</v>
      </c>
      <c r="M351" s="61">
        <v>18751</v>
      </c>
      <c r="N351" s="61">
        <v>-18751</v>
      </c>
    </row>
    <row r="352" spans="1:14" ht="30" x14ac:dyDescent="0.25">
      <c r="A352" s="68" t="s">
        <v>582</v>
      </c>
      <c r="B352" s="60" t="s">
        <v>58</v>
      </c>
      <c r="C352" s="61">
        <v>39850661</v>
      </c>
      <c r="D352" s="61">
        <v>-2870476</v>
      </c>
      <c r="E352" s="61">
        <v>0</v>
      </c>
      <c r="F352" s="61">
        <v>0</v>
      </c>
      <c r="G352" s="61">
        <v>0</v>
      </c>
      <c r="H352" s="61">
        <v>36980185</v>
      </c>
      <c r="I352" s="61">
        <v>-36980185</v>
      </c>
      <c r="J352" s="61">
        <v>0</v>
      </c>
      <c r="K352" s="61">
        <v>10551511</v>
      </c>
      <c r="L352" s="61">
        <v>-10551511</v>
      </c>
      <c r="M352" s="61">
        <v>0</v>
      </c>
      <c r="N352" s="61">
        <v>0</v>
      </c>
    </row>
    <row r="353" spans="1:14" ht="30" x14ac:dyDescent="0.25">
      <c r="A353" s="68" t="s">
        <v>582</v>
      </c>
      <c r="B353" s="60" t="s">
        <v>59</v>
      </c>
      <c r="C353" s="61">
        <v>46106412</v>
      </c>
      <c r="D353" s="61">
        <v>-2829818</v>
      </c>
      <c r="E353" s="61">
        <v>0</v>
      </c>
      <c r="F353" s="61">
        <v>0</v>
      </c>
      <c r="G353" s="61">
        <v>0</v>
      </c>
      <c r="H353" s="61">
        <v>43276594</v>
      </c>
      <c r="I353" s="61">
        <v>-43276594</v>
      </c>
      <c r="J353" s="61">
        <v>0</v>
      </c>
      <c r="K353" s="61">
        <v>5245736</v>
      </c>
      <c r="L353" s="61">
        <v>-5240272</v>
      </c>
      <c r="M353" s="61">
        <v>5464</v>
      </c>
      <c r="N353" s="61">
        <v>-5464</v>
      </c>
    </row>
    <row r="354" spans="1:14" ht="30" x14ac:dyDescent="0.25">
      <c r="A354" s="68" t="s">
        <v>582</v>
      </c>
      <c r="B354" s="60" t="s">
        <v>60</v>
      </c>
      <c r="C354" s="61">
        <v>45441874</v>
      </c>
      <c r="D354" s="61">
        <v>-600654</v>
      </c>
      <c r="E354" s="61">
        <v>0</v>
      </c>
      <c r="F354" s="61">
        <v>0</v>
      </c>
      <c r="G354" s="61">
        <v>0</v>
      </c>
      <c r="H354" s="61">
        <v>44841220</v>
      </c>
      <c r="I354" s="61">
        <v>-44841220</v>
      </c>
      <c r="J354" s="61">
        <v>0</v>
      </c>
      <c r="K354" s="61">
        <v>4763751</v>
      </c>
      <c r="L354" s="61">
        <v>-4753555</v>
      </c>
      <c r="M354" s="61">
        <v>10196</v>
      </c>
      <c r="N354" s="61">
        <v>-10196</v>
      </c>
    </row>
    <row r="355" spans="1:14" ht="30" x14ac:dyDescent="0.25">
      <c r="A355" s="68" t="s">
        <v>582</v>
      </c>
      <c r="B355" s="60" t="s">
        <v>61</v>
      </c>
      <c r="C355" s="61">
        <v>37762015</v>
      </c>
      <c r="D355" s="61">
        <v>-1299607</v>
      </c>
      <c r="E355" s="61">
        <v>0</v>
      </c>
      <c r="F355" s="61">
        <v>0</v>
      </c>
      <c r="G355" s="61">
        <v>0</v>
      </c>
      <c r="H355" s="61">
        <v>36462408</v>
      </c>
      <c r="I355" s="61">
        <v>-36462408</v>
      </c>
      <c r="J355" s="61">
        <v>0</v>
      </c>
      <c r="K355" s="61">
        <v>6956351</v>
      </c>
      <c r="L355" s="61">
        <v>-6947061</v>
      </c>
      <c r="M355" s="61">
        <v>9290</v>
      </c>
      <c r="N355" s="61">
        <v>-9290</v>
      </c>
    </row>
    <row r="356" spans="1:14" ht="30" x14ac:dyDescent="0.25">
      <c r="A356" s="68" t="s">
        <v>582</v>
      </c>
      <c r="B356" s="60" t="s">
        <v>62</v>
      </c>
      <c r="C356" s="61">
        <v>37650821</v>
      </c>
      <c r="D356" s="61">
        <v>-1919451</v>
      </c>
      <c r="E356" s="61">
        <v>0</v>
      </c>
      <c r="F356" s="61">
        <v>0</v>
      </c>
      <c r="G356" s="61">
        <v>0</v>
      </c>
      <c r="H356" s="61">
        <v>35731370</v>
      </c>
      <c r="I356" s="61">
        <v>-35731370</v>
      </c>
      <c r="J356" s="61">
        <v>0</v>
      </c>
      <c r="K356" s="61">
        <v>8222200</v>
      </c>
      <c r="L356" s="61">
        <v>-8207235</v>
      </c>
      <c r="M356" s="61">
        <v>14965</v>
      </c>
      <c r="N356" s="61">
        <v>-14965</v>
      </c>
    </row>
    <row r="357" spans="1:14" ht="30" x14ac:dyDescent="0.25">
      <c r="A357" s="68" t="s">
        <v>582</v>
      </c>
      <c r="B357" s="60" t="s">
        <v>63</v>
      </c>
      <c r="C357" s="61">
        <v>34759189</v>
      </c>
      <c r="D357" s="61">
        <v>-3165484</v>
      </c>
      <c r="E357" s="61">
        <v>0</v>
      </c>
      <c r="F357" s="61">
        <v>0</v>
      </c>
      <c r="G357" s="61">
        <v>0</v>
      </c>
      <c r="H357" s="61">
        <v>31593705</v>
      </c>
      <c r="I357" s="61">
        <v>-31593705</v>
      </c>
      <c r="J357" s="61">
        <v>0</v>
      </c>
      <c r="K357" s="61">
        <v>9201086</v>
      </c>
      <c r="L357" s="61">
        <v>-9191407</v>
      </c>
      <c r="M357" s="61">
        <v>9679</v>
      </c>
      <c r="N357" s="61">
        <v>-9679</v>
      </c>
    </row>
    <row r="358" spans="1:14" ht="30" x14ac:dyDescent="0.25">
      <c r="A358" s="68" t="s">
        <v>582</v>
      </c>
      <c r="B358" s="60" t="s">
        <v>64</v>
      </c>
      <c r="C358" s="61">
        <v>27891056</v>
      </c>
      <c r="D358" s="61">
        <v>-816101</v>
      </c>
      <c r="E358" s="61">
        <v>0</v>
      </c>
      <c r="F358" s="61">
        <v>0</v>
      </c>
      <c r="G358" s="61">
        <v>0</v>
      </c>
      <c r="H358" s="61">
        <v>27074955</v>
      </c>
      <c r="I358" s="61">
        <v>-27074955</v>
      </c>
      <c r="J358" s="61">
        <v>0</v>
      </c>
      <c r="K358" s="61">
        <v>4242653</v>
      </c>
      <c r="L358" s="61">
        <v>-4242653</v>
      </c>
      <c r="M358" s="61">
        <v>0</v>
      </c>
      <c r="N358" s="61">
        <v>0</v>
      </c>
    </row>
    <row r="359" spans="1:14" ht="30" x14ac:dyDescent="0.25">
      <c r="A359" s="68" t="s">
        <v>582</v>
      </c>
      <c r="B359" s="60" t="s">
        <v>65</v>
      </c>
      <c r="C359" s="61">
        <v>29928090</v>
      </c>
      <c r="D359" s="61">
        <v>41405</v>
      </c>
      <c r="E359" s="61">
        <v>0</v>
      </c>
      <c r="F359" s="61">
        <v>0</v>
      </c>
      <c r="G359" s="61">
        <v>0</v>
      </c>
      <c r="H359" s="61">
        <v>29969495</v>
      </c>
      <c r="I359" s="61">
        <v>-29969495</v>
      </c>
      <c r="J359" s="61">
        <v>0</v>
      </c>
      <c r="K359" s="61">
        <v>3859762</v>
      </c>
      <c r="L359" s="61">
        <v>-3792203</v>
      </c>
      <c r="M359" s="61">
        <v>67559</v>
      </c>
      <c r="N359" s="61">
        <v>-67559</v>
      </c>
    </row>
    <row r="360" spans="1:14" ht="30" x14ac:dyDescent="0.25">
      <c r="A360" s="68" t="s">
        <v>582</v>
      </c>
      <c r="B360" s="60" t="s">
        <v>66</v>
      </c>
      <c r="C360" s="61">
        <v>29725049</v>
      </c>
      <c r="D360" s="61">
        <v>-415587</v>
      </c>
      <c r="E360" s="61">
        <v>0</v>
      </c>
      <c r="F360" s="61">
        <v>0</v>
      </c>
      <c r="G360" s="61">
        <v>0</v>
      </c>
      <c r="H360" s="61">
        <v>29309462</v>
      </c>
      <c r="I360" s="61">
        <v>-29309462</v>
      </c>
      <c r="J360" s="61">
        <v>0</v>
      </c>
      <c r="K360" s="61">
        <v>3004258</v>
      </c>
      <c r="L360" s="61">
        <v>-2983106</v>
      </c>
      <c r="M360" s="61">
        <v>21152</v>
      </c>
      <c r="N360" s="61">
        <v>-21152</v>
      </c>
    </row>
    <row r="361" spans="1:14" ht="30" x14ac:dyDescent="0.25">
      <c r="A361" s="68" t="s">
        <v>582</v>
      </c>
      <c r="B361" s="60" t="s">
        <v>67</v>
      </c>
      <c r="C361" s="61">
        <v>28944616</v>
      </c>
      <c r="D361" s="61">
        <v>-350102</v>
      </c>
      <c r="E361" s="61">
        <v>0</v>
      </c>
      <c r="F361" s="61">
        <v>0</v>
      </c>
      <c r="G361" s="61">
        <v>0</v>
      </c>
      <c r="H361" s="61">
        <v>28594514</v>
      </c>
      <c r="I361" s="61">
        <v>-28594514</v>
      </c>
      <c r="J361" s="61">
        <v>0</v>
      </c>
      <c r="K361" s="61">
        <v>2745049</v>
      </c>
      <c r="L361" s="61">
        <v>-2745049</v>
      </c>
      <c r="M361" s="61">
        <v>0</v>
      </c>
      <c r="N361" s="61">
        <v>0</v>
      </c>
    </row>
    <row r="362" spans="1:14" ht="30" x14ac:dyDescent="0.25">
      <c r="A362" s="68" t="s">
        <v>582</v>
      </c>
      <c r="B362" s="60" t="s">
        <v>68</v>
      </c>
      <c r="C362" s="61">
        <v>26672</v>
      </c>
      <c r="D362" s="61">
        <v>-1000</v>
      </c>
      <c r="E362" s="61">
        <v>0</v>
      </c>
      <c r="F362" s="61">
        <v>0</v>
      </c>
      <c r="G362" s="61">
        <v>0</v>
      </c>
      <c r="H362" s="61">
        <v>25672</v>
      </c>
      <c r="I362" s="61">
        <v>-25672</v>
      </c>
      <c r="J362" s="61">
        <v>0</v>
      </c>
      <c r="K362" s="61">
        <v>963942</v>
      </c>
      <c r="L362" s="61">
        <v>-963942</v>
      </c>
      <c r="M362" s="61">
        <v>0</v>
      </c>
      <c r="N362" s="61">
        <v>0</v>
      </c>
    </row>
    <row r="363" spans="1:14" ht="30" x14ac:dyDescent="0.25">
      <c r="A363" s="68" t="s">
        <v>582</v>
      </c>
      <c r="B363" s="60" t="s">
        <v>69</v>
      </c>
      <c r="C363" s="61">
        <v>0</v>
      </c>
      <c r="D363" s="61">
        <v>0</v>
      </c>
      <c r="E363" s="61">
        <v>0</v>
      </c>
      <c r="F363" s="61">
        <v>0</v>
      </c>
      <c r="G363" s="61">
        <v>0</v>
      </c>
      <c r="H363" s="61">
        <v>0</v>
      </c>
      <c r="I363" s="61">
        <v>0</v>
      </c>
      <c r="J363" s="61">
        <v>0</v>
      </c>
      <c r="K363" s="61">
        <v>471923</v>
      </c>
      <c r="L363" s="61">
        <v>-471923</v>
      </c>
      <c r="M363" s="61">
        <v>0</v>
      </c>
      <c r="N363" s="61">
        <v>0</v>
      </c>
    </row>
    <row r="364" spans="1:14" ht="30" x14ac:dyDescent="0.25">
      <c r="A364" s="68" t="s">
        <v>582</v>
      </c>
      <c r="B364" s="60" t="s">
        <v>115</v>
      </c>
      <c r="C364" s="61">
        <v>0</v>
      </c>
      <c r="D364" s="61">
        <v>0</v>
      </c>
      <c r="E364" s="61">
        <v>0</v>
      </c>
      <c r="F364" s="61">
        <v>0</v>
      </c>
      <c r="G364" s="61">
        <v>0</v>
      </c>
      <c r="H364" s="61">
        <v>0</v>
      </c>
      <c r="I364" s="61">
        <v>0</v>
      </c>
      <c r="J364" s="61">
        <v>0</v>
      </c>
      <c r="K364" s="61">
        <v>58987</v>
      </c>
      <c r="L364" s="61">
        <v>-58987</v>
      </c>
      <c r="M364" s="61">
        <v>0</v>
      </c>
      <c r="N364" s="61">
        <v>0</v>
      </c>
    </row>
    <row r="365" spans="1:14" ht="30" x14ac:dyDescent="0.25">
      <c r="A365" s="68" t="s">
        <v>582</v>
      </c>
      <c r="B365" s="60" t="s">
        <v>99</v>
      </c>
      <c r="C365" s="61">
        <v>19194</v>
      </c>
      <c r="D365" s="61">
        <v>9770</v>
      </c>
      <c r="E365" s="61">
        <v>0</v>
      </c>
      <c r="F365" s="61">
        <v>0</v>
      </c>
      <c r="G365" s="61">
        <v>0</v>
      </c>
      <c r="H365" s="61">
        <v>28964</v>
      </c>
      <c r="I365" s="61">
        <v>-28964</v>
      </c>
      <c r="J365" s="61">
        <v>0</v>
      </c>
      <c r="K365" s="61">
        <v>3589405</v>
      </c>
      <c r="L365" s="61">
        <v>-3589405</v>
      </c>
      <c r="M365" s="61">
        <v>0</v>
      </c>
      <c r="N365" s="61">
        <v>0</v>
      </c>
    </row>
    <row r="366" spans="1:14" ht="30" x14ac:dyDescent="0.25">
      <c r="A366" s="68" t="s">
        <v>582</v>
      </c>
      <c r="B366" s="60" t="s">
        <v>100</v>
      </c>
      <c r="C366" s="61">
        <v>0</v>
      </c>
      <c r="D366" s="61">
        <v>520</v>
      </c>
      <c r="E366" s="61">
        <v>0</v>
      </c>
      <c r="F366" s="61">
        <v>0</v>
      </c>
      <c r="G366" s="61">
        <v>0</v>
      </c>
      <c r="H366" s="61">
        <v>520</v>
      </c>
      <c r="I366" s="61">
        <v>-520</v>
      </c>
      <c r="J366" s="61">
        <v>0</v>
      </c>
      <c r="K366" s="61">
        <v>75876</v>
      </c>
      <c r="L366" s="61">
        <v>-75876</v>
      </c>
      <c r="M366" s="61">
        <v>0</v>
      </c>
      <c r="N366" s="61">
        <v>0</v>
      </c>
    </row>
    <row r="367" spans="1:14" ht="30" x14ac:dyDescent="0.25">
      <c r="A367" s="68" t="s">
        <v>582</v>
      </c>
      <c r="B367" s="60" t="s">
        <v>176</v>
      </c>
      <c r="C367" s="61">
        <v>0</v>
      </c>
      <c r="D367" s="61">
        <v>0</v>
      </c>
      <c r="E367" s="61">
        <v>0</v>
      </c>
      <c r="F367" s="61">
        <v>0</v>
      </c>
      <c r="G367" s="61">
        <v>0</v>
      </c>
      <c r="H367" s="61">
        <v>0</v>
      </c>
      <c r="I367" s="61">
        <v>0</v>
      </c>
      <c r="J367" s="61">
        <v>0</v>
      </c>
      <c r="K367" s="61">
        <v>283241</v>
      </c>
      <c r="L367" s="61">
        <v>-283241</v>
      </c>
      <c r="M367" s="61">
        <v>0</v>
      </c>
      <c r="N367" s="61">
        <v>0</v>
      </c>
    </row>
    <row r="368" spans="1:14" ht="30" x14ac:dyDescent="0.25">
      <c r="A368" s="68" t="s">
        <v>582</v>
      </c>
      <c r="B368" s="60" t="s">
        <v>244</v>
      </c>
      <c r="C368" s="61">
        <v>0</v>
      </c>
      <c r="D368" s="61">
        <v>0</v>
      </c>
      <c r="E368" s="61">
        <v>0</v>
      </c>
      <c r="F368" s="61">
        <v>0</v>
      </c>
      <c r="G368" s="61">
        <v>0</v>
      </c>
      <c r="H368" s="61">
        <v>0</v>
      </c>
      <c r="I368" s="61">
        <v>0</v>
      </c>
      <c r="J368" s="61">
        <v>0</v>
      </c>
      <c r="K368" s="61">
        <v>7304</v>
      </c>
      <c r="L368" s="61">
        <v>-7304</v>
      </c>
      <c r="M368" s="61">
        <v>0</v>
      </c>
      <c r="N368" s="61">
        <v>0</v>
      </c>
    </row>
    <row r="369" spans="1:14" ht="15.75" x14ac:dyDescent="0.25">
      <c r="A369" s="52" t="s">
        <v>460</v>
      </c>
      <c r="B369" s="53" t="s">
        <v>8</v>
      </c>
      <c r="C369" s="19">
        <f>SUBTOTAL(109,Program011[(C)
Program
Costs])</f>
        <v>656365573</v>
      </c>
      <c r="D369" s="19">
        <f>SUBTOTAL(109,Program011[(D)
Prior Period Adjustments])</f>
        <v>-27811142</v>
      </c>
      <c r="E369" s="19">
        <f>SUBTOTAL(109,Program011[(E)
Current Period Desk 
Reviews])</f>
        <v>0</v>
      </c>
      <c r="F369" s="19">
        <f>SUBTOTAL(109,Program011[(F)
Current Period 
Final 
Audits])</f>
        <v>0</v>
      </c>
      <c r="G369" s="19">
        <f>SUBTOTAL(109,Program011[(G)
Current Period 
Other Adjustments])</f>
        <v>0</v>
      </c>
      <c r="H369" s="19">
        <f>SUBTOTAL(109,Program011[(H)
Net Program Costs
Sum (C through G)])</f>
        <v>628554431</v>
      </c>
      <c r="I369" s="19">
        <f>SUBTOTAL(109,Program011[(I)
Payments
 and Offsets])</f>
        <v>-606636320</v>
      </c>
      <c r="J369" s="19">
        <f>SUBTOTAL(109,Program011[(J)
Accounts Payable Balance
(H + I)])</f>
        <v>21918111</v>
      </c>
      <c r="K369" s="19">
        <f>SUBTOTAL(109,Program011[(K)
Established 
Accounts Receivable])</f>
        <v>79899770</v>
      </c>
      <c r="L369" s="19">
        <f>SUBTOTAL(109,Program011[(L)
Recovered
 Accounts Receivable])</f>
        <v>-78486492</v>
      </c>
      <c r="M369" s="19">
        <f>SUBTOTAL(109,Program011[(M)
Accounts Receivable Balance
(K + L)])</f>
        <v>1413278</v>
      </c>
      <c r="N369" s="19">
        <f>SUBTOTAL(109,Program011[(N)
Net Balance
(J minus M)])</f>
        <v>20504833</v>
      </c>
    </row>
    <row r="370" spans="1:14" ht="15.75" x14ac:dyDescent="0.25">
      <c r="A370" s="17" t="s">
        <v>13</v>
      </c>
      <c r="B370" s="54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</row>
    <row r="371" spans="1:14" ht="78.75" x14ac:dyDescent="0.25">
      <c r="A371" s="39" t="s">
        <v>32</v>
      </c>
      <c r="B371" s="40" t="s">
        <v>33</v>
      </c>
      <c r="C371" s="41" t="s">
        <v>34</v>
      </c>
      <c r="D371" s="41" t="s">
        <v>35</v>
      </c>
      <c r="E371" s="42" t="s">
        <v>36</v>
      </c>
      <c r="F371" s="42" t="s">
        <v>37</v>
      </c>
      <c r="G371" s="42" t="s">
        <v>38</v>
      </c>
      <c r="H371" s="43" t="s">
        <v>39</v>
      </c>
      <c r="I371" s="44" t="s">
        <v>40</v>
      </c>
      <c r="J371" s="44" t="s">
        <v>41</v>
      </c>
      <c r="K371" s="42" t="s">
        <v>42</v>
      </c>
      <c r="L371" s="44" t="s">
        <v>43</v>
      </c>
      <c r="M371" s="44" t="s">
        <v>44</v>
      </c>
      <c r="N371" s="45" t="s">
        <v>45</v>
      </c>
    </row>
    <row r="372" spans="1:14" ht="15.75" x14ac:dyDescent="0.25">
      <c r="A372" s="46" t="s">
        <v>581</v>
      </c>
      <c r="B372" s="47" t="s">
        <v>49</v>
      </c>
      <c r="C372" s="48">
        <v>433669</v>
      </c>
      <c r="D372" s="48">
        <v>-433669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</row>
    <row r="373" spans="1:14" ht="15.75" x14ac:dyDescent="0.25">
      <c r="A373" s="49" t="s">
        <v>581</v>
      </c>
      <c r="B373" s="50" t="s">
        <v>50</v>
      </c>
      <c r="C373" s="51">
        <v>4160761</v>
      </c>
      <c r="D373" s="51">
        <v>-15771</v>
      </c>
      <c r="E373" s="51">
        <v>0</v>
      </c>
      <c r="F373" s="51">
        <v>0</v>
      </c>
      <c r="G373" s="51">
        <v>0</v>
      </c>
      <c r="H373" s="51">
        <v>4144990</v>
      </c>
      <c r="I373" s="51">
        <v>-4098250</v>
      </c>
      <c r="J373" s="51">
        <v>46740</v>
      </c>
      <c r="K373" s="51">
        <v>7808</v>
      </c>
      <c r="L373" s="51">
        <v>-5918</v>
      </c>
      <c r="M373" s="51">
        <v>1890</v>
      </c>
      <c r="N373" s="51">
        <v>44850</v>
      </c>
    </row>
    <row r="374" spans="1:14" ht="15.75" x14ac:dyDescent="0.25">
      <c r="A374" s="49" t="s">
        <v>581</v>
      </c>
      <c r="B374" s="50" t="s">
        <v>51</v>
      </c>
      <c r="C374" s="51">
        <v>4083418</v>
      </c>
      <c r="D374" s="51">
        <v>-43932</v>
      </c>
      <c r="E374" s="51">
        <v>0</v>
      </c>
      <c r="F374" s="51">
        <v>0</v>
      </c>
      <c r="G374" s="51">
        <v>0</v>
      </c>
      <c r="H374" s="51">
        <v>4039486</v>
      </c>
      <c r="I374" s="51">
        <v>-3691207</v>
      </c>
      <c r="J374" s="51">
        <v>348279</v>
      </c>
      <c r="K374" s="51">
        <v>3</v>
      </c>
      <c r="L374" s="51">
        <v>0</v>
      </c>
      <c r="M374" s="51">
        <v>3</v>
      </c>
      <c r="N374" s="51">
        <v>348276</v>
      </c>
    </row>
    <row r="375" spans="1:14" ht="15.75" x14ac:dyDescent="0.25">
      <c r="A375" s="49" t="s">
        <v>581</v>
      </c>
      <c r="B375" s="50" t="s">
        <v>52</v>
      </c>
      <c r="C375" s="51">
        <v>3893491</v>
      </c>
      <c r="D375" s="51">
        <v>-52875</v>
      </c>
      <c r="E375" s="51">
        <v>0</v>
      </c>
      <c r="F375" s="51">
        <v>0</v>
      </c>
      <c r="G375" s="51">
        <v>0</v>
      </c>
      <c r="H375" s="51">
        <v>3840616</v>
      </c>
      <c r="I375" s="51">
        <v>-3651128</v>
      </c>
      <c r="J375" s="51">
        <v>189488</v>
      </c>
      <c r="K375" s="51">
        <v>93330</v>
      </c>
      <c r="L375" s="51">
        <v>-46371</v>
      </c>
      <c r="M375" s="51">
        <v>46959</v>
      </c>
      <c r="N375" s="51">
        <v>142529</v>
      </c>
    </row>
    <row r="376" spans="1:14" ht="15.75" x14ac:dyDescent="0.25">
      <c r="A376" s="49" t="s">
        <v>581</v>
      </c>
      <c r="B376" s="50" t="s">
        <v>53</v>
      </c>
      <c r="C376" s="51">
        <v>4167088</v>
      </c>
      <c r="D376" s="51">
        <v>-41835</v>
      </c>
      <c r="E376" s="51">
        <v>0</v>
      </c>
      <c r="F376" s="51">
        <v>0</v>
      </c>
      <c r="G376" s="51">
        <v>0</v>
      </c>
      <c r="H376" s="51">
        <v>4125253</v>
      </c>
      <c r="I376" s="51">
        <v>-3957366</v>
      </c>
      <c r="J376" s="51">
        <v>167887</v>
      </c>
      <c r="K376" s="51">
        <v>0</v>
      </c>
      <c r="L376" s="51">
        <v>0</v>
      </c>
      <c r="M376" s="51">
        <v>0</v>
      </c>
      <c r="N376" s="51">
        <v>167887</v>
      </c>
    </row>
    <row r="377" spans="1:14" ht="15.75" x14ac:dyDescent="0.25">
      <c r="A377" s="49" t="s">
        <v>581</v>
      </c>
      <c r="B377" s="50" t="s">
        <v>56</v>
      </c>
      <c r="C377" s="51">
        <v>5128453</v>
      </c>
      <c r="D377" s="51">
        <v>-10330</v>
      </c>
      <c r="E377" s="51">
        <v>0</v>
      </c>
      <c r="F377" s="51">
        <v>0</v>
      </c>
      <c r="G377" s="51">
        <v>0</v>
      </c>
      <c r="H377" s="51">
        <v>5118123</v>
      </c>
      <c r="I377" s="51">
        <v>-5118123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</row>
    <row r="378" spans="1:14" ht="15.75" x14ac:dyDescent="0.25">
      <c r="A378" s="49" t="s">
        <v>581</v>
      </c>
      <c r="B378" s="50" t="s">
        <v>57</v>
      </c>
      <c r="C378" s="51">
        <v>5580132</v>
      </c>
      <c r="D378" s="51">
        <v>-31854</v>
      </c>
      <c r="E378" s="51">
        <v>0</v>
      </c>
      <c r="F378" s="51">
        <v>0</v>
      </c>
      <c r="G378" s="51">
        <v>0</v>
      </c>
      <c r="H378" s="51">
        <v>5548278</v>
      </c>
      <c r="I378" s="51">
        <v>-5548278</v>
      </c>
      <c r="J378" s="51">
        <v>0</v>
      </c>
      <c r="K378" s="51">
        <v>14656</v>
      </c>
      <c r="L378" s="51">
        <v>-9604</v>
      </c>
      <c r="M378" s="51">
        <v>5052</v>
      </c>
      <c r="N378" s="51">
        <v>-5052</v>
      </c>
    </row>
    <row r="379" spans="1:14" ht="15.75" x14ac:dyDescent="0.25">
      <c r="A379" s="49" t="s">
        <v>581</v>
      </c>
      <c r="B379" s="50" t="s">
        <v>58</v>
      </c>
      <c r="C379" s="51">
        <v>4598986</v>
      </c>
      <c r="D379" s="51">
        <v>-29050</v>
      </c>
      <c r="E379" s="51">
        <v>0</v>
      </c>
      <c r="F379" s="51">
        <v>0</v>
      </c>
      <c r="G379" s="51">
        <v>0</v>
      </c>
      <c r="H379" s="51">
        <v>4569936</v>
      </c>
      <c r="I379" s="51">
        <v>-4569936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</row>
    <row r="380" spans="1:14" ht="15.75" x14ac:dyDescent="0.25">
      <c r="A380" s="49" t="s">
        <v>581</v>
      </c>
      <c r="B380" s="50" t="s">
        <v>59</v>
      </c>
      <c r="C380" s="51">
        <v>3739717</v>
      </c>
      <c r="D380" s="51">
        <v>-16356</v>
      </c>
      <c r="E380" s="51">
        <v>0</v>
      </c>
      <c r="F380" s="51">
        <v>0</v>
      </c>
      <c r="G380" s="51">
        <v>0</v>
      </c>
      <c r="H380" s="51">
        <v>3723361</v>
      </c>
      <c r="I380" s="51">
        <v>-3723361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</row>
    <row r="381" spans="1:14" ht="15.75" x14ac:dyDescent="0.25">
      <c r="A381" s="49" t="s">
        <v>581</v>
      </c>
      <c r="B381" s="50" t="s">
        <v>60</v>
      </c>
      <c r="C381" s="51">
        <v>3507424</v>
      </c>
      <c r="D381" s="51">
        <v>-7606</v>
      </c>
      <c r="E381" s="51">
        <v>0</v>
      </c>
      <c r="F381" s="51">
        <v>0</v>
      </c>
      <c r="G381" s="51">
        <v>0</v>
      </c>
      <c r="H381" s="51">
        <v>3499818</v>
      </c>
      <c r="I381" s="51">
        <v>-3499818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</row>
    <row r="382" spans="1:14" ht="15.75" x14ac:dyDescent="0.25">
      <c r="A382" s="49" t="s">
        <v>581</v>
      </c>
      <c r="B382" s="50" t="s">
        <v>61</v>
      </c>
      <c r="C382" s="51">
        <v>4959444</v>
      </c>
      <c r="D382" s="51">
        <v>-6946</v>
      </c>
      <c r="E382" s="51">
        <v>0</v>
      </c>
      <c r="F382" s="51">
        <v>0</v>
      </c>
      <c r="G382" s="51">
        <v>0</v>
      </c>
      <c r="H382" s="51">
        <v>4952498</v>
      </c>
      <c r="I382" s="51">
        <v>-4952498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</row>
    <row r="383" spans="1:14" ht="15.75" x14ac:dyDescent="0.25">
      <c r="A383" s="52" t="s">
        <v>459</v>
      </c>
      <c r="B383" s="53" t="s">
        <v>8</v>
      </c>
      <c r="C383" s="19">
        <f>SUBTOTAL(109,Program223[(C)
Program
Costs])</f>
        <v>44252583</v>
      </c>
      <c r="D383" s="19">
        <f>SUBTOTAL(109,Program223[(D)
Prior Period Adjustments])</f>
        <v>-690224</v>
      </c>
      <c r="E383" s="19">
        <f>SUBTOTAL(109,Program223[(E)
Current Period Desk 
Reviews])</f>
        <v>0</v>
      </c>
      <c r="F383" s="19">
        <f>SUBTOTAL(109,Program223[(F)
Current Period 
Final 
Audits])</f>
        <v>0</v>
      </c>
      <c r="G383" s="19">
        <f>SUBTOTAL(109,Program223[(G)
Current Period 
Other Adjustments])</f>
        <v>0</v>
      </c>
      <c r="H383" s="19">
        <f>SUBTOTAL(109,Program223[(H)
Net Program Costs
Sum (C through G)])</f>
        <v>43562359</v>
      </c>
      <c r="I383" s="19">
        <f>SUBTOTAL(109,Program223[(I)
Payments
 and Offsets])</f>
        <v>-42809965</v>
      </c>
      <c r="J383" s="19">
        <f>SUBTOTAL(109,Program223[(J)
Accounts Payable Balance
(H + I)])</f>
        <v>752394</v>
      </c>
      <c r="K383" s="19">
        <f>SUBTOTAL(109,Program223[(K)
Established 
Accounts Receivable])</f>
        <v>115797</v>
      </c>
      <c r="L383" s="19">
        <f>SUBTOTAL(109,Program223[(L)
Recovered
 Accounts Receivable])</f>
        <v>-61893</v>
      </c>
      <c r="M383" s="19">
        <f>SUBTOTAL(109,Program223[(M)
Accounts Receivable Balance
(K + L)])</f>
        <v>53904</v>
      </c>
      <c r="N383" s="19">
        <f>SUBTOTAL(109,Program223[(N)
Net Balance
(J minus M)])</f>
        <v>698490</v>
      </c>
    </row>
    <row r="384" spans="1:14" ht="15.75" x14ac:dyDescent="0.25">
      <c r="A384" s="17" t="s">
        <v>13</v>
      </c>
      <c r="B384" s="54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</row>
    <row r="385" spans="1:14" ht="78.75" x14ac:dyDescent="0.25">
      <c r="A385" s="39" t="s">
        <v>32</v>
      </c>
      <c r="B385" s="40" t="s">
        <v>33</v>
      </c>
      <c r="C385" s="41" t="s">
        <v>34</v>
      </c>
      <c r="D385" s="41" t="s">
        <v>35</v>
      </c>
      <c r="E385" s="42" t="s">
        <v>36</v>
      </c>
      <c r="F385" s="42" t="s">
        <v>37</v>
      </c>
      <c r="G385" s="42" t="s">
        <v>38</v>
      </c>
      <c r="H385" s="43" t="s">
        <v>39</v>
      </c>
      <c r="I385" s="44" t="s">
        <v>40</v>
      </c>
      <c r="J385" s="44" t="s">
        <v>41</v>
      </c>
      <c r="K385" s="42" t="s">
        <v>42</v>
      </c>
      <c r="L385" s="44" t="s">
        <v>43</v>
      </c>
      <c r="M385" s="44" t="s">
        <v>44</v>
      </c>
      <c r="N385" s="45" t="s">
        <v>45</v>
      </c>
    </row>
    <row r="386" spans="1:14" ht="30" x14ac:dyDescent="0.25">
      <c r="A386" s="67" t="s">
        <v>580</v>
      </c>
      <c r="B386" s="57" t="s">
        <v>76</v>
      </c>
      <c r="C386" s="58">
        <v>14450</v>
      </c>
      <c r="D386" s="58">
        <v>0</v>
      </c>
      <c r="E386" s="58">
        <v>0</v>
      </c>
      <c r="F386" s="58">
        <v>0</v>
      </c>
      <c r="G386" s="58">
        <v>0</v>
      </c>
      <c r="H386" s="58">
        <v>14450</v>
      </c>
      <c r="I386" s="58">
        <v>0</v>
      </c>
      <c r="J386" s="58">
        <v>14450</v>
      </c>
      <c r="K386" s="58">
        <v>0</v>
      </c>
      <c r="L386" s="58">
        <v>0</v>
      </c>
      <c r="M386" s="58">
        <v>0</v>
      </c>
      <c r="N386" s="58">
        <v>14450</v>
      </c>
    </row>
    <row r="387" spans="1:14" ht="30" x14ac:dyDescent="0.25">
      <c r="A387" s="68" t="s">
        <v>580</v>
      </c>
      <c r="B387" s="60" t="s">
        <v>77</v>
      </c>
      <c r="C387" s="61">
        <v>27892</v>
      </c>
      <c r="D387" s="61">
        <v>0</v>
      </c>
      <c r="E387" s="61">
        <v>0</v>
      </c>
      <c r="F387" s="61">
        <v>0</v>
      </c>
      <c r="G387" s="61">
        <v>0</v>
      </c>
      <c r="H387" s="61">
        <v>27892</v>
      </c>
      <c r="I387" s="61">
        <v>-1000</v>
      </c>
      <c r="J387" s="61">
        <v>26892</v>
      </c>
      <c r="K387" s="61">
        <v>0</v>
      </c>
      <c r="L387" s="61">
        <v>0</v>
      </c>
      <c r="M387" s="61">
        <v>0</v>
      </c>
      <c r="N387" s="61">
        <v>26892</v>
      </c>
    </row>
    <row r="388" spans="1:14" ht="30" x14ac:dyDescent="0.25">
      <c r="A388" s="68" t="s">
        <v>580</v>
      </c>
      <c r="B388" s="60" t="s">
        <v>78</v>
      </c>
      <c r="C388" s="61">
        <v>52448</v>
      </c>
      <c r="D388" s="61">
        <v>0</v>
      </c>
      <c r="E388" s="61">
        <v>0</v>
      </c>
      <c r="F388" s="61">
        <v>0</v>
      </c>
      <c r="G388" s="61">
        <v>0</v>
      </c>
      <c r="H388" s="61">
        <v>52448</v>
      </c>
      <c r="I388" s="61">
        <v>-1000</v>
      </c>
      <c r="J388" s="61">
        <v>51448</v>
      </c>
      <c r="K388" s="61">
        <v>0</v>
      </c>
      <c r="L388" s="61">
        <v>0</v>
      </c>
      <c r="M388" s="61">
        <v>0</v>
      </c>
      <c r="N388" s="61">
        <v>51448</v>
      </c>
    </row>
    <row r="389" spans="1:14" ht="30" x14ac:dyDescent="0.25">
      <c r="A389" s="68" t="s">
        <v>580</v>
      </c>
      <c r="B389" s="60" t="s">
        <v>47</v>
      </c>
      <c r="C389" s="61">
        <v>35671</v>
      </c>
      <c r="D389" s="61">
        <v>0</v>
      </c>
      <c r="E389" s="61">
        <v>0</v>
      </c>
      <c r="F389" s="61">
        <v>0</v>
      </c>
      <c r="G389" s="61">
        <v>0</v>
      </c>
      <c r="H389" s="61">
        <v>35671</v>
      </c>
      <c r="I389" s="61">
        <v>-1285</v>
      </c>
      <c r="J389" s="61">
        <v>34386</v>
      </c>
      <c r="K389" s="61">
        <v>0</v>
      </c>
      <c r="L389" s="61">
        <v>0</v>
      </c>
      <c r="M389" s="61">
        <v>0</v>
      </c>
      <c r="N389" s="61">
        <v>34386</v>
      </c>
    </row>
    <row r="390" spans="1:14" ht="30" x14ac:dyDescent="0.25">
      <c r="A390" s="68" t="s">
        <v>580</v>
      </c>
      <c r="B390" s="60" t="s">
        <v>79</v>
      </c>
      <c r="C390" s="61">
        <v>39319</v>
      </c>
      <c r="D390" s="61">
        <v>0</v>
      </c>
      <c r="E390" s="61">
        <v>0</v>
      </c>
      <c r="F390" s="61">
        <v>0</v>
      </c>
      <c r="G390" s="61">
        <v>0</v>
      </c>
      <c r="H390" s="61">
        <v>39319</v>
      </c>
      <c r="I390" s="61">
        <v>-7612</v>
      </c>
      <c r="J390" s="61">
        <v>31707</v>
      </c>
      <c r="K390" s="61">
        <v>0</v>
      </c>
      <c r="L390" s="61">
        <v>0</v>
      </c>
      <c r="M390" s="61">
        <v>0</v>
      </c>
      <c r="N390" s="61">
        <v>31707</v>
      </c>
    </row>
    <row r="391" spans="1:14" ht="30" x14ac:dyDescent="0.25">
      <c r="A391" s="68" t="s">
        <v>580</v>
      </c>
      <c r="B391" s="60" t="s">
        <v>80</v>
      </c>
      <c r="C391" s="61">
        <v>193078</v>
      </c>
      <c r="D391" s="61">
        <v>-112</v>
      </c>
      <c r="E391" s="61">
        <v>0</v>
      </c>
      <c r="F391" s="61">
        <v>0</v>
      </c>
      <c r="G391" s="61">
        <v>0</v>
      </c>
      <c r="H391" s="61">
        <v>192966</v>
      </c>
      <c r="I391" s="61">
        <v>-38911</v>
      </c>
      <c r="J391" s="61">
        <v>154055</v>
      </c>
      <c r="K391" s="61">
        <v>0</v>
      </c>
      <c r="L391" s="61">
        <v>0</v>
      </c>
      <c r="M391" s="61">
        <v>0</v>
      </c>
      <c r="N391" s="61">
        <v>154055</v>
      </c>
    </row>
    <row r="392" spans="1:14" ht="30" x14ac:dyDescent="0.25">
      <c r="A392" s="68" t="s">
        <v>580</v>
      </c>
      <c r="B392" s="60" t="s">
        <v>81</v>
      </c>
      <c r="C392" s="61">
        <v>257801</v>
      </c>
      <c r="D392" s="61">
        <v>-349</v>
      </c>
      <c r="E392" s="61">
        <v>0</v>
      </c>
      <c r="F392" s="61">
        <v>0</v>
      </c>
      <c r="G392" s="61">
        <v>0</v>
      </c>
      <c r="H392" s="61">
        <v>257452</v>
      </c>
      <c r="I392" s="61">
        <v>-89237</v>
      </c>
      <c r="J392" s="61">
        <v>168215</v>
      </c>
      <c r="K392" s="61">
        <v>0</v>
      </c>
      <c r="L392" s="61">
        <v>0</v>
      </c>
      <c r="M392" s="61">
        <v>0</v>
      </c>
      <c r="N392" s="61">
        <v>168215</v>
      </c>
    </row>
    <row r="393" spans="1:14" ht="30" x14ac:dyDescent="0.25">
      <c r="A393" s="68" t="s">
        <v>580</v>
      </c>
      <c r="B393" s="60" t="s">
        <v>82</v>
      </c>
      <c r="C393" s="61">
        <v>649828</v>
      </c>
      <c r="D393" s="61">
        <v>-13883</v>
      </c>
      <c r="E393" s="61">
        <v>0</v>
      </c>
      <c r="F393" s="61">
        <v>0</v>
      </c>
      <c r="G393" s="61">
        <v>0</v>
      </c>
      <c r="H393" s="61">
        <v>635945</v>
      </c>
      <c r="I393" s="61">
        <v>-302976</v>
      </c>
      <c r="J393" s="61">
        <v>332969</v>
      </c>
      <c r="K393" s="61">
        <v>0</v>
      </c>
      <c r="L393" s="61">
        <v>0</v>
      </c>
      <c r="M393" s="61">
        <v>0</v>
      </c>
      <c r="N393" s="61">
        <v>332969</v>
      </c>
    </row>
    <row r="394" spans="1:14" ht="30" x14ac:dyDescent="0.25">
      <c r="A394" s="68" t="s">
        <v>580</v>
      </c>
      <c r="B394" s="60" t="s">
        <v>83</v>
      </c>
      <c r="C394" s="61">
        <v>3388094</v>
      </c>
      <c r="D394" s="61">
        <v>-7875</v>
      </c>
      <c r="E394" s="61">
        <v>0</v>
      </c>
      <c r="F394" s="61">
        <v>0</v>
      </c>
      <c r="G394" s="61">
        <v>0</v>
      </c>
      <c r="H394" s="61">
        <v>3380219</v>
      </c>
      <c r="I394" s="61">
        <v>-2665902</v>
      </c>
      <c r="J394" s="61">
        <v>714317</v>
      </c>
      <c r="K394" s="61">
        <v>0</v>
      </c>
      <c r="L394" s="61">
        <v>0</v>
      </c>
      <c r="M394" s="61">
        <v>0</v>
      </c>
      <c r="N394" s="61">
        <v>714317</v>
      </c>
    </row>
    <row r="395" spans="1:14" ht="30" x14ac:dyDescent="0.25">
      <c r="A395" s="68" t="s">
        <v>580</v>
      </c>
      <c r="B395" s="60" t="s">
        <v>48</v>
      </c>
      <c r="C395" s="61">
        <v>3251941</v>
      </c>
      <c r="D395" s="61">
        <v>-9468</v>
      </c>
      <c r="E395" s="61">
        <v>0</v>
      </c>
      <c r="F395" s="61">
        <v>0</v>
      </c>
      <c r="G395" s="61">
        <v>0</v>
      </c>
      <c r="H395" s="61">
        <v>3242473</v>
      </c>
      <c r="I395" s="61">
        <v>-2671236</v>
      </c>
      <c r="J395" s="61">
        <v>571237</v>
      </c>
      <c r="K395" s="61">
        <v>0</v>
      </c>
      <c r="L395" s="61">
        <v>0</v>
      </c>
      <c r="M395" s="61">
        <v>0</v>
      </c>
      <c r="N395" s="61">
        <v>571237</v>
      </c>
    </row>
    <row r="396" spans="1:14" ht="30" x14ac:dyDescent="0.25">
      <c r="A396" s="68" t="s">
        <v>580</v>
      </c>
      <c r="B396" s="60" t="s">
        <v>49</v>
      </c>
      <c r="C396" s="61">
        <v>3349409</v>
      </c>
      <c r="D396" s="61">
        <v>-9765</v>
      </c>
      <c r="E396" s="61">
        <v>0</v>
      </c>
      <c r="F396" s="61">
        <v>0</v>
      </c>
      <c r="G396" s="61">
        <v>0</v>
      </c>
      <c r="H396" s="61">
        <v>3339644</v>
      </c>
      <c r="I396" s="61">
        <v>-3296121</v>
      </c>
      <c r="J396" s="61">
        <v>43523</v>
      </c>
      <c r="K396" s="61">
        <v>0</v>
      </c>
      <c r="L396" s="61">
        <v>0</v>
      </c>
      <c r="M396" s="61">
        <v>0</v>
      </c>
      <c r="N396" s="61">
        <v>43523</v>
      </c>
    </row>
    <row r="397" spans="1:14" ht="15.75" x14ac:dyDescent="0.25">
      <c r="A397" s="52" t="s">
        <v>458</v>
      </c>
      <c r="B397" s="53" t="s">
        <v>8</v>
      </c>
      <c r="C397" s="19">
        <f>SUBTOTAL(109,Program313[(C)
Program
Costs])</f>
        <v>11259931</v>
      </c>
      <c r="D397" s="19">
        <f>SUBTOTAL(109,Program313[(D)
Prior Period Adjustments])</f>
        <v>-41452</v>
      </c>
      <c r="E397" s="19">
        <f>SUBTOTAL(109,Program313[(E)
Current Period Desk 
Reviews])</f>
        <v>0</v>
      </c>
      <c r="F397" s="19">
        <f>SUBTOTAL(109,Program313[(F)
Current Period 
Final 
Audits])</f>
        <v>0</v>
      </c>
      <c r="G397" s="19">
        <f>SUBTOTAL(109,Program313[(G)
Current Period 
Other Adjustments])</f>
        <v>0</v>
      </c>
      <c r="H397" s="19">
        <f>SUBTOTAL(109,Program313[(H)
Net Program Costs
Sum (C through G)])</f>
        <v>11218479</v>
      </c>
      <c r="I397" s="19">
        <f>SUBTOTAL(109,Program313[(I)
Payments
 and Offsets])</f>
        <v>-9075280</v>
      </c>
      <c r="J397" s="19">
        <f>SUBTOTAL(109,Program313[(J)
Accounts Payable Balance
(H + I)])</f>
        <v>2143199</v>
      </c>
      <c r="K397" s="19">
        <f>SUBTOTAL(109,Program313[(K)
Established 
Accounts Receivable])</f>
        <v>0</v>
      </c>
      <c r="L397" s="19">
        <f>SUBTOTAL(109,Program313[(L)
Recovered
 Accounts Receivable])</f>
        <v>0</v>
      </c>
      <c r="M397" s="19">
        <f>SUBTOTAL(109,Program313[(M)
Accounts Receivable Balance
(K + L)])</f>
        <v>0</v>
      </c>
      <c r="N397" s="19">
        <f>SUBTOTAL(109,Program313[(N)
Net Balance
(J minus M)])</f>
        <v>2143199</v>
      </c>
    </row>
    <row r="398" spans="1:14" ht="15.75" x14ac:dyDescent="0.25">
      <c r="A398" s="17" t="s">
        <v>13</v>
      </c>
      <c r="B398" s="54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</row>
    <row r="399" spans="1:14" ht="78.75" x14ac:dyDescent="0.25">
      <c r="A399" s="39" t="s">
        <v>32</v>
      </c>
      <c r="B399" s="40" t="s">
        <v>33</v>
      </c>
      <c r="C399" s="41" t="s">
        <v>34</v>
      </c>
      <c r="D399" s="41" t="s">
        <v>35</v>
      </c>
      <c r="E399" s="42" t="s">
        <v>36</v>
      </c>
      <c r="F399" s="42" t="s">
        <v>37</v>
      </c>
      <c r="G399" s="42" t="s">
        <v>38</v>
      </c>
      <c r="H399" s="43" t="s">
        <v>39</v>
      </c>
      <c r="I399" s="44" t="s">
        <v>40</v>
      </c>
      <c r="J399" s="44" t="s">
        <v>41</v>
      </c>
      <c r="K399" s="42" t="s">
        <v>42</v>
      </c>
      <c r="L399" s="44" t="s">
        <v>43</v>
      </c>
      <c r="M399" s="44" t="s">
        <v>44</v>
      </c>
      <c r="N399" s="45" t="s">
        <v>45</v>
      </c>
    </row>
    <row r="400" spans="1:14" ht="45" x14ac:dyDescent="0.25">
      <c r="A400" s="67" t="s">
        <v>579</v>
      </c>
      <c r="B400" s="57" t="s">
        <v>50</v>
      </c>
      <c r="C400" s="58">
        <v>3616</v>
      </c>
      <c r="D400" s="58">
        <v>0</v>
      </c>
      <c r="E400" s="58">
        <v>0</v>
      </c>
      <c r="F400" s="58">
        <v>0</v>
      </c>
      <c r="G400" s="58">
        <v>0</v>
      </c>
      <c r="H400" s="58">
        <v>3616</v>
      </c>
      <c r="I400" s="58">
        <v>-3616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</row>
    <row r="401" spans="1:14" ht="45" x14ac:dyDescent="0.25">
      <c r="A401" s="68" t="s">
        <v>579</v>
      </c>
      <c r="B401" s="60" t="s">
        <v>51</v>
      </c>
      <c r="C401" s="61">
        <v>3730</v>
      </c>
      <c r="D401" s="61">
        <v>0</v>
      </c>
      <c r="E401" s="61">
        <v>0</v>
      </c>
      <c r="F401" s="61">
        <v>0</v>
      </c>
      <c r="G401" s="61">
        <v>0</v>
      </c>
      <c r="H401" s="61">
        <v>3730</v>
      </c>
      <c r="I401" s="61">
        <v>-3730</v>
      </c>
      <c r="J401" s="61">
        <v>0</v>
      </c>
      <c r="K401" s="61">
        <v>0</v>
      </c>
      <c r="L401" s="61">
        <v>0</v>
      </c>
      <c r="M401" s="61">
        <v>0</v>
      </c>
      <c r="N401" s="61">
        <v>0</v>
      </c>
    </row>
    <row r="402" spans="1:14" ht="45" x14ac:dyDescent="0.25">
      <c r="A402" s="68" t="s">
        <v>579</v>
      </c>
      <c r="B402" s="60" t="s">
        <v>54</v>
      </c>
      <c r="C402" s="61">
        <v>1029</v>
      </c>
      <c r="D402" s="61">
        <v>0</v>
      </c>
      <c r="E402" s="61">
        <v>0</v>
      </c>
      <c r="F402" s="61">
        <v>0</v>
      </c>
      <c r="G402" s="61">
        <v>0</v>
      </c>
      <c r="H402" s="61">
        <v>1029</v>
      </c>
      <c r="I402" s="61">
        <v>-1029</v>
      </c>
      <c r="J402" s="61">
        <v>0</v>
      </c>
      <c r="K402" s="61">
        <v>0</v>
      </c>
      <c r="L402" s="61">
        <v>0</v>
      </c>
      <c r="M402" s="61">
        <v>0</v>
      </c>
      <c r="N402" s="61">
        <v>0</v>
      </c>
    </row>
    <row r="403" spans="1:14" ht="45" x14ac:dyDescent="0.25">
      <c r="A403" s="68" t="s">
        <v>579</v>
      </c>
      <c r="B403" s="60" t="s">
        <v>56</v>
      </c>
      <c r="C403" s="61">
        <v>3668</v>
      </c>
      <c r="D403" s="61">
        <v>0</v>
      </c>
      <c r="E403" s="61">
        <v>0</v>
      </c>
      <c r="F403" s="61">
        <v>0</v>
      </c>
      <c r="G403" s="61">
        <v>0</v>
      </c>
      <c r="H403" s="61">
        <v>3668</v>
      </c>
      <c r="I403" s="61">
        <v>-3668</v>
      </c>
      <c r="J403" s="61">
        <v>0</v>
      </c>
      <c r="K403" s="61">
        <v>0</v>
      </c>
      <c r="L403" s="61">
        <v>0</v>
      </c>
      <c r="M403" s="61">
        <v>0</v>
      </c>
      <c r="N403" s="61">
        <v>0</v>
      </c>
    </row>
    <row r="404" spans="1:14" ht="45" x14ac:dyDescent="0.25">
      <c r="A404" s="68" t="s">
        <v>579</v>
      </c>
      <c r="B404" s="60" t="s">
        <v>57</v>
      </c>
      <c r="C404" s="61">
        <v>6973</v>
      </c>
      <c r="D404" s="61">
        <v>0</v>
      </c>
      <c r="E404" s="61">
        <v>0</v>
      </c>
      <c r="F404" s="61">
        <v>0</v>
      </c>
      <c r="G404" s="61">
        <v>0</v>
      </c>
      <c r="H404" s="61">
        <v>6973</v>
      </c>
      <c r="I404" s="61">
        <v>-6973</v>
      </c>
      <c r="J404" s="61">
        <v>0</v>
      </c>
      <c r="K404" s="61">
        <v>0</v>
      </c>
      <c r="L404" s="61">
        <v>0</v>
      </c>
      <c r="M404" s="61">
        <v>0</v>
      </c>
      <c r="N404" s="61">
        <v>0</v>
      </c>
    </row>
    <row r="405" spans="1:14" ht="15.75" x14ac:dyDescent="0.25">
      <c r="A405" s="52" t="s">
        <v>457</v>
      </c>
      <c r="B405" s="53" t="s">
        <v>8</v>
      </c>
      <c r="C405" s="19">
        <f>SUBTOTAL(109,Program311[(C)
Program
Costs])</f>
        <v>19016</v>
      </c>
      <c r="D405" s="19">
        <f>SUBTOTAL(109,Program311[(D)
Prior Period Adjustments])</f>
        <v>0</v>
      </c>
      <c r="E405" s="19">
        <f>SUBTOTAL(109,Program311[(E)
Current Period Desk 
Reviews])</f>
        <v>0</v>
      </c>
      <c r="F405" s="19">
        <f>SUBTOTAL(109,Program311[(F)
Current Period 
Final 
Audits])</f>
        <v>0</v>
      </c>
      <c r="G405" s="19">
        <f>SUBTOTAL(109,Program311[(G)
Current Period 
Other Adjustments])</f>
        <v>0</v>
      </c>
      <c r="H405" s="19">
        <f>SUBTOTAL(109,Program311[(H)
Net Program Costs
Sum (C through G)])</f>
        <v>19016</v>
      </c>
      <c r="I405" s="19">
        <f>SUBTOTAL(109,Program311[(I)
Payments
 and Offsets])</f>
        <v>-19016</v>
      </c>
      <c r="J405" s="19">
        <f>SUBTOTAL(109,Program311[(J)
Accounts Payable Balance
(H + I)])</f>
        <v>0</v>
      </c>
      <c r="K405" s="19">
        <f>SUBTOTAL(109,Program311[(K)
Established 
Accounts Receivable])</f>
        <v>0</v>
      </c>
      <c r="L405" s="19">
        <f>SUBTOTAL(109,Program311[(L)
Recovered
 Accounts Receivable])</f>
        <v>0</v>
      </c>
      <c r="M405" s="19">
        <f>SUBTOTAL(109,Program311[(M)
Accounts Receivable Balance
(K + L)])</f>
        <v>0</v>
      </c>
      <c r="N405" s="19">
        <f>SUBTOTAL(109,Program311[(N)
Net Balance
(J minus M)])</f>
        <v>0</v>
      </c>
    </row>
    <row r="406" spans="1:14" ht="15.75" x14ac:dyDescent="0.25">
      <c r="A406" s="17" t="s">
        <v>13</v>
      </c>
      <c r="B406" s="54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</row>
    <row r="407" spans="1:14" ht="78.75" x14ac:dyDescent="0.25">
      <c r="A407" s="39" t="s">
        <v>32</v>
      </c>
      <c r="B407" s="40" t="s">
        <v>33</v>
      </c>
      <c r="C407" s="41" t="s">
        <v>34</v>
      </c>
      <c r="D407" s="41" t="s">
        <v>35</v>
      </c>
      <c r="E407" s="42" t="s">
        <v>36</v>
      </c>
      <c r="F407" s="42" t="s">
        <v>37</v>
      </c>
      <c r="G407" s="42" t="s">
        <v>38</v>
      </c>
      <c r="H407" s="43" t="s">
        <v>39</v>
      </c>
      <c r="I407" s="44" t="s">
        <v>40</v>
      </c>
      <c r="J407" s="44" t="s">
        <v>41</v>
      </c>
      <c r="K407" s="42" t="s">
        <v>42</v>
      </c>
      <c r="L407" s="44" t="s">
        <v>43</v>
      </c>
      <c r="M407" s="44" t="s">
        <v>44</v>
      </c>
      <c r="N407" s="45" t="s">
        <v>45</v>
      </c>
    </row>
    <row r="408" spans="1:14" ht="45" x14ac:dyDescent="0.25">
      <c r="A408" s="67" t="s">
        <v>578</v>
      </c>
      <c r="B408" s="57" t="s">
        <v>52</v>
      </c>
      <c r="C408" s="58">
        <v>3045</v>
      </c>
      <c r="D408" s="58">
        <v>0</v>
      </c>
      <c r="E408" s="58">
        <v>0</v>
      </c>
      <c r="F408" s="58">
        <v>0</v>
      </c>
      <c r="G408" s="58">
        <v>0</v>
      </c>
      <c r="H408" s="58">
        <v>3045</v>
      </c>
      <c r="I408" s="58">
        <v>-3045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</row>
    <row r="409" spans="1:14" ht="45" x14ac:dyDescent="0.25">
      <c r="A409" s="68" t="s">
        <v>578</v>
      </c>
      <c r="B409" s="60" t="s">
        <v>53</v>
      </c>
      <c r="C409" s="61">
        <v>1649</v>
      </c>
      <c r="D409" s="61">
        <v>0</v>
      </c>
      <c r="E409" s="61">
        <v>0</v>
      </c>
      <c r="F409" s="61">
        <v>0</v>
      </c>
      <c r="G409" s="61">
        <v>0</v>
      </c>
      <c r="H409" s="61">
        <v>1649</v>
      </c>
      <c r="I409" s="61">
        <v>-1649</v>
      </c>
      <c r="J409" s="61">
        <v>0</v>
      </c>
      <c r="K409" s="61">
        <v>0</v>
      </c>
      <c r="L409" s="61">
        <v>0</v>
      </c>
      <c r="M409" s="61">
        <v>0</v>
      </c>
      <c r="N409" s="61">
        <v>0</v>
      </c>
    </row>
    <row r="410" spans="1:14" ht="15.75" x14ac:dyDescent="0.25">
      <c r="A410" s="52" t="s">
        <v>456</v>
      </c>
      <c r="B410" s="53" t="s">
        <v>8</v>
      </c>
      <c r="C410" s="19">
        <f>SUBTOTAL(109,Program312[(C)
Program
Costs])</f>
        <v>4694</v>
      </c>
      <c r="D410" s="19">
        <f>SUBTOTAL(109,Program312[(D)
Prior Period Adjustments])</f>
        <v>0</v>
      </c>
      <c r="E410" s="19">
        <f>SUBTOTAL(109,Program312[(E)
Current Period Desk 
Reviews])</f>
        <v>0</v>
      </c>
      <c r="F410" s="19">
        <f>SUBTOTAL(109,Program312[(F)
Current Period 
Final 
Audits])</f>
        <v>0</v>
      </c>
      <c r="G410" s="19">
        <f>SUBTOTAL(109,Program312[(G)
Current Period 
Other Adjustments])</f>
        <v>0</v>
      </c>
      <c r="H410" s="19">
        <f>SUBTOTAL(109,Program312[(H)
Net Program Costs
Sum (C through G)])</f>
        <v>4694</v>
      </c>
      <c r="I410" s="19">
        <f>SUBTOTAL(109,Program312[(I)
Payments
 and Offsets])</f>
        <v>-4694</v>
      </c>
      <c r="J410" s="19">
        <f>SUBTOTAL(109,Program312[(J)
Accounts Payable Balance
(H + I)])</f>
        <v>0</v>
      </c>
      <c r="K410" s="19">
        <f>SUBTOTAL(109,Program312[(K)
Established 
Accounts Receivable])</f>
        <v>0</v>
      </c>
      <c r="L410" s="19">
        <f>SUBTOTAL(109,Program312[(L)
Recovered
 Accounts Receivable])</f>
        <v>0</v>
      </c>
      <c r="M410" s="19">
        <f>SUBTOTAL(109,Program312[(M)
Accounts Receivable Balance
(K + L)])</f>
        <v>0</v>
      </c>
      <c r="N410" s="19">
        <f>SUBTOTAL(109,Program312[(N)
Net Balance
(J minus M)])</f>
        <v>0</v>
      </c>
    </row>
    <row r="411" spans="1:14" ht="15.75" x14ac:dyDescent="0.25">
      <c r="A411" s="17" t="s">
        <v>13</v>
      </c>
      <c r="B411" s="54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</row>
    <row r="412" spans="1:14" ht="78.75" x14ac:dyDescent="0.25">
      <c r="A412" s="39" t="s">
        <v>32</v>
      </c>
      <c r="B412" s="40" t="s">
        <v>33</v>
      </c>
      <c r="C412" s="41" t="s">
        <v>34</v>
      </c>
      <c r="D412" s="41" t="s">
        <v>35</v>
      </c>
      <c r="E412" s="42" t="s">
        <v>36</v>
      </c>
      <c r="F412" s="42" t="s">
        <v>37</v>
      </c>
      <c r="G412" s="42" t="s">
        <v>38</v>
      </c>
      <c r="H412" s="43" t="s">
        <v>39</v>
      </c>
      <c r="I412" s="44" t="s">
        <v>40</v>
      </c>
      <c r="J412" s="44" t="s">
        <v>41</v>
      </c>
      <c r="K412" s="42" t="s">
        <v>42</v>
      </c>
      <c r="L412" s="44" t="s">
        <v>43</v>
      </c>
      <c r="M412" s="44" t="s">
        <v>44</v>
      </c>
      <c r="N412" s="45" t="s">
        <v>45</v>
      </c>
    </row>
    <row r="413" spans="1:14" ht="30" x14ac:dyDescent="0.25">
      <c r="A413" s="67" t="s">
        <v>577</v>
      </c>
      <c r="B413" s="57" t="s">
        <v>76</v>
      </c>
      <c r="C413" s="58">
        <v>21004</v>
      </c>
      <c r="D413" s="58">
        <v>0</v>
      </c>
      <c r="E413" s="58">
        <v>0</v>
      </c>
      <c r="F413" s="58">
        <v>0</v>
      </c>
      <c r="G413" s="58">
        <v>0</v>
      </c>
      <c r="H413" s="58">
        <v>21004</v>
      </c>
      <c r="I413" s="58">
        <v>0</v>
      </c>
      <c r="J413" s="58">
        <v>21004</v>
      </c>
      <c r="K413" s="58">
        <v>0</v>
      </c>
      <c r="L413" s="58">
        <v>0</v>
      </c>
      <c r="M413" s="58">
        <v>0</v>
      </c>
      <c r="N413" s="58">
        <v>21004</v>
      </c>
    </row>
    <row r="414" spans="1:14" ht="30" x14ac:dyDescent="0.25">
      <c r="A414" s="68" t="s">
        <v>577</v>
      </c>
      <c r="B414" s="60" t="s">
        <v>77</v>
      </c>
      <c r="C414" s="61">
        <v>36306</v>
      </c>
      <c r="D414" s="61">
        <v>0</v>
      </c>
      <c r="E414" s="61">
        <v>0</v>
      </c>
      <c r="F414" s="61">
        <v>0</v>
      </c>
      <c r="G414" s="61">
        <v>0</v>
      </c>
      <c r="H414" s="61">
        <v>36306</v>
      </c>
      <c r="I414" s="61">
        <v>-1000</v>
      </c>
      <c r="J414" s="61">
        <v>35306</v>
      </c>
      <c r="K414" s="61">
        <v>0</v>
      </c>
      <c r="L414" s="61">
        <v>0</v>
      </c>
      <c r="M414" s="61">
        <v>0</v>
      </c>
      <c r="N414" s="61">
        <v>35306</v>
      </c>
    </row>
    <row r="415" spans="1:14" ht="30" x14ac:dyDescent="0.25">
      <c r="A415" s="68" t="s">
        <v>577</v>
      </c>
      <c r="B415" s="60" t="s">
        <v>78</v>
      </c>
      <c r="C415" s="61">
        <v>50776</v>
      </c>
      <c r="D415" s="61">
        <v>0</v>
      </c>
      <c r="E415" s="61">
        <v>0</v>
      </c>
      <c r="F415" s="61">
        <v>0</v>
      </c>
      <c r="G415" s="61">
        <v>0</v>
      </c>
      <c r="H415" s="61">
        <v>50776</v>
      </c>
      <c r="I415" s="61">
        <v>-1000</v>
      </c>
      <c r="J415" s="61">
        <v>49776</v>
      </c>
      <c r="K415" s="61">
        <v>0</v>
      </c>
      <c r="L415" s="61">
        <v>0</v>
      </c>
      <c r="M415" s="61">
        <v>0</v>
      </c>
      <c r="N415" s="61">
        <v>49776</v>
      </c>
    </row>
    <row r="416" spans="1:14" ht="30" x14ac:dyDescent="0.25">
      <c r="A416" s="68" t="s">
        <v>577</v>
      </c>
      <c r="B416" s="60" t="s">
        <v>47</v>
      </c>
      <c r="C416" s="61">
        <v>44856</v>
      </c>
      <c r="D416" s="61">
        <v>0</v>
      </c>
      <c r="E416" s="61">
        <v>0</v>
      </c>
      <c r="F416" s="61">
        <v>0</v>
      </c>
      <c r="G416" s="61">
        <v>0</v>
      </c>
      <c r="H416" s="61">
        <v>44856</v>
      </c>
      <c r="I416" s="61">
        <v>-1000</v>
      </c>
      <c r="J416" s="61">
        <v>43856</v>
      </c>
      <c r="K416" s="61">
        <v>0</v>
      </c>
      <c r="L416" s="61">
        <v>0</v>
      </c>
      <c r="M416" s="61">
        <v>0</v>
      </c>
      <c r="N416" s="61">
        <v>43856</v>
      </c>
    </row>
    <row r="417" spans="1:14" ht="30" x14ac:dyDescent="0.25">
      <c r="A417" s="68" t="s">
        <v>577</v>
      </c>
      <c r="B417" s="60" t="s">
        <v>79</v>
      </c>
      <c r="C417" s="61">
        <v>69777</v>
      </c>
      <c r="D417" s="61">
        <v>-102</v>
      </c>
      <c r="E417" s="61">
        <v>0</v>
      </c>
      <c r="F417" s="61">
        <v>0</v>
      </c>
      <c r="G417" s="61">
        <v>0</v>
      </c>
      <c r="H417" s="61">
        <v>69675</v>
      </c>
      <c r="I417" s="61">
        <v>-9406</v>
      </c>
      <c r="J417" s="61">
        <v>60269</v>
      </c>
      <c r="K417" s="61">
        <v>0</v>
      </c>
      <c r="L417" s="61">
        <v>0</v>
      </c>
      <c r="M417" s="61">
        <v>0</v>
      </c>
      <c r="N417" s="61">
        <v>60269</v>
      </c>
    </row>
    <row r="418" spans="1:14" ht="30" x14ac:dyDescent="0.25">
      <c r="A418" s="68" t="s">
        <v>577</v>
      </c>
      <c r="B418" s="60" t="s">
        <v>80</v>
      </c>
      <c r="C418" s="61">
        <v>163009</v>
      </c>
      <c r="D418" s="61">
        <v>0</v>
      </c>
      <c r="E418" s="61">
        <v>0</v>
      </c>
      <c r="F418" s="61">
        <v>0</v>
      </c>
      <c r="G418" s="61">
        <v>0</v>
      </c>
      <c r="H418" s="61">
        <v>163009</v>
      </c>
      <c r="I418" s="61">
        <v>-36297</v>
      </c>
      <c r="J418" s="61">
        <v>126712</v>
      </c>
      <c r="K418" s="61">
        <v>0</v>
      </c>
      <c r="L418" s="61">
        <v>0</v>
      </c>
      <c r="M418" s="61">
        <v>0</v>
      </c>
      <c r="N418" s="61">
        <v>126712</v>
      </c>
    </row>
    <row r="419" spans="1:14" ht="30" x14ac:dyDescent="0.25">
      <c r="A419" s="68" t="s">
        <v>577</v>
      </c>
      <c r="B419" s="60" t="s">
        <v>81</v>
      </c>
      <c r="C419" s="61">
        <v>223094</v>
      </c>
      <c r="D419" s="61">
        <v>0</v>
      </c>
      <c r="E419" s="61">
        <v>0</v>
      </c>
      <c r="F419" s="61">
        <v>0</v>
      </c>
      <c r="G419" s="61">
        <v>0</v>
      </c>
      <c r="H419" s="61">
        <v>223094</v>
      </c>
      <c r="I419" s="61">
        <v>-90234</v>
      </c>
      <c r="J419" s="61">
        <v>132860</v>
      </c>
      <c r="K419" s="61">
        <v>0</v>
      </c>
      <c r="L419" s="61">
        <v>0</v>
      </c>
      <c r="M419" s="61">
        <v>0</v>
      </c>
      <c r="N419" s="61">
        <v>132860</v>
      </c>
    </row>
    <row r="420" spans="1:14" ht="30" x14ac:dyDescent="0.25">
      <c r="A420" s="68" t="s">
        <v>577</v>
      </c>
      <c r="B420" s="60" t="s">
        <v>82</v>
      </c>
      <c r="C420" s="61">
        <v>804335</v>
      </c>
      <c r="D420" s="61">
        <v>-8043</v>
      </c>
      <c r="E420" s="61">
        <v>0</v>
      </c>
      <c r="F420" s="61">
        <v>0</v>
      </c>
      <c r="G420" s="61">
        <v>0</v>
      </c>
      <c r="H420" s="61">
        <v>796292</v>
      </c>
      <c r="I420" s="61">
        <v>-385103</v>
      </c>
      <c r="J420" s="61">
        <v>411189</v>
      </c>
      <c r="K420" s="61">
        <v>0</v>
      </c>
      <c r="L420" s="61">
        <v>0</v>
      </c>
      <c r="M420" s="61">
        <v>0</v>
      </c>
      <c r="N420" s="61">
        <v>411189</v>
      </c>
    </row>
    <row r="421" spans="1:14" ht="15.75" x14ac:dyDescent="0.25">
      <c r="A421" s="52" t="s">
        <v>455</v>
      </c>
      <c r="B421" s="53" t="s">
        <v>8</v>
      </c>
      <c r="C421" s="19">
        <f>SUBTOTAL(109,Program330[(C)
Program
Costs])</f>
        <v>1413157</v>
      </c>
      <c r="D421" s="19">
        <f>SUBTOTAL(109,Program330[(D)
Prior Period Adjustments])</f>
        <v>-8145</v>
      </c>
      <c r="E421" s="19">
        <f>SUBTOTAL(109,Program330[(E)
Current Period Desk 
Reviews])</f>
        <v>0</v>
      </c>
      <c r="F421" s="19">
        <f>SUBTOTAL(109,Program330[(F)
Current Period 
Final 
Audits])</f>
        <v>0</v>
      </c>
      <c r="G421" s="19">
        <f>SUBTOTAL(109,Program330[(G)
Current Period 
Other Adjustments])</f>
        <v>0</v>
      </c>
      <c r="H421" s="19">
        <f>SUBTOTAL(109,Program330[(H)
Net Program Costs
Sum (C through G)])</f>
        <v>1405012</v>
      </c>
      <c r="I421" s="19">
        <f>SUBTOTAL(109,Program330[(I)
Payments
 and Offsets])</f>
        <v>-524040</v>
      </c>
      <c r="J421" s="19">
        <f>SUBTOTAL(109,Program330[(J)
Accounts Payable Balance
(H + I)])</f>
        <v>880972</v>
      </c>
      <c r="K421" s="19">
        <f>SUBTOTAL(109,Program330[(K)
Established 
Accounts Receivable])</f>
        <v>0</v>
      </c>
      <c r="L421" s="19">
        <f>SUBTOTAL(109,Program330[(L)
Recovered
 Accounts Receivable])</f>
        <v>0</v>
      </c>
      <c r="M421" s="19">
        <f>SUBTOTAL(109,Program330[(M)
Accounts Receivable Balance
(K + L)])</f>
        <v>0</v>
      </c>
      <c r="N421" s="19">
        <f>SUBTOTAL(109,Program330[(N)
Net Balance
(J minus M)])</f>
        <v>880972</v>
      </c>
    </row>
    <row r="422" spans="1:14" ht="15.75" x14ac:dyDescent="0.25">
      <c r="A422" s="17" t="s">
        <v>13</v>
      </c>
      <c r="B422" s="54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</row>
    <row r="423" spans="1:14" ht="78.75" x14ac:dyDescent="0.25">
      <c r="A423" s="39" t="s">
        <v>32</v>
      </c>
      <c r="B423" s="40" t="s">
        <v>33</v>
      </c>
      <c r="C423" s="41" t="s">
        <v>34</v>
      </c>
      <c r="D423" s="41" t="s">
        <v>35</v>
      </c>
      <c r="E423" s="42" t="s">
        <v>36</v>
      </c>
      <c r="F423" s="42" t="s">
        <v>37</v>
      </c>
      <c r="G423" s="42" t="s">
        <v>38</v>
      </c>
      <c r="H423" s="43" t="s">
        <v>39</v>
      </c>
      <c r="I423" s="44" t="s">
        <v>40</v>
      </c>
      <c r="J423" s="44" t="s">
        <v>41</v>
      </c>
      <c r="K423" s="42" t="s">
        <v>42</v>
      </c>
      <c r="L423" s="44" t="s">
        <v>43</v>
      </c>
      <c r="M423" s="44" t="s">
        <v>44</v>
      </c>
      <c r="N423" s="45" t="s">
        <v>45</v>
      </c>
    </row>
    <row r="424" spans="1:14" ht="45" x14ac:dyDescent="0.25">
      <c r="A424" s="67" t="s">
        <v>576</v>
      </c>
      <c r="B424" s="57" t="s">
        <v>76</v>
      </c>
      <c r="C424" s="58">
        <v>25757</v>
      </c>
      <c r="D424" s="58">
        <v>0</v>
      </c>
      <c r="E424" s="58">
        <v>0</v>
      </c>
      <c r="F424" s="58">
        <v>0</v>
      </c>
      <c r="G424" s="58">
        <v>0</v>
      </c>
      <c r="H424" s="58">
        <v>25757</v>
      </c>
      <c r="I424" s="58">
        <v>0</v>
      </c>
      <c r="J424" s="58">
        <v>25757</v>
      </c>
      <c r="K424" s="58">
        <v>0</v>
      </c>
      <c r="L424" s="58">
        <v>0</v>
      </c>
      <c r="M424" s="58">
        <v>0</v>
      </c>
      <c r="N424" s="58">
        <v>25757</v>
      </c>
    </row>
    <row r="425" spans="1:14" ht="45" x14ac:dyDescent="0.25">
      <c r="A425" s="68" t="s">
        <v>576</v>
      </c>
      <c r="B425" s="60" t="s">
        <v>77</v>
      </c>
      <c r="C425" s="61">
        <v>24722</v>
      </c>
      <c r="D425" s="61">
        <v>0</v>
      </c>
      <c r="E425" s="61">
        <v>0</v>
      </c>
      <c r="F425" s="61">
        <v>0</v>
      </c>
      <c r="G425" s="61">
        <v>0</v>
      </c>
      <c r="H425" s="61">
        <v>24722</v>
      </c>
      <c r="I425" s="61">
        <v>-1000</v>
      </c>
      <c r="J425" s="61">
        <v>23722</v>
      </c>
      <c r="K425" s="61">
        <v>0</v>
      </c>
      <c r="L425" s="61">
        <v>0</v>
      </c>
      <c r="M425" s="61">
        <v>0</v>
      </c>
      <c r="N425" s="61">
        <v>23722</v>
      </c>
    </row>
    <row r="426" spans="1:14" ht="45" x14ac:dyDescent="0.25">
      <c r="A426" s="68" t="s">
        <v>576</v>
      </c>
      <c r="B426" s="60" t="s">
        <v>78</v>
      </c>
      <c r="C426" s="61">
        <v>37266</v>
      </c>
      <c r="D426" s="61">
        <v>0</v>
      </c>
      <c r="E426" s="61">
        <v>0</v>
      </c>
      <c r="F426" s="61">
        <v>0</v>
      </c>
      <c r="G426" s="61">
        <v>0</v>
      </c>
      <c r="H426" s="61">
        <v>37266</v>
      </c>
      <c r="I426" s="61">
        <v>-1000</v>
      </c>
      <c r="J426" s="61">
        <v>36266</v>
      </c>
      <c r="K426" s="61">
        <v>0</v>
      </c>
      <c r="L426" s="61">
        <v>0</v>
      </c>
      <c r="M426" s="61">
        <v>0</v>
      </c>
      <c r="N426" s="61">
        <v>36266</v>
      </c>
    </row>
    <row r="427" spans="1:14" ht="45" x14ac:dyDescent="0.25">
      <c r="A427" s="68" t="s">
        <v>576</v>
      </c>
      <c r="B427" s="60" t="s">
        <v>47</v>
      </c>
      <c r="C427" s="61">
        <v>31110</v>
      </c>
      <c r="D427" s="61">
        <v>0</v>
      </c>
      <c r="E427" s="61">
        <v>0</v>
      </c>
      <c r="F427" s="61">
        <v>0</v>
      </c>
      <c r="G427" s="61">
        <v>0</v>
      </c>
      <c r="H427" s="61">
        <v>31110</v>
      </c>
      <c r="I427" s="61">
        <v>-1000</v>
      </c>
      <c r="J427" s="61">
        <v>30110</v>
      </c>
      <c r="K427" s="61">
        <v>0</v>
      </c>
      <c r="L427" s="61">
        <v>0</v>
      </c>
      <c r="M427" s="61">
        <v>0</v>
      </c>
      <c r="N427" s="61">
        <v>30110</v>
      </c>
    </row>
    <row r="428" spans="1:14" ht="45" x14ac:dyDescent="0.25">
      <c r="A428" s="68" t="s">
        <v>576</v>
      </c>
      <c r="B428" s="60" t="s">
        <v>79</v>
      </c>
      <c r="C428" s="61">
        <v>39610</v>
      </c>
      <c r="D428" s="61">
        <v>0</v>
      </c>
      <c r="E428" s="61">
        <v>0</v>
      </c>
      <c r="F428" s="61">
        <v>0</v>
      </c>
      <c r="G428" s="61">
        <v>0</v>
      </c>
      <c r="H428" s="61">
        <v>39610</v>
      </c>
      <c r="I428" s="61">
        <v>-2379</v>
      </c>
      <c r="J428" s="61">
        <v>37231</v>
      </c>
      <c r="K428" s="61">
        <v>0</v>
      </c>
      <c r="L428" s="61">
        <v>0</v>
      </c>
      <c r="M428" s="61">
        <v>0</v>
      </c>
      <c r="N428" s="61">
        <v>37231</v>
      </c>
    </row>
    <row r="429" spans="1:14" ht="45" x14ac:dyDescent="0.25">
      <c r="A429" s="68" t="s">
        <v>576</v>
      </c>
      <c r="B429" s="60" t="s">
        <v>80</v>
      </c>
      <c r="C429" s="61">
        <v>219338</v>
      </c>
      <c r="D429" s="61">
        <v>0</v>
      </c>
      <c r="E429" s="61">
        <v>0</v>
      </c>
      <c r="F429" s="61">
        <v>0</v>
      </c>
      <c r="G429" s="61">
        <v>0</v>
      </c>
      <c r="H429" s="61">
        <v>219338</v>
      </c>
      <c r="I429" s="61">
        <v>-34030</v>
      </c>
      <c r="J429" s="61">
        <v>185308</v>
      </c>
      <c r="K429" s="61">
        <v>0</v>
      </c>
      <c r="L429" s="61">
        <v>0</v>
      </c>
      <c r="M429" s="61">
        <v>0</v>
      </c>
      <c r="N429" s="61">
        <v>185308</v>
      </c>
    </row>
    <row r="430" spans="1:14" ht="45" x14ac:dyDescent="0.25">
      <c r="A430" s="68" t="s">
        <v>576</v>
      </c>
      <c r="B430" s="60" t="s">
        <v>81</v>
      </c>
      <c r="C430" s="61">
        <v>315064</v>
      </c>
      <c r="D430" s="61">
        <v>-113</v>
      </c>
      <c r="E430" s="61">
        <v>0</v>
      </c>
      <c r="F430" s="61">
        <v>0</v>
      </c>
      <c r="G430" s="61">
        <v>0</v>
      </c>
      <c r="H430" s="61">
        <v>314951</v>
      </c>
      <c r="I430" s="61">
        <v>-107194</v>
      </c>
      <c r="J430" s="61">
        <v>207757</v>
      </c>
      <c r="K430" s="61">
        <v>0</v>
      </c>
      <c r="L430" s="61">
        <v>0</v>
      </c>
      <c r="M430" s="61">
        <v>0</v>
      </c>
      <c r="N430" s="61">
        <v>207757</v>
      </c>
    </row>
    <row r="431" spans="1:14" ht="45" x14ac:dyDescent="0.25">
      <c r="A431" s="68" t="s">
        <v>576</v>
      </c>
      <c r="B431" s="60" t="s">
        <v>82</v>
      </c>
      <c r="C431" s="61">
        <v>1006762</v>
      </c>
      <c r="D431" s="61">
        <v>-8325</v>
      </c>
      <c r="E431" s="61">
        <v>0</v>
      </c>
      <c r="F431" s="61">
        <v>0</v>
      </c>
      <c r="G431" s="61">
        <v>0</v>
      </c>
      <c r="H431" s="61">
        <v>998437</v>
      </c>
      <c r="I431" s="61">
        <v>-714840</v>
      </c>
      <c r="J431" s="61">
        <v>283597</v>
      </c>
      <c r="K431" s="61">
        <v>0</v>
      </c>
      <c r="L431" s="61">
        <v>0</v>
      </c>
      <c r="M431" s="61">
        <v>0</v>
      </c>
      <c r="N431" s="61">
        <v>283597</v>
      </c>
    </row>
    <row r="432" spans="1:14" ht="45" x14ac:dyDescent="0.25">
      <c r="A432" s="68" t="s">
        <v>576</v>
      </c>
      <c r="B432" s="60" t="s">
        <v>83</v>
      </c>
      <c r="C432" s="61">
        <v>8058059</v>
      </c>
      <c r="D432" s="61">
        <v>-2305662</v>
      </c>
      <c r="E432" s="61">
        <v>0</v>
      </c>
      <c r="F432" s="61">
        <v>0</v>
      </c>
      <c r="G432" s="61">
        <v>0</v>
      </c>
      <c r="H432" s="61">
        <v>5752397</v>
      </c>
      <c r="I432" s="61">
        <v>-4834791</v>
      </c>
      <c r="J432" s="61">
        <v>917606</v>
      </c>
      <c r="K432" s="61">
        <v>0</v>
      </c>
      <c r="L432" s="61">
        <v>0</v>
      </c>
      <c r="M432" s="61">
        <v>0</v>
      </c>
      <c r="N432" s="61">
        <v>917606</v>
      </c>
    </row>
    <row r="433" spans="1:14" ht="45" x14ac:dyDescent="0.25">
      <c r="A433" s="68" t="s">
        <v>576</v>
      </c>
      <c r="B433" s="60" t="s">
        <v>48</v>
      </c>
      <c r="C433" s="61">
        <v>9404272</v>
      </c>
      <c r="D433" s="61">
        <v>-13351</v>
      </c>
      <c r="E433" s="61">
        <v>0</v>
      </c>
      <c r="F433" s="61">
        <v>0</v>
      </c>
      <c r="G433" s="61">
        <v>0</v>
      </c>
      <c r="H433" s="61">
        <v>9390921</v>
      </c>
      <c r="I433" s="61">
        <v>-7958284</v>
      </c>
      <c r="J433" s="61">
        <v>1432637</v>
      </c>
      <c r="K433" s="61">
        <v>0</v>
      </c>
      <c r="L433" s="61">
        <v>0</v>
      </c>
      <c r="M433" s="61">
        <v>0</v>
      </c>
      <c r="N433" s="61">
        <v>1432637</v>
      </c>
    </row>
    <row r="434" spans="1:14" ht="45" x14ac:dyDescent="0.25">
      <c r="A434" s="68" t="s">
        <v>576</v>
      </c>
      <c r="B434" s="60" t="s">
        <v>49</v>
      </c>
      <c r="C434" s="61">
        <v>9282366</v>
      </c>
      <c r="D434" s="61">
        <v>-36581</v>
      </c>
      <c r="E434" s="61">
        <v>0</v>
      </c>
      <c r="F434" s="61">
        <v>0</v>
      </c>
      <c r="G434" s="61">
        <v>0</v>
      </c>
      <c r="H434" s="61">
        <v>9245785</v>
      </c>
      <c r="I434" s="61">
        <v>-9214618</v>
      </c>
      <c r="J434" s="61">
        <v>31167</v>
      </c>
      <c r="K434" s="61">
        <v>0</v>
      </c>
      <c r="L434" s="61">
        <v>0</v>
      </c>
      <c r="M434" s="61">
        <v>0</v>
      </c>
      <c r="N434" s="61">
        <v>31167</v>
      </c>
    </row>
    <row r="435" spans="1:14" ht="45" x14ac:dyDescent="0.25">
      <c r="A435" s="68" t="s">
        <v>576</v>
      </c>
      <c r="B435" s="60" t="s">
        <v>50</v>
      </c>
      <c r="C435" s="61">
        <v>10130798</v>
      </c>
      <c r="D435" s="61">
        <v>-24926</v>
      </c>
      <c r="E435" s="61">
        <v>0</v>
      </c>
      <c r="F435" s="61">
        <v>0</v>
      </c>
      <c r="G435" s="61">
        <v>0</v>
      </c>
      <c r="H435" s="61">
        <v>10105872</v>
      </c>
      <c r="I435" s="61">
        <v>-10100035</v>
      </c>
      <c r="J435" s="61">
        <v>5837</v>
      </c>
      <c r="K435" s="61">
        <v>865406</v>
      </c>
      <c r="L435" s="61">
        <v>-11587</v>
      </c>
      <c r="M435" s="61">
        <v>853819</v>
      </c>
      <c r="N435" s="61">
        <v>-847982</v>
      </c>
    </row>
    <row r="436" spans="1:14" ht="45" x14ac:dyDescent="0.25">
      <c r="A436" s="68" t="s">
        <v>576</v>
      </c>
      <c r="B436" s="60" t="s">
        <v>51</v>
      </c>
      <c r="C436" s="61">
        <v>9344697</v>
      </c>
      <c r="D436" s="61">
        <v>-120478</v>
      </c>
      <c r="E436" s="61">
        <v>0</v>
      </c>
      <c r="F436" s="61">
        <v>0</v>
      </c>
      <c r="G436" s="61">
        <v>0</v>
      </c>
      <c r="H436" s="61">
        <v>9224219</v>
      </c>
      <c r="I436" s="61">
        <v>-8491932</v>
      </c>
      <c r="J436" s="61">
        <v>732287</v>
      </c>
      <c r="K436" s="61">
        <v>2</v>
      </c>
      <c r="L436" s="61">
        <v>0</v>
      </c>
      <c r="M436" s="61">
        <v>2</v>
      </c>
      <c r="N436" s="61">
        <v>732285</v>
      </c>
    </row>
    <row r="437" spans="1:14" ht="45" x14ac:dyDescent="0.25">
      <c r="A437" s="68" t="s">
        <v>576</v>
      </c>
      <c r="B437" s="60" t="s">
        <v>52</v>
      </c>
      <c r="C437" s="61">
        <v>9158039</v>
      </c>
      <c r="D437" s="61">
        <v>-70052</v>
      </c>
      <c r="E437" s="61">
        <v>0</v>
      </c>
      <c r="F437" s="61">
        <v>0</v>
      </c>
      <c r="G437" s="61">
        <v>0</v>
      </c>
      <c r="H437" s="61">
        <v>9087987</v>
      </c>
      <c r="I437" s="61">
        <v>-8656133</v>
      </c>
      <c r="J437" s="61">
        <v>431854</v>
      </c>
      <c r="K437" s="61">
        <v>55256</v>
      </c>
      <c r="L437" s="61">
        <v>-49366</v>
      </c>
      <c r="M437" s="61">
        <v>5890</v>
      </c>
      <c r="N437" s="61">
        <v>425964</v>
      </c>
    </row>
    <row r="438" spans="1:14" ht="45" x14ac:dyDescent="0.25">
      <c r="A438" s="68" t="s">
        <v>576</v>
      </c>
      <c r="B438" s="60" t="s">
        <v>53</v>
      </c>
      <c r="C438" s="61">
        <v>8424113</v>
      </c>
      <c r="D438" s="61">
        <v>-52938</v>
      </c>
      <c r="E438" s="61">
        <v>0</v>
      </c>
      <c r="F438" s="61">
        <v>0</v>
      </c>
      <c r="G438" s="61">
        <v>0</v>
      </c>
      <c r="H438" s="61">
        <v>8371175</v>
      </c>
      <c r="I438" s="61">
        <v>-8200303</v>
      </c>
      <c r="J438" s="61">
        <v>170872</v>
      </c>
      <c r="K438" s="61">
        <v>0</v>
      </c>
      <c r="L438" s="61">
        <v>0</v>
      </c>
      <c r="M438" s="61">
        <v>0</v>
      </c>
      <c r="N438" s="61">
        <v>170872</v>
      </c>
    </row>
    <row r="439" spans="1:14" ht="45" x14ac:dyDescent="0.25">
      <c r="A439" s="68" t="s">
        <v>576</v>
      </c>
      <c r="B439" s="60" t="s">
        <v>54</v>
      </c>
      <c r="C439" s="61">
        <v>3844995</v>
      </c>
      <c r="D439" s="61">
        <v>-8199</v>
      </c>
      <c r="E439" s="61">
        <v>0</v>
      </c>
      <c r="F439" s="61">
        <v>0</v>
      </c>
      <c r="G439" s="61">
        <v>0</v>
      </c>
      <c r="H439" s="61">
        <v>3836796</v>
      </c>
      <c r="I439" s="61">
        <v>-3836796</v>
      </c>
      <c r="J439" s="61">
        <v>0</v>
      </c>
      <c r="K439" s="61">
        <v>232908</v>
      </c>
      <c r="L439" s="61">
        <v>-228852</v>
      </c>
      <c r="M439" s="61">
        <v>4056</v>
      </c>
      <c r="N439" s="61">
        <v>-4056</v>
      </c>
    </row>
    <row r="440" spans="1:14" ht="15.75" x14ac:dyDescent="0.25">
      <c r="A440" s="52" t="s">
        <v>454</v>
      </c>
      <c r="B440" s="53" t="s">
        <v>8</v>
      </c>
      <c r="C440" s="19">
        <f>SUBTOTAL(109,Program272[(C)
Program
Costs])</f>
        <v>69346968</v>
      </c>
      <c r="D440" s="19">
        <f>SUBTOTAL(109,Program272[(D)
Prior Period Adjustments])</f>
        <v>-2640625</v>
      </c>
      <c r="E440" s="19">
        <f>SUBTOTAL(109,Program272[(E)
Current Period Desk 
Reviews])</f>
        <v>0</v>
      </c>
      <c r="F440" s="19">
        <f>SUBTOTAL(109,Program272[(F)
Current Period 
Final 
Audits])</f>
        <v>0</v>
      </c>
      <c r="G440" s="19">
        <f>SUBTOTAL(109,Program272[(G)
Current Period 
Other Adjustments])</f>
        <v>0</v>
      </c>
      <c r="H440" s="19">
        <f>SUBTOTAL(109,Program272[(H)
Net Program Costs
Sum (C through G)])</f>
        <v>66706343</v>
      </c>
      <c r="I440" s="19">
        <f>SUBTOTAL(109,Program272[(I)
Payments
 and Offsets])</f>
        <v>-62154335</v>
      </c>
      <c r="J440" s="19">
        <f>SUBTOTAL(109,Program272[(J)
Accounts Payable Balance
(H + I)])</f>
        <v>4552008</v>
      </c>
      <c r="K440" s="19">
        <f>SUBTOTAL(109,Program272[(K)
Established 
Accounts Receivable])</f>
        <v>1153572</v>
      </c>
      <c r="L440" s="19">
        <f>SUBTOTAL(109,Program272[(L)
Recovered
 Accounts Receivable])</f>
        <v>-289805</v>
      </c>
      <c r="M440" s="19">
        <f>SUBTOTAL(109,Program272[(M)
Accounts Receivable Balance
(K + L)])</f>
        <v>863767</v>
      </c>
      <c r="N440" s="19">
        <f>SUBTOTAL(109,Program272[(N)
Net Balance
(J minus M)])</f>
        <v>3688241</v>
      </c>
    </row>
    <row r="441" spans="1:14" ht="15.75" x14ac:dyDescent="0.25">
      <c r="A441" s="17" t="s">
        <v>13</v>
      </c>
      <c r="B441" s="54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</row>
    <row r="442" spans="1:14" ht="78.75" x14ac:dyDescent="0.25">
      <c r="A442" s="39" t="s">
        <v>32</v>
      </c>
      <c r="B442" s="40" t="s">
        <v>33</v>
      </c>
      <c r="C442" s="41" t="s">
        <v>34</v>
      </c>
      <c r="D442" s="41" t="s">
        <v>35</v>
      </c>
      <c r="E442" s="42" t="s">
        <v>36</v>
      </c>
      <c r="F442" s="42" t="s">
        <v>37</v>
      </c>
      <c r="G442" s="42" t="s">
        <v>38</v>
      </c>
      <c r="H442" s="43" t="s">
        <v>39</v>
      </c>
      <c r="I442" s="44" t="s">
        <v>40</v>
      </c>
      <c r="J442" s="44" t="s">
        <v>41</v>
      </c>
      <c r="K442" s="42" t="s">
        <v>42</v>
      </c>
      <c r="L442" s="44" t="s">
        <v>43</v>
      </c>
      <c r="M442" s="44" t="s">
        <v>44</v>
      </c>
      <c r="N442" s="45" t="s">
        <v>45</v>
      </c>
    </row>
    <row r="443" spans="1:14" ht="45" x14ac:dyDescent="0.25">
      <c r="A443" s="67" t="s">
        <v>575</v>
      </c>
      <c r="B443" s="57" t="s">
        <v>76</v>
      </c>
      <c r="C443" s="58">
        <v>7997</v>
      </c>
      <c r="D443" s="58">
        <v>0</v>
      </c>
      <c r="E443" s="58">
        <v>0</v>
      </c>
      <c r="F443" s="58">
        <v>0</v>
      </c>
      <c r="G443" s="58">
        <v>0</v>
      </c>
      <c r="H443" s="58">
        <v>7997</v>
      </c>
      <c r="I443" s="58">
        <v>0</v>
      </c>
      <c r="J443" s="58">
        <v>7997</v>
      </c>
      <c r="K443" s="58">
        <v>0</v>
      </c>
      <c r="L443" s="58">
        <v>0</v>
      </c>
      <c r="M443" s="58">
        <v>0</v>
      </c>
      <c r="N443" s="58">
        <v>7997</v>
      </c>
    </row>
    <row r="444" spans="1:14" ht="45" x14ac:dyDescent="0.25">
      <c r="A444" s="68" t="s">
        <v>575</v>
      </c>
      <c r="B444" s="60" t="s">
        <v>77</v>
      </c>
      <c r="C444" s="61">
        <v>3169</v>
      </c>
      <c r="D444" s="61">
        <v>0</v>
      </c>
      <c r="E444" s="61">
        <v>0</v>
      </c>
      <c r="F444" s="61">
        <v>0</v>
      </c>
      <c r="G444" s="61">
        <v>0</v>
      </c>
      <c r="H444" s="61">
        <v>3169</v>
      </c>
      <c r="I444" s="61">
        <v>-1000</v>
      </c>
      <c r="J444" s="61">
        <v>2169</v>
      </c>
      <c r="K444" s="61">
        <v>0</v>
      </c>
      <c r="L444" s="61">
        <v>0</v>
      </c>
      <c r="M444" s="61">
        <v>0</v>
      </c>
      <c r="N444" s="61">
        <v>2169</v>
      </c>
    </row>
    <row r="445" spans="1:14" ht="45" x14ac:dyDescent="0.25">
      <c r="A445" s="68" t="s">
        <v>575</v>
      </c>
      <c r="B445" s="60" t="s">
        <v>78</v>
      </c>
      <c r="C445" s="61">
        <v>5401</v>
      </c>
      <c r="D445" s="61">
        <v>0</v>
      </c>
      <c r="E445" s="61">
        <v>0</v>
      </c>
      <c r="F445" s="61">
        <v>0</v>
      </c>
      <c r="G445" s="61">
        <v>0</v>
      </c>
      <c r="H445" s="61">
        <v>5401</v>
      </c>
      <c r="I445" s="61">
        <v>-1000</v>
      </c>
      <c r="J445" s="61">
        <v>4401</v>
      </c>
      <c r="K445" s="61">
        <v>0</v>
      </c>
      <c r="L445" s="61">
        <v>0</v>
      </c>
      <c r="M445" s="61">
        <v>0</v>
      </c>
      <c r="N445" s="61">
        <v>4401</v>
      </c>
    </row>
    <row r="446" spans="1:14" ht="45" x14ac:dyDescent="0.25">
      <c r="A446" s="68" t="s">
        <v>575</v>
      </c>
      <c r="B446" s="60" t="s">
        <v>47</v>
      </c>
      <c r="C446" s="61">
        <v>1065</v>
      </c>
      <c r="D446" s="61">
        <v>0</v>
      </c>
      <c r="E446" s="61">
        <v>0</v>
      </c>
      <c r="F446" s="61">
        <v>0</v>
      </c>
      <c r="G446" s="61">
        <v>0</v>
      </c>
      <c r="H446" s="61">
        <v>1065</v>
      </c>
      <c r="I446" s="61">
        <v>-1000</v>
      </c>
      <c r="J446" s="61">
        <v>65</v>
      </c>
      <c r="K446" s="61">
        <v>0</v>
      </c>
      <c r="L446" s="61">
        <v>0</v>
      </c>
      <c r="M446" s="61">
        <v>0</v>
      </c>
      <c r="N446" s="61">
        <v>65</v>
      </c>
    </row>
    <row r="447" spans="1:14" ht="45" x14ac:dyDescent="0.25">
      <c r="A447" s="68" t="s">
        <v>575</v>
      </c>
      <c r="B447" s="60" t="s">
        <v>79</v>
      </c>
      <c r="C447" s="61">
        <v>8772</v>
      </c>
      <c r="D447" s="61">
        <v>0</v>
      </c>
      <c r="E447" s="61">
        <v>0</v>
      </c>
      <c r="F447" s="61">
        <v>0</v>
      </c>
      <c r="G447" s="61">
        <v>0</v>
      </c>
      <c r="H447" s="61">
        <v>8772</v>
      </c>
      <c r="I447" s="61">
        <v>-2009</v>
      </c>
      <c r="J447" s="61">
        <v>6763</v>
      </c>
      <c r="K447" s="61">
        <v>0</v>
      </c>
      <c r="L447" s="61">
        <v>0</v>
      </c>
      <c r="M447" s="61">
        <v>0</v>
      </c>
      <c r="N447" s="61">
        <v>6763</v>
      </c>
    </row>
    <row r="448" spans="1:14" ht="45" x14ac:dyDescent="0.25">
      <c r="A448" s="68" t="s">
        <v>575</v>
      </c>
      <c r="B448" s="60" t="s">
        <v>80</v>
      </c>
      <c r="C448" s="61">
        <v>84258</v>
      </c>
      <c r="D448" s="61">
        <v>0</v>
      </c>
      <c r="E448" s="61">
        <v>0</v>
      </c>
      <c r="F448" s="61">
        <v>0</v>
      </c>
      <c r="G448" s="61">
        <v>0</v>
      </c>
      <c r="H448" s="61">
        <v>84258</v>
      </c>
      <c r="I448" s="61">
        <v>-2880</v>
      </c>
      <c r="J448" s="61">
        <v>81378</v>
      </c>
      <c r="K448" s="61">
        <v>0</v>
      </c>
      <c r="L448" s="61">
        <v>0</v>
      </c>
      <c r="M448" s="61">
        <v>0</v>
      </c>
      <c r="N448" s="61">
        <v>81378</v>
      </c>
    </row>
    <row r="449" spans="1:14" ht="45" x14ac:dyDescent="0.25">
      <c r="A449" s="68" t="s">
        <v>575</v>
      </c>
      <c r="B449" s="60" t="s">
        <v>81</v>
      </c>
      <c r="C449" s="61">
        <v>98339</v>
      </c>
      <c r="D449" s="61">
        <v>-242</v>
      </c>
      <c r="E449" s="61">
        <v>0</v>
      </c>
      <c r="F449" s="61">
        <v>0</v>
      </c>
      <c r="G449" s="61">
        <v>0</v>
      </c>
      <c r="H449" s="61">
        <v>98097</v>
      </c>
      <c r="I449" s="61">
        <v>-5803</v>
      </c>
      <c r="J449" s="61">
        <v>92294</v>
      </c>
      <c r="K449" s="61">
        <v>0</v>
      </c>
      <c r="L449" s="61">
        <v>0</v>
      </c>
      <c r="M449" s="61">
        <v>0</v>
      </c>
      <c r="N449" s="61">
        <v>92294</v>
      </c>
    </row>
    <row r="450" spans="1:14" ht="45" x14ac:dyDescent="0.25">
      <c r="A450" s="68" t="s">
        <v>575</v>
      </c>
      <c r="B450" s="60" t="s">
        <v>82</v>
      </c>
      <c r="C450" s="61">
        <v>107115</v>
      </c>
      <c r="D450" s="61">
        <v>0</v>
      </c>
      <c r="E450" s="61">
        <v>0</v>
      </c>
      <c r="F450" s="61">
        <v>0</v>
      </c>
      <c r="G450" s="61">
        <v>0</v>
      </c>
      <c r="H450" s="61">
        <v>107115</v>
      </c>
      <c r="I450" s="61">
        <v>-46927</v>
      </c>
      <c r="J450" s="61">
        <v>60188</v>
      </c>
      <c r="K450" s="61">
        <v>0</v>
      </c>
      <c r="L450" s="61">
        <v>0</v>
      </c>
      <c r="M450" s="61">
        <v>0</v>
      </c>
      <c r="N450" s="61">
        <v>60188</v>
      </c>
    </row>
    <row r="451" spans="1:14" ht="45" x14ac:dyDescent="0.25">
      <c r="A451" s="68" t="s">
        <v>575</v>
      </c>
      <c r="B451" s="60" t="s">
        <v>83</v>
      </c>
      <c r="C451" s="61">
        <v>732726</v>
      </c>
      <c r="D451" s="61">
        <v>-2357</v>
      </c>
      <c r="E451" s="61">
        <v>0</v>
      </c>
      <c r="F451" s="61">
        <v>0</v>
      </c>
      <c r="G451" s="61">
        <v>0</v>
      </c>
      <c r="H451" s="61">
        <v>730369</v>
      </c>
      <c r="I451" s="61">
        <v>-500095</v>
      </c>
      <c r="J451" s="61">
        <v>230274</v>
      </c>
      <c r="K451" s="61">
        <v>0</v>
      </c>
      <c r="L451" s="61">
        <v>0</v>
      </c>
      <c r="M451" s="61">
        <v>0</v>
      </c>
      <c r="N451" s="61">
        <v>230274</v>
      </c>
    </row>
    <row r="452" spans="1:14" ht="45" x14ac:dyDescent="0.25">
      <c r="A452" s="68" t="s">
        <v>575</v>
      </c>
      <c r="B452" s="60" t="s">
        <v>48</v>
      </c>
      <c r="C452" s="61">
        <v>939183</v>
      </c>
      <c r="D452" s="61">
        <v>-830</v>
      </c>
      <c r="E452" s="61">
        <v>0</v>
      </c>
      <c r="F452" s="61">
        <v>0</v>
      </c>
      <c r="G452" s="61">
        <v>0</v>
      </c>
      <c r="H452" s="61">
        <v>938353</v>
      </c>
      <c r="I452" s="61">
        <v>-629984</v>
      </c>
      <c r="J452" s="61">
        <v>308369</v>
      </c>
      <c r="K452" s="61">
        <v>0</v>
      </c>
      <c r="L452" s="61">
        <v>0</v>
      </c>
      <c r="M452" s="61">
        <v>0</v>
      </c>
      <c r="N452" s="61">
        <v>308369</v>
      </c>
    </row>
    <row r="453" spans="1:14" ht="45" x14ac:dyDescent="0.25">
      <c r="A453" s="68" t="s">
        <v>575</v>
      </c>
      <c r="B453" s="60" t="s">
        <v>49</v>
      </c>
      <c r="C453" s="61">
        <v>830275</v>
      </c>
      <c r="D453" s="61">
        <v>-5667</v>
      </c>
      <c r="E453" s="61">
        <v>0</v>
      </c>
      <c r="F453" s="61">
        <v>0</v>
      </c>
      <c r="G453" s="61">
        <v>0</v>
      </c>
      <c r="H453" s="61">
        <v>824608</v>
      </c>
      <c r="I453" s="61">
        <v>-616600</v>
      </c>
      <c r="J453" s="61">
        <v>208008</v>
      </c>
      <c r="K453" s="61">
        <v>0</v>
      </c>
      <c r="L453" s="61">
        <v>0</v>
      </c>
      <c r="M453" s="61">
        <v>0</v>
      </c>
      <c r="N453" s="61">
        <v>208008</v>
      </c>
    </row>
    <row r="454" spans="1:14" ht="45" x14ac:dyDescent="0.25">
      <c r="A454" s="68" t="s">
        <v>575</v>
      </c>
      <c r="B454" s="60" t="s">
        <v>50</v>
      </c>
      <c r="C454" s="61">
        <v>891533</v>
      </c>
      <c r="D454" s="61">
        <v>0</v>
      </c>
      <c r="E454" s="61">
        <v>0</v>
      </c>
      <c r="F454" s="61">
        <v>0</v>
      </c>
      <c r="G454" s="61">
        <v>0</v>
      </c>
      <c r="H454" s="61">
        <v>891533</v>
      </c>
      <c r="I454" s="61">
        <v>-649528</v>
      </c>
      <c r="J454" s="61">
        <v>242005</v>
      </c>
      <c r="K454" s="61">
        <v>0</v>
      </c>
      <c r="L454" s="61">
        <v>0</v>
      </c>
      <c r="M454" s="61">
        <v>0</v>
      </c>
      <c r="N454" s="61">
        <v>242005</v>
      </c>
    </row>
    <row r="455" spans="1:14" ht="45" x14ac:dyDescent="0.25">
      <c r="A455" s="68" t="s">
        <v>575</v>
      </c>
      <c r="B455" s="60" t="s">
        <v>51</v>
      </c>
      <c r="C455" s="61">
        <v>892019</v>
      </c>
      <c r="D455" s="61">
        <v>-946</v>
      </c>
      <c r="E455" s="61">
        <v>0</v>
      </c>
      <c r="F455" s="61">
        <v>0</v>
      </c>
      <c r="G455" s="61">
        <v>0</v>
      </c>
      <c r="H455" s="61">
        <v>891073</v>
      </c>
      <c r="I455" s="61">
        <v>-717431</v>
      </c>
      <c r="J455" s="61">
        <v>173642</v>
      </c>
      <c r="K455" s="61">
        <v>0</v>
      </c>
      <c r="L455" s="61">
        <v>0</v>
      </c>
      <c r="M455" s="61">
        <v>0</v>
      </c>
      <c r="N455" s="61">
        <v>173642</v>
      </c>
    </row>
    <row r="456" spans="1:14" ht="15.75" x14ac:dyDescent="0.25">
      <c r="A456" s="52" t="s">
        <v>453</v>
      </c>
      <c r="B456" s="53" t="s">
        <v>8</v>
      </c>
      <c r="C456" s="19">
        <f>SUBTOTAL(109,Program276[(C)
Program
Costs])</f>
        <v>4601852</v>
      </c>
      <c r="D456" s="19">
        <f>SUBTOTAL(109,Program276[(D)
Prior Period Adjustments])</f>
        <v>-10042</v>
      </c>
      <c r="E456" s="19">
        <f>SUBTOTAL(109,Program276[(E)
Current Period Desk 
Reviews])</f>
        <v>0</v>
      </c>
      <c r="F456" s="19">
        <f>SUBTOTAL(109,Program276[(F)
Current Period 
Final 
Audits])</f>
        <v>0</v>
      </c>
      <c r="G456" s="19">
        <f>SUBTOTAL(109,Program276[(G)
Current Period 
Other Adjustments])</f>
        <v>0</v>
      </c>
      <c r="H456" s="19">
        <f>SUBTOTAL(109,Program276[(H)
Net Program Costs
Sum (C through G)])</f>
        <v>4591810</v>
      </c>
      <c r="I456" s="19">
        <f>SUBTOTAL(109,Program276[(I)
Payments
 and Offsets])</f>
        <v>-3174257</v>
      </c>
      <c r="J456" s="19">
        <f>SUBTOTAL(109,Program276[(J)
Accounts Payable Balance
(H + I)])</f>
        <v>1417553</v>
      </c>
      <c r="K456" s="19">
        <f>SUBTOTAL(109,Program276[(K)
Established 
Accounts Receivable])</f>
        <v>0</v>
      </c>
      <c r="L456" s="19">
        <f>SUBTOTAL(109,Program276[(L)
Recovered
 Accounts Receivable])</f>
        <v>0</v>
      </c>
      <c r="M456" s="19">
        <f>SUBTOTAL(109,Program276[(M)
Accounts Receivable Balance
(K + L)])</f>
        <v>0</v>
      </c>
      <c r="N456" s="19">
        <f>SUBTOTAL(109,Program276[(N)
Net Balance
(J minus M)])</f>
        <v>1417553</v>
      </c>
    </row>
    <row r="457" spans="1:14" ht="15.75" x14ac:dyDescent="0.25">
      <c r="A457" s="17" t="s">
        <v>13</v>
      </c>
      <c r="B457" s="54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</row>
    <row r="458" spans="1:14" ht="78.75" x14ac:dyDescent="0.25">
      <c r="A458" s="39" t="s">
        <v>32</v>
      </c>
      <c r="B458" s="40" t="s">
        <v>33</v>
      </c>
      <c r="C458" s="41" t="s">
        <v>34</v>
      </c>
      <c r="D458" s="41" t="s">
        <v>35</v>
      </c>
      <c r="E458" s="42" t="s">
        <v>36</v>
      </c>
      <c r="F458" s="42" t="s">
        <v>37</v>
      </c>
      <c r="G458" s="42" t="s">
        <v>38</v>
      </c>
      <c r="H458" s="43" t="s">
        <v>39</v>
      </c>
      <c r="I458" s="44" t="s">
        <v>40</v>
      </c>
      <c r="J458" s="44" t="s">
        <v>41</v>
      </c>
      <c r="K458" s="42" t="s">
        <v>42</v>
      </c>
      <c r="L458" s="44" t="s">
        <v>43</v>
      </c>
      <c r="M458" s="44" t="s">
        <v>44</v>
      </c>
      <c r="N458" s="45" t="s">
        <v>45</v>
      </c>
    </row>
    <row r="459" spans="1:14" ht="60" x14ac:dyDescent="0.25">
      <c r="A459" s="67" t="s">
        <v>574</v>
      </c>
      <c r="B459" s="57" t="s">
        <v>76</v>
      </c>
      <c r="C459" s="58">
        <v>33163</v>
      </c>
      <c r="D459" s="58">
        <v>0</v>
      </c>
      <c r="E459" s="58">
        <v>0</v>
      </c>
      <c r="F459" s="58">
        <v>0</v>
      </c>
      <c r="G459" s="58">
        <v>0</v>
      </c>
      <c r="H459" s="58">
        <v>33163</v>
      </c>
      <c r="I459" s="58">
        <v>0</v>
      </c>
      <c r="J459" s="58">
        <v>33163</v>
      </c>
      <c r="K459" s="58">
        <v>0</v>
      </c>
      <c r="L459" s="58">
        <v>0</v>
      </c>
      <c r="M459" s="58">
        <v>0</v>
      </c>
      <c r="N459" s="58">
        <v>33163</v>
      </c>
    </row>
    <row r="460" spans="1:14" ht="60" x14ac:dyDescent="0.25">
      <c r="A460" s="68" t="s">
        <v>574</v>
      </c>
      <c r="B460" s="60" t="s">
        <v>77</v>
      </c>
      <c r="C460" s="61">
        <v>27368</v>
      </c>
      <c r="D460" s="61">
        <v>0</v>
      </c>
      <c r="E460" s="61">
        <v>0</v>
      </c>
      <c r="F460" s="61">
        <v>0</v>
      </c>
      <c r="G460" s="61">
        <v>0</v>
      </c>
      <c r="H460" s="61">
        <v>27368</v>
      </c>
      <c r="I460" s="61">
        <v>-1000</v>
      </c>
      <c r="J460" s="61">
        <v>26368</v>
      </c>
      <c r="K460" s="61">
        <v>0</v>
      </c>
      <c r="L460" s="61">
        <v>0</v>
      </c>
      <c r="M460" s="61">
        <v>0</v>
      </c>
      <c r="N460" s="61">
        <v>26368</v>
      </c>
    </row>
    <row r="461" spans="1:14" ht="60" x14ac:dyDescent="0.25">
      <c r="A461" s="68" t="s">
        <v>574</v>
      </c>
      <c r="B461" s="60" t="s">
        <v>78</v>
      </c>
      <c r="C461" s="61">
        <v>68320</v>
      </c>
      <c r="D461" s="61">
        <v>0</v>
      </c>
      <c r="E461" s="61">
        <v>0</v>
      </c>
      <c r="F461" s="61">
        <v>0</v>
      </c>
      <c r="G461" s="61">
        <v>0</v>
      </c>
      <c r="H461" s="61">
        <v>68320</v>
      </c>
      <c r="I461" s="61">
        <v>-1000</v>
      </c>
      <c r="J461" s="61">
        <v>67320</v>
      </c>
      <c r="K461" s="61">
        <v>0</v>
      </c>
      <c r="L461" s="61">
        <v>0</v>
      </c>
      <c r="M461" s="61">
        <v>0</v>
      </c>
      <c r="N461" s="61">
        <v>67320</v>
      </c>
    </row>
    <row r="462" spans="1:14" ht="60" x14ac:dyDescent="0.25">
      <c r="A462" s="68" t="s">
        <v>574</v>
      </c>
      <c r="B462" s="60" t="s">
        <v>47</v>
      </c>
      <c r="C462" s="61">
        <v>55727</v>
      </c>
      <c r="D462" s="61">
        <v>0</v>
      </c>
      <c r="E462" s="61">
        <v>0</v>
      </c>
      <c r="F462" s="61">
        <v>0</v>
      </c>
      <c r="G462" s="61">
        <v>0</v>
      </c>
      <c r="H462" s="61">
        <v>55727</v>
      </c>
      <c r="I462" s="61">
        <v>-10004</v>
      </c>
      <c r="J462" s="61">
        <v>45723</v>
      </c>
      <c r="K462" s="61">
        <v>0</v>
      </c>
      <c r="L462" s="61">
        <v>0</v>
      </c>
      <c r="M462" s="61">
        <v>0</v>
      </c>
      <c r="N462" s="61">
        <v>45723</v>
      </c>
    </row>
    <row r="463" spans="1:14" ht="60" x14ac:dyDescent="0.25">
      <c r="A463" s="68" t="s">
        <v>574</v>
      </c>
      <c r="B463" s="60" t="s">
        <v>79</v>
      </c>
      <c r="C463" s="61">
        <v>86047</v>
      </c>
      <c r="D463" s="61">
        <v>-1479</v>
      </c>
      <c r="E463" s="61">
        <v>0</v>
      </c>
      <c r="F463" s="61">
        <v>0</v>
      </c>
      <c r="G463" s="61">
        <v>0</v>
      </c>
      <c r="H463" s="61">
        <v>84568</v>
      </c>
      <c r="I463" s="61">
        <v>-18907</v>
      </c>
      <c r="J463" s="61">
        <v>65661</v>
      </c>
      <c r="K463" s="61">
        <v>0</v>
      </c>
      <c r="L463" s="61">
        <v>0</v>
      </c>
      <c r="M463" s="61">
        <v>0</v>
      </c>
      <c r="N463" s="61">
        <v>65661</v>
      </c>
    </row>
    <row r="464" spans="1:14" ht="60" x14ac:dyDescent="0.25">
      <c r="A464" s="68" t="s">
        <v>574</v>
      </c>
      <c r="B464" s="60" t="s">
        <v>80</v>
      </c>
      <c r="C464" s="61">
        <v>571847</v>
      </c>
      <c r="D464" s="61">
        <v>-133</v>
      </c>
      <c r="E464" s="61">
        <v>0</v>
      </c>
      <c r="F464" s="61">
        <v>0</v>
      </c>
      <c r="G464" s="61">
        <v>0</v>
      </c>
      <c r="H464" s="61">
        <v>571714</v>
      </c>
      <c r="I464" s="61">
        <v>-49899</v>
      </c>
      <c r="J464" s="61">
        <v>521815</v>
      </c>
      <c r="K464" s="61">
        <v>0</v>
      </c>
      <c r="L464" s="61">
        <v>0</v>
      </c>
      <c r="M464" s="61">
        <v>0</v>
      </c>
      <c r="N464" s="61">
        <v>521815</v>
      </c>
    </row>
    <row r="465" spans="1:14" ht="60" x14ac:dyDescent="0.25">
      <c r="A465" s="68" t="s">
        <v>574</v>
      </c>
      <c r="B465" s="60" t="s">
        <v>81</v>
      </c>
      <c r="C465" s="61">
        <v>606340</v>
      </c>
      <c r="D465" s="61">
        <v>-997</v>
      </c>
      <c r="E465" s="61">
        <v>0</v>
      </c>
      <c r="F465" s="61">
        <v>0</v>
      </c>
      <c r="G465" s="61">
        <v>0</v>
      </c>
      <c r="H465" s="61">
        <v>605343</v>
      </c>
      <c r="I465" s="61">
        <v>-154725</v>
      </c>
      <c r="J465" s="61">
        <v>450618</v>
      </c>
      <c r="K465" s="61">
        <v>0</v>
      </c>
      <c r="L465" s="61">
        <v>0</v>
      </c>
      <c r="M465" s="61">
        <v>0</v>
      </c>
      <c r="N465" s="61">
        <v>450618</v>
      </c>
    </row>
    <row r="466" spans="1:14" ht="60" x14ac:dyDescent="0.25">
      <c r="A466" s="68" t="s">
        <v>574</v>
      </c>
      <c r="B466" s="60" t="s">
        <v>82</v>
      </c>
      <c r="C466" s="61">
        <v>1238142</v>
      </c>
      <c r="D466" s="61">
        <v>0</v>
      </c>
      <c r="E466" s="61">
        <v>0</v>
      </c>
      <c r="F466" s="61">
        <v>0</v>
      </c>
      <c r="G466" s="61">
        <v>0</v>
      </c>
      <c r="H466" s="61">
        <v>1238142</v>
      </c>
      <c r="I466" s="61">
        <v>-557867</v>
      </c>
      <c r="J466" s="61">
        <v>680275</v>
      </c>
      <c r="K466" s="61">
        <v>0</v>
      </c>
      <c r="L466" s="61">
        <v>0</v>
      </c>
      <c r="M466" s="61">
        <v>0</v>
      </c>
      <c r="N466" s="61">
        <v>680275</v>
      </c>
    </row>
    <row r="467" spans="1:14" ht="60" x14ac:dyDescent="0.25">
      <c r="A467" s="68" t="s">
        <v>574</v>
      </c>
      <c r="B467" s="60" t="s">
        <v>83</v>
      </c>
      <c r="C467" s="61">
        <v>6503528</v>
      </c>
      <c r="D467" s="61">
        <v>-4780</v>
      </c>
      <c r="E467" s="61">
        <v>0</v>
      </c>
      <c r="F467" s="61">
        <v>0</v>
      </c>
      <c r="G467" s="61">
        <v>0</v>
      </c>
      <c r="H467" s="61">
        <v>6498748</v>
      </c>
      <c r="I467" s="61">
        <v>-4834944</v>
      </c>
      <c r="J467" s="61">
        <v>1663804</v>
      </c>
      <c r="K467" s="61">
        <v>0</v>
      </c>
      <c r="L467" s="61">
        <v>0</v>
      </c>
      <c r="M467" s="61">
        <v>0</v>
      </c>
      <c r="N467" s="61">
        <v>1663804</v>
      </c>
    </row>
    <row r="468" spans="1:14" ht="60" x14ac:dyDescent="0.25">
      <c r="A468" s="68" t="s">
        <v>574</v>
      </c>
      <c r="B468" s="60" t="s">
        <v>48</v>
      </c>
      <c r="C468" s="61">
        <v>7868471</v>
      </c>
      <c r="D468" s="61">
        <v>-12102</v>
      </c>
      <c r="E468" s="61">
        <v>0</v>
      </c>
      <c r="F468" s="61">
        <v>0</v>
      </c>
      <c r="G468" s="61">
        <v>0</v>
      </c>
      <c r="H468" s="61">
        <v>7856369</v>
      </c>
      <c r="I468" s="61">
        <v>-6178623</v>
      </c>
      <c r="J468" s="61">
        <v>1677746</v>
      </c>
      <c r="K468" s="61">
        <v>0</v>
      </c>
      <c r="L468" s="61">
        <v>0</v>
      </c>
      <c r="M468" s="61">
        <v>0</v>
      </c>
      <c r="N468" s="61">
        <v>1677746</v>
      </c>
    </row>
    <row r="469" spans="1:14" ht="60" x14ac:dyDescent="0.25">
      <c r="A469" s="68" t="s">
        <v>574</v>
      </c>
      <c r="B469" s="60" t="s">
        <v>49</v>
      </c>
      <c r="C469" s="61">
        <v>8811989</v>
      </c>
      <c r="D469" s="61">
        <v>-35957</v>
      </c>
      <c r="E469" s="61">
        <v>0</v>
      </c>
      <c r="F469" s="61">
        <v>0</v>
      </c>
      <c r="G469" s="61">
        <v>0</v>
      </c>
      <c r="H469" s="61">
        <v>8776032</v>
      </c>
      <c r="I469" s="61">
        <v>-8520670</v>
      </c>
      <c r="J469" s="61">
        <v>255362</v>
      </c>
      <c r="K469" s="61">
        <v>33477</v>
      </c>
      <c r="L469" s="61">
        <v>-11081</v>
      </c>
      <c r="M469" s="61">
        <v>22396</v>
      </c>
      <c r="N469" s="61">
        <v>232966</v>
      </c>
    </row>
    <row r="470" spans="1:14" ht="60" x14ac:dyDescent="0.25">
      <c r="A470" s="68" t="s">
        <v>574</v>
      </c>
      <c r="B470" s="60" t="s">
        <v>50</v>
      </c>
      <c r="C470" s="61">
        <v>8524567</v>
      </c>
      <c r="D470" s="61">
        <v>-12688</v>
      </c>
      <c r="E470" s="61">
        <v>0</v>
      </c>
      <c r="F470" s="61">
        <v>0</v>
      </c>
      <c r="G470" s="61">
        <v>0</v>
      </c>
      <c r="H470" s="61">
        <v>8511879</v>
      </c>
      <c r="I470" s="61">
        <v>-8403076</v>
      </c>
      <c r="J470" s="61">
        <v>108803</v>
      </c>
      <c r="K470" s="61">
        <v>2076</v>
      </c>
      <c r="L470" s="61">
        <v>0</v>
      </c>
      <c r="M470" s="61">
        <v>2076</v>
      </c>
      <c r="N470" s="61">
        <v>106727</v>
      </c>
    </row>
    <row r="471" spans="1:14" ht="15.75" x14ac:dyDescent="0.25">
      <c r="A471" s="52" t="s">
        <v>452</v>
      </c>
      <c r="B471" s="53" t="s">
        <v>8</v>
      </c>
      <c r="C471" s="19">
        <f>SUBTOTAL(109,Program292[(C)
Program
Costs])</f>
        <v>34395509</v>
      </c>
      <c r="D471" s="19">
        <f>SUBTOTAL(109,Program292[(D)
Prior Period Adjustments])</f>
        <v>-68136</v>
      </c>
      <c r="E471" s="19">
        <f>SUBTOTAL(109,Program292[(E)
Current Period Desk 
Reviews])</f>
        <v>0</v>
      </c>
      <c r="F471" s="19">
        <f>SUBTOTAL(109,Program292[(F)
Current Period 
Final 
Audits])</f>
        <v>0</v>
      </c>
      <c r="G471" s="19">
        <f>SUBTOTAL(109,Program292[(G)
Current Period 
Other Adjustments])</f>
        <v>0</v>
      </c>
      <c r="H471" s="19">
        <f>SUBTOTAL(109,Program292[(H)
Net Program Costs
Sum (C through G)])</f>
        <v>34327373</v>
      </c>
      <c r="I471" s="19">
        <f>SUBTOTAL(109,Program292[(I)
Payments
 and Offsets])</f>
        <v>-28730715</v>
      </c>
      <c r="J471" s="19">
        <f>SUBTOTAL(109,Program292[(J)
Accounts Payable Balance
(H + I)])</f>
        <v>5596658</v>
      </c>
      <c r="K471" s="19">
        <f>SUBTOTAL(109,Program292[(K)
Established 
Accounts Receivable])</f>
        <v>35553</v>
      </c>
      <c r="L471" s="19">
        <f>SUBTOTAL(109,Program292[(L)
Recovered
 Accounts Receivable])</f>
        <v>-11081</v>
      </c>
      <c r="M471" s="19">
        <f>SUBTOTAL(109,Program292[(M)
Accounts Receivable Balance
(K + L)])</f>
        <v>24472</v>
      </c>
      <c r="N471" s="19">
        <f>SUBTOTAL(109,Program292[(N)
Net Balance
(J minus M)])</f>
        <v>5572186</v>
      </c>
    </row>
    <row r="472" spans="1:14" ht="15.75" x14ac:dyDescent="0.25">
      <c r="A472" s="17" t="s">
        <v>13</v>
      </c>
      <c r="B472" s="54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</row>
    <row r="473" spans="1:14" ht="78.75" x14ac:dyDescent="0.25">
      <c r="A473" s="39" t="s">
        <v>32</v>
      </c>
      <c r="B473" s="40" t="s">
        <v>33</v>
      </c>
      <c r="C473" s="41" t="s">
        <v>34</v>
      </c>
      <c r="D473" s="41" t="s">
        <v>35</v>
      </c>
      <c r="E473" s="42" t="s">
        <v>36</v>
      </c>
      <c r="F473" s="42" t="s">
        <v>37</v>
      </c>
      <c r="G473" s="42" t="s">
        <v>38</v>
      </c>
      <c r="H473" s="43" t="s">
        <v>39</v>
      </c>
      <c r="I473" s="44" t="s">
        <v>40</v>
      </c>
      <c r="J473" s="44" t="s">
        <v>41</v>
      </c>
      <c r="K473" s="42" t="s">
        <v>42</v>
      </c>
      <c r="L473" s="44" t="s">
        <v>43</v>
      </c>
      <c r="M473" s="44" t="s">
        <v>44</v>
      </c>
      <c r="N473" s="45" t="s">
        <v>45</v>
      </c>
    </row>
    <row r="474" spans="1:14" ht="45" x14ac:dyDescent="0.25">
      <c r="A474" s="67" t="s">
        <v>573</v>
      </c>
      <c r="B474" s="57" t="s">
        <v>51</v>
      </c>
      <c r="C474" s="58">
        <v>347374</v>
      </c>
      <c r="D474" s="58">
        <v>-974</v>
      </c>
      <c r="E474" s="58">
        <v>0</v>
      </c>
      <c r="F474" s="58">
        <v>0</v>
      </c>
      <c r="G474" s="58">
        <v>0</v>
      </c>
      <c r="H474" s="58">
        <v>346400</v>
      </c>
      <c r="I474" s="58">
        <v>-287064</v>
      </c>
      <c r="J474" s="58">
        <v>59336</v>
      </c>
      <c r="K474" s="58">
        <v>0</v>
      </c>
      <c r="L474" s="58">
        <v>0</v>
      </c>
      <c r="M474" s="58">
        <v>0</v>
      </c>
      <c r="N474" s="58">
        <v>59336</v>
      </c>
    </row>
    <row r="475" spans="1:14" ht="45" x14ac:dyDescent="0.25">
      <c r="A475" s="68" t="s">
        <v>573</v>
      </c>
      <c r="B475" s="60" t="s">
        <v>52</v>
      </c>
      <c r="C475" s="61">
        <v>216173</v>
      </c>
      <c r="D475" s="61">
        <v>-224</v>
      </c>
      <c r="E475" s="61">
        <v>0</v>
      </c>
      <c r="F475" s="61">
        <v>0</v>
      </c>
      <c r="G475" s="61">
        <v>0</v>
      </c>
      <c r="H475" s="61">
        <v>215949</v>
      </c>
      <c r="I475" s="61">
        <v>-138573</v>
      </c>
      <c r="J475" s="61">
        <v>77376</v>
      </c>
      <c r="K475" s="61">
        <v>0</v>
      </c>
      <c r="L475" s="61">
        <v>0</v>
      </c>
      <c r="M475" s="61">
        <v>0</v>
      </c>
      <c r="N475" s="61">
        <v>77376</v>
      </c>
    </row>
    <row r="476" spans="1:14" ht="45" x14ac:dyDescent="0.25">
      <c r="A476" s="68" t="s">
        <v>573</v>
      </c>
      <c r="B476" s="60" t="s">
        <v>53</v>
      </c>
      <c r="C476" s="61">
        <v>221880</v>
      </c>
      <c r="D476" s="61">
        <v>-243</v>
      </c>
      <c r="E476" s="61">
        <v>0</v>
      </c>
      <c r="F476" s="61">
        <v>0</v>
      </c>
      <c r="G476" s="61">
        <v>0</v>
      </c>
      <c r="H476" s="61">
        <v>221637</v>
      </c>
      <c r="I476" s="61">
        <v>-135227</v>
      </c>
      <c r="J476" s="61">
        <v>86410</v>
      </c>
      <c r="K476" s="61">
        <v>0</v>
      </c>
      <c r="L476" s="61">
        <v>0</v>
      </c>
      <c r="M476" s="61">
        <v>0</v>
      </c>
      <c r="N476" s="61">
        <v>86410</v>
      </c>
    </row>
    <row r="477" spans="1:14" ht="45" x14ac:dyDescent="0.25">
      <c r="A477" s="68" t="s">
        <v>573</v>
      </c>
      <c r="B477" s="60" t="s">
        <v>54</v>
      </c>
      <c r="C477" s="61">
        <v>279578</v>
      </c>
      <c r="D477" s="61">
        <v>-942</v>
      </c>
      <c r="E477" s="61">
        <v>0</v>
      </c>
      <c r="F477" s="61">
        <v>0</v>
      </c>
      <c r="G477" s="61">
        <v>0</v>
      </c>
      <c r="H477" s="61">
        <v>278636</v>
      </c>
      <c r="I477" s="61">
        <v>-243156</v>
      </c>
      <c r="J477" s="61">
        <v>35480</v>
      </c>
      <c r="K477" s="61">
        <v>0</v>
      </c>
      <c r="L477" s="61">
        <v>0</v>
      </c>
      <c r="M477" s="61">
        <v>0</v>
      </c>
      <c r="N477" s="61">
        <v>35480</v>
      </c>
    </row>
    <row r="478" spans="1:14" ht="45" x14ac:dyDescent="0.25">
      <c r="A478" s="68" t="s">
        <v>573</v>
      </c>
      <c r="B478" s="60" t="s">
        <v>55</v>
      </c>
      <c r="C478" s="61">
        <v>177550</v>
      </c>
      <c r="D478" s="61">
        <v>-1082</v>
      </c>
      <c r="E478" s="61">
        <v>0</v>
      </c>
      <c r="F478" s="61">
        <v>0</v>
      </c>
      <c r="G478" s="61">
        <v>0</v>
      </c>
      <c r="H478" s="61">
        <v>176468</v>
      </c>
      <c r="I478" s="61">
        <v>-170016</v>
      </c>
      <c r="J478" s="61">
        <v>6452</v>
      </c>
      <c r="K478" s="61">
        <v>0</v>
      </c>
      <c r="L478" s="61">
        <v>0</v>
      </c>
      <c r="M478" s="61">
        <v>0</v>
      </c>
      <c r="N478" s="61">
        <v>6452</v>
      </c>
    </row>
    <row r="479" spans="1:14" ht="45" x14ac:dyDescent="0.25">
      <c r="A479" s="68" t="s">
        <v>573</v>
      </c>
      <c r="B479" s="60" t="s">
        <v>56</v>
      </c>
      <c r="C479" s="61">
        <v>194480</v>
      </c>
      <c r="D479" s="61">
        <v>-249</v>
      </c>
      <c r="E479" s="61">
        <v>0</v>
      </c>
      <c r="F479" s="61">
        <v>0</v>
      </c>
      <c r="G479" s="61">
        <v>0</v>
      </c>
      <c r="H479" s="61">
        <v>194231</v>
      </c>
      <c r="I479" s="61">
        <v>-194231</v>
      </c>
      <c r="J479" s="61">
        <v>0</v>
      </c>
      <c r="K479" s="61">
        <v>0</v>
      </c>
      <c r="L479" s="61">
        <v>0</v>
      </c>
      <c r="M479" s="61">
        <v>0</v>
      </c>
      <c r="N479" s="61">
        <v>0</v>
      </c>
    </row>
    <row r="480" spans="1:14" ht="45" x14ac:dyDescent="0.25">
      <c r="A480" s="68" t="s">
        <v>573</v>
      </c>
      <c r="B480" s="60" t="s">
        <v>57</v>
      </c>
      <c r="C480" s="61">
        <v>59805</v>
      </c>
      <c r="D480" s="61">
        <v>-235</v>
      </c>
      <c r="E480" s="61">
        <v>0</v>
      </c>
      <c r="F480" s="61">
        <v>0</v>
      </c>
      <c r="G480" s="61">
        <v>0</v>
      </c>
      <c r="H480" s="61">
        <v>59570</v>
      </c>
      <c r="I480" s="61">
        <v>-59570</v>
      </c>
      <c r="J480" s="61">
        <v>0</v>
      </c>
      <c r="K480" s="61">
        <v>0</v>
      </c>
      <c r="L480" s="61">
        <v>0</v>
      </c>
      <c r="M480" s="61">
        <v>0</v>
      </c>
      <c r="N480" s="61">
        <v>0</v>
      </c>
    </row>
    <row r="481" spans="1:14" ht="45" x14ac:dyDescent="0.25">
      <c r="A481" s="68" t="s">
        <v>573</v>
      </c>
      <c r="B481" s="60" t="s">
        <v>58</v>
      </c>
      <c r="C481" s="61">
        <v>23166</v>
      </c>
      <c r="D481" s="61">
        <v>0</v>
      </c>
      <c r="E481" s="61">
        <v>0</v>
      </c>
      <c r="F481" s="61">
        <v>0</v>
      </c>
      <c r="G481" s="61">
        <v>0</v>
      </c>
      <c r="H481" s="61">
        <v>23166</v>
      </c>
      <c r="I481" s="61">
        <v>-23166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</row>
    <row r="482" spans="1:14" ht="15.75" x14ac:dyDescent="0.25">
      <c r="A482" s="52" t="s">
        <v>451</v>
      </c>
      <c r="B482" s="53" t="s">
        <v>8</v>
      </c>
      <c r="C482" s="19">
        <f>SUBTOTAL(109,Program291[(C)
Program
Costs])</f>
        <v>1520006</v>
      </c>
      <c r="D482" s="19">
        <f>SUBTOTAL(109,Program291[(D)
Prior Period Adjustments])</f>
        <v>-3949</v>
      </c>
      <c r="E482" s="19">
        <f>SUBTOTAL(109,Program291[(E)
Current Period Desk 
Reviews])</f>
        <v>0</v>
      </c>
      <c r="F482" s="19">
        <f>SUBTOTAL(109,Program291[(F)
Current Period 
Final 
Audits])</f>
        <v>0</v>
      </c>
      <c r="G482" s="19">
        <f>SUBTOTAL(109,Program291[(G)
Current Period 
Other Adjustments])</f>
        <v>0</v>
      </c>
      <c r="H482" s="19">
        <f>SUBTOTAL(109,Program291[(H)
Net Program Costs
Sum (C through G)])</f>
        <v>1516057</v>
      </c>
      <c r="I482" s="19">
        <f>SUBTOTAL(109,Program291[(I)
Payments
 and Offsets])</f>
        <v>-1251003</v>
      </c>
      <c r="J482" s="19">
        <f>SUBTOTAL(109,Program291[(J)
Accounts Payable Balance
(H + I)])</f>
        <v>265054</v>
      </c>
      <c r="K482" s="19">
        <f>SUBTOTAL(109,Program291[(K)
Established 
Accounts Receivable])</f>
        <v>0</v>
      </c>
      <c r="L482" s="19">
        <f>SUBTOTAL(109,Program291[(L)
Recovered
 Accounts Receivable])</f>
        <v>0</v>
      </c>
      <c r="M482" s="19">
        <f>SUBTOTAL(109,Program291[(M)
Accounts Receivable Balance
(K + L)])</f>
        <v>0</v>
      </c>
      <c r="N482" s="19">
        <f>SUBTOTAL(109,Program291[(N)
Net Balance
(J minus M)])</f>
        <v>265054</v>
      </c>
    </row>
    <row r="483" spans="1:14" ht="15.75" x14ac:dyDescent="0.25">
      <c r="A483" s="17" t="s">
        <v>13</v>
      </c>
      <c r="B483" s="54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</row>
    <row r="484" spans="1:14" ht="78.75" x14ac:dyDescent="0.25">
      <c r="A484" s="39" t="s">
        <v>32</v>
      </c>
      <c r="B484" s="40" t="s">
        <v>33</v>
      </c>
      <c r="C484" s="41" t="s">
        <v>34</v>
      </c>
      <c r="D484" s="41" t="s">
        <v>35</v>
      </c>
      <c r="E484" s="42" t="s">
        <v>36</v>
      </c>
      <c r="F484" s="42" t="s">
        <v>37</v>
      </c>
      <c r="G484" s="42" t="s">
        <v>38</v>
      </c>
      <c r="H484" s="43" t="s">
        <v>39</v>
      </c>
      <c r="I484" s="44" t="s">
        <v>40</v>
      </c>
      <c r="J484" s="44" t="s">
        <v>41</v>
      </c>
      <c r="K484" s="42" t="s">
        <v>42</v>
      </c>
      <c r="L484" s="44" t="s">
        <v>43</v>
      </c>
      <c r="M484" s="44" t="s">
        <v>44</v>
      </c>
      <c r="N484" s="45" t="s">
        <v>45</v>
      </c>
    </row>
    <row r="485" spans="1:14" ht="30" x14ac:dyDescent="0.25">
      <c r="A485" s="67" t="s">
        <v>572</v>
      </c>
      <c r="B485" s="57" t="s">
        <v>76</v>
      </c>
      <c r="C485" s="58">
        <v>35550</v>
      </c>
      <c r="D485" s="58">
        <v>0</v>
      </c>
      <c r="E485" s="58">
        <v>0</v>
      </c>
      <c r="F485" s="58">
        <v>0</v>
      </c>
      <c r="G485" s="58">
        <v>0</v>
      </c>
      <c r="H485" s="58">
        <v>35550</v>
      </c>
      <c r="I485" s="58">
        <v>0</v>
      </c>
      <c r="J485" s="58">
        <v>35550</v>
      </c>
      <c r="K485" s="58">
        <v>0</v>
      </c>
      <c r="L485" s="58">
        <v>0</v>
      </c>
      <c r="M485" s="58">
        <v>0</v>
      </c>
      <c r="N485" s="58">
        <v>35550</v>
      </c>
    </row>
    <row r="486" spans="1:14" ht="30" x14ac:dyDescent="0.25">
      <c r="A486" s="68" t="s">
        <v>572</v>
      </c>
      <c r="B486" s="60" t="s">
        <v>77</v>
      </c>
      <c r="C486" s="61">
        <v>31923</v>
      </c>
      <c r="D486" s="61">
        <v>0</v>
      </c>
      <c r="E486" s="61">
        <v>0</v>
      </c>
      <c r="F486" s="61">
        <v>0</v>
      </c>
      <c r="G486" s="61">
        <v>0</v>
      </c>
      <c r="H486" s="61">
        <v>31923</v>
      </c>
      <c r="I486" s="61">
        <v>-1000</v>
      </c>
      <c r="J486" s="61">
        <v>30923</v>
      </c>
      <c r="K486" s="61">
        <v>0</v>
      </c>
      <c r="L486" s="61">
        <v>0</v>
      </c>
      <c r="M486" s="61">
        <v>0</v>
      </c>
      <c r="N486" s="61">
        <v>30923</v>
      </c>
    </row>
    <row r="487" spans="1:14" ht="30" x14ac:dyDescent="0.25">
      <c r="A487" s="68" t="s">
        <v>572</v>
      </c>
      <c r="B487" s="60" t="s">
        <v>78</v>
      </c>
      <c r="C487" s="61">
        <v>52760</v>
      </c>
      <c r="D487" s="61">
        <v>0</v>
      </c>
      <c r="E487" s="61">
        <v>0</v>
      </c>
      <c r="F487" s="61">
        <v>0</v>
      </c>
      <c r="G487" s="61">
        <v>0</v>
      </c>
      <c r="H487" s="61">
        <v>52760</v>
      </c>
      <c r="I487" s="61">
        <v>-1000</v>
      </c>
      <c r="J487" s="61">
        <v>51760</v>
      </c>
      <c r="K487" s="61">
        <v>0</v>
      </c>
      <c r="L487" s="61">
        <v>0</v>
      </c>
      <c r="M487" s="61">
        <v>0</v>
      </c>
      <c r="N487" s="61">
        <v>51760</v>
      </c>
    </row>
    <row r="488" spans="1:14" ht="30" x14ac:dyDescent="0.25">
      <c r="A488" s="68" t="s">
        <v>572</v>
      </c>
      <c r="B488" s="60" t="s">
        <v>47</v>
      </c>
      <c r="C488" s="61">
        <v>65899</v>
      </c>
      <c r="D488" s="61">
        <v>0</v>
      </c>
      <c r="E488" s="61">
        <v>0</v>
      </c>
      <c r="F488" s="61">
        <v>0</v>
      </c>
      <c r="G488" s="61">
        <v>0</v>
      </c>
      <c r="H488" s="61">
        <v>65899</v>
      </c>
      <c r="I488" s="61">
        <v>-1000</v>
      </c>
      <c r="J488" s="61">
        <v>64899</v>
      </c>
      <c r="K488" s="61">
        <v>0</v>
      </c>
      <c r="L488" s="61">
        <v>0</v>
      </c>
      <c r="M488" s="61">
        <v>0</v>
      </c>
      <c r="N488" s="61">
        <v>64899</v>
      </c>
    </row>
    <row r="489" spans="1:14" ht="30" x14ac:dyDescent="0.25">
      <c r="A489" s="68" t="s">
        <v>572</v>
      </c>
      <c r="B489" s="60" t="s">
        <v>79</v>
      </c>
      <c r="C489" s="61">
        <v>46239</v>
      </c>
      <c r="D489" s="61">
        <v>0</v>
      </c>
      <c r="E489" s="61">
        <v>0</v>
      </c>
      <c r="F489" s="61">
        <v>0</v>
      </c>
      <c r="G489" s="61">
        <v>0</v>
      </c>
      <c r="H489" s="61">
        <v>46239</v>
      </c>
      <c r="I489" s="61">
        <v>-1000</v>
      </c>
      <c r="J489" s="61">
        <v>45239</v>
      </c>
      <c r="K489" s="61">
        <v>0</v>
      </c>
      <c r="L489" s="61">
        <v>0</v>
      </c>
      <c r="M489" s="61">
        <v>0</v>
      </c>
      <c r="N489" s="61">
        <v>45239</v>
      </c>
    </row>
    <row r="490" spans="1:14" ht="30" x14ac:dyDescent="0.25">
      <c r="A490" s="68" t="s">
        <v>572</v>
      </c>
      <c r="B490" s="60" t="s">
        <v>80</v>
      </c>
      <c r="C490" s="61">
        <v>93729</v>
      </c>
      <c r="D490" s="61">
        <v>0</v>
      </c>
      <c r="E490" s="61">
        <v>0</v>
      </c>
      <c r="F490" s="61">
        <v>0</v>
      </c>
      <c r="G490" s="61">
        <v>0</v>
      </c>
      <c r="H490" s="61">
        <v>93729</v>
      </c>
      <c r="I490" s="61">
        <v>-1000</v>
      </c>
      <c r="J490" s="61">
        <v>92729</v>
      </c>
      <c r="K490" s="61">
        <v>0</v>
      </c>
      <c r="L490" s="61">
        <v>0</v>
      </c>
      <c r="M490" s="61">
        <v>0</v>
      </c>
      <c r="N490" s="61">
        <v>92729</v>
      </c>
    </row>
    <row r="491" spans="1:14" ht="30" x14ac:dyDescent="0.25">
      <c r="A491" s="68" t="s">
        <v>572</v>
      </c>
      <c r="B491" s="60" t="s">
        <v>81</v>
      </c>
      <c r="C491" s="61">
        <v>100210</v>
      </c>
      <c r="D491" s="61">
        <v>0</v>
      </c>
      <c r="E491" s="61">
        <v>0</v>
      </c>
      <c r="F491" s="61">
        <v>0</v>
      </c>
      <c r="G491" s="61">
        <v>0</v>
      </c>
      <c r="H491" s="61">
        <v>100210</v>
      </c>
      <c r="I491" s="61">
        <v>-1000</v>
      </c>
      <c r="J491" s="61">
        <v>99210</v>
      </c>
      <c r="K491" s="61">
        <v>0</v>
      </c>
      <c r="L491" s="61">
        <v>0</v>
      </c>
      <c r="M491" s="61">
        <v>0</v>
      </c>
      <c r="N491" s="61">
        <v>99210</v>
      </c>
    </row>
    <row r="492" spans="1:14" ht="30" x14ac:dyDescent="0.25">
      <c r="A492" s="68" t="s">
        <v>572</v>
      </c>
      <c r="B492" s="60" t="s">
        <v>82</v>
      </c>
      <c r="C492" s="61">
        <v>169611</v>
      </c>
      <c r="D492" s="61">
        <v>0</v>
      </c>
      <c r="E492" s="61">
        <v>0</v>
      </c>
      <c r="F492" s="61">
        <v>0</v>
      </c>
      <c r="G492" s="61">
        <v>0</v>
      </c>
      <c r="H492" s="61">
        <v>169611</v>
      </c>
      <c r="I492" s="61">
        <v>-1000</v>
      </c>
      <c r="J492" s="61">
        <v>168611</v>
      </c>
      <c r="K492" s="61">
        <v>0</v>
      </c>
      <c r="L492" s="61">
        <v>0</v>
      </c>
      <c r="M492" s="61">
        <v>0</v>
      </c>
      <c r="N492" s="61">
        <v>168611</v>
      </c>
    </row>
    <row r="493" spans="1:14" ht="30" x14ac:dyDescent="0.25">
      <c r="A493" s="68" t="s">
        <v>572</v>
      </c>
      <c r="B493" s="60" t="s">
        <v>83</v>
      </c>
      <c r="C493" s="61">
        <v>268885</v>
      </c>
      <c r="D493" s="61">
        <v>0</v>
      </c>
      <c r="E493" s="61">
        <v>0</v>
      </c>
      <c r="F493" s="61">
        <v>0</v>
      </c>
      <c r="G493" s="61">
        <v>0</v>
      </c>
      <c r="H493" s="61">
        <v>268885</v>
      </c>
      <c r="I493" s="61">
        <v>-31975</v>
      </c>
      <c r="J493" s="61">
        <v>236910</v>
      </c>
      <c r="K493" s="61">
        <v>0</v>
      </c>
      <c r="L493" s="61">
        <v>0</v>
      </c>
      <c r="M493" s="61">
        <v>0</v>
      </c>
      <c r="N493" s="61">
        <v>236910</v>
      </c>
    </row>
    <row r="494" spans="1:14" ht="30" x14ac:dyDescent="0.25">
      <c r="A494" s="68" t="s">
        <v>572</v>
      </c>
      <c r="B494" s="60" t="s">
        <v>48</v>
      </c>
      <c r="C494" s="61">
        <v>297262</v>
      </c>
      <c r="D494" s="61">
        <v>-220</v>
      </c>
      <c r="E494" s="61">
        <v>0</v>
      </c>
      <c r="F494" s="61">
        <v>0</v>
      </c>
      <c r="G494" s="61">
        <v>0</v>
      </c>
      <c r="H494" s="61">
        <v>297042</v>
      </c>
      <c r="I494" s="61">
        <v>-29832</v>
      </c>
      <c r="J494" s="61">
        <v>267210</v>
      </c>
      <c r="K494" s="61">
        <v>0</v>
      </c>
      <c r="L494" s="61">
        <v>0</v>
      </c>
      <c r="M494" s="61">
        <v>0</v>
      </c>
      <c r="N494" s="61">
        <v>267210</v>
      </c>
    </row>
    <row r="495" spans="1:14" ht="30" x14ac:dyDescent="0.25">
      <c r="A495" s="68" t="s">
        <v>572</v>
      </c>
      <c r="B495" s="60" t="s">
        <v>49</v>
      </c>
      <c r="C495" s="61">
        <v>338128</v>
      </c>
      <c r="D495" s="61">
        <v>-141</v>
      </c>
      <c r="E495" s="61">
        <v>0</v>
      </c>
      <c r="F495" s="61">
        <v>0</v>
      </c>
      <c r="G495" s="61">
        <v>0</v>
      </c>
      <c r="H495" s="61">
        <v>337987</v>
      </c>
      <c r="I495" s="61">
        <v>-316188</v>
      </c>
      <c r="J495" s="61">
        <v>21799</v>
      </c>
      <c r="K495" s="61">
        <v>0</v>
      </c>
      <c r="L495" s="61">
        <v>0</v>
      </c>
      <c r="M495" s="61">
        <v>0</v>
      </c>
      <c r="N495" s="61">
        <v>21799</v>
      </c>
    </row>
    <row r="496" spans="1:14" ht="30" x14ac:dyDescent="0.25">
      <c r="A496" s="68" t="s">
        <v>572</v>
      </c>
      <c r="B496" s="60" t="s">
        <v>50</v>
      </c>
      <c r="C496" s="61">
        <v>346403</v>
      </c>
      <c r="D496" s="61">
        <v>-135</v>
      </c>
      <c r="E496" s="61">
        <v>0</v>
      </c>
      <c r="F496" s="61">
        <v>0</v>
      </c>
      <c r="G496" s="61">
        <v>0</v>
      </c>
      <c r="H496" s="61">
        <v>346268</v>
      </c>
      <c r="I496" s="61">
        <v>-326021</v>
      </c>
      <c r="J496" s="61">
        <v>20247</v>
      </c>
      <c r="K496" s="61">
        <v>0</v>
      </c>
      <c r="L496" s="61">
        <v>0</v>
      </c>
      <c r="M496" s="61">
        <v>0</v>
      </c>
      <c r="N496" s="61">
        <v>20247</v>
      </c>
    </row>
    <row r="497" spans="1:14" ht="30" x14ac:dyDescent="0.25">
      <c r="A497" s="68" t="s">
        <v>572</v>
      </c>
      <c r="B497" s="60" t="s">
        <v>51</v>
      </c>
      <c r="C497" s="61">
        <v>692487</v>
      </c>
      <c r="D497" s="61">
        <v>-382941</v>
      </c>
      <c r="E497" s="61">
        <v>0</v>
      </c>
      <c r="F497" s="61">
        <v>0</v>
      </c>
      <c r="G497" s="61">
        <v>0</v>
      </c>
      <c r="H497" s="61">
        <v>309546</v>
      </c>
      <c r="I497" s="61">
        <v>-224475</v>
      </c>
      <c r="J497" s="61">
        <v>85071</v>
      </c>
      <c r="K497" s="61">
        <v>0</v>
      </c>
      <c r="L497" s="61">
        <v>0</v>
      </c>
      <c r="M497" s="61">
        <v>0</v>
      </c>
      <c r="N497" s="61">
        <v>85071</v>
      </c>
    </row>
    <row r="498" spans="1:14" ht="30" x14ac:dyDescent="0.25">
      <c r="A498" s="68" t="s">
        <v>572</v>
      </c>
      <c r="B498" s="60" t="s">
        <v>52</v>
      </c>
      <c r="C498" s="61">
        <v>272441</v>
      </c>
      <c r="D498" s="61">
        <v>-1367</v>
      </c>
      <c r="E498" s="61">
        <v>0</v>
      </c>
      <c r="F498" s="61">
        <v>0</v>
      </c>
      <c r="G498" s="61">
        <v>0</v>
      </c>
      <c r="H498" s="61">
        <v>271074</v>
      </c>
      <c r="I498" s="61">
        <v>-209349</v>
      </c>
      <c r="J498" s="61">
        <v>61725</v>
      </c>
      <c r="K498" s="61">
        <v>15158</v>
      </c>
      <c r="L498" s="61">
        <v>-15158</v>
      </c>
      <c r="M498" s="61">
        <v>0</v>
      </c>
      <c r="N498" s="61">
        <v>61725</v>
      </c>
    </row>
    <row r="499" spans="1:14" ht="30" x14ac:dyDescent="0.25">
      <c r="A499" s="68" t="s">
        <v>572</v>
      </c>
      <c r="B499" s="60" t="s">
        <v>53</v>
      </c>
      <c r="C499" s="61">
        <v>333067</v>
      </c>
      <c r="D499" s="61">
        <v>-2099</v>
      </c>
      <c r="E499" s="61">
        <v>0</v>
      </c>
      <c r="F499" s="61">
        <v>0</v>
      </c>
      <c r="G499" s="61">
        <v>0</v>
      </c>
      <c r="H499" s="61">
        <v>330968</v>
      </c>
      <c r="I499" s="61">
        <v>-291805</v>
      </c>
      <c r="J499" s="61">
        <v>39163</v>
      </c>
      <c r="K499" s="61">
        <v>0</v>
      </c>
      <c r="L499" s="61">
        <v>0</v>
      </c>
      <c r="M499" s="61">
        <v>0</v>
      </c>
      <c r="N499" s="61">
        <v>39163</v>
      </c>
    </row>
    <row r="500" spans="1:14" ht="30" x14ac:dyDescent="0.25">
      <c r="A500" s="68" t="s">
        <v>572</v>
      </c>
      <c r="B500" s="60" t="s">
        <v>54</v>
      </c>
      <c r="C500" s="61">
        <v>230238</v>
      </c>
      <c r="D500" s="61">
        <v>0</v>
      </c>
      <c r="E500" s="61">
        <v>0</v>
      </c>
      <c r="F500" s="61">
        <v>0</v>
      </c>
      <c r="G500" s="61">
        <v>0</v>
      </c>
      <c r="H500" s="61">
        <v>230238</v>
      </c>
      <c r="I500" s="61">
        <v>-230238</v>
      </c>
      <c r="J500" s="61">
        <v>0</v>
      </c>
      <c r="K500" s="61">
        <v>0</v>
      </c>
      <c r="L500" s="61">
        <v>0</v>
      </c>
      <c r="M500" s="61">
        <v>0</v>
      </c>
      <c r="N500" s="61">
        <v>0</v>
      </c>
    </row>
    <row r="501" spans="1:14" ht="30" x14ac:dyDescent="0.25">
      <c r="A501" s="68" t="s">
        <v>572</v>
      </c>
      <c r="B501" s="60" t="s">
        <v>55</v>
      </c>
      <c r="C501" s="61">
        <v>290646</v>
      </c>
      <c r="D501" s="61">
        <v>-743</v>
      </c>
      <c r="E501" s="61">
        <v>0</v>
      </c>
      <c r="F501" s="61">
        <v>0</v>
      </c>
      <c r="G501" s="61">
        <v>0</v>
      </c>
      <c r="H501" s="61">
        <v>289903</v>
      </c>
      <c r="I501" s="61">
        <v>-289903</v>
      </c>
      <c r="J501" s="61">
        <v>0</v>
      </c>
      <c r="K501" s="61">
        <v>0</v>
      </c>
      <c r="L501" s="61">
        <v>0</v>
      </c>
      <c r="M501" s="61">
        <v>0</v>
      </c>
      <c r="N501" s="61">
        <v>0</v>
      </c>
    </row>
    <row r="502" spans="1:14" ht="30" x14ac:dyDescent="0.25">
      <c r="A502" s="68" t="s">
        <v>572</v>
      </c>
      <c r="B502" s="60" t="s">
        <v>56</v>
      </c>
      <c r="C502" s="61">
        <v>385881</v>
      </c>
      <c r="D502" s="61">
        <v>-973</v>
      </c>
      <c r="E502" s="61">
        <v>0</v>
      </c>
      <c r="F502" s="61">
        <v>0</v>
      </c>
      <c r="G502" s="61">
        <v>0</v>
      </c>
      <c r="H502" s="61">
        <v>384908</v>
      </c>
      <c r="I502" s="61">
        <v>-384908</v>
      </c>
      <c r="J502" s="61">
        <v>0</v>
      </c>
      <c r="K502" s="61">
        <v>0</v>
      </c>
      <c r="L502" s="61">
        <v>0</v>
      </c>
      <c r="M502" s="61">
        <v>0</v>
      </c>
      <c r="N502" s="61">
        <v>0</v>
      </c>
    </row>
    <row r="503" spans="1:14" ht="30" x14ac:dyDescent="0.25">
      <c r="A503" s="68" t="s">
        <v>572</v>
      </c>
      <c r="B503" s="60" t="s">
        <v>57</v>
      </c>
      <c r="C503" s="61">
        <v>373773</v>
      </c>
      <c r="D503" s="61">
        <v>0</v>
      </c>
      <c r="E503" s="61">
        <v>0</v>
      </c>
      <c r="F503" s="61">
        <v>0</v>
      </c>
      <c r="G503" s="61">
        <v>0</v>
      </c>
      <c r="H503" s="61">
        <v>373773</v>
      </c>
      <c r="I503" s="61">
        <v>-373773</v>
      </c>
      <c r="J503" s="61">
        <v>0</v>
      </c>
      <c r="K503" s="61">
        <v>0</v>
      </c>
      <c r="L503" s="61">
        <v>0</v>
      </c>
      <c r="M503" s="61">
        <v>0</v>
      </c>
      <c r="N503" s="61">
        <v>0</v>
      </c>
    </row>
    <row r="504" spans="1:14" ht="30" x14ac:dyDescent="0.25">
      <c r="A504" s="68" t="s">
        <v>572</v>
      </c>
      <c r="B504" s="60" t="s">
        <v>58</v>
      </c>
      <c r="C504" s="61">
        <v>299951</v>
      </c>
      <c r="D504" s="61">
        <v>-343</v>
      </c>
      <c r="E504" s="61">
        <v>0</v>
      </c>
      <c r="F504" s="61">
        <v>0</v>
      </c>
      <c r="G504" s="61">
        <v>0</v>
      </c>
      <c r="H504" s="61">
        <v>299608</v>
      </c>
      <c r="I504" s="61">
        <v>-299608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</row>
    <row r="505" spans="1:14" ht="30" x14ac:dyDescent="0.25">
      <c r="A505" s="68" t="s">
        <v>572</v>
      </c>
      <c r="B505" s="60" t="s">
        <v>59</v>
      </c>
      <c r="C505" s="61">
        <v>260548</v>
      </c>
      <c r="D505" s="61">
        <v>-439</v>
      </c>
      <c r="E505" s="61">
        <v>0</v>
      </c>
      <c r="F505" s="61">
        <v>0</v>
      </c>
      <c r="G505" s="61">
        <v>0</v>
      </c>
      <c r="H505" s="61">
        <v>260109</v>
      </c>
      <c r="I505" s="61">
        <v>-260109</v>
      </c>
      <c r="J505" s="61">
        <v>0</v>
      </c>
      <c r="K505" s="61">
        <v>0</v>
      </c>
      <c r="L505" s="61">
        <v>0</v>
      </c>
      <c r="M505" s="61">
        <v>0</v>
      </c>
      <c r="N505" s="61">
        <v>0</v>
      </c>
    </row>
    <row r="506" spans="1:14" ht="30" x14ac:dyDescent="0.25">
      <c r="A506" s="68" t="s">
        <v>572</v>
      </c>
      <c r="B506" s="60" t="s">
        <v>60</v>
      </c>
      <c r="C506" s="61">
        <v>235654</v>
      </c>
      <c r="D506" s="61">
        <v>-441</v>
      </c>
      <c r="E506" s="61">
        <v>0</v>
      </c>
      <c r="F506" s="61">
        <v>0</v>
      </c>
      <c r="G506" s="61">
        <v>0</v>
      </c>
      <c r="H506" s="61">
        <v>235213</v>
      </c>
      <c r="I506" s="61">
        <v>-235213</v>
      </c>
      <c r="J506" s="61">
        <v>0</v>
      </c>
      <c r="K506" s="61">
        <v>0</v>
      </c>
      <c r="L506" s="61">
        <v>0</v>
      </c>
      <c r="M506" s="61">
        <v>0</v>
      </c>
      <c r="N506" s="61">
        <v>0</v>
      </c>
    </row>
    <row r="507" spans="1:14" ht="30" x14ac:dyDescent="0.25">
      <c r="A507" s="68" t="s">
        <v>572</v>
      </c>
      <c r="B507" s="60" t="s">
        <v>61</v>
      </c>
      <c r="C507" s="61">
        <v>241619</v>
      </c>
      <c r="D507" s="61">
        <v>-439</v>
      </c>
      <c r="E507" s="61">
        <v>0</v>
      </c>
      <c r="F507" s="61">
        <v>0</v>
      </c>
      <c r="G507" s="61">
        <v>0</v>
      </c>
      <c r="H507" s="61">
        <v>241180</v>
      </c>
      <c r="I507" s="61">
        <v>-241180</v>
      </c>
      <c r="J507" s="61">
        <v>0</v>
      </c>
      <c r="K507" s="61">
        <v>0</v>
      </c>
      <c r="L507" s="61">
        <v>0</v>
      </c>
      <c r="M507" s="61">
        <v>0</v>
      </c>
      <c r="N507" s="61">
        <v>0</v>
      </c>
    </row>
    <row r="508" spans="1:14" ht="30" x14ac:dyDescent="0.25">
      <c r="A508" s="68" t="s">
        <v>572</v>
      </c>
      <c r="B508" s="60" t="s">
        <v>62</v>
      </c>
      <c r="C508" s="61">
        <v>223251</v>
      </c>
      <c r="D508" s="61">
        <v>-384</v>
      </c>
      <c r="E508" s="61">
        <v>0</v>
      </c>
      <c r="F508" s="61">
        <v>0</v>
      </c>
      <c r="G508" s="61">
        <v>0</v>
      </c>
      <c r="H508" s="61">
        <v>222867</v>
      </c>
      <c r="I508" s="61">
        <v>-222867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</row>
    <row r="509" spans="1:14" ht="15.75" x14ac:dyDescent="0.25">
      <c r="A509" s="52" t="s">
        <v>450</v>
      </c>
      <c r="B509" s="53" t="s">
        <v>8</v>
      </c>
      <c r="C509" s="19">
        <f>SUBTOTAL(109,Program209[(C)
Program
Costs])</f>
        <v>5686155</v>
      </c>
      <c r="D509" s="19">
        <f>SUBTOTAL(109,Program209[(D)
Prior Period Adjustments])</f>
        <v>-390665</v>
      </c>
      <c r="E509" s="19">
        <f>SUBTOTAL(109,Program209[(E)
Current Period Desk 
Reviews])</f>
        <v>0</v>
      </c>
      <c r="F509" s="19">
        <f>SUBTOTAL(109,Program209[(F)
Current Period 
Final 
Audits])</f>
        <v>0</v>
      </c>
      <c r="G509" s="19">
        <f>SUBTOTAL(109,Program209[(G)
Current Period 
Other Adjustments])</f>
        <v>0</v>
      </c>
      <c r="H509" s="19">
        <f>SUBTOTAL(109,Program209[(H)
Net Program Costs
Sum (C through G)])</f>
        <v>5295490</v>
      </c>
      <c r="I509" s="19">
        <f>SUBTOTAL(109,Program209[(I)
Payments
 and Offsets])</f>
        <v>-3974444</v>
      </c>
      <c r="J509" s="19">
        <f>SUBTOTAL(109,Program209[(J)
Accounts Payable Balance
(H + I)])</f>
        <v>1321046</v>
      </c>
      <c r="K509" s="19">
        <f>SUBTOTAL(109,Program209[(K)
Established 
Accounts Receivable])</f>
        <v>15158</v>
      </c>
      <c r="L509" s="19">
        <f>SUBTOTAL(109,Program209[(L)
Recovered
 Accounts Receivable])</f>
        <v>-15158</v>
      </c>
      <c r="M509" s="19">
        <f>SUBTOTAL(109,Program209[(M)
Accounts Receivable Balance
(K + L)])</f>
        <v>0</v>
      </c>
      <c r="N509" s="19">
        <f>SUBTOTAL(109,Program209[(N)
Net Balance
(J minus M)])</f>
        <v>1321046</v>
      </c>
    </row>
    <row r="510" spans="1:14" ht="15.75" x14ac:dyDescent="0.25">
      <c r="A510" s="17" t="s">
        <v>13</v>
      </c>
      <c r="B510" s="54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</row>
    <row r="511" spans="1:14" ht="78.75" x14ac:dyDescent="0.25">
      <c r="A511" s="39" t="s">
        <v>32</v>
      </c>
      <c r="B511" s="40" t="s">
        <v>33</v>
      </c>
      <c r="C511" s="41" t="s">
        <v>34</v>
      </c>
      <c r="D511" s="41" t="s">
        <v>35</v>
      </c>
      <c r="E511" s="42" t="s">
        <v>36</v>
      </c>
      <c r="F511" s="42" t="s">
        <v>37</v>
      </c>
      <c r="G511" s="42" t="s">
        <v>38</v>
      </c>
      <c r="H511" s="43" t="s">
        <v>39</v>
      </c>
      <c r="I511" s="44" t="s">
        <v>40</v>
      </c>
      <c r="J511" s="44" t="s">
        <v>41</v>
      </c>
      <c r="K511" s="42" t="s">
        <v>42</v>
      </c>
      <c r="L511" s="44" t="s">
        <v>43</v>
      </c>
      <c r="M511" s="44" t="s">
        <v>44</v>
      </c>
      <c r="N511" s="45" t="s">
        <v>45</v>
      </c>
    </row>
    <row r="512" spans="1:14" ht="15.75" x14ac:dyDescent="0.25">
      <c r="A512" s="46" t="s">
        <v>571</v>
      </c>
      <c r="B512" s="47" t="s">
        <v>56</v>
      </c>
      <c r="C512" s="48">
        <v>8141</v>
      </c>
      <c r="D512" s="48">
        <v>0</v>
      </c>
      <c r="E512" s="48">
        <v>0</v>
      </c>
      <c r="F512" s="48">
        <v>0</v>
      </c>
      <c r="G512" s="48">
        <v>0</v>
      </c>
      <c r="H512" s="48">
        <v>8141</v>
      </c>
      <c r="I512" s="48">
        <v>-8141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</row>
    <row r="513" spans="1:14" ht="15.75" x14ac:dyDescent="0.25">
      <c r="A513" s="49" t="s">
        <v>571</v>
      </c>
      <c r="B513" s="50" t="s">
        <v>57</v>
      </c>
      <c r="C513" s="51">
        <v>4818</v>
      </c>
      <c r="D513" s="51">
        <v>-253</v>
      </c>
      <c r="E513" s="51">
        <v>0</v>
      </c>
      <c r="F513" s="51">
        <v>0</v>
      </c>
      <c r="G513" s="51">
        <v>0</v>
      </c>
      <c r="H513" s="51">
        <v>4565</v>
      </c>
      <c r="I513" s="51">
        <v>-4565</v>
      </c>
      <c r="J513" s="51">
        <v>0</v>
      </c>
      <c r="K513" s="51">
        <v>0</v>
      </c>
      <c r="L513" s="51">
        <v>0</v>
      </c>
      <c r="M513" s="51">
        <v>0</v>
      </c>
      <c r="N513" s="51">
        <v>0</v>
      </c>
    </row>
    <row r="514" spans="1:14" ht="15.75" x14ac:dyDescent="0.25">
      <c r="A514" s="49" t="s">
        <v>571</v>
      </c>
      <c r="B514" s="50" t="s">
        <v>58</v>
      </c>
      <c r="C514" s="51">
        <v>63419</v>
      </c>
      <c r="D514" s="51">
        <v>-58</v>
      </c>
      <c r="E514" s="51">
        <v>0</v>
      </c>
      <c r="F514" s="51">
        <v>0</v>
      </c>
      <c r="G514" s="51">
        <v>0</v>
      </c>
      <c r="H514" s="51">
        <v>63361</v>
      </c>
      <c r="I514" s="51">
        <v>-63361</v>
      </c>
      <c r="J514" s="51">
        <v>0</v>
      </c>
      <c r="K514" s="51">
        <v>0</v>
      </c>
      <c r="L514" s="51">
        <v>0</v>
      </c>
      <c r="M514" s="51">
        <v>0</v>
      </c>
      <c r="N514" s="51">
        <v>0</v>
      </c>
    </row>
    <row r="515" spans="1:14" ht="15.75" x14ac:dyDescent="0.25">
      <c r="A515" s="49" t="s">
        <v>571</v>
      </c>
      <c r="B515" s="50" t="s">
        <v>59</v>
      </c>
      <c r="C515" s="51">
        <v>12094</v>
      </c>
      <c r="D515" s="51">
        <v>0</v>
      </c>
      <c r="E515" s="51">
        <v>0</v>
      </c>
      <c r="F515" s="51">
        <v>0</v>
      </c>
      <c r="G515" s="51">
        <v>0</v>
      </c>
      <c r="H515" s="51">
        <v>12094</v>
      </c>
      <c r="I515" s="51">
        <v>-12094</v>
      </c>
      <c r="J515" s="51">
        <v>0</v>
      </c>
      <c r="K515" s="51">
        <v>0</v>
      </c>
      <c r="L515" s="51">
        <v>0</v>
      </c>
      <c r="M515" s="51">
        <v>0</v>
      </c>
      <c r="N515" s="51">
        <v>0</v>
      </c>
    </row>
    <row r="516" spans="1:14" ht="15.75" x14ac:dyDescent="0.25">
      <c r="A516" s="49" t="s">
        <v>571</v>
      </c>
      <c r="B516" s="50" t="s">
        <v>60</v>
      </c>
      <c r="C516" s="51">
        <v>12819</v>
      </c>
      <c r="D516" s="51">
        <v>0</v>
      </c>
      <c r="E516" s="51">
        <v>0</v>
      </c>
      <c r="F516" s="51">
        <v>0</v>
      </c>
      <c r="G516" s="51">
        <v>0</v>
      </c>
      <c r="H516" s="51">
        <v>12819</v>
      </c>
      <c r="I516" s="51">
        <v>-12819</v>
      </c>
      <c r="J516" s="51">
        <v>0</v>
      </c>
      <c r="K516" s="51">
        <v>0</v>
      </c>
      <c r="L516" s="51">
        <v>0</v>
      </c>
      <c r="M516" s="51">
        <v>0</v>
      </c>
      <c r="N516" s="51">
        <v>0</v>
      </c>
    </row>
    <row r="517" spans="1:14" ht="15.75" x14ac:dyDescent="0.25">
      <c r="A517" s="49" t="s">
        <v>571</v>
      </c>
      <c r="B517" s="50" t="s">
        <v>61</v>
      </c>
      <c r="C517" s="51">
        <v>11987</v>
      </c>
      <c r="D517" s="51">
        <v>-67</v>
      </c>
      <c r="E517" s="51">
        <v>0</v>
      </c>
      <c r="F517" s="51">
        <v>0</v>
      </c>
      <c r="G517" s="51">
        <v>0</v>
      </c>
      <c r="H517" s="51">
        <v>11920</v>
      </c>
      <c r="I517" s="51">
        <v>-11920</v>
      </c>
      <c r="J517" s="51">
        <v>0</v>
      </c>
      <c r="K517" s="51">
        <v>0</v>
      </c>
      <c r="L517" s="51">
        <v>0</v>
      </c>
      <c r="M517" s="51">
        <v>0</v>
      </c>
      <c r="N517" s="51">
        <v>0</v>
      </c>
    </row>
    <row r="518" spans="1:14" ht="15.75" x14ac:dyDescent="0.25">
      <c r="A518" s="49" t="s">
        <v>571</v>
      </c>
      <c r="B518" s="50" t="s">
        <v>62</v>
      </c>
      <c r="C518" s="51">
        <v>8945</v>
      </c>
      <c r="D518" s="51">
        <v>-53</v>
      </c>
      <c r="E518" s="51">
        <v>0</v>
      </c>
      <c r="F518" s="51">
        <v>0</v>
      </c>
      <c r="G518" s="51">
        <v>0</v>
      </c>
      <c r="H518" s="51">
        <v>8892</v>
      </c>
      <c r="I518" s="51">
        <v>-8892</v>
      </c>
      <c r="J518" s="51">
        <v>0</v>
      </c>
      <c r="K518" s="51">
        <v>0</v>
      </c>
      <c r="L518" s="51">
        <v>0</v>
      </c>
      <c r="M518" s="51">
        <v>0</v>
      </c>
      <c r="N518" s="51">
        <v>0</v>
      </c>
    </row>
    <row r="519" spans="1:14" ht="15.75" x14ac:dyDescent="0.25">
      <c r="A519" s="49" t="s">
        <v>571</v>
      </c>
      <c r="B519" s="50" t="s">
        <v>63</v>
      </c>
      <c r="C519" s="51">
        <v>3596</v>
      </c>
      <c r="D519" s="51">
        <v>0</v>
      </c>
      <c r="E519" s="51">
        <v>0</v>
      </c>
      <c r="F519" s="51">
        <v>0</v>
      </c>
      <c r="G519" s="51">
        <v>0</v>
      </c>
      <c r="H519" s="51">
        <v>3596</v>
      </c>
      <c r="I519" s="51">
        <v>-3596</v>
      </c>
      <c r="J519" s="51">
        <v>0</v>
      </c>
      <c r="K519" s="51">
        <v>0</v>
      </c>
      <c r="L519" s="51">
        <v>0</v>
      </c>
      <c r="M519" s="51">
        <v>0</v>
      </c>
      <c r="N519" s="51">
        <v>0</v>
      </c>
    </row>
    <row r="520" spans="1:14" ht="15.75" x14ac:dyDescent="0.25">
      <c r="A520" s="52" t="s">
        <v>449</v>
      </c>
      <c r="B520" s="53" t="s">
        <v>8</v>
      </c>
      <c r="C520" s="19">
        <f>SUBTOTAL(109,Program206[(C)
Program
Costs])</f>
        <v>125819</v>
      </c>
      <c r="D520" s="19">
        <f>SUBTOTAL(109,Program206[(D)
Prior Period Adjustments])</f>
        <v>-431</v>
      </c>
      <c r="E520" s="19">
        <f>SUBTOTAL(109,Program206[(E)
Current Period Desk 
Reviews])</f>
        <v>0</v>
      </c>
      <c r="F520" s="19">
        <f>SUBTOTAL(109,Program206[(F)
Current Period 
Final 
Audits])</f>
        <v>0</v>
      </c>
      <c r="G520" s="19">
        <f>SUBTOTAL(109,Program206[(G)
Current Period 
Other Adjustments])</f>
        <v>0</v>
      </c>
      <c r="H520" s="19">
        <f>SUBTOTAL(109,Program206[(H)
Net Program Costs
Sum (C through G)])</f>
        <v>125388</v>
      </c>
      <c r="I520" s="19">
        <f>SUBTOTAL(109,Program206[(I)
Payments
 and Offsets])</f>
        <v>-125388</v>
      </c>
      <c r="J520" s="19">
        <f>SUBTOTAL(109,Program206[(J)
Accounts Payable Balance
(H + I)])</f>
        <v>0</v>
      </c>
      <c r="K520" s="19">
        <f>SUBTOTAL(109,Program206[(K)
Established 
Accounts Receivable])</f>
        <v>0</v>
      </c>
      <c r="L520" s="19">
        <f>SUBTOTAL(109,Program206[(L)
Recovered
 Accounts Receivable])</f>
        <v>0</v>
      </c>
      <c r="M520" s="19">
        <f>SUBTOTAL(109,Program206[(M)
Accounts Receivable Balance
(K + L)])</f>
        <v>0</v>
      </c>
      <c r="N520" s="19">
        <f>SUBTOTAL(109,Program206[(N)
Net Balance
(J minus M)])</f>
        <v>0</v>
      </c>
    </row>
    <row r="521" spans="1:14" ht="15.75" x14ac:dyDescent="0.25">
      <c r="A521" s="17" t="s">
        <v>13</v>
      </c>
      <c r="B521" s="54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</row>
    <row r="522" spans="1:14" ht="78.75" x14ac:dyDescent="0.25">
      <c r="A522" s="39" t="s">
        <v>32</v>
      </c>
      <c r="B522" s="40" t="s">
        <v>33</v>
      </c>
      <c r="C522" s="41" t="s">
        <v>34</v>
      </c>
      <c r="D522" s="41" t="s">
        <v>35</v>
      </c>
      <c r="E522" s="42" t="s">
        <v>36</v>
      </c>
      <c r="F522" s="42" t="s">
        <v>37</v>
      </c>
      <c r="G522" s="42" t="s">
        <v>38</v>
      </c>
      <c r="H522" s="43" t="s">
        <v>39</v>
      </c>
      <c r="I522" s="44" t="s">
        <v>40</v>
      </c>
      <c r="J522" s="44" t="s">
        <v>41</v>
      </c>
      <c r="K522" s="42" t="s">
        <v>42</v>
      </c>
      <c r="L522" s="44" t="s">
        <v>43</v>
      </c>
      <c r="M522" s="44" t="s">
        <v>44</v>
      </c>
      <c r="N522" s="45" t="s">
        <v>45</v>
      </c>
    </row>
    <row r="523" spans="1:14" ht="15.75" x14ac:dyDescent="0.25">
      <c r="A523" s="46" t="s">
        <v>570</v>
      </c>
      <c r="B523" s="47" t="s">
        <v>63</v>
      </c>
      <c r="C523" s="48">
        <v>3109700</v>
      </c>
      <c r="D523" s="48">
        <v>-180294</v>
      </c>
      <c r="E523" s="48">
        <v>0</v>
      </c>
      <c r="F523" s="48">
        <v>0</v>
      </c>
      <c r="G523" s="48">
        <v>0</v>
      </c>
      <c r="H523" s="48">
        <v>2929406</v>
      </c>
      <c r="I523" s="48">
        <v>-2929406</v>
      </c>
      <c r="J523" s="48">
        <v>0</v>
      </c>
      <c r="K523" s="48">
        <v>60858</v>
      </c>
      <c r="L523" s="48">
        <v>-60790</v>
      </c>
      <c r="M523" s="48">
        <v>68</v>
      </c>
      <c r="N523" s="48">
        <v>-68</v>
      </c>
    </row>
    <row r="524" spans="1:14" ht="15.75" x14ac:dyDescent="0.25">
      <c r="A524" s="49" t="s">
        <v>570</v>
      </c>
      <c r="B524" s="50" t="s">
        <v>64</v>
      </c>
      <c r="C524" s="51">
        <v>3091365</v>
      </c>
      <c r="D524" s="51">
        <v>-190294</v>
      </c>
      <c r="E524" s="51">
        <v>0</v>
      </c>
      <c r="F524" s="51">
        <v>0</v>
      </c>
      <c r="G524" s="51">
        <v>0</v>
      </c>
      <c r="H524" s="51">
        <v>2901071</v>
      </c>
      <c r="I524" s="51">
        <v>-2901071</v>
      </c>
      <c r="J524" s="51">
        <v>0</v>
      </c>
      <c r="K524" s="51">
        <v>17326</v>
      </c>
      <c r="L524" s="51">
        <v>-17326</v>
      </c>
      <c r="M524" s="51">
        <v>0</v>
      </c>
      <c r="N524" s="51">
        <v>0</v>
      </c>
    </row>
    <row r="525" spans="1:14" ht="15.75" x14ac:dyDescent="0.25">
      <c r="A525" s="49" t="s">
        <v>570</v>
      </c>
      <c r="B525" s="50" t="s">
        <v>65</v>
      </c>
      <c r="C525" s="51">
        <v>2552315</v>
      </c>
      <c r="D525" s="51">
        <v>-110446</v>
      </c>
      <c r="E525" s="51">
        <v>0</v>
      </c>
      <c r="F525" s="51">
        <v>0</v>
      </c>
      <c r="G525" s="51">
        <v>0</v>
      </c>
      <c r="H525" s="51">
        <v>2441869</v>
      </c>
      <c r="I525" s="51">
        <v>-2441869</v>
      </c>
      <c r="J525" s="51">
        <v>0</v>
      </c>
      <c r="K525" s="51">
        <v>38914</v>
      </c>
      <c r="L525" s="51">
        <v>-38914</v>
      </c>
      <c r="M525" s="51">
        <v>0</v>
      </c>
      <c r="N525" s="51">
        <v>0</v>
      </c>
    </row>
    <row r="526" spans="1:14" ht="15.75" x14ac:dyDescent="0.25">
      <c r="A526" s="49" t="s">
        <v>570</v>
      </c>
      <c r="B526" s="50" t="s">
        <v>66</v>
      </c>
      <c r="C526" s="51">
        <v>1889324</v>
      </c>
      <c r="D526" s="51">
        <v>-35914</v>
      </c>
      <c r="E526" s="51">
        <v>0</v>
      </c>
      <c r="F526" s="51">
        <v>0</v>
      </c>
      <c r="G526" s="51">
        <v>0</v>
      </c>
      <c r="H526" s="51">
        <v>1853410</v>
      </c>
      <c r="I526" s="51">
        <v>-1853410</v>
      </c>
      <c r="J526" s="51">
        <v>0</v>
      </c>
      <c r="K526" s="51">
        <v>654070</v>
      </c>
      <c r="L526" s="51">
        <v>-649037</v>
      </c>
      <c r="M526" s="51">
        <v>5033</v>
      </c>
      <c r="N526" s="51">
        <v>-5033</v>
      </c>
    </row>
    <row r="527" spans="1:14" ht="15.75" x14ac:dyDescent="0.25">
      <c r="A527" s="49" t="s">
        <v>570</v>
      </c>
      <c r="B527" s="50" t="s">
        <v>67</v>
      </c>
      <c r="C527" s="51">
        <v>2026223</v>
      </c>
      <c r="D527" s="51">
        <v>-186655</v>
      </c>
      <c r="E527" s="51">
        <v>0</v>
      </c>
      <c r="F527" s="51">
        <v>0</v>
      </c>
      <c r="G527" s="51">
        <v>0</v>
      </c>
      <c r="H527" s="51">
        <v>1839568</v>
      </c>
      <c r="I527" s="51">
        <v>-1839568</v>
      </c>
      <c r="J527" s="51">
        <v>0</v>
      </c>
      <c r="K527" s="51">
        <v>0</v>
      </c>
      <c r="L527" s="51">
        <v>0</v>
      </c>
      <c r="M527" s="51">
        <v>0</v>
      </c>
      <c r="N527" s="51">
        <v>0</v>
      </c>
    </row>
    <row r="528" spans="1:14" ht="15.75" x14ac:dyDescent="0.25">
      <c r="A528" s="49" t="s">
        <v>570</v>
      </c>
      <c r="B528" s="50" t="s">
        <v>68</v>
      </c>
      <c r="C528" s="51">
        <v>1670428</v>
      </c>
      <c r="D528" s="51">
        <v>-95556</v>
      </c>
      <c r="E528" s="51">
        <v>0</v>
      </c>
      <c r="F528" s="51">
        <v>0</v>
      </c>
      <c r="G528" s="51">
        <v>0</v>
      </c>
      <c r="H528" s="51">
        <v>1574872</v>
      </c>
      <c r="I528" s="51">
        <v>-1574872</v>
      </c>
      <c r="J528" s="51">
        <v>0</v>
      </c>
      <c r="K528" s="51">
        <v>0</v>
      </c>
      <c r="L528" s="51">
        <v>0</v>
      </c>
      <c r="M528" s="51">
        <v>0</v>
      </c>
      <c r="N528" s="51">
        <v>0</v>
      </c>
    </row>
    <row r="529" spans="1:14" ht="15.75" x14ac:dyDescent="0.25">
      <c r="A529" s="49" t="s">
        <v>570</v>
      </c>
      <c r="B529" s="50" t="s">
        <v>69</v>
      </c>
      <c r="C529" s="51">
        <v>1580150</v>
      </c>
      <c r="D529" s="51">
        <v>-96040</v>
      </c>
      <c r="E529" s="51">
        <v>0</v>
      </c>
      <c r="F529" s="51">
        <v>0</v>
      </c>
      <c r="G529" s="51">
        <v>0</v>
      </c>
      <c r="H529" s="51">
        <v>1484110</v>
      </c>
      <c r="I529" s="51">
        <v>-1484110</v>
      </c>
      <c r="J529" s="51">
        <v>0</v>
      </c>
      <c r="K529" s="51">
        <v>0</v>
      </c>
      <c r="L529" s="51">
        <v>0</v>
      </c>
      <c r="M529" s="51">
        <v>0</v>
      </c>
      <c r="N529" s="51">
        <v>0</v>
      </c>
    </row>
    <row r="530" spans="1:14" ht="15.75" x14ac:dyDescent="0.25">
      <c r="A530" s="49" t="s">
        <v>570</v>
      </c>
      <c r="B530" s="50" t="s">
        <v>115</v>
      </c>
      <c r="C530" s="51">
        <v>1195782</v>
      </c>
      <c r="D530" s="51">
        <v>-66187</v>
      </c>
      <c r="E530" s="51">
        <v>0</v>
      </c>
      <c r="F530" s="51">
        <v>0</v>
      </c>
      <c r="G530" s="51">
        <v>0</v>
      </c>
      <c r="H530" s="51">
        <v>1129595</v>
      </c>
      <c r="I530" s="51">
        <v>-1129595</v>
      </c>
      <c r="J530" s="51">
        <v>0</v>
      </c>
      <c r="K530" s="51">
        <v>0</v>
      </c>
      <c r="L530" s="51">
        <v>0</v>
      </c>
      <c r="M530" s="51">
        <v>0</v>
      </c>
      <c r="N530" s="51">
        <v>0</v>
      </c>
    </row>
    <row r="531" spans="1:14" ht="15.75" x14ac:dyDescent="0.25">
      <c r="A531" s="49" t="s">
        <v>570</v>
      </c>
      <c r="B531" s="50" t="s">
        <v>99</v>
      </c>
      <c r="C531" s="51">
        <v>473296</v>
      </c>
      <c r="D531" s="51">
        <v>-5791</v>
      </c>
      <c r="E531" s="51">
        <v>0</v>
      </c>
      <c r="F531" s="51">
        <v>0</v>
      </c>
      <c r="G531" s="51">
        <v>0</v>
      </c>
      <c r="H531" s="51">
        <v>467505</v>
      </c>
      <c r="I531" s="51">
        <v>-467505</v>
      </c>
      <c r="J531" s="51">
        <v>0</v>
      </c>
      <c r="K531" s="51">
        <v>0</v>
      </c>
      <c r="L531" s="51">
        <v>0</v>
      </c>
      <c r="M531" s="51">
        <v>0</v>
      </c>
      <c r="N531" s="51">
        <v>0</v>
      </c>
    </row>
    <row r="532" spans="1:14" ht="15.75" x14ac:dyDescent="0.25">
      <c r="A532" s="52" t="s">
        <v>448</v>
      </c>
      <c r="B532" s="53" t="s">
        <v>8</v>
      </c>
      <c r="C532" s="19">
        <f>SUBTOTAL(109,Program079[(C)
Program
Costs])</f>
        <v>17588583</v>
      </c>
      <c r="D532" s="19">
        <f>SUBTOTAL(109,Program079[(D)
Prior Period Adjustments])</f>
        <v>-967177</v>
      </c>
      <c r="E532" s="19">
        <f>SUBTOTAL(109,Program079[(E)
Current Period Desk 
Reviews])</f>
        <v>0</v>
      </c>
      <c r="F532" s="19">
        <f>SUBTOTAL(109,Program079[(F)
Current Period 
Final 
Audits])</f>
        <v>0</v>
      </c>
      <c r="G532" s="19">
        <f>SUBTOTAL(109,Program079[(G)
Current Period 
Other Adjustments])</f>
        <v>0</v>
      </c>
      <c r="H532" s="19">
        <f>SUBTOTAL(109,Program079[(H)
Net Program Costs
Sum (C through G)])</f>
        <v>16621406</v>
      </c>
      <c r="I532" s="19">
        <f>SUBTOTAL(109,Program079[(I)
Payments
 and Offsets])</f>
        <v>-16621406</v>
      </c>
      <c r="J532" s="19">
        <f>SUBTOTAL(109,Program079[(J)
Accounts Payable Balance
(H + I)])</f>
        <v>0</v>
      </c>
      <c r="K532" s="19">
        <f>SUBTOTAL(109,Program079[(K)
Established 
Accounts Receivable])</f>
        <v>771168</v>
      </c>
      <c r="L532" s="19">
        <f>SUBTOTAL(109,Program079[(L)
Recovered
 Accounts Receivable])</f>
        <v>-766067</v>
      </c>
      <c r="M532" s="19">
        <f>SUBTOTAL(109,Program079[(M)
Accounts Receivable Balance
(K + L)])</f>
        <v>5101</v>
      </c>
      <c r="N532" s="19">
        <f>SUBTOTAL(109,Program079[(N)
Net Balance
(J minus M)])</f>
        <v>-5101</v>
      </c>
    </row>
    <row r="533" spans="1:14" ht="15.75" x14ac:dyDescent="0.25">
      <c r="A533" s="17" t="s">
        <v>13</v>
      </c>
      <c r="B533" s="54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</row>
    <row r="534" spans="1:14" ht="78.75" x14ac:dyDescent="0.25">
      <c r="A534" s="39" t="s">
        <v>32</v>
      </c>
      <c r="B534" s="40" t="s">
        <v>33</v>
      </c>
      <c r="C534" s="41" t="s">
        <v>34</v>
      </c>
      <c r="D534" s="41" t="s">
        <v>35</v>
      </c>
      <c r="E534" s="42" t="s">
        <v>36</v>
      </c>
      <c r="F534" s="42" t="s">
        <v>37</v>
      </c>
      <c r="G534" s="42" t="s">
        <v>38</v>
      </c>
      <c r="H534" s="43" t="s">
        <v>39</v>
      </c>
      <c r="I534" s="44" t="s">
        <v>40</v>
      </c>
      <c r="J534" s="44" t="s">
        <v>41</v>
      </c>
      <c r="K534" s="42" t="s">
        <v>42</v>
      </c>
      <c r="L534" s="44" t="s">
        <v>43</v>
      </c>
      <c r="M534" s="44" t="s">
        <v>44</v>
      </c>
      <c r="N534" s="45" t="s">
        <v>45</v>
      </c>
    </row>
    <row r="535" spans="1:14" ht="15.75" x14ac:dyDescent="0.25">
      <c r="A535" s="46" t="s">
        <v>569</v>
      </c>
      <c r="B535" s="47" t="s">
        <v>76</v>
      </c>
      <c r="C535" s="48">
        <v>3443</v>
      </c>
      <c r="D535" s="48">
        <v>0</v>
      </c>
      <c r="E535" s="48">
        <v>0</v>
      </c>
      <c r="F535" s="48">
        <v>0</v>
      </c>
      <c r="G535" s="48">
        <v>0</v>
      </c>
      <c r="H535" s="48">
        <v>3443</v>
      </c>
      <c r="I535" s="48">
        <v>0</v>
      </c>
      <c r="J535" s="48">
        <v>3443</v>
      </c>
      <c r="K535" s="48">
        <v>0</v>
      </c>
      <c r="L535" s="48">
        <v>0</v>
      </c>
      <c r="M535" s="48">
        <v>0</v>
      </c>
      <c r="N535" s="48">
        <v>3443</v>
      </c>
    </row>
    <row r="536" spans="1:14" ht="15.75" x14ac:dyDescent="0.25">
      <c r="A536" s="49" t="s">
        <v>569</v>
      </c>
      <c r="B536" s="50" t="s">
        <v>77</v>
      </c>
      <c r="C536" s="51">
        <v>7067</v>
      </c>
      <c r="D536" s="51">
        <v>0</v>
      </c>
      <c r="E536" s="51">
        <v>0</v>
      </c>
      <c r="F536" s="51">
        <v>0</v>
      </c>
      <c r="G536" s="51">
        <v>0</v>
      </c>
      <c r="H536" s="51">
        <v>7067</v>
      </c>
      <c r="I536" s="51">
        <v>-1000</v>
      </c>
      <c r="J536" s="51">
        <v>6067</v>
      </c>
      <c r="K536" s="51">
        <v>0</v>
      </c>
      <c r="L536" s="51">
        <v>0</v>
      </c>
      <c r="M536" s="51">
        <v>0</v>
      </c>
      <c r="N536" s="51">
        <v>6067</v>
      </c>
    </row>
    <row r="537" spans="1:14" ht="15.75" x14ac:dyDescent="0.25">
      <c r="A537" s="49" t="s">
        <v>569</v>
      </c>
      <c r="B537" s="50" t="s">
        <v>78</v>
      </c>
      <c r="C537" s="51">
        <v>17006</v>
      </c>
      <c r="D537" s="51">
        <v>-456</v>
      </c>
      <c r="E537" s="51">
        <v>0</v>
      </c>
      <c r="F537" s="51">
        <v>0</v>
      </c>
      <c r="G537" s="51">
        <v>0</v>
      </c>
      <c r="H537" s="51">
        <v>16550</v>
      </c>
      <c r="I537" s="51">
        <v>-1000</v>
      </c>
      <c r="J537" s="51">
        <v>15550</v>
      </c>
      <c r="K537" s="51">
        <v>0</v>
      </c>
      <c r="L537" s="51">
        <v>0</v>
      </c>
      <c r="M537" s="51">
        <v>0</v>
      </c>
      <c r="N537" s="51">
        <v>15550</v>
      </c>
    </row>
    <row r="538" spans="1:14" ht="15.75" x14ac:dyDescent="0.25">
      <c r="A538" s="49" t="s">
        <v>569</v>
      </c>
      <c r="B538" s="50" t="s">
        <v>47</v>
      </c>
      <c r="C538" s="51">
        <v>6762</v>
      </c>
      <c r="D538" s="51">
        <v>-304</v>
      </c>
      <c r="E538" s="51">
        <v>0</v>
      </c>
      <c r="F538" s="51">
        <v>0</v>
      </c>
      <c r="G538" s="51">
        <v>0</v>
      </c>
      <c r="H538" s="51">
        <v>6458</v>
      </c>
      <c r="I538" s="51">
        <v>-1000</v>
      </c>
      <c r="J538" s="51">
        <v>5458</v>
      </c>
      <c r="K538" s="51">
        <v>0</v>
      </c>
      <c r="L538" s="51">
        <v>0</v>
      </c>
      <c r="M538" s="51">
        <v>0</v>
      </c>
      <c r="N538" s="51">
        <v>5458</v>
      </c>
    </row>
    <row r="539" spans="1:14" ht="15.75" x14ac:dyDescent="0.25">
      <c r="A539" s="49" t="s">
        <v>569</v>
      </c>
      <c r="B539" s="50" t="s">
        <v>79</v>
      </c>
      <c r="C539" s="51">
        <v>8422</v>
      </c>
      <c r="D539" s="51">
        <v>0</v>
      </c>
      <c r="E539" s="51">
        <v>0</v>
      </c>
      <c r="F539" s="51">
        <v>0</v>
      </c>
      <c r="G539" s="51">
        <v>0</v>
      </c>
      <c r="H539" s="51">
        <v>8422</v>
      </c>
      <c r="I539" s="51">
        <v>-1000</v>
      </c>
      <c r="J539" s="51">
        <v>7422</v>
      </c>
      <c r="K539" s="51">
        <v>0</v>
      </c>
      <c r="L539" s="51">
        <v>0</v>
      </c>
      <c r="M539" s="51">
        <v>0</v>
      </c>
      <c r="N539" s="51">
        <v>7422</v>
      </c>
    </row>
    <row r="540" spans="1:14" ht="15.75" x14ac:dyDescent="0.25">
      <c r="A540" s="49" t="s">
        <v>569</v>
      </c>
      <c r="B540" s="50" t="s">
        <v>80</v>
      </c>
      <c r="C540" s="51">
        <v>53366</v>
      </c>
      <c r="D540" s="51">
        <v>0</v>
      </c>
      <c r="E540" s="51">
        <v>0</v>
      </c>
      <c r="F540" s="51">
        <v>0</v>
      </c>
      <c r="G540" s="51">
        <v>0</v>
      </c>
      <c r="H540" s="51">
        <v>53366</v>
      </c>
      <c r="I540" s="51">
        <v>-15888</v>
      </c>
      <c r="J540" s="51">
        <v>37478</v>
      </c>
      <c r="K540" s="51">
        <v>0</v>
      </c>
      <c r="L540" s="51">
        <v>0</v>
      </c>
      <c r="M540" s="51">
        <v>0</v>
      </c>
      <c r="N540" s="51">
        <v>37478</v>
      </c>
    </row>
    <row r="541" spans="1:14" ht="15.75" x14ac:dyDescent="0.25">
      <c r="A541" s="49" t="s">
        <v>569</v>
      </c>
      <c r="B541" s="50" t="s">
        <v>81</v>
      </c>
      <c r="C541" s="51">
        <v>24654</v>
      </c>
      <c r="D541" s="51">
        <v>0</v>
      </c>
      <c r="E541" s="51">
        <v>0</v>
      </c>
      <c r="F541" s="51">
        <v>0</v>
      </c>
      <c r="G541" s="51">
        <v>0</v>
      </c>
      <c r="H541" s="51">
        <v>24654</v>
      </c>
      <c r="I541" s="51">
        <v>-6249</v>
      </c>
      <c r="J541" s="51">
        <v>18405</v>
      </c>
      <c r="K541" s="51">
        <v>0</v>
      </c>
      <c r="L541" s="51">
        <v>0</v>
      </c>
      <c r="M541" s="51">
        <v>0</v>
      </c>
      <c r="N541" s="51">
        <v>18405</v>
      </c>
    </row>
    <row r="542" spans="1:14" ht="15.75" x14ac:dyDescent="0.25">
      <c r="A542" s="49" t="s">
        <v>569</v>
      </c>
      <c r="B542" s="50" t="s">
        <v>82</v>
      </c>
      <c r="C542" s="51">
        <v>85755</v>
      </c>
      <c r="D542" s="51">
        <v>0</v>
      </c>
      <c r="E542" s="51">
        <v>0</v>
      </c>
      <c r="F542" s="51">
        <v>0</v>
      </c>
      <c r="G542" s="51">
        <v>0</v>
      </c>
      <c r="H542" s="51">
        <v>85755</v>
      </c>
      <c r="I542" s="51">
        <v>-48045</v>
      </c>
      <c r="J542" s="51">
        <v>37710</v>
      </c>
      <c r="K542" s="51">
        <v>0</v>
      </c>
      <c r="L542" s="51">
        <v>0</v>
      </c>
      <c r="M542" s="51">
        <v>0</v>
      </c>
      <c r="N542" s="51">
        <v>37710</v>
      </c>
    </row>
    <row r="543" spans="1:14" ht="15.75" x14ac:dyDescent="0.25">
      <c r="A543" s="49" t="s">
        <v>569</v>
      </c>
      <c r="B543" s="50" t="s">
        <v>83</v>
      </c>
      <c r="C543" s="51">
        <v>404158</v>
      </c>
      <c r="D543" s="51">
        <v>-1588</v>
      </c>
      <c r="E543" s="51">
        <v>0</v>
      </c>
      <c r="F543" s="51">
        <v>0</v>
      </c>
      <c r="G543" s="51">
        <v>0</v>
      </c>
      <c r="H543" s="51">
        <v>402570</v>
      </c>
      <c r="I543" s="51">
        <v>-289308</v>
      </c>
      <c r="J543" s="51">
        <v>113262</v>
      </c>
      <c r="K543" s="51">
        <v>0</v>
      </c>
      <c r="L543" s="51">
        <v>0</v>
      </c>
      <c r="M543" s="51">
        <v>0</v>
      </c>
      <c r="N543" s="51">
        <v>113262</v>
      </c>
    </row>
    <row r="544" spans="1:14" ht="15.75" x14ac:dyDescent="0.25">
      <c r="A544" s="49" t="s">
        <v>569</v>
      </c>
      <c r="B544" s="50" t="s">
        <v>48</v>
      </c>
      <c r="C544" s="51">
        <v>472903</v>
      </c>
      <c r="D544" s="51">
        <v>-229</v>
      </c>
      <c r="E544" s="51">
        <v>0</v>
      </c>
      <c r="F544" s="51">
        <v>0</v>
      </c>
      <c r="G544" s="51">
        <v>0</v>
      </c>
      <c r="H544" s="51">
        <v>472674</v>
      </c>
      <c r="I544" s="51">
        <v>-391438</v>
      </c>
      <c r="J544" s="51">
        <v>81236</v>
      </c>
      <c r="K544" s="51">
        <v>0</v>
      </c>
      <c r="L544" s="51">
        <v>0</v>
      </c>
      <c r="M544" s="51">
        <v>0</v>
      </c>
      <c r="N544" s="51">
        <v>81236</v>
      </c>
    </row>
    <row r="545" spans="1:14" ht="15.75" x14ac:dyDescent="0.25">
      <c r="A545" s="49" t="s">
        <v>569</v>
      </c>
      <c r="B545" s="50" t="s">
        <v>49</v>
      </c>
      <c r="C545" s="51">
        <v>447902</v>
      </c>
      <c r="D545" s="51">
        <v>-3604</v>
      </c>
      <c r="E545" s="51">
        <v>0</v>
      </c>
      <c r="F545" s="51">
        <v>0</v>
      </c>
      <c r="G545" s="51">
        <v>0</v>
      </c>
      <c r="H545" s="51">
        <v>444298</v>
      </c>
      <c r="I545" s="51">
        <v>-442546</v>
      </c>
      <c r="J545" s="51">
        <v>1752</v>
      </c>
      <c r="K545" s="51">
        <v>0</v>
      </c>
      <c r="L545" s="51">
        <v>0</v>
      </c>
      <c r="M545" s="51">
        <v>0</v>
      </c>
      <c r="N545" s="51">
        <v>1752</v>
      </c>
    </row>
    <row r="546" spans="1:14" ht="15.75" x14ac:dyDescent="0.25">
      <c r="A546" s="49" t="s">
        <v>569</v>
      </c>
      <c r="B546" s="50" t="s">
        <v>50</v>
      </c>
      <c r="C546" s="51">
        <v>697676</v>
      </c>
      <c r="D546" s="51">
        <v>-409</v>
      </c>
      <c r="E546" s="51">
        <v>0</v>
      </c>
      <c r="F546" s="51">
        <v>0</v>
      </c>
      <c r="G546" s="51">
        <v>0</v>
      </c>
      <c r="H546" s="51">
        <v>697267</v>
      </c>
      <c r="I546" s="51">
        <v>-693095</v>
      </c>
      <c r="J546" s="51">
        <v>4172</v>
      </c>
      <c r="K546" s="51">
        <v>825</v>
      </c>
      <c r="L546" s="51">
        <v>-825</v>
      </c>
      <c r="M546" s="51">
        <v>0</v>
      </c>
      <c r="N546" s="51">
        <v>4172</v>
      </c>
    </row>
    <row r="547" spans="1:14" ht="15.75" x14ac:dyDescent="0.25">
      <c r="A547" s="49" t="s">
        <v>569</v>
      </c>
      <c r="B547" s="50" t="s">
        <v>51</v>
      </c>
      <c r="C547" s="51">
        <v>872737</v>
      </c>
      <c r="D547" s="51">
        <v>-4692</v>
      </c>
      <c r="E547" s="51">
        <v>0</v>
      </c>
      <c r="F547" s="51">
        <v>0</v>
      </c>
      <c r="G547" s="51">
        <v>0</v>
      </c>
      <c r="H547" s="51">
        <v>868045</v>
      </c>
      <c r="I547" s="51">
        <v>-731745</v>
      </c>
      <c r="J547" s="51">
        <v>136300</v>
      </c>
      <c r="K547" s="51">
        <v>1</v>
      </c>
      <c r="L547" s="51">
        <v>-1</v>
      </c>
      <c r="M547" s="51">
        <v>0</v>
      </c>
      <c r="N547" s="51">
        <v>136300</v>
      </c>
    </row>
    <row r="548" spans="1:14" ht="15.75" x14ac:dyDescent="0.25">
      <c r="A548" s="49" t="s">
        <v>569</v>
      </c>
      <c r="B548" s="50" t="s">
        <v>52</v>
      </c>
      <c r="C548" s="51">
        <v>817247</v>
      </c>
      <c r="D548" s="51">
        <v>-3050</v>
      </c>
      <c r="E548" s="51">
        <v>0</v>
      </c>
      <c r="F548" s="51">
        <v>0</v>
      </c>
      <c r="G548" s="51">
        <v>0</v>
      </c>
      <c r="H548" s="51">
        <v>814197</v>
      </c>
      <c r="I548" s="51">
        <v>-747791</v>
      </c>
      <c r="J548" s="51">
        <v>66406</v>
      </c>
      <c r="K548" s="51">
        <v>40116</v>
      </c>
      <c r="L548" s="51">
        <v>-39635</v>
      </c>
      <c r="M548" s="51">
        <v>481</v>
      </c>
      <c r="N548" s="51">
        <v>65925</v>
      </c>
    </row>
    <row r="549" spans="1:14" ht="15.75" x14ac:dyDescent="0.25">
      <c r="A549" s="49" t="s">
        <v>569</v>
      </c>
      <c r="B549" s="50" t="s">
        <v>53</v>
      </c>
      <c r="C549" s="51">
        <v>1057713</v>
      </c>
      <c r="D549" s="51">
        <v>-4439</v>
      </c>
      <c r="E549" s="51">
        <v>0</v>
      </c>
      <c r="F549" s="51">
        <v>0</v>
      </c>
      <c r="G549" s="51">
        <v>0</v>
      </c>
      <c r="H549" s="51">
        <v>1053274</v>
      </c>
      <c r="I549" s="51">
        <v>-1028420</v>
      </c>
      <c r="J549" s="51">
        <v>24854</v>
      </c>
      <c r="K549" s="51">
        <v>324987</v>
      </c>
      <c r="L549" s="51">
        <v>-324236</v>
      </c>
      <c r="M549" s="51">
        <v>751</v>
      </c>
      <c r="N549" s="51">
        <v>24103</v>
      </c>
    </row>
    <row r="550" spans="1:14" ht="15.75" x14ac:dyDescent="0.25">
      <c r="A550" s="49" t="s">
        <v>569</v>
      </c>
      <c r="B550" s="50" t="s">
        <v>54</v>
      </c>
      <c r="C550" s="51">
        <v>983380</v>
      </c>
      <c r="D550" s="51">
        <v>-9911</v>
      </c>
      <c r="E550" s="51">
        <v>0</v>
      </c>
      <c r="F550" s="51">
        <v>0</v>
      </c>
      <c r="G550" s="51">
        <v>0</v>
      </c>
      <c r="H550" s="51">
        <v>973469</v>
      </c>
      <c r="I550" s="51">
        <v>-973469</v>
      </c>
      <c r="J550" s="51">
        <v>0</v>
      </c>
      <c r="K550" s="51">
        <v>4109</v>
      </c>
      <c r="L550" s="51">
        <v>-2598</v>
      </c>
      <c r="M550" s="51">
        <v>1511</v>
      </c>
      <c r="N550" s="51">
        <v>-1511</v>
      </c>
    </row>
    <row r="551" spans="1:14" ht="15.75" x14ac:dyDescent="0.25">
      <c r="A551" s="49" t="s">
        <v>569</v>
      </c>
      <c r="B551" s="50" t="s">
        <v>55</v>
      </c>
      <c r="C551" s="51">
        <v>1089791</v>
      </c>
      <c r="D551" s="51">
        <v>-3898</v>
      </c>
      <c r="E551" s="51">
        <v>0</v>
      </c>
      <c r="F551" s="51">
        <v>0</v>
      </c>
      <c r="G551" s="51">
        <v>0</v>
      </c>
      <c r="H551" s="51">
        <v>1085893</v>
      </c>
      <c r="I551" s="51">
        <v>-1085893</v>
      </c>
      <c r="J551" s="51">
        <v>0</v>
      </c>
      <c r="K551" s="51">
        <v>0</v>
      </c>
      <c r="L551" s="51">
        <v>0</v>
      </c>
      <c r="M551" s="51">
        <v>0</v>
      </c>
      <c r="N551" s="51">
        <v>0</v>
      </c>
    </row>
    <row r="552" spans="1:14" ht="15.75" x14ac:dyDescent="0.25">
      <c r="A552" s="49" t="s">
        <v>569</v>
      </c>
      <c r="B552" s="50" t="s">
        <v>56</v>
      </c>
      <c r="C552" s="51">
        <v>3095120</v>
      </c>
      <c r="D552" s="51">
        <v>-69610</v>
      </c>
      <c r="E552" s="51">
        <v>0</v>
      </c>
      <c r="F552" s="51">
        <v>0</v>
      </c>
      <c r="G552" s="51">
        <v>0</v>
      </c>
      <c r="H552" s="51">
        <v>3025510</v>
      </c>
      <c r="I552" s="51">
        <v>-3025510</v>
      </c>
      <c r="J552" s="51">
        <v>0</v>
      </c>
      <c r="K552" s="51">
        <v>0</v>
      </c>
      <c r="L552" s="51">
        <v>0</v>
      </c>
      <c r="M552" s="51">
        <v>0</v>
      </c>
      <c r="N552" s="51">
        <v>0</v>
      </c>
    </row>
    <row r="553" spans="1:14" ht="15.75" x14ac:dyDescent="0.25">
      <c r="A553" s="49" t="s">
        <v>569</v>
      </c>
      <c r="B553" s="50" t="s">
        <v>57</v>
      </c>
      <c r="C553" s="51">
        <v>3860721</v>
      </c>
      <c r="D553" s="51">
        <v>-602262</v>
      </c>
      <c r="E553" s="51">
        <v>0</v>
      </c>
      <c r="F553" s="51">
        <v>0</v>
      </c>
      <c r="G553" s="51">
        <v>0</v>
      </c>
      <c r="H553" s="51">
        <v>3258459</v>
      </c>
      <c r="I553" s="51">
        <v>-3258459</v>
      </c>
      <c r="J553" s="51">
        <v>0</v>
      </c>
      <c r="K553" s="51">
        <v>2332978</v>
      </c>
      <c r="L553" s="51">
        <v>-2331773</v>
      </c>
      <c r="M553" s="51">
        <v>1205</v>
      </c>
      <c r="N553" s="51">
        <v>-1205</v>
      </c>
    </row>
    <row r="554" spans="1:14" ht="15.75" x14ac:dyDescent="0.25">
      <c r="A554" s="49" t="s">
        <v>569</v>
      </c>
      <c r="B554" s="50" t="s">
        <v>58</v>
      </c>
      <c r="C554" s="51">
        <v>5067655</v>
      </c>
      <c r="D554" s="51">
        <v>-61735</v>
      </c>
      <c r="E554" s="51">
        <v>0</v>
      </c>
      <c r="F554" s="51">
        <v>0</v>
      </c>
      <c r="G554" s="51">
        <v>0</v>
      </c>
      <c r="H554" s="51">
        <v>5005920</v>
      </c>
      <c r="I554" s="51">
        <v>-5005920</v>
      </c>
      <c r="J554" s="51">
        <v>0</v>
      </c>
      <c r="K554" s="51">
        <v>743465</v>
      </c>
      <c r="L554" s="51">
        <v>-741868</v>
      </c>
      <c r="M554" s="51">
        <v>1597</v>
      </c>
      <c r="N554" s="51">
        <v>-1597</v>
      </c>
    </row>
    <row r="555" spans="1:14" ht="15.75" x14ac:dyDescent="0.25">
      <c r="A555" s="49" t="s">
        <v>569</v>
      </c>
      <c r="B555" s="50" t="s">
        <v>59</v>
      </c>
      <c r="C555" s="51">
        <v>4978978</v>
      </c>
      <c r="D555" s="51">
        <v>-5684</v>
      </c>
      <c r="E555" s="51">
        <v>0</v>
      </c>
      <c r="F555" s="51">
        <v>0</v>
      </c>
      <c r="G555" s="51">
        <v>0</v>
      </c>
      <c r="H555" s="51">
        <v>4973294</v>
      </c>
      <c r="I555" s="51">
        <v>-4973294</v>
      </c>
      <c r="J555" s="51">
        <v>0</v>
      </c>
      <c r="K555" s="51">
        <v>0</v>
      </c>
      <c r="L555" s="51">
        <v>0</v>
      </c>
      <c r="M555" s="51">
        <v>0</v>
      </c>
      <c r="N555" s="51">
        <v>0</v>
      </c>
    </row>
    <row r="556" spans="1:14" ht="15.75" x14ac:dyDescent="0.25">
      <c r="A556" s="49" t="s">
        <v>569</v>
      </c>
      <c r="B556" s="50" t="s">
        <v>60</v>
      </c>
      <c r="C556" s="51">
        <v>5010317</v>
      </c>
      <c r="D556" s="51">
        <v>-10260</v>
      </c>
      <c r="E556" s="51">
        <v>0</v>
      </c>
      <c r="F556" s="51">
        <v>0</v>
      </c>
      <c r="G556" s="51">
        <v>0</v>
      </c>
      <c r="H556" s="51">
        <v>5000057</v>
      </c>
      <c r="I556" s="51">
        <v>-5000057</v>
      </c>
      <c r="J556" s="51">
        <v>0</v>
      </c>
      <c r="K556" s="51">
        <v>0</v>
      </c>
      <c r="L556" s="51">
        <v>0</v>
      </c>
      <c r="M556" s="51">
        <v>0</v>
      </c>
      <c r="N556" s="51">
        <v>0</v>
      </c>
    </row>
    <row r="557" spans="1:14" ht="15.75" x14ac:dyDescent="0.25">
      <c r="A557" s="49" t="s">
        <v>569</v>
      </c>
      <c r="B557" s="50" t="s">
        <v>61</v>
      </c>
      <c r="C557" s="51">
        <v>6692244</v>
      </c>
      <c r="D557" s="51">
        <v>-13878</v>
      </c>
      <c r="E557" s="51">
        <v>0</v>
      </c>
      <c r="F557" s="51">
        <v>0</v>
      </c>
      <c r="G557" s="51">
        <v>0</v>
      </c>
      <c r="H557" s="51">
        <v>6678366</v>
      </c>
      <c r="I557" s="51">
        <v>-6678366</v>
      </c>
      <c r="J557" s="51">
        <v>0</v>
      </c>
      <c r="K557" s="51">
        <v>4952</v>
      </c>
      <c r="L557" s="51">
        <v>-4952</v>
      </c>
      <c r="M557" s="51">
        <v>0</v>
      </c>
      <c r="N557" s="51">
        <v>0</v>
      </c>
    </row>
    <row r="558" spans="1:14" ht="15.75" x14ac:dyDescent="0.25">
      <c r="A558" s="52" t="s">
        <v>447</v>
      </c>
      <c r="B558" s="53" t="s">
        <v>8</v>
      </c>
      <c r="C558" s="19">
        <f>SUBTOTAL(109,Program183[(C)
Program
Costs])</f>
        <v>35755017</v>
      </c>
      <c r="D558" s="19">
        <f>SUBTOTAL(109,Program183[(D)
Prior Period Adjustments])</f>
        <v>-796009</v>
      </c>
      <c r="E558" s="19">
        <f>SUBTOTAL(109,Program183[(E)
Current Period Desk 
Reviews])</f>
        <v>0</v>
      </c>
      <c r="F558" s="19">
        <f>SUBTOTAL(109,Program183[(F)
Current Period 
Final 
Audits])</f>
        <v>0</v>
      </c>
      <c r="G558" s="19">
        <f>SUBTOTAL(109,Program183[(G)
Current Period 
Other Adjustments])</f>
        <v>0</v>
      </c>
      <c r="H558" s="19">
        <f>SUBTOTAL(109,Program183[(H)
Net Program Costs
Sum (C through G)])</f>
        <v>34959008</v>
      </c>
      <c r="I558" s="19">
        <f>SUBTOTAL(109,Program183[(I)
Payments
 and Offsets])</f>
        <v>-34399493</v>
      </c>
      <c r="J558" s="19">
        <f>SUBTOTAL(109,Program183[(J)
Accounts Payable Balance
(H + I)])</f>
        <v>559515</v>
      </c>
      <c r="K558" s="19">
        <f>SUBTOTAL(109,Program183[(K)
Established 
Accounts Receivable])</f>
        <v>3451433</v>
      </c>
      <c r="L558" s="19">
        <f>SUBTOTAL(109,Program183[(L)
Recovered
 Accounts Receivable])</f>
        <v>-3445888</v>
      </c>
      <c r="M558" s="19">
        <f>SUBTOTAL(109,Program183[(M)
Accounts Receivable Balance
(K + L)])</f>
        <v>5545</v>
      </c>
      <c r="N558" s="19">
        <f>SUBTOTAL(109,Program183[(N)
Net Balance
(J minus M)])</f>
        <v>553970</v>
      </c>
    </row>
    <row r="559" spans="1:14" ht="15.75" x14ac:dyDescent="0.25">
      <c r="A559" s="17" t="s">
        <v>13</v>
      </c>
      <c r="B559" s="54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</row>
    <row r="560" spans="1:14" ht="78.75" x14ac:dyDescent="0.25">
      <c r="A560" s="39" t="s">
        <v>32</v>
      </c>
      <c r="B560" s="40" t="s">
        <v>33</v>
      </c>
      <c r="C560" s="41" t="s">
        <v>34</v>
      </c>
      <c r="D560" s="41" t="s">
        <v>35</v>
      </c>
      <c r="E560" s="42" t="s">
        <v>36</v>
      </c>
      <c r="F560" s="42" t="s">
        <v>37</v>
      </c>
      <c r="G560" s="42" t="s">
        <v>38</v>
      </c>
      <c r="H560" s="43" t="s">
        <v>39</v>
      </c>
      <c r="I560" s="44" t="s">
        <v>40</v>
      </c>
      <c r="J560" s="44" t="s">
        <v>41</v>
      </c>
      <c r="K560" s="42" t="s">
        <v>42</v>
      </c>
      <c r="L560" s="44" t="s">
        <v>43</v>
      </c>
      <c r="M560" s="44" t="s">
        <v>44</v>
      </c>
      <c r="N560" s="45" t="s">
        <v>45</v>
      </c>
    </row>
    <row r="561" spans="1:14" ht="15.75" x14ac:dyDescent="0.25">
      <c r="A561" s="46" t="s">
        <v>568</v>
      </c>
      <c r="B561" s="47" t="s">
        <v>77</v>
      </c>
      <c r="C561" s="48">
        <v>2048</v>
      </c>
      <c r="D561" s="48">
        <v>0</v>
      </c>
      <c r="E561" s="48">
        <v>0</v>
      </c>
      <c r="F561" s="48">
        <v>0</v>
      </c>
      <c r="G561" s="48">
        <v>0</v>
      </c>
      <c r="H561" s="48">
        <v>2048</v>
      </c>
      <c r="I561" s="48">
        <v>-1000</v>
      </c>
      <c r="J561" s="48">
        <v>1048</v>
      </c>
      <c r="K561" s="48">
        <v>0</v>
      </c>
      <c r="L561" s="48">
        <v>0</v>
      </c>
      <c r="M561" s="48">
        <v>0</v>
      </c>
      <c r="N561" s="48">
        <v>1048</v>
      </c>
    </row>
    <row r="562" spans="1:14" ht="15.75" x14ac:dyDescent="0.25">
      <c r="A562" s="49" t="s">
        <v>568</v>
      </c>
      <c r="B562" s="50" t="s">
        <v>78</v>
      </c>
      <c r="C562" s="51">
        <v>3144</v>
      </c>
      <c r="D562" s="51">
        <v>0</v>
      </c>
      <c r="E562" s="51">
        <v>0</v>
      </c>
      <c r="F562" s="51">
        <v>0</v>
      </c>
      <c r="G562" s="51">
        <v>0</v>
      </c>
      <c r="H562" s="51">
        <v>3144</v>
      </c>
      <c r="I562" s="51">
        <v>-1000</v>
      </c>
      <c r="J562" s="51">
        <v>2144</v>
      </c>
      <c r="K562" s="51">
        <v>0</v>
      </c>
      <c r="L562" s="51">
        <v>0</v>
      </c>
      <c r="M562" s="51">
        <v>0</v>
      </c>
      <c r="N562" s="51">
        <v>2144</v>
      </c>
    </row>
    <row r="563" spans="1:14" ht="15.75" x14ac:dyDescent="0.25">
      <c r="A563" s="49" t="s">
        <v>568</v>
      </c>
      <c r="B563" s="50" t="s">
        <v>47</v>
      </c>
      <c r="C563" s="51">
        <v>3050</v>
      </c>
      <c r="D563" s="51">
        <v>0</v>
      </c>
      <c r="E563" s="51">
        <v>0</v>
      </c>
      <c r="F563" s="51">
        <v>0</v>
      </c>
      <c r="G563" s="51">
        <v>0</v>
      </c>
      <c r="H563" s="51">
        <v>3050</v>
      </c>
      <c r="I563" s="51">
        <v>-1000</v>
      </c>
      <c r="J563" s="51">
        <v>2050</v>
      </c>
      <c r="K563" s="51">
        <v>0</v>
      </c>
      <c r="L563" s="51">
        <v>0</v>
      </c>
      <c r="M563" s="51">
        <v>0</v>
      </c>
      <c r="N563" s="51">
        <v>2050</v>
      </c>
    </row>
    <row r="564" spans="1:14" ht="15.75" x14ac:dyDescent="0.25">
      <c r="A564" s="49" t="s">
        <v>568</v>
      </c>
      <c r="B564" s="50" t="s">
        <v>79</v>
      </c>
      <c r="C564" s="51">
        <v>4049</v>
      </c>
      <c r="D564" s="51">
        <v>0</v>
      </c>
      <c r="E564" s="51">
        <v>0</v>
      </c>
      <c r="F564" s="51">
        <v>0</v>
      </c>
      <c r="G564" s="51">
        <v>0</v>
      </c>
      <c r="H564" s="51">
        <v>4049</v>
      </c>
      <c r="I564" s="51">
        <v>-2448</v>
      </c>
      <c r="J564" s="51">
        <v>1601</v>
      </c>
      <c r="K564" s="51">
        <v>0</v>
      </c>
      <c r="L564" s="51">
        <v>0</v>
      </c>
      <c r="M564" s="51">
        <v>0</v>
      </c>
      <c r="N564" s="51">
        <v>1601</v>
      </c>
    </row>
    <row r="565" spans="1:14" ht="15.75" x14ac:dyDescent="0.25">
      <c r="A565" s="49" t="s">
        <v>568</v>
      </c>
      <c r="B565" s="50" t="s">
        <v>80</v>
      </c>
      <c r="C565" s="51">
        <v>12287</v>
      </c>
      <c r="D565" s="51">
        <v>0</v>
      </c>
      <c r="E565" s="51">
        <v>0</v>
      </c>
      <c r="F565" s="51">
        <v>0</v>
      </c>
      <c r="G565" s="51">
        <v>0</v>
      </c>
      <c r="H565" s="51">
        <v>12287</v>
      </c>
      <c r="I565" s="51">
        <v>-5287</v>
      </c>
      <c r="J565" s="51">
        <v>7000</v>
      </c>
      <c r="K565" s="51">
        <v>0</v>
      </c>
      <c r="L565" s="51">
        <v>0</v>
      </c>
      <c r="M565" s="51">
        <v>0</v>
      </c>
      <c r="N565" s="51">
        <v>7000</v>
      </c>
    </row>
    <row r="566" spans="1:14" ht="15.75" x14ac:dyDescent="0.25">
      <c r="A566" s="49" t="s">
        <v>568</v>
      </c>
      <c r="B566" s="50" t="s">
        <v>81</v>
      </c>
      <c r="C566" s="51">
        <v>33464</v>
      </c>
      <c r="D566" s="51">
        <v>0</v>
      </c>
      <c r="E566" s="51">
        <v>0</v>
      </c>
      <c r="F566" s="51">
        <v>0</v>
      </c>
      <c r="G566" s="51">
        <v>0</v>
      </c>
      <c r="H566" s="51">
        <v>33464</v>
      </c>
      <c r="I566" s="51">
        <v>-8855</v>
      </c>
      <c r="J566" s="51">
        <v>24609</v>
      </c>
      <c r="K566" s="51">
        <v>0</v>
      </c>
      <c r="L566" s="51">
        <v>0</v>
      </c>
      <c r="M566" s="51">
        <v>0</v>
      </c>
      <c r="N566" s="51">
        <v>24609</v>
      </c>
    </row>
    <row r="567" spans="1:14" ht="15.75" x14ac:dyDescent="0.25">
      <c r="A567" s="49" t="s">
        <v>568</v>
      </c>
      <c r="B567" s="50" t="s">
        <v>82</v>
      </c>
      <c r="C567" s="51">
        <v>81057</v>
      </c>
      <c r="D567" s="51">
        <v>0</v>
      </c>
      <c r="E567" s="51">
        <v>0</v>
      </c>
      <c r="F567" s="51">
        <v>0</v>
      </c>
      <c r="G567" s="51">
        <v>0</v>
      </c>
      <c r="H567" s="51">
        <v>81057</v>
      </c>
      <c r="I567" s="51">
        <v>-30477</v>
      </c>
      <c r="J567" s="51">
        <v>50580</v>
      </c>
      <c r="K567" s="51">
        <v>0</v>
      </c>
      <c r="L567" s="51">
        <v>0</v>
      </c>
      <c r="M567" s="51">
        <v>0</v>
      </c>
      <c r="N567" s="51">
        <v>50580</v>
      </c>
    </row>
    <row r="568" spans="1:14" ht="15.75" x14ac:dyDescent="0.25">
      <c r="A568" s="49" t="s">
        <v>568</v>
      </c>
      <c r="B568" s="50" t="s">
        <v>83</v>
      </c>
      <c r="C568" s="51">
        <v>500240</v>
      </c>
      <c r="D568" s="51">
        <v>-830</v>
      </c>
      <c r="E568" s="51">
        <v>0</v>
      </c>
      <c r="F568" s="51">
        <v>0</v>
      </c>
      <c r="G568" s="51">
        <v>0</v>
      </c>
      <c r="H568" s="51">
        <v>499410</v>
      </c>
      <c r="I568" s="51">
        <v>-262998</v>
      </c>
      <c r="J568" s="51">
        <v>236412</v>
      </c>
      <c r="K568" s="51">
        <v>0</v>
      </c>
      <c r="L568" s="51">
        <v>0</v>
      </c>
      <c r="M568" s="51">
        <v>0</v>
      </c>
      <c r="N568" s="51">
        <v>236412</v>
      </c>
    </row>
    <row r="569" spans="1:14" ht="15.75" x14ac:dyDescent="0.25">
      <c r="A569" s="49" t="s">
        <v>568</v>
      </c>
      <c r="B569" s="50" t="s">
        <v>48</v>
      </c>
      <c r="C569" s="51">
        <v>440327</v>
      </c>
      <c r="D569" s="51">
        <v>-1684</v>
      </c>
      <c r="E569" s="51">
        <v>0</v>
      </c>
      <c r="F569" s="51">
        <v>0</v>
      </c>
      <c r="G569" s="51">
        <v>0</v>
      </c>
      <c r="H569" s="51">
        <v>438643</v>
      </c>
      <c r="I569" s="51">
        <v>-278771</v>
      </c>
      <c r="J569" s="51">
        <v>159872</v>
      </c>
      <c r="K569" s="51">
        <v>0</v>
      </c>
      <c r="L569" s="51">
        <v>0</v>
      </c>
      <c r="M569" s="51">
        <v>0</v>
      </c>
      <c r="N569" s="51">
        <v>159872</v>
      </c>
    </row>
    <row r="570" spans="1:14" ht="15.75" x14ac:dyDescent="0.25">
      <c r="A570" s="49" t="s">
        <v>568</v>
      </c>
      <c r="B570" s="50" t="s">
        <v>49</v>
      </c>
      <c r="C570" s="51">
        <v>389087</v>
      </c>
      <c r="D570" s="51">
        <v>-6922</v>
      </c>
      <c r="E570" s="51">
        <v>0</v>
      </c>
      <c r="F570" s="51">
        <v>0</v>
      </c>
      <c r="G570" s="51">
        <v>0</v>
      </c>
      <c r="H570" s="51">
        <v>382165</v>
      </c>
      <c r="I570" s="51">
        <v>-323806</v>
      </c>
      <c r="J570" s="51">
        <v>58359</v>
      </c>
      <c r="K570" s="51">
        <v>0</v>
      </c>
      <c r="L570" s="51">
        <v>0</v>
      </c>
      <c r="M570" s="51">
        <v>0</v>
      </c>
      <c r="N570" s="51">
        <v>58359</v>
      </c>
    </row>
    <row r="571" spans="1:14" ht="15.75" x14ac:dyDescent="0.25">
      <c r="A571" s="49" t="s">
        <v>568</v>
      </c>
      <c r="B571" s="50" t="s">
        <v>50</v>
      </c>
      <c r="C571" s="51">
        <v>369859</v>
      </c>
      <c r="D571" s="51">
        <v>-1207</v>
      </c>
      <c r="E571" s="51">
        <v>0</v>
      </c>
      <c r="F571" s="51">
        <v>0</v>
      </c>
      <c r="G571" s="51">
        <v>0</v>
      </c>
      <c r="H571" s="51">
        <v>368652</v>
      </c>
      <c r="I571" s="51">
        <v>-365323</v>
      </c>
      <c r="J571" s="51">
        <v>3329</v>
      </c>
      <c r="K571" s="51">
        <v>1055</v>
      </c>
      <c r="L571" s="51">
        <v>0</v>
      </c>
      <c r="M571" s="51">
        <v>1055</v>
      </c>
      <c r="N571" s="51">
        <v>2274</v>
      </c>
    </row>
    <row r="572" spans="1:14" ht="15.75" x14ac:dyDescent="0.25">
      <c r="A572" s="49" t="s">
        <v>568</v>
      </c>
      <c r="B572" s="50" t="s">
        <v>51</v>
      </c>
      <c r="C572" s="51">
        <v>466050</v>
      </c>
      <c r="D572" s="51">
        <v>-6918</v>
      </c>
      <c r="E572" s="51">
        <v>0</v>
      </c>
      <c r="F572" s="51">
        <v>0</v>
      </c>
      <c r="G572" s="51">
        <v>0</v>
      </c>
      <c r="H572" s="51">
        <v>459132</v>
      </c>
      <c r="I572" s="51">
        <v>-388107</v>
      </c>
      <c r="J572" s="51">
        <v>71025</v>
      </c>
      <c r="K572" s="51">
        <v>0</v>
      </c>
      <c r="L572" s="51">
        <v>0</v>
      </c>
      <c r="M572" s="51">
        <v>0</v>
      </c>
      <c r="N572" s="51">
        <v>71025</v>
      </c>
    </row>
    <row r="573" spans="1:14" ht="15.75" x14ac:dyDescent="0.25">
      <c r="A573" s="49" t="s">
        <v>568</v>
      </c>
      <c r="B573" s="50" t="s">
        <v>52</v>
      </c>
      <c r="C573" s="51">
        <v>563734</v>
      </c>
      <c r="D573" s="51">
        <v>-12870</v>
      </c>
      <c r="E573" s="51">
        <v>0</v>
      </c>
      <c r="F573" s="51">
        <v>0</v>
      </c>
      <c r="G573" s="51">
        <v>0</v>
      </c>
      <c r="H573" s="51">
        <v>550864</v>
      </c>
      <c r="I573" s="51">
        <v>-508168</v>
      </c>
      <c r="J573" s="51">
        <v>42696</v>
      </c>
      <c r="K573" s="51">
        <v>6681</v>
      </c>
      <c r="L573" s="51">
        <v>-4892</v>
      </c>
      <c r="M573" s="51">
        <v>1789</v>
      </c>
      <c r="N573" s="51">
        <v>40907</v>
      </c>
    </row>
    <row r="574" spans="1:14" ht="15.75" x14ac:dyDescent="0.25">
      <c r="A574" s="49" t="s">
        <v>568</v>
      </c>
      <c r="B574" s="50" t="s">
        <v>53</v>
      </c>
      <c r="C574" s="51">
        <v>360612</v>
      </c>
      <c r="D574" s="51">
        <v>-15528</v>
      </c>
      <c r="E574" s="51">
        <v>0</v>
      </c>
      <c r="F574" s="51">
        <v>0</v>
      </c>
      <c r="G574" s="51">
        <v>0</v>
      </c>
      <c r="H574" s="51">
        <v>345084</v>
      </c>
      <c r="I574" s="51">
        <v>-339843</v>
      </c>
      <c r="J574" s="51">
        <v>5241</v>
      </c>
      <c r="K574" s="51">
        <v>0</v>
      </c>
      <c r="L574" s="51">
        <v>0</v>
      </c>
      <c r="M574" s="51">
        <v>0</v>
      </c>
      <c r="N574" s="51">
        <v>5241</v>
      </c>
    </row>
    <row r="575" spans="1:14" ht="15.75" x14ac:dyDescent="0.25">
      <c r="A575" s="49" t="s">
        <v>568</v>
      </c>
      <c r="B575" s="50" t="s">
        <v>54</v>
      </c>
      <c r="C575" s="51">
        <v>424532</v>
      </c>
      <c r="D575" s="51">
        <v>-14151</v>
      </c>
      <c r="E575" s="51">
        <v>0</v>
      </c>
      <c r="F575" s="51">
        <v>0</v>
      </c>
      <c r="G575" s="51">
        <v>0</v>
      </c>
      <c r="H575" s="51">
        <v>410381</v>
      </c>
      <c r="I575" s="51">
        <v>-410381</v>
      </c>
      <c r="J575" s="51">
        <v>0</v>
      </c>
      <c r="K575" s="51">
        <v>13269</v>
      </c>
      <c r="L575" s="51">
        <v>0</v>
      </c>
      <c r="M575" s="51">
        <v>13269</v>
      </c>
      <c r="N575" s="51">
        <v>-13269</v>
      </c>
    </row>
    <row r="576" spans="1:14" ht="15.75" x14ac:dyDescent="0.25">
      <c r="A576" s="49" t="s">
        <v>568</v>
      </c>
      <c r="B576" s="50" t="s">
        <v>55</v>
      </c>
      <c r="C576" s="51">
        <v>245684</v>
      </c>
      <c r="D576" s="51">
        <v>-417</v>
      </c>
      <c r="E576" s="51">
        <v>0</v>
      </c>
      <c r="F576" s="51">
        <v>0</v>
      </c>
      <c r="G576" s="51">
        <v>0</v>
      </c>
      <c r="H576" s="51">
        <v>245267</v>
      </c>
      <c r="I576" s="51">
        <v>-245267</v>
      </c>
      <c r="J576" s="51">
        <v>0</v>
      </c>
      <c r="K576" s="51">
        <v>0</v>
      </c>
      <c r="L576" s="51">
        <v>0</v>
      </c>
      <c r="M576" s="51">
        <v>0</v>
      </c>
      <c r="N576" s="51">
        <v>0</v>
      </c>
    </row>
    <row r="577" spans="1:14" ht="15.75" x14ac:dyDescent="0.25">
      <c r="A577" s="49" t="s">
        <v>568</v>
      </c>
      <c r="B577" s="50" t="s">
        <v>56</v>
      </c>
      <c r="C577" s="51">
        <v>46382</v>
      </c>
      <c r="D577" s="51">
        <v>0</v>
      </c>
      <c r="E577" s="51">
        <v>0</v>
      </c>
      <c r="F577" s="51">
        <v>0</v>
      </c>
      <c r="G577" s="51">
        <v>0</v>
      </c>
      <c r="H577" s="51">
        <v>46382</v>
      </c>
      <c r="I577" s="51">
        <v>-46382</v>
      </c>
      <c r="J577" s="51">
        <v>0</v>
      </c>
      <c r="K577" s="51">
        <v>0</v>
      </c>
      <c r="L577" s="51">
        <v>0</v>
      </c>
      <c r="M577" s="51">
        <v>0</v>
      </c>
      <c r="N577" s="51">
        <v>0</v>
      </c>
    </row>
    <row r="578" spans="1:14" ht="15.75" x14ac:dyDescent="0.25">
      <c r="A578" s="49" t="s">
        <v>568</v>
      </c>
      <c r="B578" s="50" t="s">
        <v>57</v>
      </c>
      <c r="C578" s="51">
        <v>44589</v>
      </c>
      <c r="D578" s="51">
        <v>0</v>
      </c>
      <c r="E578" s="51">
        <v>0</v>
      </c>
      <c r="F578" s="51">
        <v>0</v>
      </c>
      <c r="G578" s="51">
        <v>0</v>
      </c>
      <c r="H578" s="51">
        <v>44589</v>
      </c>
      <c r="I578" s="51">
        <v>-44589</v>
      </c>
      <c r="J578" s="51">
        <v>0</v>
      </c>
      <c r="K578" s="51">
        <v>0</v>
      </c>
      <c r="L578" s="51">
        <v>0</v>
      </c>
      <c r="M578" s="51">
        <v>0</v>
      </c>
      <c r="N578" s="51">
        <v>0</v>
      </c>
    </row>
    <row r="579" spans="1:14" ht="15.75" x14ac:dyDescent="0.25">
      <c r="A579" s="49" t="s">
        <v>568</v>
      </c>
      <c r="B579" s="50" t="s">
        <v>58</v>
      </c>
      <c r="C579" s="51">
        <v>39338</v>
      </c>
      <c r="D579" s="51">
        <v>0</v>
      </c>
      <c r="E579" s="51">
        <v>0</v>
      </c>
      <c r="F579" s="51">
        <v>0</v>
      </c>
      <c r="G579" s="51">
        <v>0</v>
      </c>
      <c r="H579" s="51">
        <v>39338</v>
      </c>
      <c r="I579" s="51">
        <v>-39338</v>
      </c>
      <c r="J579" s="51">
        <v>0</v>
      </c>
      <c r="K579" s="51">
        <v>0</v>
      </c>
      <c r="L579" s="51">
        <v>0</v>
      </c>
      <c r="M579" s="51">
        <v>0</v>
      </c>
      <c r="N579" s="51">
        <v>0</v>
      </c>
    </row>
    <row r="580" spans="1:14" ht="15.75" x14ac:dyDescent="0.25">
      <c r="A580" s="49" t="s">
        <v>568</v>
      </c>
      <c r="B580" s="50" t="s">
        <v>59</v>
      </c>
      <c r="C580" s="51">
        <v>37114</v>
      </c>
      <c r="D580" s="51">
        <v>0</v>
      </c>
      <c r="E580" s="51">
        <v>0</v>
      </c>
      <c r="F580" s="51">
        <v>0</v>
      </c>
      <c r="G580" s="51">
        <v>0</v>
      </c>
      <c r="H580" s="51">
        <v>37114</v>
      </c>
      <c r="I580" s="51">
        <v>-37114</v>
      </c>
      <c r="J580" s="51">
        <v>0</v>
      </c>
      <c r="K580" s="51">
        <v>0</v>
      </c>
      <c r="L580" s="51">
        <v>0</v>
      </c>
      <c r="M580" s="51">
        <v>0</v>
      </c>
      <c r="N580" s="51">
        <v>0</v>
      </c>
    </row>
    <row r="581" spans="1:14" ht="15.75" x14ac:dyDescent="0.25">
      <c r="A581" s="52" t="s">
        <v>446</v>
      </c>
      <c r="B581" s="53" t="s">
        <v>8</v>
      </c>
      <c r="C581" s="19">
        <f>SUBTOTAL(109,Program251[(C)
Program
Costs])</f>
        <v>4066647</v>
      </c>
      <c r="D581" s="19">
        <f>SUBTOTAL(109,Program251[(D)
Prior Period Adjustments])</f>
        <v>-60527</v>
      </c>
      <c r="E581" s="19">
        <f>SUBTOTAL(109,Program251[(E)
Current Period Desk 
Reviews])</f>
        <v>0</v>
      </c>
      <c r="F581" s="19">
        <f>SUBTOTAL(109,Program251[(F)
Current Period 
Final 
Audits])</f>
        <v>0</v>
      </c>
      <c r="G581" s="19">
        <f>SUBTOTAL(109,Program251[(G)
Current Period 
Other Adjustments])</f>
        <v>0</v>
      </c>
      <c r="H581" s="19">
        <f>SUBTOTAL(109,Program251[(H)
Net Program Costs
Sum (C through G)])</f>
        <v>4006120</v>
      </c>
      <c r="I581" s="19">
        <f>SUBTOTAL(109,Program251[(I)
Payments
 and Offsets])</f>
        <v>-3340154</v>
      </c>
      <c r="J581" s="19">
        <f>SUBTOTAL(109,Program251[(J)
Accounts Payable Balance
(H + I)])</f>
        <v>665966</v>
      </c>
      <c r="K581" s="19">
        <f>SUBTOTAL(109,Program251[(K)
Established 
Accounts Receivable])</f>
        <v>21005</v>
      </c>
      <c r="L581" s="19">
        <f>SUBTOTAL(109,Program251[(L)
Recovered
 Accounts Receivable])</f>
        <v>-4892</v>
      </c>
      <c r="M581" s="19">
        <f>SUBTOTAL(109,Program251[(M)
Accounts Receivable Balance
(K + L)])</f>
        <v>16113</v>
      </c>
      <c r="N581" s="19">
        <f>SUBTOTAL(109,Program251[(N)
Net Balance
(J minus M)])</f>
        <v>649853</v>
      </c>
    </row>
    <row r="582" spans="1:14" ht="15.75" x14ac:dyDescent="0.25">
      <c r="A582" s="17" t="s">
        <v>13</v>
      </c>
      <c r="B582" s="54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</row>
    <row r="583" spans="1:14" ht="78.75" x14ac:dyDescent="0.25">
      <c r="A583" s="39" t="s">
        <v>32</v>
      </c>
      <c r="B583" s="40" t="s">
        <v>33</v>
      </c>
      <c r="C583" s="41" t="s">
        <v>34</v>
      </c>
      <c r="D583" s="41" t="s">
        <v>35</v>
      </c>
      <c r="E583" s="42" t="s">
        <v>36</v>
      </c>
      <c r="F583" s="42" t="s">
        <v>37</v>
      </c>
      <c r="G583" s="42" t="s">
        <v>38</v>
      </c>
      <c r="H583" s="43" t="s">
        <v>39</v>
      </c>
      <c r="I583" s="44" t="s">
        <v>40</v>
      </c>
      <c r="J583" s="44" t="s">
        <v>41</v>
      </c>
      <c r="K583" s="42" t="s">
        <v>42</v>
      </c>
      <c r="L583" s="44" t="s">
        <v>43</v>
      </c>
      <c r="M583" s="44" t="s">
        <v>44</v>
      </c>
      <c r="N583" s="45" t="s">
        <v>45</v>
      </c>
    </row>
    <row r="584" spans="1:14" ht="15.75" x14ac:dyDescent="0.25">
      <c r="A584" s="46" t="s">
        <v>567</v>
      </c>
      <c r="B584" s="47" t="s">
        <v>81</v>
      </c>
      <c r="C584" s="48">
        <v>10130</v>
      </c>
      <c r="D584" s="48">
        <v>-124</v>
      </c>
      <c r="E584" s="48">
        <v>0</v>
      </c>
      <c r="F584" s="48">
        <v>0</v>
      </c>
      <c r="G584" s="48">
        <v>0</v>
      </c>
      <c r="H584" s="48">
        <v>10006</v>
      </c>
      <c r="I584" s="48">
        <v>-10006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</row>
    <row r="585" spans="1:14" ht="15.75" x14ac:dyDescent="0.25">
      <c r="A585" s="49" t="s">
        <v>567</v>
      </c>
      <c r="B585" s="50" t="s">
        <v>82</v>
      </c>
      <c r="C585" s="51">
        <v>3808</v>
      </c>
      <c r="D585" s="51">
        <v>0</v>
      </c>
      <c r="E585" s="51">
        <v>0</v>
      </c>
      <c r="F585" s="51">
        <v>0</v>
      </c>
      <c r="G585" s="51">
        <v>0</v>
      </c>
      <c r="H585" s="51">
        <v>3808</v>
      </c>
      <c r="I585" s="51">
        <v>-3808</v>
      </c>
      <c r="J585" s="51">
        <v>0</v>
      </c>
      <c r="K585" s="51">
        <v>0</v>
      </c>
      <c r="L585" s="51">
        <v>0</v>
      </c>
      <c r="M585" s="51">
        <v>0</v>
      </c>
      <c r="N585" s="51">
        <v>0</v>
      </c>
    </row>
    <row r="586" spans="1:14" ht="15.75" x14ac:dyDescent="0.25">
      <c r="A586" s="49" t="s">
        <v>567</v>
      </c>
      <c r="B586" s="50" t="s">
        <v>83</v>
      </c>
      <c r="C586" s="51">
        <v>32598</v>
      </c>
      <c r="D586" s="51">
        <v>-241</v>
      </c>
      <c r="E586" s="51">
        <v>0</v>
      </c>
      <c r="F586" s="51">
        <v>0</v>
      </c>
      <c r="G586" s="51">
        <v>0</v>
      </c>
      <c r="H586" s="51">
        <v>32357</v>
      </c>
      <c r="I586" s="51">
        <v>-32357</v>
      </c>
      <c r="J586" s="51">
        <v>0</v>
      </c>
      <c r="K586" s="51">
        <v>0</v>
      </c>
      <c r="L586" s="51">
        <v>0</v>
      </c>
      <c r="M586" s="51">
        <v>0</v>
      </c>
      <c r="N586" s="51">
        <v>0</v>
      </c>
    </row>
    <row r="587" spans="1:14" ht="15.75" x14ac:dyDescent="0.25">
      <c r="A587" s="49" t="s">
        <v>567</v>
      </c>
      <c r="B587" s="50" t="s">
        <v>48</v>
      </c>
      <c r="C587" s="51">
        <v>51333</v>
      </c>
      <c r="D587" s="51">
        <v>-237</v>
      </c>
      <c r="E587" s="51">
        <v>0</v>
      </c>
      <c r="F587" s="51">
        <v>0</v>
      </c>
      <c r="G587" s="51">
        <v>0</v>
      </c>
      <c r="H587" s="51">
        <v>51096</v>
      </c>
      <c r="I587" s="51">
        <v>-24635</v>
      </c>
      <c r="J587" s="51">
        <v>26461</v>
      </c>
      <c r="K587" s="51">
        <v>0</v>
      </c>
      <c r="L587" s="51">
        <v>0</v>
      </c>
      <c r="M587" s="51">
        <v>0</v>
      </c>
      <c r="N587" s="51">
        <v>26461</v>
      </c>
    </row>
    <row r="588" spans="1:14" ht="15.75" x14ac:dyDescent="0.25">
      <c r="A588" s="49" t="s">
        <v>567</v>
      </c>
      <c r="B588" s="50" t="s">
        <v>49</v>
      </c>
      <c r="C588" s="51">
        <v>66084</v>
      </c>
      <c r="D588" s="51">
        <v>-291</v>
      </c>
      <c r="E588" s="51">
        <v>0</v>
      </c>
      <c r="F588" s="51">
        <v>0</v>
      </c>
      <c r="G588" s="51">
        <v>0</v>
      </c>
      <c r="H588" s="51">
        <v>65793</v>
      </c>
      <c r="I588" s="51">
        <v>-47649</v>
      </c>
      <c r="J588" s="51">
        <v>18144</v>
      </c>
      <c r="K588" s="51">
        <v>0</v>
      </c>
      <c r="L588" s="51">
        <v>0</v>
      </c>
      <c r="M588" s="51">
        <v>0</v>
      </c>
      <c r="N588" s="51">
        <v>18144</v>
      </c>
    </row>
    <row r="589" spans="1:14" ht="15.75" x14ac:dyDescent="0.25">
      <c r="A589" s="49" t="s">
        <v>567</v>
      </c>
      <c r="B589" s="50" t="s">
        <v>50</v>
      </c>
      <c r="C589" s="51">
        <v>34717</v>
      </c>
      <c r="D589" s="51">
        <v>-337</v>
      </c>
      <c r="E589" s="51">
        <v>0</v>
      </c>
      <c r="F589" s="51">
        <v>0</v>
      </c>
      <c r="G589" s="51">
        <v>0</v>
      </c>
      <c r="H589" s="51">
        <v>34380</v>
      </c>
      <c r="I589" s="51">
        <v>-31472</v>
      </c>
      <c r="J589" s="51">
        <v>2908</v>
      </c>
      <c r="K589" s="51">
        <v>0</v>
      </c>
      <c r="L589" s="51">
        <v>0</v>
      </c>
      <c r="M589" s="51">
        <v>0</v>
      </c>
      <c r="N589" s="51">
        <v>2908</v>
      </c>
    </row>
    <row r="590" spans="1:14" ht="15.75" x14ac:dyDescent="0.25">
      <c r="A590" s="49" t="s">
        <v>567</v>
      </c>
      <c r="B590" s="50" t="s">
        <v>51</v>
      </c>
      <c r="C590" s="51">
        <v>46577</v>
      </c>
      <c r="D590" s="51">
        <v>-291</v>
      </c>
      <c r="E590" s="51">
        <v>0</v>
      </c>
      <c r="F590" s="51">
        <v>0</v>
      </c>
      <c r="G590" s="51">
        <v>0</v>
      </c>
      <c r="H590" s="51">
        <v>46286</v>
      </c>
      <c r="I590" s="51">
        <v>-46286</v>
      </c>
      <c r="J590" s="51">
        <v>0</v>
      </c>
      <c r="K590" s="51">
        <v>0</v>
      </c>
      <c r="L590" s="51">
        <v>0</v>
      </c>
      <c r="M590" s="51">
        <v>0</v>
      </c>
      <c r="N590" s="51">
        <v>0</v>
      </c>
    </row>
    <row r="591" spans="1:14" ht="15.75" x14ac:dyDescent="0.25">
      <c r="A591" s="49" t="s">
        <v>567</v>
      </c>
      <c r="B591" s="50" t="s">
        <v>52</v>
      </c>
      <c r="C591" s="51">
        <v>31277</v>
      </c>
      <c r="D591" s="51">
        <v>-189</v>
      </c>
      <c r="E591" s="51">
        <v>0</v>
      </c>
      <c r="F591" s="51">
        <v>0</v>
      </c>
      <c r="G591" s="51">
        <v>0</v>
      </c>
      <c r="H591" s="51">
        <v>31088</v>
      </c>
      <c r="I591" s="51">
        <v>-31088</v>
      </c>
      <c r="J591" s="51">
        <v>0</v>
      </c>
      <c r="K591" s="51">
        <v>0</v>
      </c>
      <c r="L591" s="51">
        <v>0</v>
      </c>
      <c r="M591" s="51">
        <v>0</v>
      </c>
      <c r="N591" s="51">
        <v>0</v>
      </c>
    </row>
    <row r="592" spans="1:14" ht="15.75" x14ac:dyDescent="0.25">
      <c r="A592" s="49" t="s">
        <v>567</v>
      </c>
      <c r="B592" s="50" t="s">
        <v>53</v>
      </c>
      <c r="C592" s="51">
        <v>40677</v>
      </c>
      <c r="D592" s="51">
        <v>0</v>
      </c>
      <c r="E592" s="51">
        <v>0</v>
      </c>
      <c r="F592" s="51">
        <v>0</v>
      </c>
      <c r="G592" s="51">
        <v>0</v>
      </c>
      <c r="H592" s="51">
        <v>40677</v>
      </c>
      <c r="I592" s="51">
        <v>-40677</v>
      </c>
      <c r="J592" s="51">
        <v>0</v>
      </c>
      <c r="K592" s="51">
        <v>0</v>
      </c>
      <c r="L592" s="51">
        <v>0</v>
      </c>
      <c r="M592" s="51">
        <v>0</v>
      </c>
      <c r="N592" s="51">
        <v>0</v>
      </c>
    </row>
    <row r="593" spans="1:14" ht="15.75" x14ac:dyDescent="0.25">
      <c r="A593" s="49" t="s">
        <v>567</v>
      </c>
      <c r="B593" s="50" t="s">
        <v>54</v>
      </c>
      <c r="C593" s="51">
        <v>23209</v>
      </c>
      <c r="D593" s="51">
        <v>0</v>
      </c>
      <c r="E593" s="51">
        <v>0</v>
      </c>
      <c r="F593" s="51">
        <v>0</v>
      </c>
      <c r="G593" s="51">
        <v>0</v>
      </c>
      <c r="H593" s="51">
        <v>23209</v>
      </c>
      <c r="I593" s="51">
        <v>-23209</v>
      </c>
      <c r="J593" s="51">
        <v>0</v>
      </c>
      <c r="K593" s="51">
        <v>0</v>
      </c>
      <c r="L593" s="51">
        <v>0</v>
      </c>
      <c r="M593" s="51">
        <v>0</v>
      </c>
      <c r="N593" s="51">
        <v>0</v>
      </c>
    </row>
    <row r="594" spans="1:14" ht="15.75" x14ac:dyDescent="0.25">
      <c r="A594" s="49" t="s">
        <v>567</v>
      </c>
      <c r="B594" s="50" t="s">
        <v>55</v>
      </c>
      <c r="C594" s="51">
        <v>36273</v>
      </c>
      <c r="D594" s="51">
        <v>0</v>
      </c>
      <c r="E594" s="51">
        <v>0</v>
      </c>
      <c r="F594" s="51">
        <v>0</v>
      </c>
      <c r="G594" s="51">
        <v>0</v>
      </c>
      <c r="H594" s="51">
        <v>36273</v>
      </c>
      <c r="I594" s="51">
        <v>-36273</v>
      </c>
      <c r="J594" s="51">
        <v>0</v>
      </c>
      <c r="K594" s="51">
        <v>0</v>
      </c>
      <c r="L594" s="51">
        <v>0</v>
      </c>
      <c r="M594" s="51">
        <v>0</v>
      </c>
      <c r="N594" s="51">
        <v>0</v>
      </c>
    </row>
    <row r="595" spans="1:14" ht="15.75" x14ac:dyDescent="0.25">
      <c r="A595" s="49" t="s">
        <v>567</v>
      </c>
      <c r="B595" s="50" t="s">
        <v>56</v>
      </c>
      <c r="C595" s="51">
        <v>19497</v>
      </c>
      <c r="D595" s="51">
        <v>0</v>
      </c>
      <c r="E595" s="51">
        <v>0</v>
      </c>
      <c r="F595" s="51">
        <v>0</v>
      </c>
      <c r="G595" s="51">
        <v>0</v>
      </c>
      <c r="H595" s="51">
        <v>19497</v>
      </c>
      <c r="I595" s="51">
        <v>-19497</v>
      </c>
      <c r="J595" s="51">
        <v>0</v>
      </c>
      <c r="K595" s="51">
        <v>0</v>
      </c>
      <c r="L595" s="51">
        <v>0</v>
      </c>
      <c r="M595" s="51">
        <v>0</v>
      </c>
      <c r="N595" s="51">
        <v>0</v>
      </c>
    </row>
    <row r="596" spans="1:14" ht="15.75" x14ac:dyDescent="0.25">
      <c r="A596" s="49" t="s">
        <v>567</v>
      </c>
      <c r="B596" s="50" t="s">
        <v>57</v>
      </c>
      <c r="C596" s="51">
        <v>18499</v>
      </c>
      <c r="D596" s="51">
        <v>0</v>
      </c>
      <c r="E596" s="51">
        <v>0</v>
      </c>
      <c r="F596" s="51">
        <v>0</v>
      </c>
      <c r="G596" s="51">
        <v>0</v>
      </c>
      <c r="H596" s="51">
        <v>18499</v>
      </c>
      <c r="I596" s="51">
        <v>-18499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</row>
    <row r="597" spans="1:14" ht="15.75" x14ac:dyDescent="0.25">
      <c r="A597" s="52" t="s">
        <v>445</v>
      </c>
      <c r="B597" s="53" t="s">
        <v>8</v>
      </c>
      <c r="C597" s="19">
        <f>SUBTOTAL(109,Program333[(C)
Program
Costs])</f>
        <v>414679</v>
      </c>
      <c r="D597" s="19">
        <f>SUBTOTAL(109,Program333[(D)
Prior Period Adjustments])</f>
        <v>-1710</v>
      </c>
      <c r="E597" s="19">
        <f>SUBTOTAL(109,Program333[(E)
Current Period Desk 
Reviews])</f>
        <v>0</v>
      </c>
      <c r="F597" s="19">
        <f>SUBTOTAL(109,Program333[(F)
Current Period 
Final 
Audits])</f>
        <v>0</v>
      </c>
      <c r="G597" s="19">
        <f>SUBTOTAL(109,Program333[(G)
Current Period 
Other Adjustments])</f>
        <v>0</v>
      </c>
      <c r="H597" s="19">
        <f>SUBTOTAL(109,Program333[(H)
Net Program Costs
Sum (C through G)])</f>
        <v>412969</v>
      </c>
      <c r="I597" s="19">
        <f>SUBTOTAL(109,Program333[(I)
Payments
 and Offsets])</f>
        <v>-365456</v>
      </c>
      <c r="J597" s="19">
        <f>SUBTOTAL(109,Program333[(J)
Accounts Payable Balance
(H + I)])</f>
        <v>47513</v>
      </c>
      <c r="K597" s="19">
        <f>SUBTOTAL(109,Program333[(K)
Established 
Accounts Receivable])</f>
        <v>0</v>
      </c>
      <c r="L597" s="19">
        <f>SUBTOTAL(109,Program333[(L)
Recovered
 Accounts Receivable])</f>
        <v>0</v>
      </c>
      <c r="M597" s="19">
        <f>SUBTOTAL(109,Program333[(M)
Accounts Receivable Balance
(K + L)])</f>
        <v>0</v>
      </c>
      <c r="N597" s="19">
        <f>SUBTOTAL(109,Program333[(N)
Net Balance
(J minus M)])</f>
        <v>47513</v>
      </c>
    </row>
    <row r="598" spans="1:14" ht="15.75" x14ac:dyDescent="0.25">
      <c r="A598" s="17" t="s">
        <v>13</v>
      </c>
      <c r="B598" s="54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</row>
    <row r="599" spans="1:14" ht="78.75" x14ac:dyDescent="0.25">
      <c r="A599" s="39" t="s">
        <v>32</v>
      </c>
      <c r="B599" s="40" t="s">
        <v>33</v>
      </c>
      <c r="C599" s="41" t="s">
        <v>34</v>
      </c>
      <c r="D599" s="41" t="s">
        <v>35</v>
      </c>
      <c r="E599" s="42" t="s">
        <v>36</v>
      </c>
      <c r="F599" s="42" t="s">
        <v>37</v>
      </c>
      <c r="G599" s="42" t="s">
        <v>38</v>
      </c>
      <c r="H599" s="43" t="s">
        <v>39</v>
      </c>
      <c r="I599" s="44" t="s">
        <v>40</v>
      </c>
      <c r="J599" s="44" t="s">
        <v>41</v>
      </c>
      <c r="K599" s="42" t="s">
        <v>42</v>
      </c>
      <c r="L599" s="44" t="s">
        <v>43</v>
      </c>
      <c r="M599" s="44" t="s">
        <v>44</v>
      </c>
      <c r="N599" s="45" t="s">
        <v>45</v>
      </c>
    </row>
    <row r="600" spans="1:14" ht="15.75" x14ac:dyDescent="0.25">
      <c r="A600" s="46" t="s">
        <v>566</v>
      </c>
      <c r="B600" s="47" t="s">
        <v>83</v>
      </c>
      <c r="C600" s="48">
        <v>12801</v>
      </c>
      <c r="D600" s="48">
        <v>0</v>
      </c>
      <c r="E600" s="48">
        <v>0</v>
      </c>
      <c r="F600" s="48">
        <v>0</v>
      </c>
      <c r="G600" s="48">
        <v>0</v>
      </c>
      <c r="H600" s="48">
        <v>12801</v>
      </c>
      <c r="I600" s="48">
        <v>-12801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</row>
    <row r="601" spans="1:14" ht="15.75" x14ac:dyDescent="0.25">
      <c r="A601" s="49" t="s">
        <v>566</v>
      </c>
      <c r="B601" s="50" t="s">
        <v>48</v>
      </c>
      <c r="C601" s="51">
        <v>7611</v>
      </c>
      <c r="D601" s="51">
        <v>0</v>
      </c>
      <c r="E601" s="51">
        <v>0</v>
      </c>
      <c r="F601" s="51">
        <v>0</v>
      </c>
      <c r="G601" s="51">
        <v>0</v>
      </c>
      <c r="H601" s="51">
        <v>7611</v>
      </c>
      <c r="I601" s="51">
        <v>-7611</v>
      </c>
      <c r="J601" s="51">
        <v>0</v>
      </c>
      <c r="K601" s="51">
        <v>0</v>
      </c>
      <c r="L601" s="51">
        <v>0</v>
      </c>
      <c r="M601" s="51">
        <v>0</v>
      </c>
      <c r="N601" s="51">
        <v>0</v>
      </c>
    </row>
    <row r="602" spans="1:14" ht="15.75" x14ac:dyDescent="0.25">
      <c r="A602" s="49" t="s">
        <v>566</v>
      </c>
      <c r="B602" s="50" t="s">
        <v>49</v>
      </c>
      <c r="C602" s="51">
        <v>1032</v>
      </c>
      <c r="D602" s="51">
        <v>0</v>
      </c>
      <c r="E602" s="51">
        <v>0</v>
      </c>
      <c r="F602" s="51">
        <v>0</v>
      </c>
      <c r="G602" s="51">
        <v>0</v>
      </c>
      <c r="H602" s="51">
        <v>1032</v>
      </c>
      <c r="I602" s="51">
        <v>-1032</v>
      </c>
      <c r="J602" s="51">
        <v>0</v>
      </c>
      <c r="K602" s="51">
        <v>0</v>
      </c>
      <c r="L602" s="51">
        <v>0</v>
      </c>
      <c r="M602" s="51">
        <v>0</v>
      </c>
      <c r="N602" s="51">
        <v>0</v>
      </c>
    </row>
    <row r="603" spans="1:14" ht="15.75" x14ac:dyDescent="0.25">
      <c r="A603" s="49" t="s">
        <v>566</v>
      </c>
      <c r="B603" s="50" t="s">
        <v>50</v>
      </c>
      <c r="C603" s="51">
        <v>2996</v>
      </c>
      <c r="D603" s="51">
        <v>0</v>
      </c>
      <c r="E603" s="51">
        <v>0</v>
      </c>
      <c r="F603" s="51">
        <v>0</v>
      </c>
      <c r="G603" s="51">
        <v>0</v>
      </c>
      <c r="H603" s="51">
        <v>2996</v>
      </c>
      <c r="I603" s="51">
        <v>-2996</v>
      </c>
      <c r="J603" s="51">
        <v>0</v>
      </c>
      <c r="K603" s="51">
        <v>0</v>
      </c>
      <c r="L603" s="51">
        <v>0</v>
      </c>
      <c r="M603" s="51">
        <v>0</v>
      </c>
      <c r="N603" s="51">
        <v>0</v>
      </c>
    </row>
    <row r="604" spans="1:14" ht="15.75" x14ac:dyDescent="0.25">
      <c r="A604" s="49" t="s">
        <v>566</v>
      </c>
      <c r="B604" s="50" t="s">
        <v>52</v>
      </c>
      <c r="C604" s="51">
        <v>2919</v>
      </c>
      <c r="D604" s="51">
        <v>0</v>
      </c>
      <c r="E604" s="51">
        <v>0</v>
      </c>
      <c r="F604" s="51">
        <v>0</v>
      </c>
      <c r="G604" s="51">
        <v>0</v>
      </c>
      <c r="H604" s="51">
        <v>2919</v>
      </c>
      <c r="I604" s="51">
        <v>-2919</v>
      </c>
      <c r="J604" s="51">
        <v>0</v>
      </c>
      <c r="K604" s="51">
        <v>1262</v>
      </c>
      <c r="L604" s="51">
        <v>0</v>
      </c>
      <c r="M604" s="51">
        <v>1262</v>
      </c>
      <c r="N604" s="51">
        <v>-1262</v>
      </c>
    </row>
    <row r="605" spans="1:14" ht="15.75" x14ac:dyDescent="0.25">
      <c r="A605" s="49" t="s">
        <v>566</v>
      </c>
      <c r="B605" s="50" t="s">
        <v>53</v>
      </c>
      <c r="C605" s="51">
        <v>9089</v>
      </c>
      <c r="D605" s="51">
        <v>0</v>
      </c>
      <c r="E605" s="51">
        <v>0</v>
      </c>
      <c r="F605" s="51">
        <v>0</v>
      </c>
      <c r="G605" s="51">
        <v>0</v>
      </c>
      <c r="H605" s="51">
        <v>9089</v>
      </c>
      <c r="I605" s="51">
        <v>-9089</v>
      </c>
      <c r="J605" s="51">
        <v>0</v>
      </c>
      <c r="K605" s="51">
        <v>0</v>
      </c>
      <c r="L605" s="51">
        <v>0</v>
      </c>
      <c r="M605" s="51">
        <v>0</v>
      </c>
      <c r="N605" s="51">
        <v>0</v>
      </c>
    </row>
    <row r="606" spans="1:14" ht="15.75" x14ac:dyDescent="0.25">
      <c r="A606" s="49" t="s">
        <v>566</v>
      </c>
      <c r="B606" s="50" t="s">
        <v>54</v>
      </c>
      <c r="C606" s="51">
        <v>11762</v>
      </c>
      <c r="D606" s="51">
        <v>-1000</v>
      </c>
      <c r="E606" s="51">
        <v>0</v>
      </c>
      <c r="F606" s="51">
        <v>0</v>
      </c>
      <c r="G606" s="51">
        <v>0</v>
      </c>
      <c r="H606" s="51">
        <v>10762</v>
      </c>
      <c r="I606" s="51">
        <v>-10762</v>
      </c>
      <c r="J606" s="51">
        <v>0</v>
      </c>
      <c r="K606" s="51">
        <v>0</v>
      </c>
      <c r="L606" s="51">
        <v>0</v>
      </c>
      <c r="M606" s="51">
        <v>0</v>
      </c>
      <c r="N606" s="51">
        <v>0</v>
      </c>
    </row>
    <row r="607" spans="1:14" ht="15.75" x14ac:dyDescent="0.25">
      <c r="A607" s="52" t="s">
        <v>444</v>
      </c>
      <c r="B607" s="53" t="s">
        <v>8</v>
      </c>
      <c r="C607" s="19">
        <f>SUBTOTAL(109,Program253[(C)
Program
Costs])</f>
        <v>48210</v>
      </c>
      <c r="D607" s="19">
        <f>SUBTOTAL(109,Program253[(D)
Prior Period Adjustments])</f>
        <v>-1000</v>
      </c>
      <c r="E607" s="19">
        <f>SUBTOTAL(109,Program253[(E)
Current Period Desk 
Reviews])</f>
        <v>0</v>
      </c>
      <c r="F607" s="19">
        <f>SUBTOTAL(109,Program253[(F)
Current Period 
Final 
Audits])</f>
        <v>0</v>
      </c>
      <c r="G607" s="19">
        <f>SUBTOTAL(109,Program253[(G)
Current Period 
Other Adjustments])</f>
        <v>0</v>
      </c>
      <c r="H607" s="19">
        <f>SUBTOTAL(109,Program253[(H)
Net Program Costs
Sum (C through G)])</f>
        <v>47210</v>
      </c>
      <c r="I607" s="19">
        <f>SUBTOTAL(109,Program253[(I)
Payments
 and Offsets])</f>
        <v>-47210</v>
      </c>
      <c r="J607" s="19">
        <f>SUBTOTAL(109,Program253[(J)
Accounts Payable Balance
(H + I)])</f>
        <v>0</v>
      </c>
      <c r="K607" s="19">
        <f>SUBTOTAL(109,Program253[(K)
Established 
Accounts Receivable])</f>
        <v>1262</v>
      </c>
      <c r="L607" s="19">
        <f>SUBTOTAL(109,Program253[(L)
Recovered
 Accounts Receivable])</f>
        <v>0</v>
      </c>
      <c r="M607" s="19">
        <f>SUBTOTAL(109,Program253[(M)
Accounts Receivable Balance
(K + L)])</f>
        <v>1262</v>
      </c>
      <c r="N607" s="19">
        <f>SUBTOTAL(109,Program253[(N)
Net Balance
(J minus M)])</f>
        <v>-1262</v>
      </c>
    </row>
    <row r="608" spans="1:14" ht="15.75" x14ac:dyDescent="0.25">
      <c r="A608" s="17" t="s">
        <v>13</v>
      </c>
      <c r="B608" s="54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</row>
    <row r="609" spans="1:14" ht="78.75" x14ac:dyDescent="0.25">
      <c r="A609" s="39" t="s">
        <v>32</v>
      </c>
      <c r="B609" s="40" t="s">
        <v>33</v>
      </c>
      <c r="C609" s="41" t="s">
        <v>34</v>
      </c>
      <c r="D609" s="41" t="s">
        <v>35</v>
      </c>
      <c r="E609" s="42" t="s">
        <v>36</v>
      </c>
      <c r="F609" s="42" t="s">
        <v>37</v>
      </c>
      <c r="G609" s="42" t="s">
        <v>38</v>
      </c>
      <c r="H609" s="43" t="s">
        <v>39</v>
      </c>
      <c r="I609" s="44" t="s">
        <v>40</v>
      </c>
      <c r="J609" s="44" t="s">
        <v>41</v>
      </c>
      <c r="K609" s="42" t="s">
        <v>42</v>
      </c>
      <c r="L609" s="44" t="s">
        <v>43</v>
      </c>
      <c r="M609" s="44" t="s">
        <v>44</v>
      </c>
      <c r="N609" s="45" t="s">
        <v>45</v>
      </c>
    </row>
    <row r="610" spans="1:14" ht="45" x14ac:dyDescent="0.25">
      <c r="A610" s="67" t="s">
        <v>565</v>
      </c>
      <c r="B610" s="57" t="s">
        <v>53</v>
      </c>
      <c r="C610" s="58">
        <v>8422738</v>
      </c>
      <c r="D610" s="58">
        <v>-8422738</v>
      </c>
      <c r="E610" s="58">
        <v>0</v>
      </c>
      <c r="F610" s="58">
        <v>0</v>
      </c>
      <c r="G610" s="58">
        <v>0</v>
      </c>
      <c r="H610" s="58">
        <v>0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</row>
    <row r="611" spans="1:14" ht="45" x14ac:dyDescent="0.25">
      <c r="A611" s="68" t="s">
        <v>565</v>
      </c>
      <c r="B611" s="60" t="s">
        <v>54</v>
      </c>
      <c r="C611" s="61">
        <v>7774803</v>
      </c>
      <c r="D611" s="61">
        <v>-73557</v>
      </c>
      <c r="E611" s="61">
        <v>0</v>
      </c>
      <c r="F611" s="61">
        <v>0</v>
      </c>
      <c r="G611" s="61">
        <v>0</v>
      </c>
      <c r="H611" s="61">
        <v>7701246</v>
      </c>
      <c r="I611" s="61">
        <v>-7701246</v>
      </c>
      <c r="J611" s="61">
        <v>0</v>
      </c>
      <c r="K611" s="61">
        <v>2282478</v>
      </c>
      <c r="L611" s="61">
        <v>-2230738</v>
      </c>
      <c r="M611" s="61">
        <v>51740</v>
      </c>
      <c r="N611" s="61">
        <v>-51740</v>
      </c>
    </row>
    <row r="612" spans="1:14" ht="45" x14ac:dyDescent="0.25">
      <c r="A612" s="68" t="s">
        <v>565</v>
      </c>
      <c r="B612" s="60" t="s">
        <v>55</v>
      </c>
      <c r="C612" s="61">
        <v>14754320</v>
      </c>
      <c r="D612" s="61">
        <v>-19137</v>
      </c>
      <c r="E612" s="61">
        <v>0</v>
      </c>
      <c r="F612" s="61">
        <v>0</v>
      </c>
      <c r="G612" s="61">
        <v>0</v>
      </c>
      <c r="H612" s="61">
        <v>14735183</v>
      </c>
      <c r="I612" s="61">
        <v>-14735183</v>
      </c>
      <c r="J612" s="61">
        <v>0</v>
      </c>
      <c r="K612" s="61">
        <v>133</v>
      </c>
      <c r="L612" s="61">
        <v>-133</v>
      </c>
      <c r="M612" s="61">
        <v>0</v>
      </c>
      <c r="N612" s="61">
        <v>0</v>
      </c>
    </row>
    <row r="613" spans="1:14" ht="15.75" x14ac:dyDescent="0.25">
      <c r="A613" s="52" t="s">
        <v>443</v>
      </c>
      <c r="B613" s="53" t="s">
        <v>8</v>
      </c>
      <c r="C613" s="19">
        <f>SUBTOTAL(109,Program225[(C)
Program
Costs])</f>
        <v>30951861</v>
      </c>
      <c r="D613" s="19">
        <f>SUBTOTAL(109,Program225[(D)
Prior Period Adjustments])</f>
        <v>-8515432</v>
      </c>
      <c r="E613" s="19">
        <f>SUBTOTAL(109,Program225[(E)
Current Period Desk 
Reviews])</f>
        <v>0</v>
      </c>
      <c r="F613" s="19">
        <f>SUBTOTAL(109,Program225[(F)
Current Period 
Final 
Audits])</f>
        <v>0</v>
      </c>
      <c r="G613" s="19">
        <f>SUBTOTAL(109,Program225[(G)
Current Period 
Other Adjustments])</f>
        <v>0</v>
      </c>
      <c r="H613" s="19">
        <f>SUBTOTAL(109,Program225[(H)
Net Program Costs
Sum (C through G)])</f>
        <v>22436429</v>
      </c>
      <c r="I613" s="19">
        <f>SUBTOTAL(109,Program225[(I)
Payments
 and Offsets])</f>
        <v>-22436429</v>
      </c>
      <c r="J613" s="19">
        <f>SUBTOTAL(109,Program225[(J)
Accounts Payable Balance
(H + I)])</f>
        <v>0</v>
      </c>
      <c r="K613" s="19">
        <f>SUBTOTAL(109,Program225[(K)
Established 
Accounts Receivable])</f>
        <v>2282611</v>
      </c>
      <c r="L613" s="19">
        <f>SUBTOTAL(109,Program225[(L)
Recovered
 Accounts Receivable])</f>
        <v>-2230871</v>
      </c>
      <c r="M613" s="19">
        <f>SUBTOTAL(109,Program225[(M)
Accounts Receivable Balance
(K + L)])</f>
        <v>51740</v>
      </c>
      <c r="N613" s="19">
        <f>SUBTOTAL(109,Program225[(N)
Net Balance
(J minus M)])</f>
        <v>-51740</v>
      </c>
    </row>
    <row r="614" spans="1:14" ht="15.75" x14ac:dyDescent="0.25">
      <c r="A614" s="17" t="s">
        <v>13</v>
      </c>
      <c r="B614" s="54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</row>
    <row r="615" spans="1:14" ht="78.75" x14ac:dyDescent="0.25">
      <c r="A615" s="39" t="s">
        <v>32</v>
      </c>
      <c r="B615" s="40" t="s">
        <v>33</v>
      </c>
      <c r="C615" s="41" t="s">
        <v>34</v>
      </c>
      <c r="D615" s="41" t="s">
        <v>35</v>
      </c>
      <c r="E615" s="42" t="s">
        <v>36</v>
      </c>
      <c r="F615" s="42" t="s">
        <v>37</v>
      </c>
      <c r="G615" s="42" t="s">
        <v>38</v>
      </c>
      <c r="H615" s="43" t="s">
        <v>39</v>
      </c>
      <c r="I615" s="44" t="s">
        <v>40</v>
      </c>
      <c r="J615" s="44" t="s">
        <v>41</v>
      </c>
      <c r="K615" s="42" t="s">
        <v>42</v>
      </c>
      <c r="L615" s="44" t="s">
        <v>43</v>
      </c>
      <c r="M615" s="44" t="s">
        <v>44</v>
      </c>
      <c r="N615" s="45" t="s">
        <v>45</v>
      </c>
    </row>
    <row r="616" spans="1:14" ht="30" x14ac:dyDescent="0.25">
      <c r="A616" s="67" t="s">
        <v>564</v>
      </c>
      <c r="B616" s="57" t="s">
        <v>56</v>
      </c>
      <c r="C616" s="58">
        <v>13403441</v>
      </c>
      <c r="D616" s="58">
        <v>-1595937</v>
      </c>
      <c r="E616" s="58">
        <v>0</v>
      </c>
      <c r="F616" s="58">
        <v>0</v>
      </c>
      <c r="G616" s="58">
        <v>0</v>
      </c>
      <c r="H616" s="58">
        <v>11807504</v>
      </c>
      <c r="I616" s="58">
        <v>-11807504</v>
      </c>
      <c r="J616" s="58">
        <v>0</v>
      </c>
      <c r="K616" s="58">
        <v>497738</v>
      </c>
      <c r="L616" s="58">
        <v>-497738</v>
      </c>
      <c r="M616" s="58">
        <v>0</v>
      </c>
      <c r="N616" s="58">
        <v>0</v>
      </c>
    </row>
    <row r="617" spans="1:14" ht="30" x14ac:dyDescent="0.25">
      <c r="A617" s="68" t="s">
        <v>564</v>
      </c>
      <c r="B617" s="60" t="s">
        <v>57</v>
      </c>
      <c r="C617" s="61">
        <v>18075553</v>
      </c>
      <c r="D617" s="61">
        <v>-2195966</v>
      </c>
      <c r="E617" s="61">
        <v>0</v>
      </c>
      <c r="F617" s="61">
        <v>0</v>
      </c>
      <c r="G617" s="61">
        <v>0</v>
      </c>
      <c r="H617" s="61">
        <v>15879587</v>
      </c>
      <c r="I617" s="61">
        <v>-15879587</v>
      </c>
      <c r="J617" s="61">
        <v>0</v>
      </c>
      <c r="K617" s="61">
        <v>4530020</v>
      </c>
      <c r="L617" s="61">
        <v>-4529310</v>
      </c>
      <c r="M617" s="61">
        <v>710</v>
      </c>
      <c r="N617" s="61">
        <v>-710</v>
      </c>
    </row>
    <row r="618" spans="1:14" ht="30" x14ac:dyDescent="0.25">
      <c r="A618" s="68" t="s">
        <v>564</v>
      </c>
      <c r="B618" s="60" t="s">
        <v>58</v>
      </c>
      <c r="C618" s="61">
        <v>20367495</v>
      </c>
      <c r="D618" s="61">
        <v>-856224</v>
      </c>
      <c r="E618" s="61">
        <v>0</v>
      </c>
      <c r="F618" s="61">
        <v>0</v>
      </c>
      <c r="G618" s="61">
        <v>0</v>
      </c>
      <c r="H618" s="61">
        <v>19511271</v>
      </c>
      <c r="I618" s="61">
        <v>-19511271</v>
      </c>
      <c r="J618" s="61">
        <v>0</v>
      </c>
      <c r="K618" s="61">
        <v>2603760</v>
      </c>
      <c r="L618" s="61">
        <v>-2603760</v>
      </c>
      <c r="M618" s="61">
        <v>0</v>
      </c>
      <c r="N618" s="61">
        <v>0</v>
      </c>
    </row>
    <row r="619" spans="1:14" ht="30" x14ac:dyDescent="0.25">
      <c r="A619" s="68" t="s">
        <v>564</v>
      </c>
      <c r="B619" s="60" t="s">
        <v>59</v>
      </c>
      <c r="C619" s="61">
        <v>20415100</v>
      </c>
      <c r="D619" s="61">
        <v>9126268</v>
      </c>
      <c r="E619" s="61">
        <v>0</v>
      </c>
      <c r="F619" s="61">
        <v>0</v>
      </c>
      <c r="G619" s="61">
        <v>0</v>
      </c>
      <c r="H619" s="61">
        <v>29541368</v>
      </c>
      <c r="I619" s="61">
        <v>-29541368</v>
      </c>
      <c r="J619" s="61">
        <v>0</v>
      </c>
      <c r="K619" s="61">
        <v>626433</v>
      </c>
      <c r="L619" s="61">
        <v>-626433</v>
      </c>
      <c r="M619" s="61">
        <v>0</v>
      </c>
      <c r="N619" s="61">
        <v>0</v>
      </c>
    </row>
    <row r="620" spans="1:14" ht="30" x14ac:dyDescent="0.25">
      <c r="A620" s="68" t="s">
        <v>564</v>
      </c>
      <c r="B620" s="60" t="s">
        <v>60</v>
      </c>
      <c r="C620" s="61">
        <v>24546693</v>
      </c>
      <c r="D620" s="61">
        <v>-35140</v>
      </c>
      <c r="E620" s="61">
        <v>0</v>
      </c>
      <c r="F620" s="61">
        <v>0</v>
      </c>
      <c r="G620" s="61">
        <v>0</v>
      </c>
      <c r="H620" s="61">
        <v>24511553</v>
      </c>
      <c r="I620" s="61">
        <v>-24511553</v>
      </c>
      <c r="J620" s="61">
        <v>0</v>
      </c>
      <c r="K620" s="61">
        <v>1691747</v>
      </c>
      <c r="L620" s="61">
        <v>-1691747</v>
      </c>
      <c r="M620" s="61">
        <v>0</v>
      </c>
      <c r="N620" s="61">
        <v>0</v>
      </c>
    </row>
    <row r="621" spans="1:14" ht="30" x14ac:dyDescent="0.25">
      <c r="A621" s="68" t="s">
        <v>564</v>
      </c>
      <c r="B621" s="60" t="s">
        <v>61</v>
      </c>
      <c r="C621" s="61">
        <v>21488585</v>
      </c>
      <c r="D621" s="61">
        <v>-449872</v>
      </c>
      <c r="E621" s="61">
        <v>0</v>
      </c>
      <c r="F621" s="61">
        <v>0</v>
      </c>
      <c r="G621" s="61">
        <v>0</v>
      </c>
      <c r="H621" s="61">
        <v>21038713</v>
      </c>
      <c r="I621" s="61">
        <v>-21038713</v>
      </c>
      <c r="J621" s="61">
        <v>0</v>
      </c>
      <c r="K621" s="61">
        <v>1479796</v>
      </c>
      <c r="L621" s="61">
        <v>-1479331</v>
      </c>
      <c r="M621" s="61">
        <v>465</v>
      </c>
      <c r="N621" s="61">
        <v>-465</v>
      </c>
    </row>
    <row r="622" spans="1:14" ht="30" x14ac:dyDescent="0.25">
      <c r="A622" s="68" t="s">
        <v>564</v>
      </c>
      <c r="B622" s="60" t="s">
        <v>62</v>
      </c>
      <c r="C622" s="61">
        <v>11687102</v>
      </c>
      <c r="D622" s="61">
        <v>-2363238</v>
      </c>
      <c r="E622" s="61">
        <v>0</v>
      </c>
      <c r="F622" s="61">
        <v>0</v>
      </c>
      <c r="G622" s="61">
        <v>0</v>
      </c>
      <c r="H622" s="61">
        <v>9323864</v>
      </c>
      <c r="I622" s="61">
        <v>-9323864</v>
      </c>
      <c r="J622" s="61">
        <v>0</v>
      </c>
      <c r="K622" s="61">
        <v>465947</v>
      </c>
      <c r="L622" s="61">
        <v>-465947</v>
      </c>
      <c r="M622" s="61">
        <v>0</v>
      </c>
      <c r="N622" s="61">
        <v>0</v>
      </c>
    </row>
    <row r="623" spans="1:14" ht="30" x14ac:dyDescent="0.25">
      <c r="A623" s="68" t="s">
        <v>564</v>
      </c>
      <c r="B623" s="60" t="s">
        <v>63</v>
      </c>
      <c r="C623" s="61">
        <v>8217294</v>
      </c>
      <c r="D623" s="61">
        <v>-863083</v>
      </c>
      <c r="E623" s="61">
        <v>0</v>
      </c>
      <c r="F623" s="61">
        <v>0</v>
      </c>
      <c r="G623" s="61">
        <v>0</v>
      </c>
      <c r="H623" s="61">
        <v>7354211</v>
      </c>
      <c r="I623" s="61">
        <v>-7354211</v>
      </c>
      <c r="J623" s="61">
        <v>0</v>
      </c>
      <c r="K623" s="61">
        <v>62469</v>
      </c>
      <c r="L623" s="61">
        <v>-62179</v>
      </c>
      <c r="M623" s="61">
        <v>290</v>
      </c>
      <c r="N623" s="61">
        <v>-290</v>
      </c>
    </row>
    <row r="624" spans="1:14" ht="30" x14ac:dyDescent="0.25">
      <c r="A624" s="68" t="s">
        <v>564</v>
      </c>
      <c r="B624" s="60" t="s">
        <v>64</v>
      </c>
      <c r="C624" s="61">
        <v>7314274</v>
      </c>
      <c r="D624" s="61">
        <v>-1557201</v>
      </c>
      <c r="E624" s="61">
        <v>0</v>
      </c>
      <c r="F624" s="61">
        <v>0</v>
      </c>
      <c r="G624" s="61">
        <v>0</v>
      </c>
      <c r="H624" s="61">
        <v>5757073</v>
      </c>
      <c r="I624" s="61">
        <v>-5757073</v>
      </c>
      <c r="J624" s="61">
        <v>0</v>
      </c>
      <c r="K624" s="61">
        <v>107414</v>
      </c>
      <c r="L624" s="61">
        <v>-107414</v>
      </c>
      <c r="M624" s="61">
        <v>0</v>
      </c>
      <c r="N624" s="61">
        <v>0</v>
      </c>
    </row>
    <row r="625" spans="1:14" ht="30" x14ac:dyDescent="0.25">
      <c r="A625" s="68" t="s">
        <v>564</v>
      </c>
      <c r="B625" s="60" t="s">
        <v>65</v>
      </c>
      <c r="C625" s="61">
        <v>7279625</v>
      </c>
      <c r="D625" s="61">
        <v>-2644314</v>
      </c>
      <c r="E625" s="61">
        <v>0</v>
      </c>
      <c r="F625" s="61">
        <v>0</v>
      </c>
      <c r="G625" s="61">
        <v>0</v>
      </c>
      <c r="H625" s="61">
        <v>4635311</v>
      </c>
      <c r="I625" s="61">
        <v>-4635311</v>
      </c>
      <c r="J625" s="61">
        <v>0</v>
      </c>
      <c r="K625" s="61">
        <v>72608</v>
      </c>
      <c r="L625" s="61">
        <v>-72608</v>
      </c>
      <c r="M625" s="61">
        <v>0</v>
      </c>
      <c r="N625" s="61">
        <v>0</v>
      </c>
    </row>
    <row r="626" spans="1:14" ht="30" x14ac:dyDescent="0.25">
      <c r="A626" s="68" t="s">
        <v>564</v>
      </c>
      <c r="B626" s="60" t="s">
        <v>66</v>
      </c>
      <c r="C626" s="61">
        <v>6264497</v>
      </c>
      <c r="D626" s="61">
        <v>-2902402</v>
      </c>
      <c r="E626" s="61">
        <v>0</v>
      </c>
      <c r="F626" s="61">
        <v>0</v>
      </c>
      <c r="G626" s="61">
        <v>0</v>
      </c>
      <c r="H626" s="61">
        <v>3362095</v>
      </c>
      <c r="I626" s="61">
        <v>-3362095</v>
      </c>
      <c r="J626" s="61">
        <v>0</v>
      </c>
      <c r="K626" s="61">
        <v>331602</v>
      </c>
      <c r="L626" s="61">
        <v>-331602</v>
      </c>
      <c r="M626" s="61">
        <v>0</v>
      </c>
      <c r="N626" s="61">
        <v>0</v>
      </c>
    </row>
    <row r="627" spans="1:14" ht="30" x14ac:dyDescent="0.25">
      <c r="A627" s="68" t="s">
        <v>564</v>
      </c>
      <c r="B627" s="60" t="s">
        <v>67</v>
      </c>
      <c r="C627" s="61">
        <v>4761520</v>
      </c>
      <c r="D627" s="61">
        <v>-1924036</v>
      </c>
      <c r="E627" s="61">
        <v>0</v>
      </c>
      <c r="F627" s="61">
        <v>0</v>
      </c>
      <c r="G627" s="61">
        <v>0</v>
      </c>
      <c r="H627" s="61">
        <v>2837484</v>
      </c>
      <c r="I627" s="61">
        <v>-2837484</v>
      </c>
      <c r="J627" s="61">
        <v>0</v>
      </c>
      <c r="K627" s="61">
        <v>227495</v>
      </c>
      <c r="L627" s="61">
        <v>-227495</v>
      </c>
      <c r="M627" s="61">
        <v>0</v>
      </c>
      <c r="N627" s="61">
        <v>0</v>
      </c>
    </row>
    <row r="628" spans="1:14" ht="30" x14ac:dyDescent="0.25">
      <c r="A628" s="68" t="s">
        <v>564</v>
      </c>
      <c r="B628" s="60" t="s">
        <v>68</v>
      </c>
      <c r="C628" s="61">
        <v>4672565</v>
      </c>
      <c r="D628" s="61">
        <v>-2252149</v>
      </c>
      <c r="E628" s="61">
        <v>0</v>
      </c>
      <c r="F628" s="61">
        <v>0</v>
      </c>
      <c r="G628" s="61">
        <v>0</v>
      </c>
      <c r="H628" s="61">
        <v>2420416</v>
      </c>
      <c r="I628" s="61">
        <v>-2420416</v>
      </c>
      <c r="J628" s="61">
        <v>0</v>
      </c>
      <c r="K628" s="61">
        <v>322412</v>
      </c>
      <c r="L628" s="61">
        <v>-322412</v>
      </c>
      <c r="M628" s="61">
        <v>0</v>
      </c>
      <c r="N628" s="61">
        <v>0</v>
      </c>
    </row>
    <row r="629" spans="1:14" ht="30" x14ac:dyDescent="0.25">
      <c r="A629" s="68" t="s">
        <v>564</v>
      </c>
      <c r="B629" s="60" t="s">
        <v>69</v>
      </c>
      <c r="C629" s="61">
        <v>4860501</v>
      </c>
      <c r="D629" s="61">
        <v>-2555685</v>
      </c>
      <c r="E629" s="61">
        <v>0</v>
      </c>
      <c r="F629" s="61">
        <v>0</v>
      </c>
      <c r="G629" s="61">
        <v>0</v>
      </c>
      <c r="H629" s="61">
        <v>2304816</v>
      </c>
      <c r="I629" s="61">
        <v>-2304816</v>
      </c>
      <c r="J629" s="61">
        <v>0</v>
      </c>
      <c r="K629" s="61">
        <v>427212</v>
      </c>
      <c r="L629" s="61">
        <v>-427212</v>
      </c>
      <c r="M629" s="61">
        <v>0</v>
      </c>
      <c r="N629" s="61">
        <v>0</v>
      </c>
    </row>
    <row r="630" spans="1:14" ht="30" x14ac:dyDescent="0.25">
      <c r="A630" s="68" t="s">
        <v>564</v>
      </c>
      <c r="B630" s="60" t="s">
        <v>115</v>
      </c>
      <c r="C630" s="61">
        <v>3366507</v>
      </c>
      <c r="D630" s="61">
        <v>-1528475</v>
      </c>
      <c r="E630" s="61">
        <v>0</v>
      </c>
      <c r="F630" s="61">
        <v>0</v>
      </c>
      <c r="G630" s="61">
        <v>0</v>
      </c>
      <c r="H630" s="61">
        <v>1838032</v>
      </c>
      <c r="I630" s="61">
        <v>-1838032</v>
      </c>
      <c r="J630" s="61">
        <v>0</v>
      </c>
      <c r="K630" s="61">
        <v>201719</v>
      </c>
      <c r="L630" s="61">
        <v>-201719</v>
      </c>
      <c r="M630" s="61">
        <v>0</v>
      </c>
      <c r="N630" s="61">
        <v>0</v>
      </c>
    </row>
    <row r="631" spans="1:14" ht="30" x14ac:dyDescent="0.25">
      <c r="A631" s="68" t="s">
        <v>564</v>
      </c>
      <c r="B631" s="60" t="s">
        <v>99</v>
      </c>
      <c r="C631" s="61">
        <v>2745563</v>
      </c>
      <c r="D631" s="61">
        <v>-1119375</v>
      </c>
      <c r="E631" s="61">
        <v>0</v>
      </c>
      <c r="F631" s="61">
        <v>0</v>
      </c>
      <c r="G631" s="61">
        <v>0</v>
      </c>
      <c r="H631" s="61">
        <v>1626188</v>
      </c>
      <c r="I631" s="61">
        <v>-1626188</v>
      </c>
      <c r="J631" s="61">
        <v>0</v>
      </c>
      <c r="K631" s="61">
        <v>107339</v>
      </c>
      <c r="L631" s="61">
        <v>-107339</v>
      </c>
      <c r="M631" s="61">
        <v>0</v>
      </c>
      <c r="N631" s="61">
        <v>0</v>
      </c>
    </row>
    <row r="632" spans="1:14" ht="30" x14ac:dyDescent="0.25">
      <c r="A632" s="68" t="s">
        <v>564</v>
      </c>
      <c r="B632" s="60" t="s">
        <v>100</v>
      </c>
      <c r="C632" s="61">
        <v>3461299</v>
      </c>
      <c r="D632" s="61">
        <v>-2061769</v>
      </c>
      <c r="E632" s="61">
        <v>0</v>
      </c>
      <c r="F632" s="61">
        <v>0</v>
      </c>
      <c r="G632" s="61">
        <v>0</v>
      </c>
      <c r="H632" s="61">
        <v>1399530</v>
      </c>
      <c r="I632" s="61">
        <v>-1399530</v>
      </c>
      <c r="J632" s="61">
        <v>0</v>
      </c>
      <c r="K632" s="61">
        <v>509192</v>
      </c>
      <c r="L632" s="61">
        <v>-509192</v>
      </c>
      <c r="M632" s="61">
        <v>0</v>
      </c>
      <c r="N632" s="61">
        <v>0</v>
      </c>
    </row>
    <row r="633" spans="1:14" ht="30" x14ac:dyDescent="0.25">
      <c r="A633" s="68" t="s">
        <v>564</v>
      </c>
      <c r="B633" s="60" t="s">
        <v>176</v>
      </c>
      <c r="C633" s="61">
        <v>2250826</v>
      </c>
      <c r="D633" s="61">
        <v>-1192183</v>
      </c>
      <c r="E633" s="61">
        <v>0</v>
      </c>
      <c r="F633" s="61">
        <v>0</v>
      </c>
      <c r="G633" s="61">
        <v>0</v>
      </c>
      <c r="H633" s="61">
        <v>1058643</v>
      </c>
      <c r="I633" s="61">
        <v>-1058643</v>
      </c>
      <c r="J633" s="61">
        <v>0</v>
      </c>
      <c r="K633" s="61">
        <v>270587</v>
      </c>
      <c r="L633" s="61">
        <v>-270587</v>
      </c>
      <c r="M633" s="61">
        <v>0</v>
      </c>
      <c r="N633" s="61">
        <v>0</v>
      </c>
    </row>
    <row r="634" spans="1:14" ht="15.75" x14ac:dyDescent="0.25">
      <c r="A634" s="52" t="s">
        <v>442</v>
      </c>
      <c r="B634" s="53" t="s">
        <v>8</v>
      </c>
      <c r="C634" s="19">
        <f>SUBTOTAL(109,Program075[(C)
Program
Costs])</f>
        <v>185178440</v>
      </c>
      <c r="D634" s="19">
        <f>SUBTOTAL(109,Program075[(D)
Prior Period Adjustments])</f>
        <v>-18970781</v>
      </c>
      <c r="E634" s="19">
        <f>SUBTOTAL(109,Program075[(E)
Current Period Desk 
Reviews])</f>
        <v>0</v>
      </c>
      <c r="F634" s="19">
        <f>SUBTOTAL(109,Program075[(F)
Current Period 
Final 
Audits])</f>
        <v>0</v>
      </c>
      <c r="G634" s="19">
        <f>SUBTOTAL(109,Program075[(G)
Current Period 
Other Adjustments])</f>
        <v>0</v>
      </c>
      <c r="H634" s="19">
        <f>SUBTOTAL(109,Program075[(H)
Net Program Costs
Sum (C through G)])</f>
        <v>166207659</v>
      </c>
      <c r="I634" s="19">
        <f>SUBTOTAL(109,Program075[(I)
Payments
 and Offsets])</f>
        <v>-166207659</v>
      </c>
      <c r="J634" s="19">
        <f>SUBTOTAL(109,Program075[(J)
Accounts Payable Balance
(H + I)])</f>
        <v>0</v>
      </c>
      <c r="K634" s="19">
        <f>SUBTOTAL(109,Program075[(K)
Established 
Accounts Receivable])</f>
        <v>14535490</v>
      </c>
      <c r="L634" s="19">
        <f>SUBTOTAL(109,Program075[(L)
Recovered
 Accounts Receivable])</f>
        <v>-14534025</v>
      </c>
      <c r="M634" s="19">
        <f>SUBTOTAL(109,Program075[(M)
Accounts Receivable Balance
(K + L)])</f>
        <v>1465</v>
      </c>
      <c r="N634" s="19">
        <f>SUBTOTAL(109,Program075[(N)
Net Balance
(J minus M)])</f>
        <v>-1465</v>
      </c>
    </row>
    <row r="635" spans="1:14" ht="15.75" x14ac:dyDescent="0.25">
      <c r="A635" s="17" t="s">
        <v>13</v>
      </c>
      <c r="B635" s="54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</row>
    <row r="636" spans="1:14" ht="78.75" x14ac:dyDescent="0.25">
      <c r="A636" s="39" t="s">
        <v>32</v>
      </c>
      <c r="B636" s="40" t="s">
        <v>33</v>
      </c>
      <c r="C636" s="41" t="s">
        <v>34</v>
      </c>
      <c r="D636" s="41" t="s">
        <v>35</v>
      </c>
      <c r="E636" s="42" t="s">
        <v>36</v>
      </c>
      <c r="F636" s="42" t="s">
        <v>37</v>
      </c>
      <c r="G636" s="42" t="s">
        <v>38</v>
      </c>
      <c r="H636" s="43" t="s">
        <v>39</v>
      </c>
      <c r="I636" s="44" t="s">
        <v>40</v>
      </c>
      <c r="J636" s="44" t="s">
        <v>41</v>
      </c>
      <c r="K636" s="42" t="s">
        <v>42</v>
      </c>
      <c r="L636" s="44" t="s">
        <v>43</v>
      </c>
      <c r="M636" s="44" t="s">
        <v>44</v>
      </c>
      <c r="N636" s="45" t="s">
        <v>45</v>
      </c>
    </row>
    <row r="637" spans="1:14" ht="15.75" x14ac:dyDescent="0.25">
      <c r="A637" s="46" t="s">
        <v>563</v>
      </c>
      <c r="B637" s="47" t="s">
        <v>52</v>
      </c>
      <c r="C637" s="48">
        <v>1194</v>
      </c>
      <c r="D637" s="48">
        <v>-996</v>
      </c>
      <c r="E637" s="48">
        <v>0</v>
      </c>
      <c r="F637" s="48">
        <v>0</v>
      </c>
      <c r="G637" s="48">
        <v>0</v>
      </c>
      <c r="H637" s="48">
        <v>198</v>
      </c>
      <c r="I637" s="48">
        <v>-198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</row>
    <row r="638" spans="1:14" ht="15.75" x14ac:dyDescent="0.25">
      <c r="A638" s="49" t="s">
        <v>563</v>
      </c>
      <c r="B638" s="50" t="s">
        <v>53</v>
      </c>
      <c r="C638" s="51">
        <v>6707</v>
      </c>
      <c r="D638" s="51">
        <v>0</v>
      </c>
      <c r="E638" s="51">
        <v>0</v>
      </c>
      <c r="F638" s="51">
        <v>0</v>
      </c>
      <c r="G638" s="51">
        <v>0</v>
      </c>
      <c r="H638" s="51">
        <v>6707</v>
      </c>
      <c r="I638" s="51">
        <v>-6707</v>
      </c>
      <c r="J638" s="51">
        <v>0</v>
      </c>
      <c r="K638" s="51">
        <v>0</v>
      </c>
      <c r="L638" s="51">
        <v>0</v>
      </c>
      <c r="M638" s="51">
        <v>0</v>
      </c>
      <c r="N638" s="51">
        <v>0</v>
      </c>
    </row>
    <row r="639" spans="1:14" ht="15.75" x14ac:dyDescent="0.25">
      <c r="A639" s="49" t="s">
        <v>563</v>
      </c>
      <c r="B639" s="50" t="s">
        <v>54</v>
      </c>
      <c r="C639" s="51">
        <v>124723</v>
      </c>
      <c r="D639" s="51">
        <v>-1073</v>
      </c>
      <c r="E639" s="51">
        <v>0</v>
      </c>
      <c r="F639" s="51">
        <v>0</v>
      </c>
      <c r="G639" s="51">
        <v>0</v>
      </c>
      <c r="H639" s="51">
        <v>123650</v>
      </c>
      <c r="I639" s="51">
        <v>-123650</v>
      </c>
      <c r="J639" s="51">
        <v>0</v>
      </c>
      <c r="K639" s="51">
        <v>0</v>
      </c>
      <c r="L639" s="51">
        <v>0</v>
      </c>
      <c r="M639" s="51">
        <v>0</v>
      </c>
      <c r="N639" s="51">
        <v>0</v>
      </c>
    </row>
    <row r="640" spans="1:14" ht="15.75" x14ac:dyDescent="0.25">
      <c r="A640" s="49" t="s">
        <v>563</v>
      </c>
      <c r="B640" s="50" t="s">
        <v>55</v>
      </c>
      <c r="C640" s="51">
        <v>126321</v>
      </c>
      <c r="D640" s="51">
        <v>-574</v>
      </c>
      <c r="E640" s="51">
        <v>0</v>
      </c>
      <c r="F640" s="51">
        <v>0</v>
      </c>
      <c r="G640" s="51">
        <v>0</v>
      </c>
      <c r="H640" s="51">
        <v>125747</v>
      </c>
      <c r="I640" s="51">
        <v>-125747</v>
      </c>
      <c r="J640" s="51">
        <v>0</v>
      </c>
      <c r="K640" s="51">
        <v>0</v>
      </c>
      <c r="L640" s="51">
        <v>0</v>
      </c>
      <c r="M640" s="51">
        <v>0</v>
      </c>
      <c r="N640" s="51">
        <v>0</v>
      </c>
    </row>
    <row r="641" spans="1:14" ht="15.75" x14ac:dyDescent="0.25">
      <c r="A641" s="49" t="s">
        <v>563</v>
      </c>
      <c r="B641" s="50" t="s">
        <v>56</v>
      </c>
      <c r="C641" s="51">
        <v>157301</v>
      </c>
      <c r="D641" s="51">
        <v>-655</v>
      </c>
      <c r="E641" s="51">
        <v>0</v>
      </c>
      <c r="F641" s="51">
        <v>0</v>
      </c>
      <c r="G641" s="51">
        <v>0</v>
      </c>
      <c r="H641" s="51">
        <v>156646</v>
      </c>
      <c r="I641" s="51">
        <v>-156646</v>
      </c>
      <c r="J641" s="51">
        <v>0</v>
      </c>
      <c r="K641" s="51">
        <v>0</v>
      </c>
      <c r="L641" s="51">
        <v>0</v>
      </c>
      <c r="M641" s="51">
        <v>0</v>
      </c>
      <c r="N641" s="51">
        <v>0</v>
      </c>
    </row>
    <row r="642" spans="1:14" ht="15.75" x14ac:dyDescent="0.25">
      <c r="A642" s="49" t="s">
        <v>563</v>
      </c>
      <c r="B642" s="50" t="s">
        <v>57</v>
      </c>
      <c r="C642" s="51">
        <v>386894</v>
      </c>
      <c r="D642" s="51">
        <v>-5765</v>
      </c>
      <c r="E642" s="51">
        <v>0</v>
      </c>
      <c r="F642" s="51">
        <v>0</v>
      </c>
      <c r="G642" s="51">
        <v>0</v>
      </c>
      <c r="H642" s="51">
        <v>381129</v>
      </c>
      <c r="I642" s="51">
        <v>-381129</v>
      </c>
      <c r="J642" s="51">
        <v>0</v>
      </c>
      <c r="K642" s="51">
        <v>0</v>
      </c>
      <c r="L642" s="51">
        <v>0</v>
      </c>
      <c r="M642" s="51">
        <v>0</v>
      </c>
      <c r="N642" s="51">
        <v>0</v>
      </c>
    </row>
    <row r="643" spans="1:14" ht="15.75" x14ac:dyDescent="0.25">
      <c r="A643" s="49" t="s">
        <v>563</v>
      </c>
      <c r="B643" s="50" t="s">
        <v>58</v>
      </c>
      <c r="C643" s="51">
        <v>397347</v>
      </c>
      <c r="D643" s="51">
        <v>-2908</v>
      </c>
      <c r="E643" s="51">
        <v>0</v>
      </c>
      <c r="F643" s="51">
        <v>0</v>
      </c>
      <c r="G643" s="51">
        <v>0</v>
      </c>
      <c r="H643" s="51">
        <v>394439</v>
      </c>
      <c r="I643" s="51">
        <v>-394439</v>
      </c>
      <c r="J643" s="51">
        <v>0</v>
      </c>
      <c r="K643" s="51">
        <v>0</v>
      </c>
      <c r="L643" s="51">
        <v>0</v>
      </c>
      <c r="M643" s="51">
        <v>0</v>
      </c>
      <c r="N643" s="51">
        <v>0</v>
      </c>
    </row>
    <row r="644" spans="1:14" ht="15.75" x14ac:dyDescent="0.25">
      <c r="A644" s="49" t="s">
        <v>563</v>
      </c>
      <c r="B644" s="50" t="s">
        <v>59</v>
      </c>
      <c r="C644" s="51">
        <v>271697</v>
      </c>
      <c r="D644" s="51">
        <v>-1139</v>
      </c>
      <c r="E644" s="51">
        <v>0</v>
      </c>
      <c r="F644" s="51">
        <v>0</v>
      </c>
      <c r="G644" s="51">
        <v>0</v>
      </c>
      <c r="H644" s="51">
        <v>270558</v>
      </c>
      <c r="I644" s="51">
        <v>-270558</v>
      </c>
      <c r="J644" s="51">
        <v>0</v>
      </c>
      <c r="K644" s="51">
        <v>0</v>
      </c>
      <c r="L644" s="51">
        <v>0</v>
      </c>
      <c r="M644" s="51">
        <v>0</v>
      </c>
      <c r="N644" s="51">
        <v>0</v>
      </c>
    </row>
    <row r="645" spans="1:14" ht="15.75" x14ac:dyDescent="0.25">
      <c r="A645" s="49" t="s">
        <v>563</v>
      </c>
      <c r="B645" s="50" t="s">
        <v>60</v>
      </c>
      <c r="C645" s="51">
        <v>257652</v>
      </c>
      <c r="D645" s="51">
        <v>-1268</v>
      </c>
      <c r="E645" s="51">
        <v>0</v>
      </c>
      <c r="F645" s="51">
        <v>0</v>
      </c>
      <c r="G645" s="51">
        <v>0</v>
      </c>
      <c r="H645" s="51">
        <v>256384</v>
      </c>
      <c r="I645" s="51">
        <v>-256384</v>
      </c>
      <c r="J645" s="51">
        <v>0</v>
      </c>
      <c r="K645" s="51">
        <v>0</v>
      </c>
      <c r="L645" s="51">
        <v>0</v>
      </c>
      <c r="M645" s="51">
        <v>0</v>
      </c>
      <c r="N645" s="51">
        <v>0</v>
      </c>
    </row>
    <row r="646" spans="1:14" ht="15.75" x14ac:dyDescent="0.25">
      <c r="A646" s="49" t="s">
        <v>563</v>
      </c>
      <c r="B646" s="50" t="s">
        <v>61</v>
      </c>
      <c r="C646" s="51">
        <v>264630</v>
      </c>
      <c r="D646" s="51">
        <v>-1780</v>
      </c>
      <c r="E646" s="51">
        <v>0</v>
      </c>
      <c r="F646" s="51">
        <v>0</v>
      </c>
      <c r="G646" s="51">
        <v>0</v>
      </c>
      <c r="H646" s="51">
        <v>262850</v>
      </c>
      <c r="I646" s="51">
        <v>-262850</v>
      </c>
      <c r="J646" s="51">
        <v>0</v>
      </c>
      <c r="K646" s="51">
        <v>0</v>
      </c>
      <c r="L646" s="51">
        <v>0</v>
      </c>
      <c r="M646" s="51">
        <v>0</v>
      </c>
      <c r="N646" s="51">
        <v>0</v>
      </c>
    </row>
    <row r="647" spans="1:14" ht="15.75" x14ac:dyDescent="0.25">
      <c r="A647" s="49" t="s">
        <v>563</v>
      </c>
      <c r="B647" s="50" t="s">
        <v>62</v>
      </c>
      <c r="C647" s="51">
        <v>182616</v>
      </c>
      <c r="D647" s="51">
        <v>-1047</v>
      </c>
      <c r="E647" s="51">
        <v>0</v>
      </c>
      <c r="F647" s="51">
        <v>0</v>
      </c>
      <c r="G647" s="51">
        <v>0</v>
      </c>
      <c r="H647" s="51">
        <v>181569</v>
      </c>
      <c r="I647" s="51">
        <v>-181569</v>
      </c>
      <c r="J647" s="51">
        <v>0</v>
      </c>
      <c r="K647" s="51">
        <v>0</v>
      </c>
      <c r="L647" s="51">
        <v>0</v>
      </c>
      <c r="M647" s="51">
        <v>0</v>
      </c>
      <c r="N647" s="51">
        <v>0</v>
      </c>
    </row>
    <row r="648" spans="1:14" ht="15.75" x14ac:dyDescent="0.25">
      <c r="A648" s="49" t="s">
        <v>563</v>
      </c>
      <c r="B648" s="50" t="s">
        <v>63</v>
      </c>
      <c r="C648" s="51">
        <v>149554</v>
      </c>
      <c r="D648" s="51">
        <v>-2056</v>
      </c>
      <c r="E648" s="51">
        <v>0</v>
      </c>
      <c r="F648" s="51">
        <v>0</v>
      </c>
      <c r="G648" s="51">
        <v>0</v>
      </c>
      <c r="H648" s="51">
        <v>147498</v>
      </c>
      <c r="I648" s="51">
        <v>-147498</v>
      </c>
      <c r="J648" s="51">
        <v>0</v>
      </c>
      <c r="K648" s="51">
        <v>0</v>
      </c>
      <c r="L648" s="51">
        <v>0</v>
      </c>
      <c r="M648" s="51">
        <v>0</v>
      </c>
      <c r="N648" s="51">
        <v>0</v>
      </c>
    </row>
    <row r="649" spans="1:14" ht="15.75" x14ac:dyDescent="0.25">
      <c r="A649" s="49" t="s">
        <v>563</v>
      </c>
      <c r="B649" s="50" t="s">
        <v>64</v>
      </c>
      <c r="C649" s="51">
        <v>41318</v>
      </c>
      <c r="D649" s="51">
        <v>-1666</v>
      </c>
      <c r="E649" s="51">
        <v>0</v>
      </c>
      <c r="F649" s="51">
        <v>0</v>
      </c>
      <c r="G649" s="51">
        <v>0</v>
      </c>
      <c r="H649" s="51">
        <v>39652</v>
      </c>
      <c r="I649" s="51">
        <v>-39652</v>
      </c>
      <c r="J649" s="51">
        <v>0</v>
      </c>
      <c r="K649" s="51">
        <v>0</v>
      </c>
      <c r="L649" s="51">
        <v>0</v>
      </c>
      <c r="M649" s="51">
        <v>0</v>
      </c>
      <c r="N649" s="51">
        <v>0</v>
      </c>
    </row>
    <row r="650" spans="1:14" ht="15.75" x14ac:dyDescent="0.25">
      <c r="A650" s="52" t="s">
        <v>441</v>
      </c>
      <c r="B650" s="53" t="s">
        <v>8</v>
      </c>
      <c r="C650" s="19">
        <f>SUBTOTAL(109,Program210[(C)
Program
Costs])</f>
        <v>2367954</v>
      </c>
      <c r="D650" s="19">
        <f>SUBTOTAL(109,Program210[(D)
Prior Period Adjustments])</f>
        <v>-20927</v>
      </c>
      <c r="E650" s="19">
        <f>SUBTOTAL(109,Program210[(E)
Current Period Desk 
Reviews])</f>
        <v>0</v>
      </c>
      <c r="F650" s="19">
        <f>SUBTOTAL(109,Program210[(F)
Current Period 
Final 
Audits])</f>
        <v>0</v>
      </c>
      <c r="G650" s="19">
        <f>SUBTOTAL(109,Program210[(G)
Current Period 
Other Adjustments])</f>
        <v>0</v>
      </c>
      <c r="H650" s="19">
        <f>SUBTOTAL(109,Program210[(H)
Net Program Costs
Sum (C through G)])</f>
        <v>2347027</v>
      </c>
      <c r="I650" s="19">
        <f>SUBTOTAL(109,Program210[(I)
Payments
 and Offsets])</f>
        <v>-2347027</v>
      </c>
      <c r="J650" s="19">
        <f>SUBTOTAL(109,Program210[(J)
Accounts Payable Balance
(H + I)])</f>
        <v>0</v>
      </c>
      <c r="K650" s="19">
        <f>SUBTOTAL(109,Program210[(K)
Established 
Accounts Receivable])</f>
        <v>0</v>
      </c>
      <c r="L650" s="19">
        <f>SUBTOTAL(109,Program210[(L)
Recovered
 Accounts Receivable])</f>
        <v>0</v>
      </c>
      <c r="M650" s="19">
        <f>SUBTOTAL(109,Program210[(M)
Accounts Receivable Balance
(K + L)])</f>
        <v>0</v>
      </c>
      <c r="N650" s="19">
        <f>SUBTOTAL(109,Program210[(N)
Net Balance
(J minus M)])</f>
        <v>0</v>
      </c>
    </row>
    <row r="651" spans="1:14" ht="15.75" x14ac:dyDescent="0.25">
      <c r="A651" s="17" t="s">
        <v>13</v>
      </c>
      <c r="B651" s="54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</row>
    <row r="652" spans="1:14" ht="78.75" x14ac:dyDescent="0.25">
      <c r="A652" s="39" t="s">
        <v>32</v>
      </c>
      <c r="B652" s="40" t="s">
        <v>33</v>
      </c>
      <c r="C652" s="41" t="s">
        <v>34</v>
      </c>
      <c r="D652" s="41" t="s">
        <v>35</v>
      </c>
      <c r="E652" s="42" t="s">
        <v>36</v>
      </c>
      <c r="F652" s="42" t="s">
        <v>37</v>
      </c>
      <c r="G652" s="42" t="s">
        <v>38</v>
      </c>
      <c r="H652" s="43" t="s">
        <v>39</v>
      </c>
      <c r="I652" s="44" t="s">
        <v>40</v>
      </c>
      <c r="J652" s="44" t="s">
        <v>41</v>
      </c>
      <c r="K652" s="42" t="s">
        <v>42</v>
      </c>
      <c r="L652" s="44" t="s">
        <v>43</v>
      </c>
      <c r="M652" s="44" t="s">
        <v>44</v>
      </c>
      <c r="N652" s="45" t="s">
        <v>45</v>
      </c>
    </row>
    <row r="653" spans="1:14" ht="30" x14ac:dyDescent="0.25">
      <c r="A653" s="67" t="s">
        <v>562</v>
      </c>
      <c r="B653" s="57" t="s">
        <v>80</v>
      </c>
      <c r="C653" s="58">
        <v>12586</v>
      </c>
      <c r="D653" s="58">
        <v>-10213</v>
      </c>
      <c r="E653" s="58">
        <v>0</v>
      </c>
      <c r="F653" s="58">
        <v>0</v>
      </c>
      <c r="G653" s="58">
        <v>0</v>
      </c>
      <c r="H653" s="58">
        <v>2373</v>
      </c>
      <c r="I653" s="58">
        <v>-1321</v>
      </c>
      <c r="J653" s="58">
        <v>1052</v>
      </c>
      <c r="K653" s="58">
        <v>0</v>
      </c>
      <c r="L653" s="58">
        <v>0</v>
      </c>
      <c r="M653" s="58">
        <v>0</v>
      </c>
      <c r="N653" s="58">
        <v>1052</v>
      </c>
    </row>
    <row r="654" spans="1:14" ht="30" x14ac:dyDescent="0.25">
      <c r="A654" s="68" t="s">
        <v>562</v>
      </c>
      <c r="B654" s="60" t="s">
        <v>81</v>
      </c>
      <c r="C654" s="61">
        <v>12726</v>
      </c>
      <c r="D654" s="61">
        <v>-10353</v>
      </c>
      <c r="E654" s="61">
        <v>0</v>
      </c>
      <c r="F654" s="61">
        <v>0</v>
      </c>
      <c r="G654" s="61">
        <v>0</v>
      </c>
      <c r="H654" s="61">
        <v>2373</v>
      </c>
      <c r="I654" s="61">
        <v>-1275</v>
      </c>
      <c r="J654" s="61">
        <v>1098</v>
      </c>
      <c r="K654" s="61">
        <v>0</v>
      </c>
      <c r="L654" s="61">
        <v>0</v>
      </c>
      <c r="M654" s="61">
        <v>0</v>
      </c>
      <c r="N654" s="61">
        <v>1098</v>
      </c>
    </row>
    <row r="655" spans="1:14" ht="30" x14ac:dyDescent="0.25">
      <c r="A655" s="68" t="s">
        <v>562</v>
      </c>
      <c r="B655" s="60" t="s">
        <v>82</v>
      </c>
      <c r="C655" s="61">
        <v>13254</v>
      </c>
      <c r="D655" s="61">
        <v>-10748</v>
      </c>
      <c r="E655" s="61">
        <v>0</v>
      </c>
      <c r="F655" s="61">
        <v>0</v>
      </c>
      <c r="G655" s="61">
        <v>0</v>
      </c>
      <c r="H655" s="61">
        <v>2506</v>
      </c>
      <c r="I655" s="61">
        <v>-2074</v>
      </c>
      <c r="J655" s="61">
        <v>432</v>
      </c>
      <c r="K655" s="61">
        <v>0</v>
      </c>
      <c r="L655" s="61">
        <v>0</v>
      </c>
      <c r="M655" s="61">
        <v>0</v>
      </c>
      <c r="N655" s="61">
        <v>432</v>
      </c>
    </row>
    <row r="656" spans="1:14" ht="30" x14ac:dyDescent="0.25">
      <c r="A656" s="68" t="s">
        <v>562</v>
      </c>
      <c r="B656" s="60" t="s">
        <v>83</v>
      </c>
      <c r="C656" s="61">
        <v>14112</v>
      </c>
      <c r="D656" s="61">
        <v>303</v>
      </c>
      <c r="E656" s="61">
        <v>0</v>
      </c>
      <c r="F656" s="61">
        <v>0</v>
      </c>
      <c r="G656" s="61">
        <v>0</v>
      </c>
      <c r="H656" s="61">
        <v>14415</v>
      </c>
      <c r="I656" s="61">
        <v>-12228</v>
      </c>
      <c r="J656" s="61">
        <v>2187</v>
      </c>
      <c r="K656" s="61">
        <v>0</v>
      </c>
      <c r="L656" s="61">
        <v>0</v>
      </c>
      <c r="M656" s="61">
        <v>0</v>
      </c>
      <c r="N656" s="61">
        <v>2187</v>
      </c>
    </row>
    <row r="657" spans="1:14" ht="30" x14ac:dyDescent="0.25">
      <c r="A657" s="68" t="s">
        <v>562</v>
      </c>
      <c r="B657" s="60" t="s">
        <v>48</v>
      </c>
      <c r="C657" s="61">
        <v>15135</v>
      </c>
      <c r="D657" s="61">
        <v>0</v>
      </c>
      <c r="E657" s="61">
        <v>0</v>
      </c>
      <c r="F657" s="61">
        <v>0</v>
      </c>
      <c r="G657" s="61">
        <v>0</v>
      </c>
      <c r="H657" s="61">
        <v>15135</v>
      </c>
      <c r="I657" s="61">
        <v>-10746</v>
      </c>
      <c r="J657" s="61">
        <v>4389</v>
      </c>
      <c r="K657" s="61">
        <v>0</v>
      </c>
      <c r="L657" s="61">
        <v>0</v>
      </c>
      <c r="M657" s="61">
        <v>0</v>
      </c>
      <c r="N657" s="61">
        <v>4389</v>
      </c>
    </row>
    <row r="658" spans="1:14" ht="30" x14ac:dyDescent="0.25">
      <c r="A658" s="68" t="s">
        <v>562</v>
      </c>
      <c r="B658" s="60" t="s">
        <v>49</v>
      </c>
      <c r="C658" s="61">
        <v>12612</v>
      </c>
      <c r="D658" s="61">
        <v>142</v>
      </c>
      <c r="E658" s="61">
        <v>0</v>
      </c>
      <c r="F658" s="61">
        <v>0</v>
      </c>
      <c r="G658" s="61">
        <v>0</v>
      </c>
      <c r="H658" s="61">
        <v>12754</v>
      </c>
      <c r="I658" s="61">
        <v>-10819</v>
      </c>
      <c r="J658" s="61">
        <v>1935</v>
      </c>
      <c r="K658" s="61">
        <v>0</v>
      </c>
      <c r="L658" s="61">
        <v>0</v>
      </c>
      <c r="M658" s="61">
        <v>0</v>
      </c>
      <c r="N658" s="61">
        <v>1935</v>
      </c>
    </row>
    <row r="659" spans="1:14" ht="30" x14ac:dyDescent="0.25">
      <c r="A659" s="68" t="s">
        <v>562</v>
      </c>
      <c r="B659" s="60" t="s">
        <v>50</v>
      </c>
      <c r="C659" s="61">
        <v>13712</v>
      </c>
      <c r="D659" s="61">
        <v>217</v>
      </c>
      <c r="E659" s="61">
        <v>0</v>
      </c>
      <c r="F659" s="61">
        <v>0</v>
      </c>
      <c r="G659" s="61">
        <v>0</v>
      </c>
      <c r="H659" s="61">
        <v>13929</v>
      </c>
      <c r="I659" s="61">
        <v>-10640</v>
      </c>
      <c r="J659" s="61">
        <v>3289</v>
      </c>
      <c r="K659" s="61">
        <v>0</v>
      </c>
      <c r="L659" s="61">
        <v>0</v>
      </c>
      <c r="M659" s="61">
        <v>0</v>
      </c>
      <c r="N659" s="61">
        <v>3289</v>
      </c>
    </row>
    <row r="660" spans="1:14" ht="30" x14ac:dyDescent="0.25">
      <c r="A660" s="68" t="s">
        <v>562</v>
      </c>
      <c r="B660" s="60" t="s">
        <v>51</v>
      </c>
      <c r="C660" s="61">
        <v>12923</v>
      </c>
      <c r="D660" s="61">
        <v>131</v>
      </c>
      <c r="E660" s="61">
        <v>0</v>
      </c>
      <c r="F660" s="61">
        <v>0</v>
      </c>
      <c r="G660" s="61">
        <v>0</v>
      </c>
      <c r="H660" s="61">
        <v>13054</v>
      </c>
      <c r="I660" s="61">
        <v>-11243</v>
      </c>
      <c r="J660" s="61">
        <v>1811</v>
      </c>
      <c r="K660" s="61">
        <v>0</v>
      </c>
      <c r="L660" s="61">
        <v>0</v>
      </c>
      <c r="M660" s="61">
        <v>0</v>
      </c>
      <c r="N660" s="61">
        <v>1811</v>
      </c>
    </row>
    <row r="661" spans="1:14" ht="30" x14ac:dyDescent="0.25">
      <c r="A661" s="68" t="s">
        <v>562</v>
      </c>
      <c r="B661" s="60" t="s">
        <v>52</v>
      </c>
      <c r="C661" s="61">
        <v>13936</v>
      </c>
      <c r="D661" s="61">
        <v>143</v>
      </c>
      <c r="E661" s="61">
        <v>0</v>
      </c>
      <c r="F661" s="61">
        <v>0</v>
      </c>
      <c r="G661" s="61">
        <v>0</v>
      </c>
      <c r="H661" s="61">
        <v>14079</v>
      </c>
      <c r="I661" s="61">
        <v>-12534</v>
      </c>
      <c r="J661" s="61">
        <v>1545</v>
      </c>
      <c r="K661" s="61">
        <v>0</v>
      </c>
      <c r="L661" s="61">
        <v>0</v>
      </c>
      <c r="M661" s="61">
        <v>0</v>
      </c>
      <c r="N661" s="61">
        <v>1545</v>
      </c>
    </row>
    <row r="662" spans="1:14" ht="30" x14ac:dyDescent="0.25">
      <c r="A662" s="68" t="s">
        <v>562</v>
      </c>
      <c r="B662" s="60" t="s">
        <v>53</v>
      </c>
      <c r="C662" s="61">
        <v>11101</v>
      </c>
      <c r="D662" s="61">
        <v>81</v>
      </c>
      <c r="E662" s="61">
        <v>0</v>
      </c>
      <c r="F662" s="61">
        <v>0</v>
      </c>
      <c r="G662" s="61">
        <v>0</v>
      </c>
      <c r="H662" s="61">
        <v>11182</v>
      </c>
      <c r="I662" s="61">
        <v>-10546</v>
      </c>
      <c r="J662" s="61">
        <v>636</v>
      </c>
      <c r="K662" s="61">
        <v>0</v>
      </c>
      <c r="L662" s="61">
        <v>0</v>
      </c>
      <c r="M662" s="61">
        <v>0</v>
      </c>
      <c r="N662" s="61">
        <v>636</v>
      </c>
    </row>
    <row r="663" spans="1:14" ht="30" x14ac:dyDescent="0.25">
      <c r="A663" s="68" t="s">
        <v>562</v>
      </c>
      <c r="B663" s="60" t="s">
        <v>54</v>
      </c>
      <c r="C663" s="61">
        <v>11600</v>
      </c>
      <c r="D663" s="61">
        <v>-40</v>
      </c>
      <c r="E663" s="61">
        <v>0</v>
      </c>
      <c r="F663" s="61">
        <v>0</v>
      </c>
      <c r="G663" s="61">
        <v>0</v>
      </c>
      <c r="H663" s="61">
        <v>11560</v>
      </c>
      <c r="I663" s="61">
        <v>-11560</v>
      </c>
      <c r="J663" s="61">
        <v>0</v>
      </c>
      <c r="K663" s="61">
        <v>0</v>
      </c>
      <c r="L663" s="61">
        <v>0</v>
      </c>
      <c r="M663" s="61">
        <v>0</v>
      </c>
      <c r="N663" s="61">
        <v>0</v>
      </c>
    </row>
    <row r="664" spans="1:14" ht="30" x14ac:dyDescent="0.25">
      <c r="A664" s="68" t="s">
        <v>562</v>
      </c>
      <c r="B664" s="60" t="s">
        <v>55</v>
      </c>
      <c r="C664" s="61">
        <v>11303</v>
      </c>
      <c r="D664" s="61">
        <v>-11303</v>
      </c>
      <c r="E664" s="61">
        <v>0</v>
      </c>
      <c r="F664" s="61">
        <v>0</v>
      </c>
      <c r="G664" s="61">
        <v>0</v>
      </c>
      <c r="H664" s="61">
        <v>0</v>
      </c>
      <c r="I664" s="61">
        <v>0</v>
      </c>
      <c r="J664" s="61">
        <v>0</v>
      </c>
      <c r="K664" s="61">
        <v>0</v>
      </c>
      <c r="L664" s="61">
        <v>0</v>
      </c>
      <c r="M664" s="61">
        <v>0</v>
      </c>
      <c r="N664" s="61">
        <v>0</v>
      </c>
    </row>
    <row r="665" spans="1:14" ht="30" x14ac:dyDescent="0.25">
      <c r="A665" s="68" t="s">
        <v>562</v>
      </c>
      <c r="B665" s="60" t="s">
        <v>56</v>
      </c>
      <c r="C665" s="61">
        <v>22400</v>
      </c>
      <c r="D665" s="61">
        <v>-1156</v>
      </c>
      <c r="E665" s="61">
        <v>0</v>
      </c>
      <c r="F665" s="61">
        <v>0</v>
      </c>
      <c r="G665" s="61">
        <v>0</v>
      </c>
      <c r="H665" s="61">
        <v>21244</v>
      </c>
      <c r="I665" s="61">
        <v>-21244</v>
      </c>
      <c r="J665" s="61">
        <v>0</v>
      </c>
      <c r="K665" s="61">
        <v>983</v>
      </c>
      <c r="L665" s="61">
        <v>-983</v>
      </c>
      <c r="M665" s="61">
        <v>0</v>
      </c>
      <c r="N665" s="61">
        <v>0</v>
      </c>
    </row>
    <row r="666" spans="1:14" ht="30" x14ac:dyDescent="0.25">
      <c r="A666" s="68" t="s">
        <v>562</v>
      </c>
      <c r="B666" s="60" t="s">
        <v>57</v>
      </c>
      <c r="C666" s="61">
        <v>15474</v>
      </c>
      <c r="D666" s="61">
        <v>-2224</v>
      </c>
      <c r="E666" s="61">
        <v>0</v>
      </c>
      <c r="F666" s="61">
        <v>0</v>
      </c>
      <c r="G666" s="61">
        <v>0</v>
      </c>
      <c r="H666" s="61">
        <v>13250</v>
      </c>
      <c r="I666" s="61">
        <v>-13250</v>
      </c>
      <c r="J666" s="61">
        <v>0</v>
      </c>
      <c r="K666" s="61">
        <v>3278</v>
      </c>
      <c r="L666" s="61">
        <v>-3278</v>
      </c>
      <c r="M666" s="61">
        <v>0</v>
      </c>
      <c r="N666" s="61">
        <v>0</v>
      </c>
    </row>
    <row r="667" spans="1:14" ht="30" x14ac:dyDescent="0.25">
      <c r="A667" s="68" t="s">
        <v>562</v>
      </c>
      <c r="B667" s="60" t="s">
        <v>58</v>
      </c>
      <c r="C667" s="61">
        <v>17603</v>
      </c>
      <c r="D667" s="61">
        <v>74</v>
      </c>
      <c r="E667" s="61">
        <v>0</v>
      </c>
      <c r="F667" s="61">
        <v>0</v>
      </c>
      <c r="G667" s="61">
        <v>0</v>
      </c>
      <c r="H667" s="61">
        <v>17677</v>
      </c>
      <c r="I667" s="61">
        <v>-17677</v>
      </c>
      <c r="J667" s="61">
        <v>0</v>
      </c>
      <c r="K667" s="61">
        <v>0</v>
      </c>
      <c r="L667" s="61">
        <v>0</v>
      </c>
      <c r="M667" s="61">
        <v>0</v>
      </c>
      <c r="N667" s="61">
        <v>0</v>
      </c>
    </row>
    <row r="668" spans="1:14" ht="30" x14ac:dyDescent="0.25">
      <c r="A668" s="68" t="s">
        <v>562</v>
      </c>
      <c r="B668" s="60" t="s">
        <v>59</v>
      </c>
      <c r="C668" s="61">
        <v>14835</v>
      </c>
      <c r="D668" s="61">
        <v>-1781</v>
      </c>
      <c r="E668" s="61">
        <v>0</v>
      </c>
      <c r="F668" s="61">
        <v>0</v>
      </c>
      <c r="G668" s="61">
        <v>0</v>
      </c>
      <c r="H668" s="61">
        <v>13054</v>
      </c>
      <c r="I668" s="61">
        <v>-13054</v>
      </c>
      <c r="J668" s="61">
        <v>0</v>
      </c>
      <c r="K668" s="61">
        <v>41823</v>
      </c>
      <c r="L668" s="61">
        <v>-41823</v>
      </c>
      <c r="M668" s="61">
        <v>0</v>
      </c>
      <c r="N668" s="61">
        <v>0</v>
      </c>
    </row>
    <row r="669" spans="1:14" ht="30" x14ac:dyDescent="0.25">
      <c r="A669" s="68" t="s">
        <v>562</v>
      </c>
      <c r="B669" s="60" t="s">
        <v>60</v>
      </c>
      <c r="C669" s="61">
        <v>22468</v>
      </c>
      <c r="D669" s="61">
        <v>-16</v>
      </c>
      <c r="E669" s="61">
        <v>0</v>
      </c>
      <c r="F669" s="61">
        <v>0</v>
      </c>
      <c r="G669" s="61">
        <v>0</v>
      </c>
      <c r="H669" s="61">
        <v>22452</v>
      </c>
      <c r="I669" s="61">
        <v>-22452</v>
      </c>
      <c r="J669" s="61">
        <v>0</v>
      </c>
      <c r="K669" s="61">
        <v>4217</v>
      </c>
      <c r="L669" s="61">
        <v>-4217</v>
      </c>
      <c r="M669" s="61">
        <v>0</v>
      </c>
      <c r="N669" s="61">
        <v>0</v>
      </c>
    </row>
    <row r="670" spans="1:14" ht="30" x14ac:dyDescent="0.25">
      <c r="A670" s="68" t="s">
        <v>562</v>
      </c>
      <c r="B670" s="60" t="s">
        <v>61</v>
      </c>
      <c r="C670" s="61">
        <v>22742</v>
      </c>
      <c r="D670" s="61">
        <v>-4457</v>
      </c>
      <c r="E670" s="61">
        <v>0</v>
      </c>
      <c r="F670" s="61">
        <v>0</v>
      </c>
      <c r="G670" s="61">
        <v>0</v>
      </c>
      <c r="H670" s="61">
        <v>18285</v>
      </c>
      <c r="I670" s="61">
        <v>-18285</v>
      </c>
      <c r="J670" s="61">
        <v>0</v>
      </c>
      <c r="K670" s="61">
        <v>9740</v>
      </c>
      <c r="L670" s="61">
        <v>-9740</v>
      </c>
      <c r="M670" s="61">
        <v>0</v>
      </c>
      <c r="N670" s="61">
        <v>0</v>
      </c>
    </row>
    <row r="671" spans="1:14" ht="30" x14ac:dyDescent="0.25">
      <c r="A671" s="68" t="s">
        <v>562</v>
      </c>
      <c r="B671" s="60" t="s">
        <v>62</v>
      </c>
      <c r="C671" s="61">
        <v>19800</v>
      </c>
      <c r="D671" s="61">
        <v>0</v>
      </c>
      <c r="E671" s="61">
        <v>0</v>
      </c>
      <c r="F671" s="61">
        <v>0</v>
      </c>
      <c r="G671" s="61">
        <v>0</v>
      </c>
      <c r="H671" s="61">
        <v>19800</v>
      </c>
      <c r="I671" s="61">
        <v>-19800</v>
      </c>
      <c r="J671" s="61">
        <v>0</v>
      </c>
      <c r="K671" s="61">
        <v>2880</v>
      </c>
      <c r="L671" s="61">
        <v>-2880</v>
      </c>
      <c r="M671" s="61">
        <v>0</v>
      </c>
      <c r="N671" s="61">
        <v>0</v>
      </c>
    </row>
    <row r="672" spans="1:14" ht="30" x14ac:dyDescent="0.25">
      <c r="A672" s="68" t="s">
        <v>562</v>
      </c>
      <c r="B672" s="60" t="s">
        <v>63</v>
      </c>
      <c r="C672" s="61">
        <v>16183</v>
      </c>
      <c r="D672" s="61">
        <v>-310</v>
      </c>
      <c r="E672" s="61">
        <v>0</v>
      </c>
      <c r="F672" s="61">
        <v>0</v>
      </c>
      <c r="G672" s="61">
        <v>0</v>
      </c>
      <c r="H672" s="61">
        <v>15873</v>
      </c>
      <c r="I672" s="61">
        <v>-15873</v>
      </c>
      <c r="J672" s="61">
        <v>0</v>
      </c>
      <c r="K672" s="61">
        <v>2434</v>
      </c>
      <c r="L672" s="61">
        <v>-2434</v>
      </c>
      <c r="M672" s="61">
        <v>0</v>
      </c>
      <c r="N672" s="61">
        <v>0</v>
      </c>
    </row>
    <row r="673" spans="1:14" ht="30" x14ac:dyDescent="0.25">
      <c r="A673" s="68" t="s">
        <v>562</v>
      </c>
      <c r="B673" s="60" t="s">
        <v>64</v>
      </c>
      <c r="C673" s="61">
        <v>22716</v>
      </c>
      <c r="D673" s="61">
        <v>-429</v>
      </c>
      <c r="E673" s="61">
        <v>0</v>
      </c>
      <c r="F673" s="61">
        <v>0</v>
      </c>
      <c r="G673" s="61">
        <v>0</v>
      </c>
      <c r="H673" s="61">
        <v>22287</v>
      </c>
      <c r="I673" s="61">
        <v>-22287</v>
      </c>
      <c r="J673" s="61">
        <v>0</v>
      </c>
      <c r="K673" s="61">
        <v>0</v>
      </c>
      <c r="L673" s="61">
        <v>0</v>
      </c>
      <c r="M673" s="61">
        <v>0</v>
      </c>
      <c r="N673" s="61">
        <v>0</v>
      </c>
    </row>
    <row r="674" spans="1:14" ht="30" x14ac:dyDescent="0.25">
      <c r="A674" s="68" t="s">
        <v>562</v>
      </c>
      <c r="B674" s="60" t="s">
        <v>65</v>
      </c>
      <c r="C674" s="61">
        <v>38641</v>
      </c>
      <c r="D674" s="61">
        <v>-12483</v>
      </c>
      <c r="E674" s="61">
        <v>0</v>
      </c>
      <c r="F674" s="61">
        <v>0</v>
      </c>
      <c r="G674" s="61">
        <v>0</v>
      </c>
      <c r="H674" s="61">
        <v>26158</v>
      </c>
      <c r="I674" s="61">
        <v>-26158</v>
      </c>
      <c r="J674" s="61">
        <v>0</v>
      </c>
      <c r="K674" s="61">
        <v>4273</v>
      </c>
      <c r="L674" s="61">
        <v>-4273</v>
      </c>
      <c r="M674" s="61">
        <v>0</v>
      </c>
      <c r="N674" s="61">
        <v>0</v>
      </c>
    </row>
    <row r="675" spans="1:14" ht="30" x14ac:dyDescent="0.25">
      <c r="A675" s="68" t="s">
        <v>562</v>
      </c>
      <c r="B675" s="60" t="s">
        <v>66</v>
      </c>
      <c r="C675" s="61">
        <v>21680</v>
      </c>
      <c r="D675" s="61">
        <v>-14309</v>
      </c>
      <c r="E675" s="61">
        <v>0</v>
      </c>
      <c r="F675" s="61">
        <v>0</v>
      </c>
      <c r="G675" s="61">
        <v>0</v>
      </c>
      <c r="H675" s="61">
        <v>7371</v>
      </c>
      <c r="I675" s="61">
        <v>-7371</v>
      </c>
      <c r="J675" s="61">
        <v>0</v>
      </c>
      <c r="K675" s="61">
        <v>1286</v>
      </c>
      <c r="L675" s="61">
        <v>-1286</v>
      </c>
      <c r="M675" s="61">
        <v>0</v>
      </c>
      <c r="N675" s="61">
        <v>0</v>
      </c>
    </row>
    <row r="676" spans="1:14" ht="30" x14ac:dyDescent="0.25">
      <c r="A676" s="68" t="s">
        <v>562</v>
      </c>
      <c r="B676" s="60" t="s">
        <v>67</v>
      </c>
      <c r="C676" s="61">
        <v>14178</v>
      </c>
      <c r="D676" s="61">
        <v>-10971</v>
      </c>
      <c r="E676" s="61">
        <v>0</v>
      </c>
      <c r="F676" s="61">
        <v>0</v>
      </c>
      <c r="G676" s="61">
        <v>0</v>
      </c>
      <c r="H676" s="61">
        <v>3207</v>
      </c>
      <c r="I676" s="61">
        <v>-3207</v>
      </c>
      <c r="J676" s="61">
        <v>0</v>
      </c>
      <c r="K676" s="61">
        <v>421</v>
      </c>
      <c r="L676" s="61">
        <v>-421</v>
      </c>
      <c r="M676" s="61">
        <v>0</v>
      </c>
      <c r="N676" s="61">
        <v>0</v>
      </c>
    </row>
    <row r="677" spans="1:14" ht="15.75" x14ac:dyDescent="0.25">
      <c r="A677" s="52" t="s">
        <v>440</v>
      </c>
      <c r="B677" s="53" t="s">
        <v>8</v>
      </c>
      <c r="C677" s="19">
        <f>SUBTOTAL(109,Program091[(C)
Program
Costs])</f>
        <v>403720</v>
      </c>
      <c r="D677" s="19">
        <f>SUBTOTAL(109,Program091[(D)
Prior Period Adjustments])</f>
        <v>-89702</v>
      </c>
      <c r="E677" s="19">
        <f>SUBTOTAL(109,Program091[(E)
Current Period Desk 
Reviews])</f>
        <v>0</v>
      </c>
      <c r="F677" s="19">
        <f>SUBTOTAL(109,Program091[(F)
Current Period 
Final 
Audits])</f>
        <v>0</v>
      </c>
      <c r="G677" s="19">
        <f>SUBTOTAL(109,Program091[(G)
Current Period 
Other Adjustments])</f>
        <v>0</v>
      </c>
      <c r="H677" s="19">
        <f>SUBTOTAL(109,Program091[(H)
Net Program Costs
Sum (C through G)])</f>
        <v>314018</v>
      </c>
      <c r="I677" s="19">
        <f>SUBTOTAL(109,Program091[(I)
Payments
 and Offsets])</f>
        <v>-295644</v>
      </c>
      <c r="J677" s="19">
        <f>SUBTOTAL(109,Program091[(J)
Accounts Payable Balance
(H + I)])</f>
        <v>18374</v>
      </c>
      <c r="K677" s="19">
        <f>SUBTOTAL(109,Program091[(K)
Established 
Accounts Receivable])</f>
        <v>71335</v>
      </c>
      <c r="L677" s="19">
        <f>SUBTOTAL(109,Program091[(L)
Recovered
 Accounts Receivable])</f>
        <v>-71335</v>
      </c>
      <c r="M677" s="19">
        <f>SUBTOTAL(109,Program091[(M)
Accounts Receivable Balance
(K + L)])</f>
        <v>0</v>
      </c>
      <c r="N677" s="19">
        <f>SUBTOTAL(109,Program091[(N)
Net Balance
(J minus M)])</f>
        <v>18374</v>
      </c>
    </row>
    <row r="678" spans="1:14" ht="15.75" x14ac:dyDescent="0.25">
      <c r="A678" s="17" t="s">
        <v>13</v>
      </c>
      <c r="B678" s="54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</row>
    <row r="679" spans="1:14" ht="78.75" x14ac:dyDescent="0.25">
      <c r="A679" s="39" t="s">
        <v>32</v>
      </c>
      <c r="B679" s="40" t="s">
        <v>33</v>
      </c>
      <c r="C679" s="41" t="s">
        <v>34</v>
      </c>
      <c r="D679" s="41" t="s">
        <v>35</v>
      </c>
      <c r="E679" s="42" t="s">
        <v>36</v>
      </c>
      <c r="F679" s="42" t="s">
        <v>37</v>
      </c>
      <c r="G679" s="42" t="s">
        <v>38</v>
      </c>
      <c r="H679" s="43" t="s">
        <v>39</v>
      </c>
      <c r="I679" s="44" t="s">
        <v>40</v>
      </c>
      <c r="J679" s="44" t="s">
        <v>41</v>
      </c>
      <c r="K679" s="42" t="s">
        <v>42</v>
      </c>
      <c r="L679" s="44" t="s">
        <v>43</v>
      </c>
      <c r="M679" s="44" t="s">
        <v>44</v>
      </c>
      <c r="N679" s="45" t="s">
        <v>45</v>
      </c>
    </row>
    <row r="680" spans="1:14" ht="15.75" x14ac:dyDescent="0.25">
      <c r="A680" s="46" t="s">
        <v>561</v>
      </c>
      <c r="B680" s="47" t="s">
        <v>63</v>
      </c>
      <c r="C680" s="48">
        <v>1040757</v>
      </c>
      <c r="D680" s="48">
        <v>-272020</v>
      </c>
      <c r="E680" s="48">
        <v>0</v>
      </c>
      <c r="F680" s="48">
        <v>0</v>
      </c>
      <c r="G680" s="48">
        <v>0</v>
      </c>
      <c r="H680" s="48">
        <v>768737</v>
      </c>
      <c r="I680" s="48">
        <v>-768737</v>
      </c>
      <c r="J680" s="48">
        <v>0</v>
      </c>
      <c r="K680" s="48">
        <v>64501</v>
      </c>
      <c r="L680" s="48">
        <v>-64501</v>
      </c>
      <c r="M680" s="48">
        <v>0</v>
      </c>
      <c r="N680" s="48">
        <v>0</v>
      </c>
    </row>
    <row r="681" spans="1:14" ht="15.75" x14ac:dyDescent="0.25">
      <c r="A681" s="49" t="s">
        <v>561</v>
      </c>
      <c r="B681" s="50" t="s">
        <v>64</v>
      </c>
      <c r="C681" s="51">
        <v>1822063</v>
      </c>
      <c r="D681" s="51">
        <v>-13607</v>
      </c>
      <c r="E681" s="51">
        <v>0</v>
      </c>
      <c r="F681" s="51">
        <v>0</v>
      </c>
      <c r="G681" s="51">
        <v>0</v>
      </c>
      <c r="H681" s="51">
        <v>1808456</v>
      </c>
      <c r="I681" s="51">
        <v>-1808456</v>
      </c>
      <c r="J681" s="51">
        <v>0</v>
      </c>
      <c r="K681" s="51">
        <v>45383</v>
      </c>
      <c r="L681" s="51">
        <v>-45383</v>
      </c>
      <c r="M681" s="51">
        <v>0</v>
      </c>
      <c r="N681" s="51">
        <v>0</v>
      </c>
    </row>
    <row r="682" spans="1:14" ht="15.75" x14ac:dyDescent="0.25">
      <c r="A682" s="49" t="s">
        <v>561</v>
      </c>
      <c r="B682" s="50" t="s">
        <v>65</v>
      </c>
      <c r="C682" s="51">
        <v>1839184</v>
      </c>
      <c r="D682" s="51">
        <v>-11738</v>
      </c>
      <c r="E682" s="51">
        <v>0</v>
      </c>
      <c r="F682" s="51">
        <v>0</v>
      </c>
      <c r="G682" s="51">
        <v>0</v>
      </c>
      <c r="H682" s="51">
        <v>1827446</v>
      </c>
      <c r="I682" s="51">
        <v>-1827446</v>
      </c>
      <c r="J682" s="51">
        <v>0</v>
      </c>
      <c r="K682" s="51">
        <v>28587</v>
      </c>
      <c r="L682" s="51">
        <v>-28587</v>
      </c>
      <c r="M682" s="51">
        <v>0</v>
      </c>
      <c r="N682" s="51">
        <v>0</v>
      </c>
    </row>
    <row r="683" spans="1:14" ht="15.75" x14ac:dyDescent="0.25">
      <c r="A683" s="49" t="s">
        <v>561</v>
      </c>
      <c r="B683" s="50" t="s">
        <v>66</v>
      </c>
      <c r="C683" s="51">
        <v>1233802</v>
      </c>
      <c r="D683" s="51">
        <v>-51331</v>
      </c>
      <c r="E683" s="51">
        <v>0</v>
      </c>
      <c r="F683" s="51">
        <v>0</v>
      </c>
      <c r="G683" s="51">
        <v>0</v>
      </c>
      <c r="H683" s="51">
        <v>1182471</v>
      </c>
      <c r="I683" s="51">
        <v>-1182471</v>
      </c>
      <c r="J683" s="51">
        <v>0</v>
      </c>
      <c r="K683" s="51">
        <v>122116</v>
      </c>
      <c r="L683" s="51">
        <v>-122116</v>
      </c>
      <c r="M683" s="51">
        <v>0</v>
      </c>
      <c r="N683" s="51">
        <v>0</v>
      </c>
    </row>
    <row r="684" spans="1:14" ht="15.75" x14ac:dyDescent="0.25">
      <c r="A684" s="49" t="s">
        <v>561</v>
      </c>
      <c r="B684" s="50" t="s">
        <v>67</v>
      </c>
      <c r="C684" s="51">
        <v>892324</v>
      </c>
      <c r="D684" s="51">
        <v>-100907</v>
      </c>
      <c r="E684" s="51">
        <v>0</v>
      </c>
      <c r="F684" s="51">
        <v>0</v>
      </c>
      <c r="G684" s="51">
        <v>0</v>
      </c>
      <c r="H684" s="51">
        <v>791417</v>
      </c>
      <c r="I684" s="51">
        <v>-791417</v>
      </c>
      <c r="J684" s="51">
        <v>0</v>
      </c>
      <c r="K684" s="51">
        <v>28177</v>
      </c>
      <c r="L684" s="51">
        <v>-28177</v>
      </c>
      <c r="M684" s="51">
        <v>0</v>
      </c>
      <c r="N684" s="51">
        <v>0</v>
      </c>
    </row>
    <row r="685" spans="1:14" ht="15.75" x14ac:dyDescent="0.25">
      <c r="A685" s="49" t="s">
        <v>561</v>
      </c>
      <c r="B685" s="50" t="s">
        <v>68</v>
      </c>
      <c r="C685" s="51">
        <v>110868</v>
      </c>
      <c r="D685" s="51">
        <v>0</v>
      </c>
      <c r="E685" s="51">
        <v>0</v>
      </c>
      <c r="F685" s="51">
        <v>0</v>
      </c>
      <c r="G685" s="51">
        <v>0</v>
      </c>
      <c r="H685" s="51">
        <v>110868</v>
      </c>
      <c r="I685" s="51">
        <v>-110868</v>
      </c>
      <c r="J685" s="51">
        <v>0</v>
      </c>
      <c r="K685" s="51">
        <v>41075</v>
      </c>
      <c r="L685" s="51">
        <v>-41075</v>
      </c>
      <c r="M685" s="51">
        <v>0</v>
      </c>
      <c r="N685" s="51">
        <v>0</v>
      </c>
    </row>
    <row r="686" spans="1:14" ht="15.75" x14ac:dyDescent="0.25">
      <c r="A686" s="52" t="s">
        <v>439</v>
      </c>
      <c r="B686" s="53" t="s">
        <v>8</v>
      </c>
      <c r="C686" s="19">
        <f>SUBTOTAL(109,Program019[(C)
Program
Costs])</f>
        <v>6938998</v>
      </c>
      <c r="D686" s="19">
        <f>SUBTOTAL(109,Program019[(D)
Prior Period Adjustments])</f>
        <v>-449603</v>
      </c>
      <c r="E686" s="19">
        <f>SUBTOTAL(109,Program019[(E)
Current Period Desk 
Reviews])</f>
        <v>0</v>
      </c>
      <c r="F686" s="19">
        <f>SUBTOTAL(109,Program019[(F)
Current Period 
Final 
Audits])</f>
        <v>0</v>
      </c>
      <c r="G686" s="19">
        <f>SUBTOTAL(109,Program019[(G)
Current Period 
Other Adjustments])</f>
        <v>0</v>
      </c>
      <c r="H686" s="19">
        <f>SUBTOTAL(109,Program019[(H)
Net Program Costs
Sum (C through G)])</f>
        <v>6489395</v>
      </c>
      <c r="I686" s="19">
        <f>SUBTOTAL(109,Program019[(I)
Payments
 and Offsets])</f>
        <v>-6489395</v>
      </c>
      <c r="J686" s="19">
        <f>SUBTOTAL(109,Program019[(J)
Accounts Payable Balance
(H + I)])</f>
        <v>0</v>
      </c>
      <c r="K686" s="19">
        <f>SUBTOTAL(109,Program019[(K)
Established 
Accounts Receivable])</f>
        <v>329839</v>
      </c>
      <c r="L686" s="19">
        <f>SUBTOTAL(109,Program019[(L)
Recovered
 Accounts Receivable])</f>
        <v>-329839</v>
      </c>
      <c r="M686" s="19">
        <f>SUBTOTAL(109,Program019[(M)
Accounts Receivable Balance
(K + L)])</f>
        <v>0</v>
      </c>
      <c r="N686" s="19">
        <f>SUBTOTAL(109,Program019[(N)
Net Balance
(J minus M)])</f>
        <v>0</v>
      </c>
    </row>
    <row r="687" spans="1:14" ht="15.75" x14ac:dyDescent="0.25">
      <c r="A687" s="17" t="s">
        <v>13</v>
      </c>
      <c r="B687" s="54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</row>
    <row r="688" spans="1:14" ht="78.75" x14ac:dyDescent="0.25">
      <c r="A688" s="39" t="s">
        <v>32</v>
      </c>
      <c r="B688" s="40" t="s">
        <v>33</v>
      </c>
      <c r="C688" s="41" t="s">
        <v>34</v>
      </c>
      <c r="D688" s="41" t="s">
        <v>35</v>
      </c>
      <c r="E688" s="42" t="s">
        <v>36</v>
      </c>
      <c r="F688" s="42" t="s">
        <v>37</v>
      </c>
      <c r="G688" s="42" t="s">
        <v>38</v>
      </c>
      <c r="H688" s="43" t="s">
        <v>39</v>
      </c>
      <c r="I688" s="44" t="s">
        <v>40</v>
      </c>
      <c r="J688" s="44" t="s">
        <v>41</v>
      </c>
      <c r="K688" s="42" t="s">
        <v>42</v>
      </c>
      <c r="L688" s="44" t="s">
        <v>43</v>
      </c>
      <c r="M688" s="44" t="s">
        <v>44</v>
      </c>
      <c r="N688" s="45" t="s">
        <v>45</v>
      </c>
    </row>
    <row r="689" spans="1:14" ht="15.75" x14ac:dyDescent="0.25">
      <c r="A689" s="46" t="s">
        <v>560</v>
      </c>
      <c r="B689" s="47" t="s">
        <v>76</v>
      </c>
      <c r="C689" s="48">
        <v>4921</v>
      </c>
      <c r="D689" s="48">
        <v>0</v>
      </c>
      <c r="E689" s="48">
        <v>0</v>
      </c>
      <c r="F689" s="48">
        <v>0</v>
      </c>
      <c r="G689" s="48">
        <v>0</v>
      </c>
      <c r="H689" s="48">
        <v>4921</v>
      </c>
      <c r="I689" s="48">
        <v>0</v>
      </c>
      <c r="J689" s="48">
        <v>4921</v>
      </c>
      <c r="K689" s="48">
        <v>0</v>
      </c>
      <c r="L689" s="48">
        <v>0</v>
      </c>
      <c r="M689" s="48">
        <v>0</v>
      </c>
      <c r="N689" s="48">
        <v>4921</v>
      </c>
    </row>
    <row r="690" spans="1:14" ht="15.75" x14ac:dyDescent="0.25">
      <c r="A690" s="49" t="s">
        <v>560</v>
      </c>
      <c r="B690" s="50" t="s">
        <v>77</v>
      </c>
      <c r="C690" s="51">
        <v>5791</v>
      </c>
      <c r="D690" s="51">
        <v>0</v>
      </c>
      <c r="E690" s="51">
        <v>0</v>
      </c>
      <c r="F690" s="51">
        <v>0</v>
      </c>
      <c r="G690" s="51">
        <v>0</v>
      </c>
      <c r="H690" s="51">
        <v>5791</v>
      </c>
      <c r="I690" s="51">
        <v>-1000</v>
      </c>
      <c r="J690" s="51">
        <v>4791</v>
      </c>
      <c r="K690" s="51">
        <v>0</v>
      </c>
      <c r="L690" s="51">
        <v>0</v>
      </c>
      <c r="M690" s="51">
        <v>0</v>
      </c>
      <c r="N690" s="51">
        <v>4791</v>
      </c>
    </row>
    <row r="691" spans="1:14" ht="15.75" x14ac:dyDescent="0.25">
      <c r="A691" s="49" t="s">
        <v>560</v>
      </c>
      <c r="B691" s="50" t="s">
        <v>78</v>
      </c>
      <c r="C691" s="51">
        <v>13420</v>
      </c>
      <c r="D691" s="51">
        <v>0</v>
      </c>
      <c r="E691" s="51">
        <v>0</v>
      </c>
      <c r="F691" s="51">
        <v>0</v>
      </c>
      <c r="G691" s="51">
        <v>0</v>
      </c>
      <c r="H691" s="51">
        <v>13420</v>
      </c>
      <c r="I691" s="51">
        <v>-1000</v>
      </c>
      <c r="J691" s="51">
        <v>12420</v>
      </c>
      <c r="K691" s="51">
        <v>0</v>
      </c>
      <c r="L691" s="51">
        <v>0</v>
      </c>
      <c r="M691" s="51">
        <v>0</v>
      </c>
      <c r="N691" s="51">
        <v>12420</v>
      </c>
    </row>
    <row r="692" spans="1:14" ht="15.75" x14ac:dyDescent="0.25">
      <c r="A692" s="49" t="s">
        <v>560</v>
      </c>
      <c r="B692" s="50" t="s">
        <v>47</v>
      </c>
      <c r="C692" s="51">
        <v>15289</v>
      </c>
      <c r="D692" s="51">
        <v>0</v>
      </c>
      <c r="E692" s="51">
        <v>0</v>
      </c>
      <c r="F692" s="51">
        <v>0</v>
      </c>
      <c r="G692" s="51">
        <v>0</v>
      </c>
      <c r="H692" s="51">
        <v>15289</v>
      </c>
      <c r="I692" s="51">
        <v>-1000</v>
      </c>
      <c r="J692" s="51">
        <v>14289</v>
      </c>
      <c r="K692" s="51">
        <v>0</v>
      </c>
      <c r="L692" s="51">
        <v>0</v>
      </c>
      <c r="M692" s="51">
        <v>0</v>
      </c>
      <c r="N692" s="51">
        <v>14289</v>
      </c>
    </row>
    <row r="693" spans="1:14" ht="15.75" x14ac:dyDescent="0.25">
      <c r="A693" s="49" t="s">
        <v>560</v>
      </c>
      <c r="B693" s="50" t="s">
        <v>79</v>
      </c>
      <c r="C693" s="51">
        <v>13092</v>
      </c>
      <c r="D693" s="51">
        <v>0</v>
      </c>
      <c r="E693" s="51">
        <v>0</v>
      </c>
      <c r="F693" s="51">
        <v>0</v>
      </c>
      <c r="G693" s="51">
        <v>0</v>
      </c>
      <c r="H693" s="51">
        <v>13092</v>
      </c>
      <c r="I693" s="51">
        <v>-1000</v>
      </c>
      <c r="J693" s="51">
        <v>12092</v>
      </c>
      <c r="K693" s="51">
        <v>0</v>
      </c>
      <c r="L693" s="51">
        <v>0</v>
      </c>
      <c r="M693" s="51">
        <v>0</v>
      </c>
      <c r="N693" s="51">
        <v>12092</v>
      </c>
    </row>
    <row r="694" spans="1:14" ht="15.75" x14ac:dyDescent="0.25">
      <c r="A694" s="49" t="s">
        <v>560</v>
      </c>
      <c r="B694" s="50" t="s">
        <v>80</v>
      </c>
      <c r="C694" s="51">
        <v>30144</v>
      </c>
      <c r="D694" s="51">
        <v>0</v>
      </c>
      <c r="E694" s="51">
        <v>0</v>
      </c>
      <c r="F694" s="51">
        <v>0</v>
      </c>
      <c r="G694" s="51">
        <v>0</v>
      </c>
      <c r="H694" s="51">
        <v>30144</v>
      </c>
      <c r="I694" s="51">
        <v>-9017</v>
      </c>
      <c r="J694" s="51">
        <v>21127</v>
      </c>
      <c r="K694" s="51">
        <v>0</v>
      </c>
      <c r="L694" s="51">
        <v>0</v>
      </c>
      <c r="M694" s="51">
        <v>0</v>
      </c>
      <c r="N694" s="51">
        <v>21127</v>
      </c>
    </row>
    <row r="695" spans="1:14" ht="15.75" x14ac:dyDescent="0.25">
      <c r="A695" s="49" t="s">
        <v>560</v>
      </c>
      <c r="B695" s="50" t="s">
        <v>81</v>
      </c>
      <c r="C695" s="51">
        <v>39182</v>
      </c>
      <c r="D695" s="51">
        <v>-529</v>
      </c>
      <c r="E695" s="51">
        <v>0</v>
      </c>
      <c r="F695" s="51">
        <v>0</v>
      </c>
      <c r="G695" s="51">
        <v>0</v>
      </c>
      <c r="H695" s="51">
        <v>38653</v>
      </c>
      <c r="I695" s="51">
        <v>-12345</v>
      </c>
      <c r="J695" s="51">
        <v>26308</v>
      </c>
      <c r="K695" s="51">
        <v>0</v>
      </c>
      <c r="L695" s="51">
        <v>0</v>
      </c>
      <c r="M695" s="51">
        <v>0</v>
      </c>
      <c r="N695" s="51">
        <v>26308</v>
      </c>
    </row>
    <row r="696" spans="1:14" ht="15.75" x14ac:dyDescent="0.25">
      <c r="A696" s="49" t="s">
        <v>560</v>
      </c>
      <c r="B696" s="50" t="s">
        <v>82</v>
      </c>
      <c r="C696" s="51">
        <v>81021</v>
      </c>
      <c r="D696" s="51">
        <v>0</v>
      </c>
      <c r="E696" s="51">
        <v>0</v>
      </c>
      <c r="F696" s="51">
        <v>0</v>
      </c>
      <c r="G696" s="51">
        <v>0</v>
      </c>
      <c r="H696" s="51">
        <v>81021</v>
      </c>
      <c r="I696" s="51">
        <v>-44621</v>
      </c>
      <c r="J696" s="51">
        <v>36400</v>
      </c>
      <c r="K696" s="51">
        <v>0</v>
      </c>
      <c r="L696" s="51">
        <v>0</v>
      </c>
      <c r="M696" s="51">
        <v>0</v>
      </c>
      <c r="N696" s="51">
        <v>36400</v>
      </c>
    </row>
    <row r="697" spans="1:14" ht="15.75" x14ac:dyDescent="0.25">
      <c r="A697" s="49" t="s">
        <v>560</v>
      </c>
      <c r="B697" s="50" t="s">
        <v>83</v>
      </c>
      <c r="C697" s="51">
        <v>254581</v>
      </c>
      <c r="D697" s="51">
        <v>-1202</v>
      </c>
      <c r="E697" s="51">
        <v>0</v>
      </c>
      <c r="F697" s="51">
        <v>0</v>
      </c>
      <c r="G697" s="51">
        <v>0</v>
      </c>
      <c r="H697" s="51">
        <v>253379</v>
      </c>
      <c r="I697" s="51">
        <v>-167612</v>
      </c>
      <c r="J697" s="51">
        <v>85767</v>
      </c>
      <c r="K697" s="51">
        <v>0</v>
      </c>
      <c r="L697" s="51">
        <v>0</v>
      </c>
      <c r="M697" s="51">
        <v>0</v>
      </c>
      <c r="N697" s="51">
        <v>85767</v>
      </c>
    </row>
    <row r="698" spans="1:14" ht="15.75" x14ac:dyDescent="0.25">
      <c r="A698" s="49" t="s">
        <v>560</v>
      </c>
      <c r="B698" s="50" t="s">
        <v>48</v>
      </c>
      <c r="C698" s="51">
        <v>282550</v>
      </c>
      <c r="D698" s="51">
        <v>-896</v>
      </c>
      <c r="E698" s="51">
        <v>0</v>
      </c>
      <c r="F698" s="51">
        <v>0</v>
      </c>
      <c r="G698" s="51">
        <v>0</v>
      </c>
      <c r="H698" s="51">
        <v>281654</v>
      </c>
      <c r="I698" s="51">
        <v>-169043</v>
      </c>
      <c r="J698" s="51">
        <v>112611</v>
      </c>
      <c r="K698" s="51">
        <v>0</v>
      </c>
      <c r="L698" s="51">
        <v>0</v>
      </c>
      <c r="M698" s="51">
        <v>0</v>
      </c>
      <c r="N698" s="51">
        <v>112611</v>
      </c>
    </row>
    <row r="699" spans="1:14" ht="15.75" x14ac:dyDescent="0.25">
      <c r="A699" s="49" t="s">
        <v>560</v>
      </c>
      <c r="B699" s="50" t="s">
        <v>49</v>
      </c>
      <c r="C699" s="51">
        <v>345358</v>
      </c>
      <c r="D699" s="51">
        <v>-33088</v>
      </c>
      <c r="E699" s="51">
        <v>0</v>
      </c>
      <c r="F699" s="51">
        <v>0</v>
      </c>
      <c r="G699" s="51">
        <v>0</v>
      </c>
      <c r="H699" s="51">
        <v>312270</v>
      </c>
      <c r="I699" s="51">
        <v>-312270</v>
      </c>
      <c r="J699" s="51">
        <v>0</v>
      </c>
      <c r="K699" s="51">
        <v>0</v>
      </c>
      <c r="L699" s="51">
        <v>0</v>
      </c>
      <c r="M699" s="51">
        <v>0</v>
      </c>
      <c r="N699" s="51">
        <v>0</v>
      </c>
    </row>
    <row r="700" spans="1:14" ht="15.75" x14ac:dyDescent="0.25">
      <c r="A700" s="49" t="s">
        <v>560</v>
      </c>
      <c r="B700" s="50" t="s">
        <v>50</v>
      </c>
      <c r="C700" s="51">
        <v>445403</v>
      </c>
      <c r="D700" s="51">
        <v>-4099</v>
      </c>
      <c r="E700" s="51">
        <v>0</v>
      </c>
      <c r="F700" s="51">
        <v>0</v>
      </c>
      <c r="G700" s="51">
        <v>0</v>
      </c>
      <c r="H700" s="51">
        <v>441304</v>
      </c>
      <c r="I700" s="51">
        <v>-432014</v>
      </c>
      <c r="J700" s="51">
        <v>9290</v>
      </c>
      <c r="K700" s="51">
        <v>2175</v>
      </c>
      <c r="L700" s="51">
        <v>0</v>
      </c>
      <c r="M700" s="51">
        <v>2175</v>
      </c>
      <c r="N700" s="51">
        <v>7115</v>
      </c>
    </row>
    <row r="701" spans="1:14" ht="15.75" x14ac:dyDescent="0.25">
      <c r="A701" s="49" t="s">
        <v>560</v>
      </c>
      <c r="B701" s="50" t="s">
        <v>51</v>
      </c>
      <c r="C701" s="51">
        <v>435848</v>
      </c>
      <c r="D701" s="51">
        <v>-20359</v>
      </c>
      <c r="E701" s="51">
        <v>0</v>
      </c>
      <c r="F701" s="51">
        <v>0</v>
      </c>
      <c r="G701" s="51">
        <v>0</v>
      </c>
      <c r="H701" s="51">
        <v>415489</v>
      </c>
      <c r="I701" s="51">
        <v>-357800</v>
      </c>
      <c r="J701" s="51">
        <v>57689</v>
      </c>
      <c r="K701" s="51">
        <v>0</v>
      </c>
      <c r="L701" s="51">
        <v>0</v>
      </c>
      <c r="M701" s="51">
        <v>0</v>
      </c>
      <c r="N701" s="51">
        <v>57689</v>
      </c>
    </row>
    <row r="702" spans="1:14" ht="15.75" x14ac:dyDescent="0.25">
      <c r="A702" s="49" t="s">
        <v>560</v>
      </c>
      <c r="B702" s="50" t="s">
        <v>52</v>
      </c>
      <c r="C702" s="51">
        <v>417707</v>
      </c>
      <c r="D702" s="51">
        <v>-31007</v>
      </c>
      <c r="E702" s="51">
        <v>0</v>
      </c>
      <c r="F702" s="51">
        <v>0</v>
      </c>
      <c r="G702" s="51">
        <v>0</v>
      </c>
      <c r="H702" s="51">
        <v>386700</v>
      </c>
      <c r="I702" s="51">
        <v>-337072</v>
      </c>
      <c r="J702" s="51">
        <v>49628</v>
      </c>
      <c r="K702" s="51">
        <v>16641</v>
      </c>
      <c r="L702" s="51">
        <v>-15516</v>
      </c>
      <c r="M702" s="51">
        <v>1125</v>
      </c>
      <c r="N702" s="51">
        <v>48503</v>
      </c>
    </row>
    <row r="703" spans="1:14" ht="15.75" x14ac:dyDescent="0.25">
      <c r="A703" s="49" t="s">
        <v>560</v>
      </c>
      <c r="B703" s="50" t="s">
        <v>53</v>
      </c>
      <c r="C703" s="51">
        <v>357959</v>
      </c>
      <c r="D703" s="51">
        <v>-12022</v>
      </c>
      <c r="E703" s="51">
        <v>0</v>
      </c>
      <c r="F703" s="51">
        <v>0</v>
      </c>
      <c r="G703" s="51">
        <v>0</v>
      </c>
      <c r="H703" s="51">
        <v>345937</v>
      </c>
      <c r="I703" s="51">
        <v>-317957</v>
      </c>
      <c r="J703" s="51">
        <v>27980</v>
      </c>
      <c r="K703" s="51">
        <v>0</v>
      </c>
      <c r="L703" s="51">
        <v>0</v>
      </c>
      <c r="M703" s="51">
        <v>0</v>
      </c>
      <c r="N703" s="51">
        <v>27980</v>
      </c>
    </row>
    <row r="704" spans="1:14" ht="15.75" x14ac:dyDescent="0.25">
      <c r="A704" s="49" t="s">
        <v>560</v>
      </c>
      <c r="B704" s="50" t="s">
        <v>54</v>
      </c>
      <c r="C704" s="51">
        <v>340837</v>
      </c>
      <c r="D704" s="51">
        <v>-14021</v>
      </c>
      <c r="E704" s="51">
        <v>0</v>
      </c>
      <c r="F704" s="51">
        <v>0</v>
      </c>
      <c r="G704" s="51">
        <v>0</v>
      </c>
      <c r="H704" s="51">
        <v>326816</v>
      </c>
      <c r="I704" s="51">
        <v>-326816</v>
      </c>
      <c r="J704" s="51">
        <v>0</v>
      </c>
      <c r="K704" s="51">
        <v>28443</v>
      </c>
      <c r="L704" s="51">
        <v>-16875</v>
      </c>
      <c r="M704" s="51">
        <v>11568</v>
      </c>
      <c r="N704" s="51">
        <v>-11568</v>
      </c>
    </row>
    <row r="705" spans="1:14" ht="15.75" x14ac:dyDescent="0.25">
      <c r="A705" s="49" t="s">
        <v>560</v>
      </c>
      <c r="B705" s="50" t="s">
        <v>55</v>
      </c>
      <c r="C705" s="51">
        <v>436772</v>
      </c>
      <c r="D705" s="51">
        <v>-3807</v>
      </c>
      <c r="E705" s="51">
        <v>0</v>
      </c>
      <c r="F705" s="51">
        <v>0</v>
      </c>
      <c r="G705" s="51">
        <v>0</v>
      </c>
      <c r="H705" s="51">
        <v>432965</v>
      </c>
      <c r="I705" s="51">
        <v>-432965</v>
      </c>
      <c r="J705" s="51">
        <v>0</v>
      </c>
      <c r="K705" s="51">
        <v>0</v>
      </c>
      <c r="L705" s="51">
        <v>0</v>
      </c>
      <c r="M705" s="51">
        <v>0</v>
      </c>
      <c r="N705" s="51">
        <v>0</v>
      </c>
    </row>
    <row r="706" spans="1:14" ht="15.75" x14ac:dyDescent="0.25">
      <c r="A706" s="49" t="s">
        <v>560</v>
      </c>
      <c r="B706" s="50" t="s">
        <v>56</v>
      </c>
      <c r="C706" s="51">
        <v>729367</v>
      </c>
      <c r="D706" s="51">
        <v>-1951</v>
      </c>
      <c r="E706" s="51">
        <v>0</v>
      </c>
      <c r="F706" s="51">
        <v>0</v>
      </c>
      <c r="G706" s="51">
        <v>0</v>
      </c>
      <c r="H706" s="51">
        <v>727416</v>
      </c>
      <c r="I706" s="51">
        <v>-727416</v>
      </c>
      <c r="J706" s="51">
        <v>0</v>
      </c>
      <c r="K706" s="51">
        <v>0</v>
      </c>
      <c r="L706" s="51">
        <v>0</v>
      </c>
      <c r="M706" s="51">
        <v>0</v>
      </c>
      <c r="N706" s="51">
        <v>0</v>
      </c>
    </row>
    <row r="707" spans="1:14" ht="15.75" x14ac:dyDescent="0.25">
      <c r="A707" s="49" t="s">
        <v>560</v>
      </c>
      <c r="B707" s="50" t="s">
        <v>57</v>
      </c>
      <c r="C707" s="51">
        <v>794734</v>
      </c>
      <c r="D707" s="51">
        <v>-29841</v>
      </c>
      <c r="E707" s="51">
        <v>0</v>
      </c>
      <c r="F707" s="51">
        <v>0</v>
      </c>
      <c r="G707" s="51">
        <v>0</v>
      </c>
      <c r="H707" s="51">
        <v>764893</v>
      </c>
      <c r="I707" s="51">
        <v>-764893</v>
      </c>
      <c r="J707" s="51">
        <v>0</v>
      </c>
      <c r="K707" s="51">
        <v>0</v>
      </c>
      <c r="L707" s="51">
        <v>0</v>
      </c>
      <c r="M707" s="51">
        <v>0</v>
      </c>
      <c r="N707" s="51">
        <v>0</v>
      </c>
    </row>
    <row r="708" spans="1:14" ht="15.75" x14ac:dyDescent="0.25">
      <c r="A708" s="49" t="s">
        <v>560</v>
      </c>
      <c r="B708" s="50" t="s">
        <v>58</v>
      </c>
      <c r="C708" s="51">
        <v>980841</v>
      </c>
      <c r="D708" s="51">
        <v>-3930</v>
      </c>
      <c r="E708" s="51">
        <v>0</v>
      </c>
      <c r="F708" s="51">
        <v>0</v>
      </c>
      <c r="G708" s="51">
        <v>0</v>
      </c>
      <c r="H708" s="51">
        <v>976911</v>
      </c>
      <c r="I708" s="51">
        <v>-976911</v>
      </c>
      <c r="J708" s="51">
        <v>0</v>
      </c>
      <c r="K708" s="51">
        <v>0</v>
      </c>
      <c r="L708" s="51">
        <v>0</v>
      </c>
      <c r="M708" s="51">
        <v>0</v>
      </c>
      <c r="N708" s="51">
        <v>0</v>
      </c>
    </row>
    <row r="709" spans="1:14" ht="15.75" x14ac:dyDescent="0.25">
      <c r="A709" s="49" t="s">
        <v>560</v>
      </c>
      <c r="B709" s="50" t="s">
        <v>59</v>
      </c>
      <c r="C709" s="51">
        <v>931514</v>
      </c>
      <c r="D709" s="51">
        <v>-3184</v>
      </c>
      <c r="E709" s="51">
        <v>0</v>
      </c>
      <c r="F709" s="51">
        <v>0</v>
      </c>
      <c r="G709" s="51">
        <v>0</v>
      </c>
      <c r="H709" s="51">
        <v>928330</v>
      </c>
      <c r="I709" s="51">
        <v>-928330</v>
      </c>
      <c r="J709" s="51">
        <v>0</v>
      </c>
      <c r="K709" s="51">
        <v>0</v>
      </c>
      <c r="L709" s="51">
        <v>0</v>
      </c>
      <c r="M709" s="51">
        <v>0</v>
      </c>
      <c r="N709" s="51">
        <v>0</v>
      </c>
    </row>
    <row r="710" spans="1:14" ht="15.75" x14ac:dyDescent="0.25">
      <c r="A710" s="49" t="s">
        <v>560</v>
      </c>
      <c r="B710" s="50" t="s">
        <v>60</v>
      </c>
      <c r="C710" s="51">
        <v>956429</v>
      </c>
      <c r="D710" s="51">
        <v>-3120</v>
      </c>
      <c r="E710" s="51">
        <v>0</v>
      </c>
      <c r="F710" s="51">
        <v>0</v>
      </c>
      <c r="G710" s="51">
        <v>0</v>
      </c>
      <c r="H710" s="51">
        <v>953309</v>
      </c>
      <c r="I710" s="51">
        <v>-953309</v>
      </c>
      <c r="J710" s="51">
        <v>0</v>
      </c>
      <c r="K710" s="51">
        <v>0</v>
      </c>
      <c r="L710" s="51">
        <v>0</v>
      </c>
      <c r="M710" s="51">
        <v>0</v>
      </c>
      <c r="N710" s="51">
        <v>0</v>
      </c>
    </row>
    <row r="711" spans="1:14" ht="15.75" x14ac:dyDescent="0.25">
      <c r="A711" s="49" t="s">
        <v>560</v>
      </c>
      <c r="B711" s="50" t="s">
        <v>61</v>
      </c>
      <c r="C711" s="51">
        <v>1077160</v>
      </c>
      <c r="D711" s="51">
        <v>-3122</v>
      </c>
      <c r="E711" s="51">
        <v>0</v>
      </c>
      <c r="F711" s="51">
        <v>0</v>
      </c>
      <c r="G711" s="51">
        <v>0</v>
      </c>
      <c r="H711" s="51">
        <v>1074038</v>
      </c>
      <c r="I711" s="51">
        <v>-1074038</v>
      </c>
      <c r="J711" s="51">
        <v>0</v>
      </c>
      <c r="K711" s="51">
        <v>0</v>
      </c>
      <c r="L711" s="51">
        <v>0</v>
      </c>
      <c r="M711" s="51">
        <v>0</v>
      </c>
      <c r="N711" s="51">
        <v>0</v>
      </c>
    </row>
    <row r="712" spans="1:14" ht="15.75" x14ac:dyDescent="0.25">
      <c r="A712" s="49" t="s">
        <v>560</v>
      </c>
      <c r="B712" s="50" t="s">
        <v>62</v>
      </c>
      <c r="C712" s="51">
        <v>1075866</v>
      </c>
      <c r="D712" s="51">
        <v>-2697</v>
      </c>
      <c r="E712" s="51">
        <v>0</v>
      </c>
      <c r="F712" s="51">
        <v>0</v>
      </c>
      <c r="G712" s="51">
        <v>0</v>
      </c>
      <c r="H712" s="51">
        <v>1073169</v>
      </c>
      <c r="I712" s="51">
        <v>-1073169</v>
      </c>
      <c r="J712" s="51">
        <v>0</v>
      </c>
      <c r="K712" s="51">
        <v>0</v>
      </c>
      <c r="L712" s="51">
        <v>0</v>
      </c>
      <c r="M712" s="51">
        <v>0</v>
      </c>
      <c r="N712" s="51">
        <v>0</v>
      </c>
    </row>
    <row r="713" spans="1:14" ht="15.75" x14ac:dyDescent="0.25">
      <c r="A713" s="49" t="s">
        <v>560</v>
      </c>
      <c r="B713" s="50" t="s">
        <v>63</v>
      </c>
      <c r="C713" s="51">
        <v>770072</v>
      </c>
      <c r="D713" s="51">
        <v>-1194</v>
      </c>
      <c r="E713" s="51">
        <v>0</v>
      </c>
      <c r="F713" s="51">
        <v>0</v>
      </c>
      <c r="G713" s="51">
        <v>0</v>
      </c>
      <c r="H713" s="51">
        <v>768878</v>
      </c>
      <c r="I713" s="51">
        <v>-768878</v>
      </c>
      <c r="J713" s="51">
        <v>0</v>
      </c>
      <c r="K713" s="51">
        <v>0</v>
      </c>
      <c r="L713" s="51">
        <v>0</v>
      </c>
      <c r="M713" s="51">
        <v>0</v>
      </c>
      <c r="N713" s="51">
        <v>0</v>
      </c>
    </row>
    <row r="714" spans="1:14" ht="15.75" x14ac:dyDescent="0.25">
      <c r="A714" s="49" t="s">
        <v>560</v>
      </c>
      <c r="B714" s="50" t="s">
        <v>64</v>
      </c>
      <c r="C714" s="51">
        <v>705298</v>
      </c>
      <c r="D714" s="51">
        <v>-1528</v>
      </c>
      <c r="E714" s="51">
        <v>0</v>
      </c>
      <c r="F714" s="51">
        <v>0</v>
      </c>
      <c r="G714" s="51">
        <v>0</v>
      </c>
      <c r="H714" s="51">
        <v>703770</v>
      </c>
      <c r="I714" s="51">
        <v>-703770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</row>
    <row r="715" spans="1:14" ht="15.75" x14ac:dyDescent="0.25">
      <c r="A715" s="52" t="s">
        <v>438</v>
      </c>
      <c r="B715" s="53" t="s">
        <v>8</v>
      </c>
      <c r="C715" s="19">
        <f>SUBTOTAL(109,Program192[(C)
Program
Costs])</f>
        <v>11541156</v>
      </c>
      <c r="D715" s="19">
        <f>SUBTOTAL(109,Program192[(D)
Prior Period Adjustments])</f>
        <v>-171597</v>
      </c>
      <c r="E715" s="19">
        <f>SUBTOTAL(109,Program192[(E)
Current Period Desk 
Reviews])</f>
        <v>0</v>
      </c>
      <c r="F715" s="19">
        <f>SUBTOTAL(109,Program192[(F)
Current Period 
Final 
Audits])</f>
        <v>0</v>
      </c>
      <c r="G715" s="19">
        <f>SUBTOTAL(109,Program192[(G)
Current Period 
Other Adjustments])</f>
        <v>0</v>
      </c>
      <c r="H715" s="19">
        <f>SUBTOTAL(109,Program192[(H)
Net Program Costs
Sum (C through G)])</f>
        <v>11369559</v>
      </c>
      <c r="I715" s="19">
        <f>SUBTOTAL(109,Program192[(I)
Payments
 and Offsets])</f>
        <v>-10894246</v>
      </c>
      <c r="J715" s="19">
        <f>SUBTOTAL(109,Program192[(J)
Accounts Payable Balance
(H + I)])</f>
        <v>475313</v>
      </c>
      <c r="K715" s="19">
        <f>SUBTOTAL(109,Program192[(K)
Established 
Accounts Receivable])</f>
        <v>47259</v>
      </c>
      <c r="L715" s="19">
        <f>SUBTOTAL(109,Program192[(L)
Recovered
 Accounts Receivable])</f>
        <v>-32391</v>
      </c>
      <c r="M715" s="19">
        <f>SUBTOTAL(109,Program192[(M)
Accounts Receivable Balance
(K + L)])</f>
        <v>14868</v>
      </c>
      <c r="N715" s="19">
        <f>SUBTOTAL(109,Program192[(N)
Net Balance
(J minus M)])</f>
        <v>460445</v>
      </c>
    </row>
    <row r="716" spans="1:14" ht="15.75" x14ac:dyDescent="0.25">
      <c r="A716" s="17" t="s">
        <v>13</v>
      </c>
      <c r="B716" s="54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</row>
    <row r="717" spans="1:14" ht="78.75" x14ac:dyDescent="0.25">
      <c r="A717" s="39" t="s">
        <v>32</v>
      </c>
      <c r="B717" s="40" t="s">
        <v>33</v>
      </c>
      <c r="C717" s="41" t="s">
        <v>34</v>
      </c>
      <c r="D717" s="41" t="s">
        <v>35</v>
      </c>
      <c r="E717" s="42" t="s">
        <v>36</v>
      </c>
      <c r="F717" s="42" t="s">
        <v>37</v>
      </c>
      <c r="G717" s="42" t="s">
        <v>38</v>
      </c>
      <c r="H717" s="43" t="s">
        <v>39</v>
      </c>
      <c r="I717" s="44" t="s">
        <v>40</v>
      </c>
      <c r="J717" s="44" t="s">
        <v>41</v>
      </c>
      <c r="K717" s="42" t="s">
        <v>42</v>
      </c>
      <c r="L717" s="44" t="s">
        <v>43</v>
      </c>
      <c r="M717" s="44" t="s">
        <v>44</v>
      </c>
      <c r="N717" s="45" t="s">
        <v>45</v>
      </c>
    </row>
    <row r="718" spans="1:14" ht="30" x14ac:dyDescent="0.25">
      <c r="A718" s="67" t="s">
        <v>559</v>
      </c>
      <c r="B718" s="57" t="s">
        <v>55</v>
      </c>
      <c r="C718" s="58">
        <v>169858891</v>
      </c>
      <c r="D718" s="58">
        <v>-187685</v>
      </c>
      <c r="E718" s="58">
        <v>0</v>
      </c>
      <c r="F718" s="58">
        <v>0</v>
      </c>
      <c r="G718" s="58">
        <v>0</v>
      </c>
      <c r="H718" s="58">
        <v>169671206</v>
      </c>
      <c r="I718" s="58">
        <v>-160619456</v>
      </c>
      <c r="J718" s="58">
        <v>9051750</v>
      </c>
      <c r="K718" s="58">
        <v>0</v>
      </c>
      <c r="L718" s="58">
        <v>0</v>
      </c>
      <c r="M718" s="58">
        <v>0</v>
      </c>
      <c r="N718" s="58">
        <v>9051750</v>
      </c>
    </row>
    <row r="719" spans="1:14" ht="30" x14ac:dyDescent="0.25">
      <c r="A719" s="68" t="s">
        <v>559</v>
      </c>
      <c r="B719" s="60" t="s">
        <v>56</v>
      </c>
      <c r="C719" s="61">
        <v>176753525</v>
      </c>
      <c r="D719" s="61">
        <v>-186632</v>
      </c>
      <c r="E719" s="61">
        <v>0</v>
      </c>
      <c r="F719" s="61">
        <v>0</v>
      </c>
      <c r="G719" s="61">
        <v>0</v>
      </c>
      <c r="H719" s="61">
        <v>176566893</v>
      </c>
      <c r="I719" s="61">
        <v>-172277694</v>
      </c>
      <c r="J719" s="61">
        <v>4289199</v>
      </c>
      <c r="K719" s="61">
        <v>0</v>
      </c>
      <c r="L719" s="61">
        <v>0</v>
      </c>
      <c r="M719" s="61">
        <v>0</v>
      </c>
      <c r="N719" s="61">
        <v>4289199</v>
      </c>
    </row>
    <row r="720" spans="1:14" ht="30" x14ac:dyDescent="0.25">
      <c r="A720" s="68" t="s">
        <v>559</v>
      </c>
      <c r="B720" s="60" t="s">
        <v>57</v>
      </c>
      <c r="C720" s="61">
        <v>166874178</v>
      </c>
      <c r="D720" s="61">
        <v>-178552</v>
      </c>
      <c r="E720" s="61">
        <v>0</v>
      </c>
      <c r="F720" s="61">
        <v>0</v>
      </c>
      <c r="G720" s="61">
        <v>0</v>
      </c>
      <c r="H720" s="61">
        <v>166695626</v>
      </c>
      <c r="I720" s="61">
        <v>-165084881</v>
      </c>
      <c r="J720" s="61">
        <v>1610745</v>
      </c>
      <c r="K720" s="61">
        <v>0</v>
      </c>
      <c r="L720" s="61">
        <v>0</v>
      </c>
      <c r="M720" s="61">
        <v>0</v>
      </c>
      <c r="N720" s="61">
        <v>1610745</v>
      </c>
    </row>
    <row r="721" spans="1:14" ht="30" x14ac:dyDescent="0.25">
      <c r="A721" s="68" t="s">
        <v>559</v>
      </c>
      <c r="B721" s="60" t="s">
        <v>58</v>
      </c>
      <c r="C721" s="61">
        <v>156502104</v>
      </c>
      <c r="D721" s="61">
        <v>-176015</v>
      </c>
      <c r="E721" s="61">
        <v>0</v>
      </c>
      <c r="F721" s="61">
        <v>0</v>
      </c>
      <c r="G721" s="61">
        <v>0</v>
      </c>
      <c r="H721" s="61">
        <v>156326089</v>
      </c>
      <c r="I721" s="61">
        <v>-155700922</v>
      </c>
      <c r="J721" s="61">
        <v>625167</v>
      </c>
      <c r="K721" s="61">
        <v>0</v>
      </c>
      <c r="L721" s="61">
        <v>0</v>
      </c>
      <c r="M721" s="61">
        <v>0</v>
      </c>
      <c r="N721" s="61">
        <v>625167</v>
      </c>
    </row>
    <row r="722" spans="1:14" ht="30" x14ac:dyDescent="0.25">
      <c r="A722" s="68" t="s">
        <v>559</v>
      </c>
      <c r="B722" s="60" t="s">
        <v>59</v>
      </c>
      <c r="C722" s="61">
        <v>136529168</v>
      </c>
      <c r="D722" s="61">
        <v>-161426</v>
      </c>
      <c r="E722" s="61">
        <v>0</v>
      </c>
      <c r="F722" s="61">
        <v>0</v>
      </c>
      <c r="G722" s="61">
        <v>0</v>
      </c>
      <c r="H722" s="61">
        <v>136367742</v>
      </c>
      <c r="I722" s="61">
        <v>-135960581</v>
      </c>
      <c r="J722" s="61">
        <v>407161</v>
      </c>
      <c r="K722" s="61">
        <v>0</v>
      </c>
      <c r="L722" s="61">
        <v>0</v>
      </c>
      <c r="M722" s="61">
        <v>0</v>
      </c>
      <c r="N722" s="61">
        <v>407161</v>
      </c>
    </row>
    <row r="723" spans="1:14" ht="30" x14ac:dyDescent="0.25">
      <c r="A723" s="68" t="s">
        <v>559</v>
      </c>
      <c r="B723" s="60" t="s">
        <v>60</v>
      </c>
      <c r="C723" s="61">
        <v>113286814</v>
      </c>
      <c r="D723" s="61">
        <v>-165870</v>
      </c>
      <c r="E723" s="61">
        <v>0</v>
      </c>
      <c r="F723" s="61">
        <v>0</v>
      </c>
      <c r="G723" s="61">
        <v>0</v>
      </c>
      <c r="H723" s="61">
        <v>113120944</v>
      </c>
      <c r="I723" s="61">
        <v>-113117899</v>
      </c>
      <c r="J723" s="61">
        <v>3045</v>
      </c>
      <c r="K723" s="61">
        <v>0</v>
      </c>
      <c r="L723" s="61">
        <v>0</v>
      </c>
      <c r="M723" s="61">
        <v>0</v>
      </c>
      <c r="N723" s="61">
        <v>3045</v>
      </c>
    </row>
    <row r="724" spans="1:14" ht="30" x14ac:dyDescent="0.25">
      <c r="A724" s="68" t="s">
        <v>559</v>
      </c>
      <c r="B724" s="60" t="s">
        <v>61</v>
      </c>
      <c r="C724" s="61">
        <v>104171976</v>
      </c>
      <c r="D724" s="61">
        <v>-144532</v>
      </c>
      <c r="E724" s="61">
        <v>0</v>
      </c>
      <c r="F724" s="61">
        <v>0</v>
      </c>
      <c r="G724" s="61">
        <v>0</v>
      </c>
      <c r="H724" s="61">
        <v>104027444</v>
      </c>
      <c r="I724" s="61">
        <v>-104027444</v>
      </c>
      <c r="J724" s="61">
        <v>0</v>
      </c>
      <c r="K724" s="61">
        <v>0</v>
      </c>
      <c r="L724" s="61">
        <v>0</v>
      </c>
      <c r="M724" s="61">
        <v>0</v>
      </c>
      <c r="N724" s="61">
        <v>0</v>
      </c>
    </row>
    <row r="725" spans="1:14" ht="30" x14ac:dyDescent="0.25">
      <c r="A725" s="68" t="s">
        <v>559</v>
      </c>
      <c r="B725" s="60" t="s">
        <v>62</v>
      </c>
      <c r="C725" s="61">
        <v>91525001</v>
      </c>
      <c r="D725" s="61">
        <v>-109433</v>
      </c>
      <c r="E725" s="61">
        <v>0</v>
      </c>
      <c r="F725" s="61">
        <v>0</v>
      </c>
      <c r="G725" s="61">
        <v>0</v>
      </c>
      <c r="H725" s="61">
        <v>91415568</v>
      </c>
      <c r="I725" s="61">
        <v>-91415568</v>
      </c>
      <c r="J725" s="61">
        <v>0</v>
      </c>
      <c r="K725" s="61">
        <v>0</v>
      </c>
      <c r="L725" s="61">
        <v>0</v>
      </c>
      <c r="M725" s="61">
        <v>0</v>
      </c>
      <c r="N725" s="61">
        <v>0</v>
      </c>
    </row>
    <row r="726" spans="1:14" ht="30" x14ac:dyDescent="0.25">
      <c r="A726" s="68" t="s">
        <v>559</v>
      </c>
      <c r="B726" s="60" t="s">
        <v>63</v>
      </c>
      <c r="C726" s="61">
        <v>84886030</v>
      </c>
      <c r="D726" s="61">
        <v>-104746</v>
      </c>
      <c r="E726" s="61">
        <v>0</v>
      </c>
      <c r="F726" s="61">
        <v>0</v>
      </c>
      <c r="G726" s="61">
        <v>0</v>
      </c>
      <c r="H726" s="61">
        <v>84781284</v>
      </c>
      <c r="I726" s="61">
        <v>-84781284</v>
      </c>
      <c r="J726" s="61">
        <v>0</v>
      </c>
      <c r="K726" s="61">
        <v>0</v>
      </c>
      <c r="L726" s="61">
        <v>0</v>
      </c>
      <c r="M726" s="61">
        <v>0</v>
      </c>
      <c r="N726" s="61">
        <v>0</v>
      </c>
    </row>
    <row r="727" spans="1:14" ht="15.75" x14ac:dyDescent="0.25">
      <c r="A727" s="52" t="s">
        <v>437</v>
      </c>
      <c r="B727" s="53" t="s">
        <v>8</v>
      </c>
      <c r="C727" s="19">
        <f>SUBTOTAL(109,Program295[(C)
Program
Costs])</f>
        <v>1200387687</v>
      </c>
      <c r="D727" s="19">
        <f>SUBTOTAL(109,Program295[(D)
Prior Period Adjustments])</f>
        <v>-1414891</v>
      </c>
      <c r="E727" s="19">
        <f>SUBTOTAL(109,Program295[(E)
Current Period Desk 
Reviews])</f>
        <v>0</v>
      </c>
      <c r="F727" s="19">
        <f>SUBTOTAL(109,Program295[(F)
Current Period 
Final 
Audits])</f>
        <v>0</v>
      </c>
      <c r="G727" s="19">
        <f>SUBTOTAL(109,Program295[(G)
Current Period 
Other Adjustments])</f>
        <v>0</v>
      </c>
      <c r="H727" s="19">
        <f>SUBTOTAL(109,Program295[(H)
Net Program Costs
Sum (C through G)])</f>
        <v>1198972796</v>
      </c>
      <c r="I727" s="19">
        <f>SUBTOTAL(109,Program295[(I)
Payments
 and Offsets])</f>
        <v>-1182985729</v>
      </c>
      <c r="J727" s="19">
        <f>SUBTOTAL(109,Program295[(J)
Accounts Payable Balance
(H + I)])</f>
        <v>15987067</v>
      </c>
      <c r="K727" s="19">
        <f>SUBTOTAL(109,Program295[(K)
Established 
Accounts Receivable])</f>
        <v>0</v>
      </c>
      <c r="L727" s="19">
        <f>SUBTOTAL(109,Program295[(L)
Recovered
 Accounts Receivable])</f>
        <v>0</v>
      </c>
      <c r="M727" s="19">
        <f>SUBTOTAL(109,Program295[(M)
Accounts Receivable Balance
(K + L)])</f>
        <v>0</v>
      </c>
      <c r="N727" s="19">
        <f>SUBTOTAL(109,Program295[(N)
Net Balance
(J minus M)])</f>
        <v>15987067</v>
      </c>
    </row>
    <row r="728" spans="1:14" ht="15.75" x14ac:dyDescent="0.25">
      <c r="A728" s="17" t="s">
        <v>13</v>
      </c>
      <c r="B728" s="54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</row>
    <row r="729" spans="1:14" ht="78.75" x14ac:dyDescent="0.25">
      <c r="A729" s="39" t="s">
        <v>32</v>
      </c>
      <c r="B729" s="40" t="s">
        <v>33</v>
      </c>
      <c r="C729" s="41" t="s">
        <v>34</v>
      </c>
      <c r="D729" s="41" t="s">
        <v>35</v>
      </c>
      <c r="E729" s="42" t="s">
        <v>36</v>
      </c>
      <c r="F729" s="42" t="s">
        <v>37</v>
      </c>
      <c r="G729" s="42" t="s">
        <v>38</v>
      </c>
      <c r="H729" s="43" t="s">
        <v>39</v>
      </c>
      <c r="I729" s="44" t="s">
        <v>40</v>
      </c>
      <c r="J729" s="44" t="s">
        <v>41</v>
      </c>
      <c r="K729" s="42" t="s">
        <v>42</v>
      </c>
      <c r="L729" s="44" t="s">
        <v>43</v>
      </c>
      <c r="M729" s="44" t="s">
        <v>44</v>
      </c>
      <c r="N729" s="45" t="s">
        <v>45</v>
      </c>
    </row>
    <row r="730" spans="1:14" ht="30" x14ac:dyDescent="0.25">
      <c r="A730" s="67" t="s">
        <v>558</v>
      </c>
      <c r="B730" s="57" t="s">
        <v>54</v>
      </c>
      <c r="C730" s="58">
        <v>74348976</v>
      </c>
      <c r="D730" s="58">
        <v>-156444</v>
      </c>
      <c r="E730" s="58">
        <v>0</v>
      </c>
      <c r="F730" s="58">
        <v>0</v>
      </c>
      <c r="G730" s="58">
        <v>0</v>
      </c>
      <c r="H730" s="58">
        <v>74192532</v>
      </c>
      <c r="I730" s="58">
        <v>-69857272</v>
      </c>
      <c r="J730" s="58">
        <v>4335260</v>
      </c>
      <c r="K730" s="58">
        <v>0</v>
      </c>
      <c r="L730" s="58">
        <v>0</v>
      </c>
      <c r="M730" s="58">
        <v>0</v>
      </c>
      <c r="N730" s="58">
        <v>4335260</v>
      </c>
    </row>
    <row r="731" spans="1:14" ht="15.75" x14ac:dyDescent="0.25">
      <c r="A731" s="52" t="s">
        <v>436</v>
      </c>
      <c r="B731" s="53" t="s">
        <v>8</v>
      </c>
      <c r="C731" s="19">
        <f>SUBTOTAL(109,Program296[(C)
Program
Costs])</f>
        <v>74348976</v>
      </c>
      <c r="D731" s="19">
        <f>SUBTOTAL(109,Program296[(D)
Prior Period Adjustments])</f>
        <v>-156444</v>
      </c>
      <c r="E731" s="19">
        <f>SUBTOTAL(109,Program296[(E)
Current Period Desk 
Reviews])</f>
        <v>0</v>
      </c>
      <c r="F731" s="19">
        <f>SUBTOTAL(109,Program296[(F)
Current Period 
Final 
Audits])</f>
        <v>0</v>
      </c>
      <c r="G731" s="19">
        <f>SUBTOTAL(109,Program296[(G)
Current Period 
Other Adjustments])</f>
        <v>0</v>
      </c>
      <c r="H731" s="19">
        <f>SUBTOTAL(109,Program296[(H)
Net Program Costs
Sum (C through G)])</f>
        <v>74192532</v>
      </c>
      <c r="I731" s="19">
        <f>SUBTOTAL(109,Program296[(I)
Payments
 and Offsets])</f>
        <v>-69857272</v>
      </c>
      <c r="J731" s="19">
        <f>SUBTOTAL(109,Program296[(J)
Accounts Payable Balance
(H + I)])</f>
        <v>4335260</v>
      </c>
      <c r="K731" s="19">
        <f>SUBTOTAL(109,Program296[(K)
Established 
Accounts Receivable])</f>
        <v>0</v>
      </c>
      <c r="L731" s="19">
        <f>SUBTOTAL(109,Program296[(L)
Recovered
 Accounts Receivable])</f>
        <v>0</v>
      </c>
      <c r="M731" s="19">
        <f>SUBTOTAL(109,Program296[(M)
Accounts Receivable Balance
(K + L)])</f>
        <v>0</v>
      </c>
      <c r="N731" s="19">
        <f>SUBTOTAL(109,Program296[(N)
Net Balance
(J minus M)])</f>
        <v>4335260</v>
      </c>
    </row>
    <row r="732" spans="1:14" ht="15.75" x14ac:dyDescent="0.25">
      <c r="A732" s="17" t="s">
        <v>13</v>
      </c>
      <c r="B732" s="54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</row>
    <row r="733" spans="1:14" ht="78.75" x14ac:dyDescent="0.25">
      <c r="A733" s="39" t="s">
        <v>32</v>
      </c>
      <c r="B733" s="40" t="s">
        <v>33</v>
      </c>
      <c r="C733" s="41" t="s">
        <v>34</v>
      </c>
      <c r="D733" s="41" t="s">
        <v>35</v>
      </c>
      <c r="E733" s="42" t="s">
        <v>36</v>
      </c>
      <c r="F733" s="42" t="s">
        <v>37</v>
      </c>
      <c r="G733" s="42" t="s">
        <v>38</v>
      </c>
      <c r="H733" s="43" t="s">
        <v>39</v>
      </c>
      <c r="I733" s="44" t="s">
        <v>40</v>
      </c>
      <c r="J733" s="44" t="s">
        <v>41</v>
      </c>
      <c r="K733" s="42" t="s">
        <v>42</v>
      </c>
      <c r="L733" s="44" t="s">
        <v>43</v>
      </c>
      <c r="M733" s="44" t="s">
        <v>44</v>
      </c>
      <c r="N733" s="45" t="s">
        <v>45</v>
      </c>
    </row>
    <row r="734" spans="1:14" ht="30" x14ac:dyDescent="0.25">
      <c r="A734" s="67" t="s">
        <v>557</v>
      </c>
      <c r="B734" s="57" t="s">
        <v>76</v>
      </c>
      <c r="C734" s="58">
        <v>3221224</v>
      </c>
      <c r="D734" s="58">
        <v>0</v>
      </c>
      <c r="E734" s="58">
        <v>0</v>
      </c>
      <c r="F734" s="58">
        <v>0</v>
      </c>
      <c r="G734" s="58">
        <v>0</v>
      </c>
      <c r="H734" s="58">
        <v>3221224</v>
      </c>
      <c r="I734" s="58">
        <v>0</v>
      </c>
      <c r="J734" s="58">
        <v>3221224</v>
      </c>
      <c r="K734" s="58">
        <v>0</v>
      </c>
      <c r="L734" s="58">
        <v>0</v>
      </c>
      <c r="M734" s="58">
        <v>0</v>
      </c>
      <c r="N734" s="58">
        <v>3221224</v>
      </c>
    </row>
    <row r="735" spans="1:14" ht="30" x14ac:dyDescent="0.25">
      <c r="A735" s="68" t="s">
        <v>557</v>
      </c>
      <c r="B735" s="60" t="s">
        <v>77</v>
      </c>
      <c r="C735" s="61">
        <v>3196917</v>
      </c>
      <c r="D735" s="61">
        <v>0</v>
      </c>
      <c r="E735" s="61">
        <v>0</v>
      </c>
      <c r="F735" s="61">
        <v>0</v>
      </c>
      <c r="G735" s="61">
        <v>0</v>
      </c>
      <c r="H735" s="61">
        <v>3196917</v>
      </c>
      <c r="I735" s="61">
        <v>-1000</v>
      </c>
      <c r="J735" s="61">
        <v>3195917</v>
      </c>
      <c r="K735" s="61">
        <v>0</v>
      </c>
      <c r="L735" s="61">
        <v>0</v>
      </c>
      <c r="M735" s="61">
        <v>0</v>
      </c>
      <c r="N735" s="61">
        <v>3195917</v>
      </c>
    </row>
    <row r="736" spans="1:14" ht="30" x14ac:dyDescent="0.25">
      <c r="A736" s="68" t="s">
        <v>557</v>
      </c>
      <c r="B736" s="60" t="s">
        <v>78</v>
      </c>
      <c r="C736" s="61">
        <v>3674720</v>
      </c>
      <c r="D736" s="61">
        <v>0</v>
      </c>
      <c r="E736" s="61">
        <v>0</v>
      </c>
      <c r="F736" s="61">
        <v>0</v>
      </c>
      <c r="G736" s="61">
        <v>0</v>
      </c>
      <c r="H736" s="61">
        <v>3674720</v>
      </c>
      <c r="I736" s="61">
        <v>-1000</v>
      </c>
      <c r="J736" s="61">
        <v>3673720</v>
      </c>
      <c r="K736" s="61">
        <v>0</v>
      </c>
      <c r="L736" s="61">
        <v>0</v>
      </c>
      <c r="M736" s="61">
        <v>0</v>
      </c>
      <c r="N736" s="61">
        <v>3673720</v>
      </c>
    </row>
    <row r="737" spans="1:14" ht="30" x14ac:dyDescent="0.25">
      <c r="A737" s="68" t="s">
        <v>557</v>
      </c>
      <c r="B737" s="60" t="s">
        <v>47</v>
      </c>
      <c r="C737" s="61">
        <v>3578841</v>
      </c>
      <c r="D737" s="61">
        <v>-2481</v>
      </c>
      <c r="E737" s="61">
        <v>0</v>
      </c>
      <c r="F737" s="61">
        <v>0</v>
      </c>
      <c r="G737" s="61">
        <v>0</v>
      </c>
      <c r="H737" s="61">
        <v>3576360</v>
      </c>
      <c r="I737" s="61">
        <v>-208220</v>
      </c>
      <c r="J737" s="61">
        <v>3368140</v>
      </c>
      <c r="K737" s="61">
        <v>0</v>
      </c>
      <c r="L737" s="61">
        <v>0</v>
      </c>
      <c r="M737" s="61">
        <v>0</v>
      </c>
      <c r="N737" s="61">
        <v>3368140</v>
      </c>
    </row>
    <row r="738" spans="1:14" ht="30" x14ac:dyDescent="0.25">
      <c r="A738" s="68" t="s">
        <v>557</v>
      </c>
      <c r="B738" s="60" t="s">
        <v>79</v>
      </c>
      <c r="C738" s="61">
        <v>6628149</v>
      </c>
      <c r="D738" s="61">
        <v>0</v>
      </c>
      <c r="E738" s="61">
        <v>0</v>
      </c>
      <c r="F738" s="61">
        <v>0</v>
      </c>
      <c r="G738" s="61">
        <v>0</v>
      </c>
      <c r="H738" s="61">
        <v>6628149</v>
      </c>
      <c r="I738" s="61">
        <v>-434927</v>
      </c>
      <c r="J738" s="61">
        <v>6193222</v>
      </c>
      <c r="K738" s="61">
        <v>0</v>
      </c>
      <c r="L738" s="61">
        <v>0</v>
      </c>
      <c r="M738" s="61">
        <v>0</v>
      </c>
      <c r="N738" s="61">
        <v>6193222</v>
      </c>
    </row>
    <row r="739" spans="1:14" ht="30" x14ac:dyDescent="0.25">
      <c r="A739" s="68" t="s">
        <v>557</v>
      </c>
      <c r="B739" s="60" t="s">
        <v>80</v>
      </c>
      <c r="C739" s="61">
        <v>16676742</v>
      </c>
      <c r="D739" s="61">
        <v>0</v>
      </c>
      <c r="E739" s="61">
        <v>0</v>
      </c>
      <c r="F739" s="61">
        <v>0</v>
      </c>
      <c r="G739" s="61">
        <v>0</v>
      </c>
      <c r="H739" s="61">
        <v>16676742</v>
      </c>
      <c r="I739" s="61">
        <v>-3216044</v>
      </c>
      <c r="J739" s="61">
        <v>13460698</v>
      </c>
      <c r="K739" s="61">
        <v>0</v>
      </c>
      <c r="L739" s="61">
        <v>0</v>
      </c>
      <c r="M739" s="61">
        <v>0</v>
      </c>
      <c r="N739" s="61">
        <v>13460698</v>
      </c>
    </row>
    <row r="740" spans="1:14" ht="30" x14ac:dyDescent="0.25">
      <c r="A740" s="68" t="s">
        <v>557</v>
      </c>
      <c r="B740" s="60" t="s">
        <v>81</v>
      </c>
      <c r="C740" s="61">
        <v>22146668</v>
      </c>
      <c r="D740" s="61">
        <v>-3168226</v>
      </c>
      <c r="E740" s="61">
        <v>0</v>
      </c>
      <c r="F740" s="61">
        <v>0</v>
      </c>
      <c r="G740" s="61">
        <v>0</v>
      </c>
      <c r="H740" s="61">
        <v>18978442</v>
      </c>
      <c r="I740" s="61">
        <v>-4405087</v>
      </c>
      <c r="J740" s="61">
        <v>14573355</v>
      </c>
      <c r="K740" s="61">
        <v>0</v>
      </c>
      <c r="L740" s="61">
        <v>0</v>
      </c>
      <c r="M740" s="61">
        <v>0</v>
      </c>
      <c r="N740" s="61">
        <v>14573355</v>
      </c>
    </row>
    <row r="741" spans="1:14" ht="30" x14ac:dyDescent="0.25">
      <c r="A741" s="68" t="s">
        <v>557</v>
      </c>
      <c r="B741" s="60" t="s">
        <v>82</v>
      </c>
      <c r="C741" s="61">
        <v>228382454</v>
      </c>
      <c r="D741" s="61">
        <v>-185691</v>
      </c>
      <c r="E741" s="61">
        <v>0</v>
      </c>
      <c r="F741" s="61">
        <v>0</v>
      </c>
      <c r="G741" s="61">
        <v>0</v>
      </c>
      <c r="H741" s="61">
        <v>228196763</v>
      </c>
      <c r="I741" s="61">
        <v>-126160381</v>
      </c>
      <c r="J741" s="61">
        <v>102036382</v>
      </c>
      <c r="K741" s="61">
        <v>0</v>
      </c>
      <c r="L741" s="61">
        <v>0</v>
      </c>
      <c r="M741" s="61">
        <v>0</v>
      </c>
      <c r="N741" s="61">
        <v>102036382</v>
      </c>
    </row>
    <row r="742" spans="1:14" ht="30" x14ac:dyDescent="0.25">
      <c r="A742" s="68" t="s">
        <v>557</v>
      </c>
      <c r="B742" s="60" t="s">
        <v>83</v>
      </c>
      <c r="C742" s="61">
        <v>265850025</v>
      </c>
      <c r="D742" s="61">
        <v>-161756</v>
      </c>
      <c r="E742" s="61">
        <v>0</v>
      </c>
      <c r="F742" s="61">
        <v>0</v>
      </c>
      <c r="G742" s="61">
        <v>0</v>
      </c>
      <c r="H742" s="61">
        <v>265688269</v>
      </c>
      <c r="I742" s="61">
        <v>-162398696</v>
      </c>
      <c r="J742" s="61">
        <v>103289573</v>
      </c>
      <c r="K742" s="61">
        <v>0</v>
      </c>
      <c r="L742" s="61">
        <v>0</v>
      </c>
      <c r="M742" s="61">
        <v>0</v>
      </c>
      <c r="N742" s="61">
        <v>103289573</v>
      </c>
    </row>
    <row r="743" spans="1:14" ht="30" x14ac:dyDescent="0.25">
      <c r="A743" s="68" t="s">
        <v>557</v>
      </c>
      <c r="B743" s="60" t="s">
        <v>48</v>
      </c>
      <c r="C743" s="61">
        <v>271350268</v>
      </c>
      <c r="D743" s="61">
        <v>-141770</v>
      </c>
      <c r="E743" s="61">
        <v>0</v>
      </c>
      <c r="F743" s="61">
        <v>0</v>
      </c>
      <c r="G743" s="61">
        <v>0</v>
      </c>
      <c r="H743" s="61">
        <v>271208498</v>
      </c>
      <c r="I743" s="61">
        <v>-177075406</v>
      </c>
      <c r="J743" s="61">
        <v>94133092</v>
      </c>
      <c r="K743" s="61">
        <v>0</v>
      </c>
      <c r="L743" s="61">
        <v>0</v>
      </c>
      <c r="M743" s="61">
        <v>0</v>
      </c>
      <c r="N743" s="61">
        <v>94133092</v>
      </c>
    </row>
    <row r="744" spans="1:14" ht="30" x14ac:dyDescent="0.25">
      <c r="A744" s="68" t="s">
        <v>557</v>
      </c>
      <c r="B744" s="60" t="s">
        <v>49</v>
      </c>
      <c r="C744" s="61">
        <v>268351160</v>
      </c>
      <c r="D744" s="61">
        <v>-11457236</v>
      </c>
      <c r="E744" s="61">
        <v>0</v>
      </c>
      <c r="F744" s="61">
        <v>0</v>
      </c>
      <c r="G744" s="61">
        <v>0</v>
      </c>
      <c r="H744" s="61">
        <v>256893924</v>
      </c>
      <c r="I744" s="61">
        <v>-175216847</v>
      </c>
      <c r="J744" s="61">
        <v>81677077</v>
      </c>
      <c r="K744" s="61">
        <v>0</v>
      </c>
      <c r="L744" s="61">
        <v>0</v>
      </c>
      <c r="M744" s="61">
        <v>0</v>
      </c>
      <c r="N744" s="61">
        <v>81677077</v>
      </c>
    </row>
    <row r="745" spans="1:14" ht="30" x14ac:dyDescent="0.25">
      <c r="A745" s="68" t="s">
        <v>557</v>
      </c>
      <c r="B745" s="60" t="s">
        <v>50</v>
      </c>
      <c r="C745" s="61">
        <v>261884174</v>
      </c>
      <c r="D745" s="61">
        <v>-4777465</v>
      </c>
      <c r="E745" s="61">
        <v>0</v>
      </c>
      <c r="F745" s="61">
        <v>0</v>
      </c>
      <c r="G745" s="61">
        <v>0</v>
      </c>
      <c r="H745" s="61">
        <v>257106709</v>
      </c>
      <c r="I745" s="61">
        <v>-181188759</v>
      </c>
      <c r="J745" s="61">
        <v>75917950</v>
      </c>
      <c r="K745" s="61">
        <v>0</v>
      </c>
      <c r="L745" s="61">
        <v>0</v>
      </c>
      <c r="M745" s="61">
        <v>0</v>
      </c>
      <c r="N745" s="61">
        <v>75917950</v>
      </c>
    </row>
    <row r="746" spans="1:14" ht="30" x14ac:dyDescent="0.25">
      <c r="A746" s="68" t="s">
        <v>557</v>
      </c>
      <c r="B746" s="60" t="s">
        <v>51</v>
      </c>
      <c r="C746" s="61">
        <v>236091083</v>
      </c>
      <c r="D746" s="61">
        <v>-4747869</v>
      </c>
      <c r="E746" s="61">
        <v>0</v>
      </c>
      <c r="F746" s="61">
        <v>0</v>
      </c>
      <c r="G746" s="61">
        <v>0</v>
      </c>
      <c r="H746" s="61">
        <v>231343214</v>
      </c>
      <c r="I746" s="61">
        <v>-180663161</v>
      </c>
      <c r="J746" s="61">
        <v>50680053</v>
      </c>
      <c r="K746" s="61">
        <v>0</v>
      </c>
      <c r="L746" s="61">
        <v>0</v>
      </c>
      <c r="M746" s="61">
        <v>0</v>
      </c>
      <c r="N746" s="61">
        <v>50680053</v>
      </c>
    </row>
    <row r="747" spans="1:14" ht="30" x14ac:dyDescent="0.25">
      <c r="A747" s="68" t="s">
        <v>557</v>
      </c>
      <c r="B747" s="60" t="s">
        <v>52</v>
      </c>
      <c r="C747" s="61">
        <v>173386884</v>
      </c>
      <c r="D747" s="61">
        <v>-197520</v>
      </c>
      <c r="E747" s="61">
        <v>0</v>
      </c>
      <c r="F747" s="61">
        <v>0</v>
      </c>
      <c r="G747" s="61">
        <v>0</v>
      </c>
      <c r="H747" s="61">
        <v>173189364</v>
      </c>
      <c r="I747" s="61">
        <v>-139389904</v>
      </c>
      <c r="J747" s="61">
        <v>33799460</v>
      </c>
      <c r="K747" s="61">
        <v>0</v>
      </c>
      <c r="L747" s="61">
        <v>0</v>
      </c>
      <c r="M747" s="61">
        <v>0</v>
      </c>
      <c r="N747" s="61">
        <v>33799460</v>
      </c>
    </row>
    <row r="748" spans="1:14" ht="30" x14ac:dyDescent="0.25">
      <c r="A748" s="68" t="s">
        <v>557</v>
      </c>
      <c r="B748" s="60" t="s">
        <v>53</v>
      </c>
      <c r="C748" s="61">
        <v>178752220</v>
      </c>
      <c r="D748" s="61">
        <v>-179927</v>
      </c>
      <c r="E748" s="61">
        <v>0</v>
      </c>
      <c r="F748" s="61">
        <v>0</v>
      </c>
      <c r="G748" s="61">
        <v>0</v>
      </c>
      <c r="H748" s="61">
        <v>178572293</v>
      </c>
      <c r="I748" s="61">
        <v>-149988236</v>
      </c>
      <c r="J748" s="61">
        <v>28584057</v>
      </c>
      <c r="K748" s="61">
        <v>0</v>
      </c>
      <c r="L748" s="61">
        <v>0</v>
      </c>
      <c r="M748" s="61">
        <v>0</v>
      </c>
      <c r="N748" s="61">
        <v>28584057</v>
      </c>
    </row>
    <row r="749" spans="1:14" ht="30" x14ac:dyDescent="0.25">
      <c r="A749" s="68" t="s">
        <v>557</v>
      </c>
      <c r="B749" s="60" t="s">
        <v>54</v>
      </c>
      <c r="C749" s="61">
        <v>99041190</v>
      </c>
      <c r="D749" s="61">
        <v>-56444</v>
      </c>
      <c r="E749" s="61">
        <v>0</v>
      </c>
      <c r="F749" s="61">
        <v>0</v>
      </c>
      <c r="G749" s="61">
        <v>0</v>
      </c>
      <c r="H749" s="61">
        <v>98984746</v>
      </c>
      <c r="I749" s="61">
        <v>-88044270</v>
      </c>
      <c r="J749" s="61">
        <v>10940476</v>
      </c>
      <c r="K749" s="61">
        <v>0</v>
      </c>
      <c r="L749" s="61">
        <v>0</v>
      </c>
      <c r="M749" s="61">
        <v>0</v>
      </c>
      <c r="N749" s="61">
        <v>10940476</v>
      </c>
    </row>
    <row r="750" spans="1:14" ht="15.75" x14ac:dyDescent="0.25">
      <c r="A750" s="52" t="s">
        <v>435</v>
      </c>
      <c r="B750" s="53" t="s">
        <v>8</v>
      </c>
      <c r="C750" s="19">
        <f>SUBTOTAL(109,Program297[(C)
Program
Costs])</f>
        <v>2042212719</v>
      </c>
      <c r="D750" s="19">
        <f>SUBTOTAL(109,Program297[(D)
Prior Period Adjustments])</f>
        <v>-25076385</v>
      </c>
      <c r="E750" s="19">
        <f>SUBTOTAL(109,Program297[(E)
Current Period Desk 
Reviews])</f>
        <v>0</v>
      </c>
      <c r="F750" s="19">
        <f>SUBTOTAL(109,Program297[(F)
Current Period 
Final 
Audits])</f>
        <v>0</v>
      </c>
      <c r="G750" s="19">
        <f>SUBTOTAL(109,Program297[(G)
Current Period 
Other Adjustments])</f>
        <v>0</v>
      </c>
      <c r="H750" s="19">
        <f>SUBTOTAL(109,Program297[(H)
Net Program Costs
Sum (C through G)])</f>
        <v>2017136334</v>
      </c>
      <c r="I750" s="19">
        <f>SUBTOTAL(109,Program297[(I)
Payments
 and Offsets])</f>
        <v>-1388391938</v>
      </c>
      <c r="J750" s="19">
        <f>SUBTOTAL(109,Program297[(J)
Accounts Payable Balance
(H + I)])</f>
        <v>628744396</v>
      </c>
      <c r="K750" s="19">
        <f>SUBTOTAL(109,Program297[(K)
Established 
Accounts Receivable])</f>
        <v>0</v>
      </c>
      <c r="L750" s="19">
        <f>SUBTOTAL(109,Program297[(L)
Recovered
 Accounts Receivable])</f>
        <v>0</v>
      </c>
      <c r="M750" s="19">
        <f>SUBTOTAL(109,Program297[(M)
Accounts Receivable Balance
(K + L)])</f>
        <v>0</v>
      </c>
      <c r="N750" s="19">
        <f>SUBTOTAL(109,Program297[(N)
Net Balance
(J minus M)])</f>
        <v>628744396</v>
      </c>
    </row>
    <row r="751" spans="1:14" ht="15.75" x14ac:dyDescent="0.25">
      <c r="A751" s="17" t="s">
        <v>13</v>
      </c>
      <c r="B751" s="54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</row>
    <row r="752" spans="1:14" ht="78.75" x14ac:dyDescent="0.25">
      <c r="A752" s="39" t="s">
        <v>32</v>
      </c>
      <c r="B752" s="40" t="s">
        <v>33</v>
      </c>
      <c r="C752" s="41" t="s">
        <v>34</v>
      </c>
      <c r="D752" s="41" t="s">
        <v>35</v>
      </c>
      <c r="E752" s="42" t="s">
        <v>36</v>
      </c>
      <c r="F752" s="42" t="s">
        <v>37</v>
      </c>
      <c r="G752" s="42" t="s">
        <v>38</v>
      </c>
      <c r="H752" s="43" t="s">
        <v>39</v>
      </c>
      <c r="I752" s="44" t="s">
        <v>40</v>
      </c>
      <c r="J752" s="44" t="s">
        <v>41</v>
      </c>
      <c r="K752" s="42" t="s">
        <v>42</v>
      </c>
      <c r="L752" s="44" t="s">
        <v>43</v>
      </c>
      <c r="M752" s="44" t="s">
        <v>44</v>
      </c>
      <c r="N752" s="45" t="s">
        <v>45</v>
      </c>
    </row>
    <row r="753" spans="1:14" ht="15.75" x14ac:dyDescent="0.25">
      <c r="A753" s="46" t="s">
        <v>556</v>
      </c>
      <c r="B753" s="47" t="s">
        <v>51</v>
      </c>
      <c r="C753" s="48">
        <v>50253907</v>
      </c>
      <c r="D753" s="48">
        <v>-23228542</v>
      </c>
      <c r="E753" s="48">
        <v>0</v>
      </c>
      <c r="F753" s="48">
        <v>0</v>
      </c>
      <c r="G753" s="48">
        <v>0</v>
      </c>
      <c r="H753" s="48">
        <v>27025365</v>
      </c>
      <c r="I753" s="48">
        <v>-19200448</v>
      </c>
      <c r="J753" s="48">
        <v>7824917</v>
      </c>
      <c r="K753" s="48">
        <v>0</v>
      </c>
      <c r="L753" s="48">
        <v>0</v>
      </c>
      <c r="M753" s="48">
        <v>0</v>
      </c>
      <c r="N753" s="48">
        <v>7824917</v>
      </c>
    </row>
    <row r="754" spans="1:14" ht="15.75" x14ac:dyDescent="0.25">
      <c r="A754" s="49" t="s">
        <v>556</v>
      </c>
      <c r="B754" s="50" t="s">
        <v>52</v>
      </c>
      <c r="C754" s="51">
        <v>96250674</v>
      </c>
      <c r="D754" s="51">
        <v>-30953959</v>
      </c>
      <c r="E754" s="51">
        <v>0</v>
      </c>
      <c r="F754" s="51">
        <v>0</v>
      </c>
      <c r="G754" s="51">
        <v>0</v>
      </c>
      <c r="H754" s="51">
        <v>65296715</v>
      </c>
      <c r="I754" s="51">
        <v>-59462481</v>
      </c>
      <c r="J754" s="51">
        <v>5834234</v>
      </c>
      <c r="K754" s="51">
        <v>484254</v>
      </c>
      <c r="L754" s="51">
        <v>-19323</v>
      </c>
      <c r="M754" s="51">
        <v>464931</v>
      </c>
      <c r="N754" s="51">
        <v>5369303</v>
      </c>
    </row>
    <row r="755" spans="1:14" ht="15.75" x14ac:dyDescent="0.25">
      <c r="A755" s="49" t="s">
        <v>556</v>
      </c>
      <c r="B755" s="50" t="s">
        <v>53</v>
      </c>
      <c r="C755" s="51">
        <v>95468673</v>
      </c>
      <c r="D755" s="51">
        <v>-52266156</v>
      </c>
      <c r="E755" s="51">
        <v>0</v>
      </c>
      <c r="F755" s="51">
        <v>0</v>
      </c>
      <c r="G755" s="51">
        <v>0</v>
      </c>
      <c r="H755" s="51">
        <v>43202517</v>
      </c>
      <c r="I755" s="51">
        <v>-40579200</v>
      </c>
      <c r="J755" s="51">
        <v>2623317</v>
      </c>
      <c r="K755" s="51">
        <v>2628221</v>
      </c>
      <c r="L755" s="51">
        <v>-940748</v>
      </c>
      <c r="M755" s="51">
        <v>1687473</v>
      </c>
      <c r="N755" s="51">
        <v>935844</v>
      </c>
    </row>
    <row r="756" spans="1:14" ht="15.75" x14ac:dyDescent="0.25">
      <c r="A756" s="49" t="s">
        <v>556</v>
      </c>
      <c r="B756" s="50" t="s">
        <v>54</v>
      </c>
      <c r="C756" s="51">
        <v>82118891</v>
      </c>
      <c r="D756" s="51">
        <v>-50004816</v>
      </c>
      <c r="E756" s="51">
        <v>0</v>
      </c>
      <c r="F756" s="51">
        <v>0</v>
      </c>
      <c r="G756" s="51">
        <v>0</v>
      </c>
      <c r="H756" s="51">
        <v>32114075</v>
      </c>
      <c r="I756" s="51">
        <v>-29994233</v>
      </c>
      <c r="J756" s="51">
        <v>2119842</v>
      </c>
      <c r="K756" s="51">
        <v>1642371</v>
      </c>
      <c r="L756" s="51">
        <v>0</v>
      </c>
      <c r="M756" s="51">
        <v>1642371</v>
      </c>
      <c r="N756" s="51">
        <v>477471</v>
      </c>
    </row>
    <row r="757" spans="1:14" ht="15.75" x14ac:dyDescent="0.25">
      <c r="A757" s="49" t="s">
        <v>556</v>
      </c>
      <c r="B757" s="50" t="s">
        <v>55</v>
      </c>
      <c r="C757" s="51">
        <v>26982901</v>
      </c>
      <c r="D757" s="51">
        <v>-7228109</v>
      </c>
      <c r="E757" s="51">
        <v>0</v>
      </c>
      <c r="F757" s="51">
        <v>0</v>
      </c>
      <c r="G757" s="51">
        <v>0</v>
      </c>
      <c r="H757" s="51">
        <v>19754792</v>
      </c>
      <c r="I757" s="51">
        <v>-19754792</v>
      </c>
      <c r="J757" s="51">
        <v>0</v>
      </c>
      <c r="K757" s="51">
        <v>0</v>
      </c>
      <c r="L757" s="51">
        <v>0</v>
      </c>
      <c r="M757" s="51">
        <v>0</v>
      </c>
      <c r="N757" s="51">
        <v>0</v>
      </c>
    </row>
    <row r="758" spans="1:14" ht="15.75" x14ac:dyDescent="0.25">
      <c r="A758" s="49" t="s">
        <v>556</v>
      </c>
      <c r="B758" s="50" t="s">
        <v>56</v>
      </c>
      <c r="C758" s="51">
        <v>13842522</v>
      </c>
      <c r="D758" s="51">
        <v>-5969275</v>
      </c>
      <c r="E758" s="51">
        <v>0</v>
      </c>
      <c r="F758" s="51">
        <v>0</v>
      </c>
      <c r="G758" s="51">
        <v>0</v>
      </c>
      <c r="H758" s="51">
        <v>7873247</v>
      </c>
      <c r="I758" s="51">
        <v>-7873247</v>
      </c>
      <c r="J758" s="51">
        <v>0</v>
      </c>
      <c r="K758" s="51">
        <v>0</v>
      </c>
      <c r="L758" s="51">
        <v>0</v>
      </c>
      <c r="M758" s="51">
        <v>0</v>
      </c>
      <c r="N758" s="51">
        <v>0</v>
      </c>
    </row>
    <row r="759" spans="1:14" ht="15.75" x14ac:dyDescent="0.25">
      <c r="A759" s="49" t="s">
        <v>556</v>
      </c>
      <c r="B759" s="50" t="s">
        <v>57</v>
      </c>
      <c r="C759" s="51">
        <v>21329787</v>
      </c>
      <c r="D759" s="51">
        <v>-13370960</v>
      </c>
      <c r="E759" s="51">
        <v>0</v>
      </c>
      <c r="F759" s="51">
        <v>0</v>
      </c>
      <c r="G759" s="51">
        <v>0</v>
      </c>
      <c r="H759" s="51">
        <v>7958827</v>
      </c>
      <c r="I759" s="51">
        <v>-7958827</v>
      </c>
      <c r="J759" s="51">
        <v>0</v>
      </c>
      <c r="K759" s="51">
        <v>4858960</v>
      </c>
      <c r="L759" s="51">
        <v>-4632636</v>
      </c>
      <c r="M759" s="51">
        <v>226324</v>
      </c>
      <c r="N759" s="51">
        <v>-226324</v>
      </c>
    </row>
    <row r="760" spans="1:14" ht="15.75" x14ac:dyDescent="0.25">
      <c r="A760" s="49" t="s">
        <v>556</v>
      </c>
      <c r="B760" s="50" t="s">
        <v>58</v>
      </c>
      <c r="C760" s="51">
        <v>22970198</v>
      </c>
      <c r="D760" s="51">
        <v>-13961200</v>
      </c>
      <c r="E760" s="51">
        <v>0</v>
      </c>
      <c r="F760" s="51">
        <v>0</v>
      </c>
      <c r="G760" s="51">
        <v>0</v>
      </c>
      <c r="H760" s="51">
        <v>9008998</v>
      </c>
      <c r="I760" s="51">
        <v>-9008998</v>
      </c>
      <c r="J760" s="51">
        <v>0</v>
      </c>
      <c r="K760" s="51">
        <v>6745209</v>
      </c>
      <c r="L760" s="51">
        <v>-6707289</v>
      </c>
      <c r="M760" s="51">
        <v>37920</v>
      </c>
      <c r="N760" s="51">
        <v>-37920</v>
      </c>
    </row>
    <row r="761" spans="1:14" ht="15.75" x14ac:dyDescent="0.25">
      <c r="A761" s="49" t="s">
        <v>556</v>
      </c>
      <c r="B761" s="50" t="s">
        <v>59</v>
      </c>
      <c r="C761" s="51">
        <v>26934923</v>
      </c>
      <c r="D761" s="51">
        <v>-19477803</v>
      </c>
      <c r="E761" s="51">
        <v>0</v>
      </c>
      <c r="F761" s="51">
        <v>0</v>
      </c>
      <c r="G761" s="51">
        <v>0</v>
      </c>
      <c r="H761" s="51">
        <v>7457120</v>
      </c>
      <c r="I761" s="51">
        <v>-7457120</v>
      </c>
      <c r="J761" s="51">
        <v>0</v>
      </c>
      <c r="K761" s="51">
        <v>1014331</v>
      </c>
      <c r="L761" s="51">
        <v>-983829</v>
      </c>
      <c r="M761" s="51">
        <v>30502</v>
      </c>
      <c r="N761" s="51">
        <v>-30502</v>
      </c>
    </row>
    <row r="762" spans="1:14" ht="15.75" x14ac:dyDescent="0.25">
      <c r="A762" s="49" t="s">
        <v>556</v>
      </c>
      <c r="B762" s="50" t="s">
        <v>60</v>
      </c>
      <c r="C762" s="51">
        <v>21512033</v>
      </c>
      <c r="D762" s="51">
        <v>-13651972</v>
      </c>
      <c r="E762" s="51">
        <v>0</v>
      </c>
      <c r="F762" s="51">
        <v>0</v>
      </c>
      <c r="G762" s="51">
        <v>0</v>
      </c>
      <c r="H762" s="51">
        <v>7860061</v>
      </c>
      <c r="I762" s="51">
        <v>-7860061</v>
      </c>
      <c r="J762" s="51">
        <v>0</v>
      </c>
      <c r="K762" s="51">
        <v>1238151</v>
      </c>
      <c r="L762" s="51">
        <v>-1238151</v>
      </c>
      <c r="M762" s="51">
        <v>0</v>
      </c>
      <c r="N762" s="51">
        <v>0</v>
      </c>
    </row>
    <row r="763" spans="1:14" ht="15.75" x14ac:dyDescent="0.25">
      <c r="A763" s="49" t="s">
        <v>556</v>
      </c>
      <c r="B763" s="50" t="s">
        <v>61</v>
      </c>
      <c r="C763" s="51">
        <v>17164876</v>
      </c>
      <c r="D763" s="51">
        <v>-12644984</v>
      </c>
      <c r="E763" s="51">
        <v>0</v>
      </c>
      <c r="F763" s="51">
        <v>0</v>
      </c>
      <c r="G763" s="51">
        <v>0</v>
      </c>
      <c r="H763" s="51">
        <v>4519892</v>
      </c>
      <c r="I763" s="51">
        <v>-4519892</v>
      </c>
      <c r="J763" s="51">
        <v>0</v>
      </c>
      <c r="K763" s="51">
        <v>303144</v>
      </c>
      <c r="L763" s="51">
        <v>-303144</v>
      </c>
      <c r="M763" s="51">
        <v>0</v>
      </c>
      <c r="N763" s="51">
        <v>0</v>
      </c>
    </row>
    <row r="764" spans="1:14" ht="15.75" x14ac:dyDescent="0.25">
      <c r="A764" s="49" t="s">
        <v>556</v>
      </c>
      <c r="B764" s="50" t="s">
        <v>62</v>
      </c>
      <c r="C764" s="51">
        <v>63889170</v>
      </c>
      <c r="D764" s="51">
        <v>-61158303</v>
      </c>
      <c r="E764" s="51">
        <v>0</v>
      </c>
      <c r="F764" s="51">
        <v>0</v>
      </c>
      <c r="G764" s="51">
        <v>0</v>
      </c>
      <c r="H764" s="51">
        <v>2730867</v>
      </c>
      <c r="I764" s="51">
        <v>-2730867</v>
      </c>
      <c r="J764" s="51">
        <v>0</v>
      </c>
      <c r="K764" s="51">
        <v>0</v>
      </c>
      <c r="L764" s="51">
        <v>0</v>
      </c>
      <c r="M764" s="51">
        <v>0</v>
      </c>
      <c r="N764" s="51">
        <v>0</v>
      </c>
    </row>
    <row r="765" spans="1:14" ht="15.75" x14ac:dyDescent="0.25">
      <c r="A765" s="49" t="s">
        <v>556</v>
      </c>
      <c r="B765" s="50" t="s">
        <v>63</v>
      </c>
      <c r="C765" s="51">
        <v>49597125</v>
      </c>
      <c r="D765" s="51">
        <v>-46878513</v>
      </c>
      <c r="E765" s="51">
        <v>0</v>
      </c>
      <c r="F765" s="51">
        <v>0</v>
      </c>
      <c r="G765" s="51">
        <v>0</v>
      </c>
      <c r="H765" s="51">
        <v>2718612</v>
      </c>
      <c r="I765" s="51">
        <v>-2718612</v>
      </c>
      <c r="J765" s="51">
        <v>0</v>
      </c>
      <c r="K765" s="51">
        <v>1959981</v>
      </c>
      <c r="L765" s="51">
        <v>-1959981</v>
      </c>
      <c r="M765" s="51">
        <v>0</v>
      </c>
      <c r="N765" s="51">
        <v>0</v>
      </c>
    </row>
    <row r="766" spans="1:14" ht="15.75" x14ac:dyDescent="0.25">
      <c r="A766" s="49" t="s">
        <v>556</v>
      </c>
      <c r="B766" s="50" t="s">
        <v>64</v>
      </c>
      <c r="C766" s="51">
        <v>39906076</v>
      </c>
      <c r="D766" s="51">
        <v>-32874457</v>
      </c>
      <c r="E766" s="51">
        <v>0</v>
      </c>
      <c r="F766" s="51">
        <v>0</v>
      </c>
      <c r="G766" s="51">
        <v>0</v>
      </c>
      <c r="H766" s="51">
        <v>7031619</v>
      </c>
      <c r="I766" s="51">
        <v>-7031619</v>
      </c>
      <c r="J766" s="51">
        <v>0</v>
      </c>
      <c r="K766" s="51">
        <v>1624522</v>
      </c>
      <c r="L766" s="51">
        <v>-1624522</v>
      </c>
      <c r="M766" s="51">
        <v>0</v>
      </c>
      <c r="N766" s="51">
        <v>0</v>
      </c>
    </row>
    <row r="767" spans="1:14" ht="15.75" x14ac:dyDescent="0.25">
      <c r="A767" s="49" t="s">
        <v>556</v>
      </c>
      <c r="B767" s="50" t="s">
        <v>65</v>
      </c>
      <c r="C767" s="51">
        <v>7455368</v>
      </c>
      <c r="D767" s="51">
        <v>-4068324</v>
      </c>
      <c r="E767" s="51">
        <v>0</v>
      </c>
      <c r="F767" s="51">
        <v>0</v>
      </c>
      <c r="G767" s="51">
        <v>0</v>
      </c>
      <c r="H767" s="51">
        <v>3387044</v>
      </c>
      <c r="I767" s="51">
        <v>-3387044</v>
      </c>
      <c r="J767" s="51">
        <v>0</v>
      </c>
      <c r="K767" s="51">
        <v>1418175</v>
      </c>
      <c r="L767" s="51">
        <v>-1418175</v>
      </c>
      <c r="M767" s="51">
        <v>0</v>
      </c>
      <c r="N767" s="51">
        <v>0</v>
      </c>
    </row>
    <row r="768" spans="1:14" ht="15.75" x14ac:dyDescent="0.25">
      <c r="A768" s="49" t="s">
        <v>556</v>
      </c>
      <c r="B768" s="50" t="s">
        <v>66</v>
      </c>
      <c r="C768" s="51">
        <v>12126846</v>
      </c>
      <c r="D768" s="51">
        <v>-7062177</v>
      </c>
      <c r="E768" s="51">
        <v>0</v>
      </c>
      <c r="F768" s="51">
        <v>0</v>
      </c>
      <c r="G768" s="51">
        <v>0</v>
      </c>
      <c r="H768" s="51">
        <v>5064669</v>
      </c>
      <c r="I768" s="51">
        <v>-5064669</v>
      </c>
      <c r="J768" s="51">
        <v>0</v>
      </c>
      <c r="K768" s="51">
        <v>0</v>
      </c>
      <c r="L768" s="51">
        <v>0</v>
      </c>
      <c r="M768" s="51">
        <v>0</v>
      </c>
      <c r="N768" s="51">
        <v>0</v>
      </c>
    </row>
    <row r="769" spans="1:14" ht="15.75" x14ac:dyDescent="0.25">
      <c r="A769" s="49" t="s">
        <v>556</v>
      </c>
      <c r="B769" s="50" t="s">
        <v>67</v>
      </c>
      <c r="C769" s="51">
        <v>18914798</v>
      </c>
      <c r="D769" s="51">
        <v>-10457613</v>
      </c>
      <c r="E769" s="51">
        <v>0</v>
      </c>
      <c r="F769" s="51">
        <v>0</v>
      </c>
      <c r="G769" s="51">
        <v>0</v>
      </c>
      <c r="H769" s="51">
        <v>8457185</v>
      </c>
      <c r="I769" s="51">
        <v>-8457185</v>
      </c>
      <c r="J769" s="51">
        <v>0</v>
      </c>
      <c r="K769" s="51">
        <v>2461499</v>
      </c>
      <c r="L769" s="51">
        <v>-2461499</v>
      </c>
      <c r="M769" s="51">
        <v>0</v>
      </c>
      <c r="N769" s="51">
        <v>0</v>
      </c>
    </row>
    <row r="770" spans="1:14" ht="15.75" x14ac:dyDescent="0.25">
      <c r="A770" s="49" t="s">
        <v>556</v>
      </c>
      <c r="B770" s="50" t="s">
        <v>68</v>
      </c>
      <c r="C770" s="51">
        <v>13265258</v>
      </c>
      <c r="D770" s="51">
        <v>-7829364</v>
      </c>
      <c r="E770" s="51">
        <v>0</v>
      </c>
      <c r="F770" s="51">
        <v>0</v>
      </c>
      <c r="G770" s="51">
        <v>0</v>
      </c>
      <c r="H770" s="51">
        <v>5435894</v>
      </c>
      <c r="I770" s="51">
        <v>-5435894</v>
      </c>
      <c r="J770" s="51">
        <v>0</v>
      </c>
      <c r="K770" s="51">
        <v>2940929</v>
      </c>
      <c r="L770" s="51">
        <v>-2591660</v>
      </c>
      <c r="M770" s="51">
        <v>349269</v>
      </c>
      <c r="N770" s="51">
        <v>-349269</v>
      </c>
    </row>
    <row r="771" spans="1:14" ht="15.75" x14ac:dyDescent="0.25">
      <c r="A771" s="49" t="s">
        <v>556</v>
      </c>
      <c r="B771" s="50" t="s">
        <v>69</v>
      </c>
      <c r="C771" s="51">
        <v>13748016</v>
      </c>
      <c r="D771" s="51">
        <v>-5487846</v>
      </c>
      <c r="E771" s="51">
        <v>0</v>
      </c>
      <c r="F771" s="51">
        <v>0</v>
      </c>
      <c r="G771" s="51">
        <v>0</v>
      </c>
      <c r="H771" s="51">
        <v>8260170</v>
      </c>
      <c r="I771" s="51">
        <v>-8260170</v>
      </c>
      <c r="J771" s="51">
        <v>0</v>
      </c>
      <c r="K771" s="51">
        <v>611477</v>
      </c>
      <c r="L771" s="51">
        <v>-571387</v>
      </c>
      <c r="M771" s="51">
        <v>40090</v>
      </c>
      <c r="N771" s="51">
        <v>-40090</v>
      </c>
    </row>
    <row r="772" spans="1:14" ht="15.75" x14ac:dyDescent="0.25">
      <c r="A772" s="49" t="s">
        <v>556</v>
      </c>
      <c r="B772" s="50" t="s">
        <v>115</v>
      </c>
      <c r="C772" s="51">
        <v>12124727</v>
      </c>
      <c r="D772" s="51">
        <v>-5244506</v>
      </c>
      <c r="E772" s="51">
        <v>0</v>
      </c>
      <c r="F772" s="51">
        <v>0</v>
      </c>
      <c r="G772" s="51">
        <v>0</v>
      </c>
      <c r="H772" s="51">
        <v>6880221</v>
      </c>
      <c r="I772" s="51">
        <v>-6880221</v>
      </c>
      <c r="J772" s="51">
        <v>0</v>
      </c>
      <c r="K772" s="51">
        <v>829881</v>
      </c>
      <c r="L772" s="51">
        <v>-829881</v>
      </c>
      <c r="M772" s="51">
        <v>0</v>
      </c>
      <c r="N772" s="51">
        <v>0</v>
      </c>
    </row>
    <row r="773" spans="1:14" ht="15.75" x14ac:dyDescent="0.25">
      <c r="A773" s="49" t="s">
        <v>556</v>
      </c>
      <c r="B773" s="50" t="s">
        <v>99</v>
      </c>
      <c r="C773" s="51">
        <v>12759090</v>
      </c>
      <c r="D773" s="51">
        <v>-5314365</v>
      </c>
      <c r="E773" s="51">
        <v>0</v>
      </c>
      <c r="F773" s="51">
        <v>0</v>
      </c>
      <c r="G773" s="51">
        <v>0</v>
      </c>
      <c r="H773" s="51">
        <v>7444725</v>
      </c>
      <c r="I773" s="51">
        <v>-7444725</v>
      </c>
      <c r="J773" s="51">
        <v>0</v>
      </c>
      <c r="K773" s="51">
        <v>643835</v>
      </c>
      <c r="L773" s="51">
        <v>-643835</v>
      </c>
      <c r="M773" s="51">
        <v>0</v>
      </c>
      <c r="N773" s="51">
        <v>0</v>
      </c>
    </row>
    <row r="774" spans="1:14" ht="15.75" x14ac:dyDescent="0.25">
      <c r="A774" s="49" t="s">
        <v>556</v>
      </c>
      <c r="B774" s="50" t="s">
        <v>100</v>
      </c>
      <c r="C774" s="51">
        <v>12828098</v>
      </c>
      <c r="D774" s="51">
        <v>-3827015</v>
      </c>
      <c r="E774" s="51">
        <v>0</v>
      </c>
      <c r="F774" s="51">
        <v>0</v>
      </c>
      <c r="G774" s="51">
        <v>0</v>
      </c>
      <c r="H774" s="51">
        <v>9001083</v>
      </c>
      <c r="I774" s="51">
        <v>-9001083</v>
      </c>
      <c r="J774" s="51">
        <v>0</v>
      </c>
      <c r="K774" s="51">
        <v>608165</v>
      </c>
      <c r="L774" s="51">
        <v>-608165</v>
      </c>
      <c r="M774" s="51">
        <v>0</v>
      </c>
      <c r="N774" s="51">
        <v>0</v>
      </c>
    </row>
    <row r="775" spans="1:14" ht="15.75" x14ac:dyDescent="0.25">
      <c r="A775" s="49" t="s">
        <v>556</v>
      </c>
      <c r="B775" s="50" t="s">
        <v>176</v>
      </c>
      <c r="C775" s="51">
        <v>10175965</v>
      </c>
      <c r="D775" s="51">
        <v>-3542837</v>
      </c>
      <c r="E775" s="51">
        <v>0</v>
      </c>
      <c r="F775" s="51">
        <v>0</v>
      </c>
      <c r="G775" s="51">
        <v>0</v>
      </c>
      <c r="H775" s="51">
        <v>6633128</v>
      </c>
      <c r="I775" s="51">
        <v>-6633128</v>
      </c>
      <c r="J775" s="51">
        <v>0</v>
      </c>
      <c r="K775" s="51">
        <v>527043</v>
      </c>
      <c r="L775" s="51">
        <v>-527043</v>
      </c>
      <c r="M775" s="51">
        <v>0</v>
      </c>
      <c r="N775" s="51">
        <v>0</v>
      </c>
    </row>
    <row r="776" spans="1:14" ht="15.75" x14ac:dyDescent="0.25">
      <c r="A776" s="49" t="s">
        <v>556</v>
      </c>
      <c r="B776" s="50" t="s">
        <v>241</v>
      </c>
      <c r="C776" s="51">
        <v>5104226</v>
      </c>
      <c r="D776" s="51">
        <v>-1351215</v>
      </c>
      <c r="E776" s="51">
        <v>0</v>
      </c>
      <c r="F776" s="51">
        <v>0</v>
      </c>
      <c r="G776" s="51">
        <v>0</v>
      </c>
      <c r="H776" s="51">
        <v>3753011</v>
      </c>
      <c r="I776" s="51">
        <v>-3753011</v>
      </c>
      <c r="J776" s="51">
        <v>0</v>
      </c>
      <c r="K776" s="51">
        <v>841827</v>
      </c>
      <c r="L776" s="51">
        <v>-841827</v>
      </c>
      <c r="M776" s="51">
        <v>0</v>
      </c>
      <c r="N776" s="51">
        <v>0</v>
      </c>
    </row>
    <row r="777" spans="1:14" ht="15.75" x14ac:dyDescent="0.25">
      <c r="A777" s="52" t="s">
        <v>434</v>
      </c>
      <c r="B777" s="53" t="s">
        <v>8</v>
      </c>
      <c r="C777" s="19">
        <f>SUBTOTAL(109,Program026[(C)
Program
Costs])</f>
        <v>746724148</v>
      </c>
      <c r="D777" s="19">
        <f>SUBTOTAL(109,Program026[(D)
Prior Period Adjustments])</f>
        <v>-437854311</v>
      </c>
      <c r="E777" s="19">
        <f>SUBTOTAL(109,Program026[(E)
Current Period Desk 
Reviews])</f>
        <v>0</v>
      </c>
      <c r="F777" s="19">
        <f>SUBTOTAL(109,Program026[(F)
Current Period 
Final 
Audits])</f>
        <v>0</v>
      </c>
      <c r="G777" s="19">
        <f>SUBTOTAL(109,Program026[(G)
Current Period 
Other Adjustments])</f>
        <v>0</v>
      </c>
      <c r="H777" s="19">
        <f>SUBTOTAL(109,Program026[(H)
Net Program Costs
Sum (C through G)])</f>
        <v>308869837</v>
      </c>
      <c r="I777" s="19">
        <f>SUBTOTAL(109,Program026[(I)
Payments
 and Offsets])</f>
        <v>-290467527</v>
      </c>
      <c r="J777" s="19">
        <f>SUBTOTAL(109,Program026[(J)
Accounts Payable Balance
(H + I)])</f>
        <v>18402310</v>
      </c>
      <c r="K777" s="19">
        <f>SUBTOTAL(109,Program026[(K)
Established 
Accounts Receivable])</f>
        <v>33381975</v>
      </c>
      <c r="L777" s="19">
        <f>SUBTOTAL(109,Program026[(L)
Recovered
 Accounts Receivable])</f>
        <v>-28903095</v>
      </c>
      <c r="M777" s="19">
        <f>SUBTOTAL(109,Program026[(M)
Accounts Receivable Balance
(K + L)])</f>
        <v>4478880</v>
      </c>
      <c r="N777" s="19">
        <f>SUBTOTAL(109,Program026[(N)
Net Balance
(J minus M)])</f>
        <v>13923430</v>
      </c>
    </row>
    <row r="778" spans="1:14" ht="15.75" x14ac:dyDescent="0.25">
      <c r="A778" s="17" t="s">
        <v>13</v>
      </c>
      <c r="B778" s="54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</row>
    <row r="779" spans="1:14" ht="78.75" x14ac:dyDescent="0.25">
      <c r="A779" s="39" t="s">
        <v>32</v>
      </c>
      <c r="B779" s="40" t="s">
        <v>33</v>
      </c>
      <c r="C779" s="41" t="s">
        <v>34</v>
      </c>
      <c r="D779" s="41" t="s">
        <v>35</v>
      </c>
      <c r="E779" s="42" t="s">
        <v>36</v>
      </c>
      <c r="F779" s="42" t="s">
        <v>37</v>
      </c>
      <c r="G779" s="42" t="s">
        <v>38</v>
      </c>
      <c r="H779" s="43" t="s">
        <v>39</v>
      </c>
      <c r="I779" s="44" t="s">
        <v>40</v>
      </c>
      <c r="J779" s="44" t="s">
        <v>41</v>
      </c>
      <c r="K779" s="42" t="s">
        <v>42</v>
      </c>
      <c r="L779" s="44" t="s">
        <v>43</v>
      </c>
      <c r="M779" s="44" t="s">
        <v>44</v>
      </c>
      <c r="N779" s="45" t="s">
        <v>45</v>
      </c>
    </row>
    <row r="780" spans="1:14" ht="15.75" x14ac:dyDescent="0.25">
      <c r="A780" s="46" t="s">
        <v>555</v>
      </c>
      <c r="B780" s="47" t="s">
        <v>55</v>
      </c>
      <c r="C780" s="48">
        <v>32040</v>
      </c>
      <c r="D780" s="48">
        <v>-881</v>
      </c>
      <c r="E780" s="48">
        <v>0</v>
      </c>
      <c r="F780" s="48">
        <v>0</v>
      </c>
      <c r="G780" s="48">
        <v>0</v>
      </c>
      <c r="H780" s="48">
        <v>31159</v>
      </c>
      <c r="I780" s="48">
        <v>-31159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</row>
    <row r="781" spans="1:14" ht="15.75" x14ac:dyDescent="0.25">
      <c r="A781" s="49" t="s">
        <v>555</v>
      </c>
      <c r="B781" s="50" t="s">
        <v>56</v>
      </c>
      <c r="C781" s="51">
        <v>80081</v>
      </c>
      <c r="D781" s="51">
        <v>-6310</v>
      </c>
      <c r="E781" s="51">
        <v>0</v>
      </c>
      <c r="F781" s="51">
        <v>0</v>
      </c>
      <c r="G781" s="51">
        <v>0</v>
      </c>
      <c r="H781" s="51">
        <v>73771</v>
      </c>
      <c r="I781" s="51">
        <v>-73771</v>
      </c>
      <c r="J781" s="51">
        <v>0</v>
      </c>
      <c r="K781" s="51">
        <v>0</v>
      </c>
      <c r="L781" s="51">
        <v>0</v>
      </c>
      <c r="M781" s="51">
        <v>0</v>
      </c>
      <c r="N781" s="51">
        <v>0</v>
      </c>
    </row>
    <row r="782" spans="1:14" ht="15.75" x14ac:dyDescent="0.25">
      <c r="A782" s="49" t="s">
        <v>555</v>
      </c>
      <c r="B782" s="50" t="s">
        <v>57</v>
      </c>
      <c r="C782" s="51">
        <v>22978</v>
      </c>
      <c r="D782" s="51">
        <v>-265</v>
      </c>
      <c r="E782" s="51">
        <v>0</v>
      </c>
      <c r="F782" s="51">
        <v>0</v>
      </c>
      <c r="G782" s="51">
        <v>0</v>
      </c>
      <c r="H782" s="51">
        <v>22713</v>
      </c>
      <c r="I782" s="51">
        <v>-22713</v>
      </c>
      <c r="J782" s="51">
        <v>0</v>
      </c>
      <c r="K782" s="51">
        <v>0</v>
      </c>
      <c r="L782" s="51">
        <v>0</v>
      </c>
      <c r="M782" s="51">
        <v>0</v>
      </c>
      <c r="N782" s="51">
        <v>0</v>
      </c>
    </row>
    <row r="783" spans="1:14" ht="15.75" x14ac:dyDescent="0.25">
      <c r="A783" s="49" t="s">
        <v>555</v>
      </c>
      <c r="B783" s="50" t="s">
        <v>58</v>
      </c>
      <c r="C783" s="51">
        <v>5759</v>
      </c>
      <c r="D783" s="51">
        <v>0</v>
      </c>
      <c r="E783" s="51">
        <v>0</v>
      </c>
      <c r="F783" s="51">
        <v>0</v>
      </c>
      <c r="G783" s="51">
        <v>0</v>
      </c>
      <c r="H783" s="51">
        <v>5759</v>
      </c>
      <c r="I783" s="51">
        <v>-5759</v>
      </c>
      <c r="J783" s="51">
        <v>0</v>
      </c>
      <c r="K783" s="51">
        <v>0</v>
      </c>
      <c r="L783" s="51">
        <v>0</v>
      </c>
      <c r="M783" s="51">
        <v>0</v>
      </c>
      <c r="N783" s="51">
        <v>0</v>
      </c>
    </row>
    <row r="784" spans="1:14" ht="15.75" x14ac:dyDescent="0.25">
      <c r="A784" s="49" t="s">
        <v>555</v>
      </c>
      <c r="B784" s="50" t="s">
        <v>59</v>
      </c>
      <c r="C784" s="51">
        <v>2764</v>
      </c>
      <c r="D784" s="51">
        <v>0</v>
      </c>
      <c r="E784" s="51">
        <v>0</v>
      </c>
      <c r="F784" s="51">
        <v>0</v>
      </c>
      <c r="G784" s="51">
        <v>0</v>
      </c>
      <c r="H784" s="51">
        <v>2764</v>
      </c>
      <c r="I784" s="51">
        <v>-2764</v>
      </c>
      <c r="J784" s="51">
        <v>0</v>
      </c>
      <c r="K784" s="51">
        <v>0</v>
      </c>
      <c r="L784" s="51">
        <v>0</v>
      </c>
      <c r="M784" s="51">
        <v>0</v>
      </c>
      <c r="N784" s="51">
        <v>0</v>
      </c>
    </row>
    <row r="785" spans="1:14" ht="15.75" x14ac:dyDescent="0.25">
      <c r="A785" s="49" t="s">
        <v>555</v>
      </c>
      <c r="B785" s="50" t="s">
        <v>60</v>
      </c>
      <c r="C785" s="51">
        <v>6697</v>
      </c>
      <c r="D785" s="51">
        <v>0</v>
      </c>
      <c r="E785" s="51">
        <v>0</v>
      </c>
      <c r="F785" s="51">
        <v>0</v>
      </c>
      <c r="G785" s="51">
        <v>0</v>
      </c>
      <c r="H785" s="51">
        <v>6697</v>
      </c>
      <c r="I785" s="51">
        <v>-6697</v>
      </c>
      <c r="J785" s="51">
        <v>0</v>
      </c>
      <c r="K785" s="51">
        <v>0</v>
      </c>
      <c r="L785" s="51">
        <v>0</v>
      </c>
      <c r="M785" s="51">
        <v>0</v>
      </c>
      <c r="N785" s="51">
        <v>0</v>
      </c>
    </row>
    <row r="786" spans="1:14" ht="15.75" x14ac:dyDescent="0.25">
      <c r="A786" s="49" t="s">
        <v>555</v>
      </c>
      <c r="B786" s="50" t="s">
        <v>61</v>
      </c>
      <c r="C786" s="51">
        <v>12832</v>
      </c>
      <c r="D786" s="51">
        <v>0</v>
      </c>
      <c r="E786" s="51">
        <v>0</v>
      </c>
      <c r="F786" s="51">
        <v>0</v>
      </c>
      <c r="G786" s="51">
        <v>0</v>
      </c>
      <c r="H786" s="51">
        <v>12832</v>
      </c>
      <c r="I786" s="51">
        <v>-12832</v>
      </c>
      <c r="J786" s="51">
        <v>0</v>
      </c>
      <c r="K786" s="51">
        <v>0</v>
      </c>
      <c r="L786" s="51">
        <v>0</v>
      </c>
      <c r="M786" s="51">
        <v>0</v>
      </c>
      <c r="N786" s="51">
        <v>0</v>
      </c>
    </row>
    <row r="787" spans="1:14" ht="15.75" x14ac:dyDescent="0.25">
      <c r="A787" s="52" t="s">
        <v>433</v>
      </c>
      <c r="B787" s="53" t="s">
        <v>8</v>
      </c>
      <c r="C787" s="19">
        <f>SUBTOTAL(109,Program226[(C)
Program
Costs])</f>
        <v>163151</v>
      </c>
      <c r="D787" s="19">
        <f>SUBTOTAL(109,Program226[(D)
Prior Period Adjustments])</f>
        <v>-7456</v>
      </c>
      <c r="E787" s="19">
        <f>SUBTOTAL(109,Program226[(E)
Current Period Desk 
Reviews])</f>
        <v>0</v>
      </c>
      <c r="F787" s="19">
        <f>SUBTOTAL(109,Program226[(F)
Current Period 
Final 
Audits])</f>
        <v>0</v>
      </c>
      <c r="G787" s="19">
        <f>SUBTOTAL(109,Program226[(G)
Current Period 
Other Adjustments])</f>
        <v>0</v>
      </c>
      <c r="H787" s="19">
        <f>SUBTOTAL(109,Program226[(H)
Net Program Costs
Sum (C through G)])</f>
        <v>155695</v>
      </c>
      <c r="I787" s="19">
        <f>SUBTOTAL(109,Program226[(I)
Payments
 and Offsets])</f>
        <v>-155695</v>
      </c>
      <c r="J787" s="19">
        <f>SUBTOTAL(109,Program226[(J)
Accounts Payable Balance
(H + I)])</f>
        <v>0</v>
      </c>
      <c r="K787" s="19">
        <f>SUBTOTAL(109,Program226[(K)
Established 
Accounts Receivable])</f>
        <v>0</v>
      </c>
      <c r="L787" s="19">
        <f>SUBTOTAL(109,Program226[(L)
Recovered
 Accounts Receivable])</f>
        <v>0</v>
      </c>
      <c r="M787" s="19">
        <f>SUBTOTAL(109,Program226[(M)
Accounts Receivable Balance
(K + L)])</f>
        <v>0</v>
      </c>
      <c r="N787" s="19">
        <f>SUBTOTAL(109,Program226[(N)
Net Balance
(J minus M)])</f>
        <v>0</v>
      </c>
    </row>
    <row r="788" spans="1:14" ht="15.75" x14ac:dyDescent="0.25">
      <c r="A788" s="17" t="s">
        <v>13</v>
      </c>
      <c r="B788" s="54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</row>
    <row r="789" spans="1:14" ht="78.75" x14ac:dyDescent="0.25">
      <c r="A789" s="39" t="s">
        <v>32</v>
      </c>
      <c r="B789" s="40" t="s">
        <v>33</v>
      </c>
      <c r="C789" s="41" t="s">
        <v>34</v>
      </c>
      <c r="D789" s="41" t="s">
        <v>35</v>
      </c>
      <c r="E789" s="42" t="s">
        <v>36</v>
      </c>
      <c r="F789" s="42" t="s">
        <v>37</v>
      </c>
      <c r="G789" s="42" t="s">
        <v>38</v>
      </c>
      <c r="H789" s="43" t="s">
        <v>39</v>
      </c>
      <c r="I789" s="44" t="s">
        <v>40</v>
      </c>
      <c r="J789" s="44" t="s">
        <v>41</v>
      </c>
      <c r="K789" s="42" t="s">
        <v>42</v>
      </c>
      <c r="L789" s="44" t="s">
        <v>43</v>
      </c>
      <c r="M789" s="44" t="s">
        <v>44</v>
      </c>
      <c r="N789" s="45" t="s">
        <v>45</v>
      </c>
    </row>
    <row r="790" spans="1:14" ht="15.75" x14ac:dyDescent="0.25">
      <c r="A790" s="46" t="s">
        <v>554</v>
      </c>
      <c r="B790" s="47" t="s">
        <v>76</v>
      </c>
      <c r="C790" s="48">
        <v>47272</v>
      </c>
      <c r="D790" s="48">
        <v>0</v>
      </c>
      <c r="E790" s="48">
        <v>0</v>
      </c>
      <c r="F790" s="48">
        <v>0</v>
      </c>
      <c r="G790" s="48">
        <v>0</v>
      </c>
      <c r="H790" s="48">
        <v>47272</v>
      </c>
      <c r="I790" s="48">
        <v>0</v>
      </c>
      <c r="J790" s="48">
        <v>47272</v>
      </c>
      <c r="K790" s="48">
        <v>0</v>
      </c>
      <c r="L790" s="48">
        <v>0</v>
      </c>
      <c r="M790" s="48">
        <v>0</v>
      </c>
      <c r="N790" s="48">
        <v>47272</v>
      </c>
    </row>
    <row r="791" spans="1:14" ht="15.75" x14ac:dyDescent="0.25">
      <c r="A791" s="49" t="s">
        <v>554</v>
      </c>
      <c r="B791" s="50" t="s">
        <v>77</v>
      </c>
      <c r="C791" s="51">
        <v>44363</v>
      </c>
      <c r="D791" s="51">
        <v>0</v>
      </c>
      <c r="E791" s="51">
        <v>0</v>
      </c>
      <c r="F791" s="51">
        <v>0</v>
      </c>
      <c r="G791" s="51">
        <v>0</v>
      </c>
      <c r="H791" s="51">
        <v>44363</v>
      </c>
      <c r="I791" s="51">
        <v>-1000</v>
      </c>
      <c r="J791" s="51">
        <v>43363</v>
      </c>
      <c r="K791" s="51">
        <v>0</v>
      </c>
      <c r="L791" s="51">
        <v>0</v>
      </c>
      <c r="M791" s="51">
        <v>0</v>
      </c>
      <c r="N791" s="51">
        <v>43363</v>
      </c>
    </row>
    <row r="792" spans="1:14" ht="15.75" x14ac:dyDescent="0.25">
      <c r="A792" s="49" t="s">
        <v>554</v>
      </c>
      <c r="B792" s="50" t="s">
        <v>78</v>
      </c>
      <c r="C792" s="51">
        <v>138292</v>
      </c>
      <c r="D792" s="51">
        <v>0</v>
      </c>
      <c r="E792" s="51">
        <v>0</v>
      </c>
      <c r="F792" s="51">
        <v>0</v>
      </c>
      <c r="G792" s="51">
        <v>0</v>
      </c>
      <c r="H792" s="51">
        <v>138292</v>
      </c>
      <c r="I792" s="51">
        <v>-1000</v>
      </c>
      <c r="J792" s="51">
        <v>137292</v>
      </c>
      <c r="K792" s="51">
        <v>0</v>
      </c>
      <c r="L792" s="51">
        <v>0</v>
      </c>
      <c r="M792" s="51">
        <v>0</v>
      </c>
      <c r="N792" s="51">
        <v>137292</v>
      </c>
    </row>
    <row r="793" spans="1:14" ht="15.75" x14ac:dyDescent="0.25">
      <c r="A793" s="49" t="s">
        <v>554</v>
      </c>
      <c r="B793" s="50" t="s">
        <v>47</v>
      </c>
      <c r="C793" s="51">
        <v>141419</v>
      </c>
      <c r="D793" s="51">
        <v>-4952</v>
      </c>
      <c r="E793" s="51">
        <v>0</v>
      </c>
      <c r="F793" s="51">
        <v>0</v>
      </c>
      <c r="G793" s="51">
        <v>0</v>
      </c>
      <c r="H793" s="51">
        <v>136467</v>
      </c>
      <c r="I793" s="51">
        <v>-26708</v>
      </c>
      <c r="J793" s="51">
        <v>109759</v>
      </c>
      <c r="K793" s="51">
        <v>0</v>
      </c>
      <c r="L793" s="51">
        <v>0</v>
      </c>
      <c r="M793" s="51">
        <v>0</v>
      </c>
      <c r="N793" s="51">
        <v>109759</v>
      </c>
    </row>
    <row r="794" spans="1:14" ht="15.75" x14ac:dyDescent="0.25">
      <c r="A794" s="49" t="s">
        <v>554</v>
      </c>
      <c r="B794" s="50" t="s">
        <v>79</v>
      </c>
      <c r="C794" s="51">
        <v>174875</v>
      </c>
      <c r="D794" s="51">
        <v>-760</v>
      </c>
      <c r="E794" s="51">
        <v>0</v>
      </c>
      <c r="F794" s="51">
        <v>0</v>
      </c>
      <c r="G794" s="51">
        <v>0</v>
      </c>
      <c r="H794" s="51">
        <v>174115</v>
      </c>
      <c r="I794" s="51">
        <v>-26866</v>
      </c>
      <c r="J794" s="51">
        <v>147249</v>
      </c>
      <c r="K794" s="51">
        <v>0</v>
      </c>
      <c r="L794" s="51">
        <v>0</v>
      </c>
      <c r="M794" s="51">
        <v>0</v>
      </c>
      <c r="N794" s="51">
        <v>147249</v>
      </c>
    </row>
    <row r="795" spans="1:14" ht="15.75" x14ac:dyDescent="0.25">
      <c r="A795" s="49" t="s">
        <v>554</v>
      </c>
      <c r="B795" s="50" t="s">
        <v>80</v>
      </c>
      <c r="C795" s="51">
        <v>1058395</v>
      </c>
      <c r="D795" s="51">
        <v>0</v>
      </c>
      <c r="E795" s="51">
        <v>0</v>
      </c>
      <c r="F795" s="51">
        <v>0</v>
      </c>
      <c r="G795" s="51">
        <v>0</v>
      </c>
      <c r="H795" s="51">
        <v>1058395</v>
      </c>
      <c r="I795" s="51">
        <v>-447482</v>
      </c>
      <c r="J795" s="51">
        <v>610913</v>
      </c>
      <c r="K795" s="51">
        <v>0</v>
      </c>
      <c r="L795" s="51">
        <v>0</v>
      </c>
      <c r="M795" s="51">
        <v>0</v>
      </c>
      <c r="N795" s="51">
        <v>610913</v>
      </c>
    </row>
    <row r="796" spans="1:14" ht="15.75" x14ac:dyDescent="0.25">
      <c r="A796" s="49" t="s">
        <v>554</v>
      </c>
      <c r="B796" s="50" t="s">
        <v>81</v>
      </c>
      <c r="C796" s="51">
        <v>666995</v>
      </c>
      <c r="D796" s="51">
        <v>-1778</v>
      </c>
      <c r="E796" s="51">
        <v>0</v>
      </c>
      <c r="F796" s="51">
        <v>0</v>
      </c>
      <c r="G796" s="51">
        <v>0</v>
      </c>
      <c r="H796" s="51">
        <v>665217</v>
      </c>
      <c r="I796" s="51">
        <v>-215541</v>
      </c>
      <c r="J796" s="51">
        <v>449676</v>
      </c>
      <c r="K796" s="51">
        <v>0</v>
      </c>
      <c r="L796" s="51">
        <v>0</v>
      </c>
      <c r="M796" s="51">
        <v>0</v>
      </c>
      <c r="N796" s="51">
        <v>449676</v>
      </c>
    </row>
    <row r="797" spans="1:14" ht="15.75" x14ac:dyDescent="0.25">
      <c r="A797" s="49" t="s">
        <v>554</v>
      </c>
      <c r="B797" s="50" t="s">
        <v>82</v>
      </c>
      <c r="C797" s="51">
        <v>3066303</v>
      </c>
      <c r="D797" s="51">
        <v>-1586607</v>
      </c>
      <c r="E797" s="51">
        <v>0</v>
      </c>
      <c r="F797" s="51">
        <v>0</v>
      </c>
      <c r="G797" s="51">
        <v>0</v>
      </c>
      <c r="H797" s="51">
        <v>1479696</v>
      </c>
      <c r="I797" s="51">
        <v>-867256</v>
      </c>
      <c r="J797" s="51">
        <v>612440</v>
      </c>
      <c r="K797" s="51">
        <v>0</v>
      </c>
      <c r="L797" s="51">
        <v>0</v>
      </c>
      <c r="M797" s="51">
        <v>0</v>
      </c>
      <c r="N797" s="51">
        <v>612440</v>
      </c>
    </row>
    <row r="798" spans="1:14" ht="15.75" x14ac:dyDescent="0.25">
      <c r="A798" s="49" t="s">
        <v>554</v>
      </c>
      <c r="B798" s="50" t="s">
        <v>83</v>
      </c>
      <c r="C798" s="51">
        <v>7330874</v>
      </c>
      <c r="D798" s="51">
        <v>-705787</v>
      </c>
      <c r="E798" s="51">
        <v>0</v>
      </c>
      <c r="F798" s="51">
        <v>0</v>
      </c>
      <c r="G798" s="51">
        <v>0</v>
      </c>
      <c r="H798" s="51">
        <v>6625087</v>
      </c>
      <c r="I798" s="51">
        <v>-4973496</v>
      </c>
      <c r="J798" s="51">
        <v>1651591</v>
      </c>
      <c r="K798" s="51">
        <v>0</v>
      </c>
      <c r="L798" s="51">
        <v>0</v>
      </c>
      <c r="M798" s="51">
        <v>0</v>
      </c>
      <c r="N798" s="51">
        <v>1651591</v>
      </c>
    </row>
    <row r="799" spans="1:14" ht="15.75" x14ac:dyDescent="0.25">
      <c r="A799" s="49" t="s">
        <v>554</v>
      </c>
      <c r="B799" s="50" t="s">
        <v>48</v>
      </c>
      <c r="C799" s="51">
        <v>7583813</v>
      </c>
      <c r="D799" s="51">
        <v>-142321</v>
      </c>
      <c r="E799" s="51">
        <v>0</v>
      </c>
      <c r="F799" s="51">
        <v>0</v>
      </c>
      <c r="G799" s="51">
        <v>0</v>
      </c>
      <c r="H799" s="51">
        <v>7441492</v>
      </c>
      <c r="I799" s="51">
        <v>-5709338</v>
      </c>
      <c r="J799" s="51">
        <v>1732154</v>
      </c>
      <c r="K799" s="51">
        <v>0</v>
      </c>
      <c r="L799" s="51">
        <v>0</v>
      </c>
      <c r="M799" s="51">
        <v>0</v>
      </c>
      <c r="N799" s="51">
        <v>1732154</v>
      </c>
    </row>
    <row r="800" spans="1:14" ht="15.75" x14ac:dyDescent="0.25">
      <c r="A800" s="49" t="s">
        <v>554</v>
      </c>
      <c r="B800" s="50" t="s">
        <v>49</v>
      </c>
      <c r="C800" s="51">
        <v>8162423</v>
      </c>
      <c r="D800" s="51">
        <v>-28964</v>
      </c>
      <c r="E800" s="51">
        <v>0</v>
      </c>
      <c r="F800" s="51">
        <v>0</v>
      </c>
      <c r="G800" s="51">
        <v>0</v>
      </c>
      <c r="H800" s="51">
        <v>8133459</v>
      </c>
      <c r="I800" s="51">
        <v>-7007725</v>
      </c>
      <c r="J800" s="51">
        <v>1125734</v>
      </c>
      <c r="K800" s="51">
        <v>0</v>
      </c>
      <c r="L800" s="51">
        <v>0</v>
      </c>
      <c r="M800" s="51">
        <v>0</v>
      </c>
      <c r="N800" s="51">
        <v>1125734</v>
      </c>
    </row>
    <row r="801" spans="1:14" ht="15.75" x14ac:dyDescent="0.25">
      <c r="A801" s="49" t="s">
        <v>554</v>
      </c>
      <c r="B801" s="50" t="s">
        <v>50</v>
      </c>
      <c r="C801" s="51">
        <v>8670360</v>
      </c>
      <c r="D801" s="51">
        <v>-15634</v>
      </c>
      <c r="E801" s="51">
        <v>0</v>
      </c>
      <c r="F801" s="51">
        <v>0</v>
      </c>
      <c r="G801" s="51">
        <v>0</v>
      </c>
      <c r="H801" s="51">
        <v>8654726</v>
      </c>
      <c r="I801" s="51">
        <v>-7222351</v>
      </c>
      <c r="J801" s="51">
        <v>1432375</v>
      </c>
      <c r="K801" s="51">
        <v>1233</v>
      </c>
      <c r="L801" s="51">
        <v>0</v>
      </c>
      <c r="M801" s="51">
        <v>1233</v>
      </c>
      <c r="N801" s="51">
        <v>1431142</v>
      </c>
    </row>
    <row r="802" spans="1:14" ht="15.75" x14ac:dyDescent="0.25">
      <c r="A802" s="49" t="s">
        <v>554</v>
      </c>
      <c r="B802" s="50" t="s">
        <v>51</v>
      </c>
      <c r="C802" s="51">
        <v>9308038</v>
      </c>
      <c r="D802" s="51">
        <v>-165295</v>
      </c>
      <c r="E802" s="51">
        <v>0</v>
      </c>
      <c r="F802" s="51">
        <v>0</v>
      </c>
      <c r="G802" s="51">
        <v>0</v>
      </c>
      <c r="H802" s="51">
        <v>9142743</v>
      </c>
      <c r="I802" s="51">
        <v>-7632371</v>
      </c>
      <c r="J802" s="51">
        <v>1510372</v>
      </c>
      <c r="K802" s="51">
        <v>1</v>
      </c>
      <c r="L802" s="51">
        <v>0</v>
      </c>
      <c r="M802" s="51">
        <v>1</v>
      </c>
      <c r="N802" s="51">
        <v>1510371</v>
      </c>
    </row>
    <row r="803" spans="1:14" ht="15.75" x14ac:dyDescent="0.25">
      <c r="A803" s="49" t="s">
        <v>554</v>
      </c>
      <c r="B803" s="50" t="s">
        <v>52</v>
      </c>
      <c r="C803" s="51">
        <v>8205651</v>
      </c>
      <c r="D803" s="51">
        <v>-155919</v>
      </c>
      <c r="E803" s="51">
        <v>0</v>
      </c>
      <c r="F803" s="51">
        <v>0</v>
      </c>
      <c r="G803" s="51">
        <v>0</v>
      </c>
      <c r="H803" s="51">
        <v>8049732</v>
      </c>
      <c r="I803" s="51">
        <v>-7094812</v>
      </c>
      <c r="J803" s="51">
        <v>954920</v>
      </c>
      <c r="K803" s="51">
        <v>69622</v>
      </c>
      <c r="L803" s="51">
        <v>-49468</v>
      </c>
      <c r="M803" s="51">
        <v>20154</v>
      </c>
      <c r="N803" s="51">
        <v>934766</v>
      </c>
    </row>
    <row r="804" spans="1:14" ht="15.75" x14ac:dyDescent="0.25">
      <c r="A804" s="49" t="s">
        <v>554</v>
      </c>
      <c r="B804" s="50" t="s">
        <v>53</v>
      </c>
      <c r="C804" s="51">
        <v>7014395</v>
      </c>
      <c r="D804" s="51">
        <v>-151075</v>
      </c>
      <c r="E804" s="51">
        <v>0</v>
      </c>
      <c r="F804" s="51">
        <v>0</v>
      </c>
      <c r="G804" s="51">
        <v>0</v>
      </c>
      <c r="H804" s="51">
        <v>6863320</v>
      </c>
      <c r="I804" s="51">
        <v>-6312299</v>
      </c>
      <c r="J804" s="51">
        <v>551021</v>
      </c>
      <c r="K804" s="51">
        <v>0</v>
      </c>
      <c r="L804" s="51">
        <v>0</v>
      </c>
      <c r="M804" s="51">
        <v>0</v>
      </c>
      <c r="N804" s="51">
        <v>551021</v>
      </c>
    </row>
    <row r="805" spans="1:14" ht="15.75" x14ac:dyDescent="0.25">
      <c r="A805" s="49" t="s">
        <v>554</v>
      </c>
      <c r="B805" s="50" t="s">
        <v>54</v>
      </c>
      <c r="C805" s="51">
        <v>6615392</v>
      </c>
      <c r="D805" s="51">
        <v>-95306</v>
      </c>
      <c r="E805" s="51">
        <v>0</v>
      </c>
      <c r="F805" s="51">
        <v>0</v>
      </c>
      <c r="G805" s="51">
        <v>0</v>
      </c>
      <c r="H805" s="51">
        <v>6520086</v>
      </c>
      <c r="I805" s="51">
        <v>-6520086</v>
      </c>
      <c r="J805" s="51">
        <v>0</v>
      </c>
      <c r="K805" s="51">
        <v>86788</v>
      </c>
      <c r="L805" s="51">
        <v>-11989</v>
      </c>
      <c r="M805" s="51">
        <v>74799</v>
      </c>
      <c r="N805" s="51">
        <v>-74799</v>
      </c>
    </row>
    <row r="806" spans="1:14" ht="15.75" x14ac:dyDescent="0.25">
      <c r="A806" s="49" t="s">
        <v>554</v>
      </c>
      <c r="B806" s="50" t="s">
        <v>55</v>
      </c>
      <c r="C806" s="51">
        <v>8317957</v>
      </c>
      <c r="D806" s="51">
        <v>-12713</v>
      </c>
      <c r="E806" s="51">
        <v>0</v>
      </c>
      <c r="F806" s="51">
        <v>0</v>
      </c>
      <c r="G806" s="51">
        <v>0</v>
      </c>
      <c r="H806" s="51">
        <v>8305244</v>
      </c>
      <c r="I806" s="51">
        <v>-8305244</v>
      </c>
      <c r="J806" s="51">
        <v>0</v>
      </c>
      <c r="K806" s="51">
        <v>43849</v>
      </c>
      <c r="L806" s="51">
        <v>-12058</v>
      </c>
      <c r="M806" s="51">
        <v>31791</v>
      </c>
      <c r="N806" s="51">
        <v>-31791</v>
      </c>
    </row>
    <row r="807" spans="1:14" ht="15.75" x14ac:dyDescent="0.25">
      <c r="A807" s="49" t="s">
        <v>554</v>
      </c>
      <c r="B807" s="50" t="s">
        <v>56</v>
      </c>
      <c r="C807" s="51">
        <v>7449317</v>
      </c>
      <c r="D807" s="51">
        <v>-291428</v>
      </c>
      <c r="E807" s="51">
        <v>0</v>
      </c>
      <c r="F807" s="51">
        <v>0</v>
      </c>
      <c r="G807" s="51">
        <v>0</v>
      </c>
      <c r="H807" s="51">
        <v>7157889</v>
      </c>
      <c r="I807" s="51">
        <v>-7157889</v>
      </c>
      <c r="J807" s="51">
        <v>0</v>
      </c>
      <c r="K807" s="51">
        <v>210086</v>
      </c>
      <c r="L807" s="51">
        <v>-139673</v>
      </c>
      <c r="M807" s="51">
        <v>70413</v>
      </c>
      <c r="N807" s="51">
        <v>-70413</v>
      </c>
    </row>
    <row r="808" spans="1:14" ht="15.75" x14ac:dyDescent="0.25">
      <c r="A808" s="49" t="s">
        <v>554</v>
      </c>
      <c r="B808" s="50" t="s">
        <v>57</v>
      </c>
      <c r="C808" s="51">
        <v>8895734</v>
      </c>
      <c r="D808" s="51">
        <v>-1193985</v>
      </c>
      <c r="E808" s="51">
        <v>0</v>
      </c>
      <c r="F808" s="51">
        <v>0</v>
      </c>
      <c r="G808" s="51">
        <v>0</v>
      </c>
      <c r="H808" s="51">
        <v>7701749</v>
      </c>
      <c r="I808" s="51">
        <v>-7701749</v>
      </c>
      <c r="J808" s="51">
        <v>0</v>
      </c>
      <c r="K808" s="51">
        <v>2062132</v>
      </c>
      <c r="L808" s="51">
        <v>-2062074</v>
      </c>
      <c r="M808" s="51">
        <v>58</v>
      </c>
      <c r="N808" s="51">
        <v>-58</v>
      </c>
    </row>
    <row r="809" spans="1:14" ht="15.75" x14ac:dyDescent="0.25">
      <c r="A809" s="49" t="s">
        <v>554</v>
      </c>
      <c r="B809" s="50" t="s">
        <v>58</v>
      </c>
      <c r="C809" s="51">
        <v>9667536</v>
      </c>
      <c r="D809" s="51">
        <v>-1529627</v>
      </c>
      <c r="E809" s="51">
        <v>0</v>
      </c>
      <c r="F809" s="51">
        <v>0</v>
      </c>
      <c r="G809" s="51">
        <v>0</v>
      </c>
      <c r="H809" s="51">
        <v>8137909</v>
      </c>
      <c r="I809" s="51">
        <v>-8137909</v>
      </c>
      <c r="J809" s="51">
        <v>0</v>
      </c>
      <c r="K809" s="51">
        <v>2391214</v>
      </c>
      <c r="L809" s="51">
        <v>-2385214</v>
      </c>
      <c r="M809" s="51">
        <v>6000</v>
      </c>
      <c r="N809" s="51">
        <v>-6000</v>
      </c>
    </row>
    <row r="810" spans="1:14" ht="15.75" x14ac:dyDescent="0.25">
      <c r="A810" s="49" t="s">
        <v>554</v>
      </c>
      <c r="B810" s="50" t="s">
        <v>59</v>
      </c>
      <c r="C810" s="51">
        <v>9817325</v>
      </c>
      <c r="D810" s="51">
        <v>-1434456</v>
      </c>
      <c r="E810" s="51">
        <v>0</v>
      </c>
      <c r="F810" s="51">
        <v>0</v>
      </c>
      <c r="G810" s="51">
        <v>0</v>
      </c>
      <c r="H810" s="51">
        <v>8382869</v>
      </c>
      <c r="I810" s="51">
        <v>-8382869</v>
      </c>
      <c r="J810" s="51">
        <v>0</v>
      </c>
      <c r="K810" s="51">
        <v>2611288</v>
      </c>
      <c r="L810" s="51">
        <v>-2611288</v>
      </c>
      <c r="M810" s="51">
        <v>0</v>
      </c>
      <c r="N810" s="51">
        <v>0</v>
      </c>
    </row>
    <row r="811" spans="1:14" ht="15.75" x14ac:dyDescent="0.25">
      <c r="A811" s="49" t="s">
        <v>554</v>
      </c>
      <c r="B811" s="50" t="s">
        <v>60</v>
      </c>
      <c r="C811" s="51">
        <v>8077042</v>
      </c>
      <c r="D811" s="51">
        <v>-159566</v>
      </c>
      <c r="E811" s="51">
        <v>0</v>
      </c>
      <c r="F811" s="51">
        <v>0</v>
      </c>
      <c r="G811" s="51">
        <v>0</v>
      </c>
      <c r="H811" s="51">
        <v>7917476</v>
      </c>
      <c r="I811" s="51">
        <v>-7917476</v>
      </c>
      <c r="J811" s="51">
        <v>0</v>
      </c>
      <c r="K811" s="51">
        <v>1115977</v>
      </c>
      <c r="L811" s="51">
        <v>-1115977</v>
      </c>
      <c r="M811" s="51">
        <v>0</v>
      </c>
      <c r="N811" s="51">
        <v>0</v>
      </c>
    </row>
    <row r="812" spans="1:14" ht="15.75" x14ac:dyDescent="0.25">
      <c r="A812" s="49" t="s">
        <v>554</v>
      </c>
      <c r="B812" s="50" t="s">
        <v>61</v>
      </c>
      <c r="C812" s="51">
        <v>6124969</v>
      </c>
      <c r="D812" s="51">
        <v>-206024</v>
      </c>
      <c r="E812" s="51">
        <v>0</v>
      </c>
      <c r="F812" s="51">
        <v>0</v>
      </c>
      <c r="G812" s="51">
        <v>0</v>
      </c>
      <c r="H812" s="51">
        <v>5918945</v>
      </c>
      <c r="I812" s="51">
        <v>-5918945</v>
      </c>
      <c r="J812" s="51">
        <v>0</v>
      </c>
      <c r="K812" s="51">
        <v>280016</v>
      </c>
      <c r="L812" s="51">
        <v>-280016</v>
      </c>
      <c r="M812" s="51">
        <v>0</v>
      </c>
      <c r="N812" s="51">
        <v>0</v>
      </c>
    </row>
    <row r="813" spans="1:14" ht="15.75" x14ac:dyDescent="0.25">
      <c r="A813" s="49" t="s">
        <v>554</v>
      </c>
      <c r="B813" s="50" t="s">
        <v>62</v>
      </c>
      <c r="C813" s="51">
        <v>4012949</v>
      </c>
      <c r="D813" s="51">
        <v>-206281</v>
      </c>
      <c r="E813" s="51">
        <v>0</v>
      </c>
      <c r="F813" s="51">
        <v>0</v>
      </c>
      <c r="G813" s="51">
        <v>0</v>
      </c>
      <c r="H813" s="51">
        <v>3806668</v>
      </c>
      <c r="I813" s="51">
        <v>-3806668</v>
      </c>
      <c r="J813" s="51">
        <v>0</v>
      </c>
      <c r="K813" s="51">
        <v>103168</v>
      </c>
      <c r="L813" s="51">
        <v>-103168</v>
      </c>
      <c r="M813" s="51">
        <v>0</v>
      </c>
      <c r="N813" s="51">
        <v>0</v>
      </c>
    </row>
    <row r="814" spans="1:14" ht="15.75" x14ac:dyDescent="0.25">
      <c r="A814" s="49" t="s">
        <v>554</v>
      </c>
      <c r="B814" s="50" t="s">
        <v>63</v>
      </c>
      <c r="C814" s="51">
        <v>3088603</v>
      </c>
      <c r="D814" s="51">
        <v>-163453</v>
      </c>
      <c r="E814" s="51">
        <v>0</v>
      </c>
      <c r="F814" s="51">
        <v>0</v>
      </c>
      <c r="G814" s="51">
        <v>0</v>
      </c>
      <c r="H814" s="51">
        <v>2925150</v>
      </c>
      <c r="I814" s="51">
        <v>-2925150</v>
      </c>
      <c r="J814" s="51">
        <v>0</v>
      </c>
      <c r="K814" s="51">
        <v>110499</v>
      </c>
      <c r="L814" s="51">
        <v>-110499</v>
      </c>
      <c r="M814" s="51">
        <v>0</v>
      </c>
      <c r="N814" s="51">
        <v>0</v>
      </c>
    </row>
    <row r="815" spans="1:14" ht="15.75" x14ac:dyDescent="0.25">
      <c r="A815" s="52" t="s">
        <v>432</v>
      </c>
      <c r="B815" s="53" t="s">
        <v>8</v>
      </c>
      <c r="C815" s="19">
        <f>SUBTOTAL(109,Program166[(C)
Program
Costs])</f>
        <v>133680292</v>
      </c>
      <c r="D815" s="19">
        <f>SUBTOTAL(109,Program166[(D)
Prior Period Adjustments])</f>
        <v>-8251931</v>
      </c>
      <c r="E815" s="19">
        <f>SUBTOTAL(109,Program166[(E)
Current Period Desk 
Reviews])</f>
        <v>0</v>
      </c>
      <c r="F815" s="19">
        <f>SUBTOTAL(109,Program166[(F)
Current Period 
Final 
Audits])</f>
        <v>0</v>
      </c>
      <c r="G815" s="19">
        <f>SUBTOTAL(109,Program166[(G)
Current Period 
Other Adjustments])</f>
        <v>0</v>
      </c>
      <c r="H815" s="19">
        <f>SUBTOTAL(109,Program166[(H)
Net Program Costs
Sum (C through G)])</f>
        <v>125428361</v>
      </c>
      <c r="I815" s="19">
        <f>SUBTOTAL(109,Program166[(I)
Payments
 and Offsets])</f>
        <v>-114312230</v>
      </c>
      <c r="J815" s="19">
        <f>SUBTOTAL(109,Program166[(J)
Accounts Payable Balance
(H + I)])</f>
        <v>11116131</v>
      </c>
      <c r="K815" s="19">
        <f>SUBTOTAL(109,Program166[(K)
Established 
Accounts Receivable])</f>
        <v>9085873</v>
      </c>
      <c r="L815" s="19">
        <f>SUBTOTAL(109,Program166[(L)
Recovered
 Accounts Receivable])</f>
        <v>-8881424</v>
      </c>
      <c r="M815" s="19">
        <f>SUBTOTAL(109,Program166[(M)
Accounts Receivable Balance
(K + L)])</f>
        <v>204449</v>
      </c>
      <c r="N815" s="19">
        <f>SUBTOTAL(109,Program166[(N)
Net Balance
(J minus M)])</f>
        <v>10911682</v>
      </c>
    </row>
    <row r="816" spans="1:14" ht="15.75" x14ac:dyDescent="0.25">
      <c r="A816" s="17" t="s">
        <v>13</v>
      </c>
      <c r="B816" s="54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</row>
    <row r="817" spans="1:14" ht="78.75" x14ac:dyDescent="0.25">
      <c r="A817" s="39" t="s">
        <v>32</v>
      </c>
      <c r="B817" s="40" t="s">
        <v>33</v>
      </c>
      <c r="C817" s="41" t="s">
        <v>34</v>
      </c>
      <c r="D817" s="41" t="s">
        <v>35</v>
      </c>
      <c r="E817" s="42" t="s">
        <v>36</v>
      </c>
      <c r="F817" s="42" t="s">
        <v>37</v>
      </c>
      <c r="G817" s="42" t="s">
        <v>38</v>
      </c>
      <c r="H817" s="43" t="s">
        <v>39</v>
      </c>
      <c r="I817" s="44" t="s">
        <v>40</v>
      </c>
      <c r="J817" s="44" t="s">
        <v>41</v>
      </c>
      <c r="K817" s="42" t="s">
        <v>42</v>
      </c>
      <c r="L817" s="44" t="s">
        <v>43</v>
      </c>
      <c r="M817" s="44" t="s">
        <v>44</v>
      </c>
      <c r="N817" s="45" t="s">
        <v>45</v>
      </c>
    </row>
    <row r="818" spans="1:14" ht="15.75" x14ac:dyDescent="0.25">
      <c r="A818" s="46" t="s">
        <v>553</v>
      </c>
      <c r="B818" s="47" t="s">
        <v>47</v>
      </c>
      <c r="C818" s="48">
        <v>13061</v>
      </c>
      <c r="D818" s="48">
        <v>-13061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</row>
    <row r="819" spans="1:14" ht="15.75" x14ac:dyDescent="0.25">
      <c r="A819" s="49" t="s">
        <v>553</v>
      </c>
      <c r="B819" s="50" t="s">
        <v>79</v>
      </c>
      <c r="C819" s="51">
        <v>17181</v>
      </c>
      <c r="D819" s="51">
        <v>-17181</v>
      </c>
      <c r="E819" s="51">
        <v>0</v>
      </c>
      <c r="F819" s="51">
        <v>0</v>
      </c>
      <c r="G819" s="51">
        <v>0</v>
      </c>
      <c r="H819" s="51">
        <v>0</v>
      </c>
      <c r="I819" s="51">
        <v>0</v>
      </c>
      <c r="J819" s="51">
        <v>0</v>
      </c>
      <c r="K819" s="51">
        <v>1000</v>
      </c>
      <c r="L819" s="51">
        <v>-1000</v>
      </c>
      <c r="M819" s="51">
        <v>0</v>
      </c>
      <c r="N819" s="51">
        <v>0</v>
      </c>
    </row>
    <row r="820" spans="1:14" ht="15.75" x14ac:dyDescent="0.25">
      <c r="A820" s="49" t="s">
        <v>553</v>
      </c>
      <c r="B820" s="50" t="s">
        <v>80</v>
      </c>
      <c r="C820" s="51">
        <v>621912</v>
      </c>
      <c r="D820" s="51">
        <v>0</v>
      </c>
      <c r="E820" s="51">
        <v>0</v>
      </c>
      <c r="F820" s="51">
        <v>0</v>
      </c>
      <c r="G820" s="51">
        <v>0</v>
      </c>
      <c r="H820" s="51">
        <v>621912</v>
      </c>
      <c r="I820" s="51">
        <v>-14822</v>
      </c>
      <c r="J820" s="51">
        <v>607090</v>
      </c>
      <c r="K820" s="51">
        <v>0</v>
      </c>
      <c r="L820" s="51">
        <v>0</v>
      </c>
      <c r="M820" s="51">
        <v>0</v>
      </c>
      <c r="N820" s="51">
        <v>607090</v>
      </c>
    </row>
    <row r="821" spans="1:14" ht="15.75" x14ac:dyDescent="0.25">
      <c r="A821" s="49" t="s">
        <v>553</v>
      </c>
      <c r="B821" s="50" t="s">
        <v>81</v>
      </c>
      <c r="C821" s="51">
        <v>564080</v>
      </c>
      <c r="D821" s="51">
        <v>0</v>
      </c>
      <c r="E821" s="51">
        <v>0</v>
      </c>
      <c r="F821" s="51">
        <v>0</v>
      </c>
      <c r="G821" s="51">
        <v>0</v>
      </c>
      <c r="H821" s="51">
        <v>564080</v>
      </c>
      <c r="I821" s="51">
        <v>-74880</v>
      </c>
      <c r="J821" s="51">
        <v>489200</v>
      </c>
      <c r="K821" s="51">
        <v>0</v>
      </c>
      <c r="L821" s="51">
        <v>0</v>
      </c>
      <c r="M821" s="51">
        <v>0</v>
      </c>
      <c r="N821" s="51">
        <v>489200</v>
      </c>
    </row>
    <row r="822" spans="1:14" ht="15.75" x14ac:dyDescent="0.25">
      <c r="A822" s="49" t="s">
        <v>553</v>
      </c>
      <c r="B822" s="50" t="s">
        <v>82</v>
      </c>
      <c r="C822" s="51">
        <v>1375989</v>
      </c>
      <c r="D822" s="51">
        <v>-1061</v>
      </c>
      <c r="E822" s="51">
        <v>0</v>
      </c>
      <c r="F822" s="51">
        <v>0</v>
      </c>
      <c r="G822" s="51">
        <v>0</v>
      </c>
      <c r="H822" s="51">
        <v>1374928</v>
      </c>
      <c r="I822" s="51">
        <v>-476655</v>
      </c>
      <c r="J822" s="51">
        <v>898273</v>
      </c>
      <c r="K822" s="51">
        <v>0</v>
      </c>
      <c r="L822" s="51">
        <v>0</v>
      </c>
      <c r="M822" s="51">
        <v>0</v>
      </c>
      <c r="N822" s="51">
        <v>898273</v>
      </c>
    </row>
    <row r="823" spans="1:14" ht="15.75" x14ac:dyDescent="0.25">
      <c r="A823" s="49" t="s">
        <v>553</v>
      </c>
      <c r="B823" s="50" t="s">
        <v>83</v>
      </c>
      <c r="C823" s="51">
        <v>6309232</v>
      </c>
      <c r="D823" s="51">
        <v>-36864</v>
      </c>
      <c r="E823" s="51">
        <v>0</v>
      </c>
      <c r="F823" s="51">
        <v>0</v>
      </c>
      <c r="G823" s="51">
        <v>0</v>
      </c>
      <c r="H823" s="51">
        <v>6272368</v>
      </c>
      <c r="I823" s="51">
        <v>-3349640</v>
      </c>
      <c r="J823" s="51">
        <v>2922728</v>
      </c>
      <c r="K823" s="51">
        <v>0</v>
      </c>
      <c r="L823" s="51">
        <v>0</v>
      </c>
      <c r="M823" s="51">
        <v>0</v>
      </c>
      <c r="N823" s="51">
        <v>2922728</v>
      </c>
    </row>
    <row r="824" spans="1:14" ht="15.75" x14ac:dyDescent="0.25">
      <c r="A824" s="49" t="s">
        <v>553</v>
      </c>
      <c r="B824" s="50" t="s">
        <v>48</v>
      </c>
      <c r="C824" s="51">
        <v>6704806</v>
      </c>
      <c r="D824" s="51">
        <v>-59442</v>
      </c>
      <c r="E824" s="51">
        <v>0</v>
      </c>
      <c r="F824" s="51">
        <v>0</v>
      </c>
      <c r="G824" s="51">
        <v>0</v>
      </c>
      <c r="H824" s="51">
        <v>6645364</v>
      </c>
      <c r="I824" s="51">
        <v>-4043416</v>
      </c>
      <c r="J824" s="51">
        <v>2601948</v>
      </c>
      <c r="K824" s="51">
        <v>0</v>
      </c>
      <c r="L824" s="51">
        <v>0</v>
      </c>
      <c r="M824" s="51">
        <v>0</v>
      </c>
      <c r="N824" s="51">
        <v>2601948</v>
      </c>
    </row>
    <row r="825" spans="1:14" ht="15.75" x14ac:dyDescent="0.25">
      <c r="A825" s="49" t="s">
        <v>553</v>
      </c>
      <c r="B825" s="50" t="s">
        <v>49</v>
      </c>
      <c r="C825" s="51">
        <v>7452300</v>
      </c>
      <c r="D825" s="51">
        <v>-33136</v>
      </c>
      <c r="E825" s="51">
        <v>0</v>
      </c>
      <c r="F825" s="51">
        <v>0</v>
      </c>
      <c r="G825" s="51">
        <v>0</v>
      </c>
      <c r="H825" s="51">
        <v>7419164</v>
      </c>
      <c r="I825" s="51">
        <v>-6754707</v>
      </c>
      <c r="J825" s="51">
        <v>664457</v>
      </c>
      <c r="K825" s="51">
        <v>0</v>
      </c>
      <c r="L825" s="51">
        <v>0</v>
      </c>
      <c r="M825" s="51">
        <v>0</v>
      </c>
      <c r="N825" s="51">
        <v>664457</v>
      </c>
    </row>
    <row r="826" spans="1:14" ht="15.75" x14ac:dyDescent="0.25">
      <c r="A826" s="49" t="s">
        <v>553</v>
      </c>
      <c r="B826" s="50" t="s">
        <v>50</v>
      </c>
      <c r="C826" s="51">
        <v>7791561</v>
      </c>
      <c r="D826" s="51">
        <v>-50218</v>
      </c>
      <c r="E826" s="51">
        <v>0</v>
      </c>
      <c r="F826" s="51">
        <v>0</v>
      </c>
      <c r="G826" s="51">
        <v>0</v>
      </c>
      <c r="H826" s="51">
        <v>7741343</v>
      </c>
      <c r="I826" s="51">
        <v>-6923752</v>
      </c>
      <c r="J826" s="51">
        <v>817591</v>
      </c>
      <c r="K826" s="51">
        <v>0</v>
      </c>
      <c r="L826" s="51">
        <v>0</v>
      </c>
      <c r="M826" s="51">
        <v>0</v>
      </c>
      <c r="N826" s="51">
        <v>817591</v>
      </c>
    </row>
    <row r="827" spans="1:14" ht="15.75" x14ac:dyDescent="0.25">
      <c r="A827" s="49" t="s">
        <v>553</v>
      </c>
      <c r="B827" s="50" t="s">
        <v>51</v>
      </c>
      <c r="C827" s="51">
        <v>7359742</v>
      </c>
      <c r="D827" s="51">
        <v>-538394</v>
      </c>
      <c r="E827" s="51">
        <v>0</v>
      </c>
      <c r="F827" s="51">
        <v>0</v>
      </c>
      <c r="G827" s="51">
        <v>0</v>
      </c>
      <c r="H827" s="51">
        <v>6821348</v>
      </c>
      <c r="I827" s="51">
        <v>-4845414</v>
      </c>
      <c r="J827" s="51">
        <v>1975934</v>
      </c>
      <c r="K827" s="51">
        <v>0</v>
      </c>
      <c r="L827" s="51">
        <v>0</v>
      </c>
      <c r="M827" s="51">
        <v>0</v>
      </c>
      <c r="N827" s="51">
        <v>1975934</v>
      </c>
    </row>
    <row r="828" spans="1:14" ht="15.75" x14ac:dyDescent="0.25">
      <c r="A828" s="49" t="s">
        <v>553</v>
      </c>
      <c r="B828" s="50" t="s">
        <v>52</v>
      </c>
      <c r="C828" s="51">
        <v>7026801</v>
      </c>
      <c r="D828" s="51">
        <v>-552154</v>
      </c>
      <c r="E828" s="51">
        <v>0</v>
      </c>
      <c r="F828" s="51">
        <v>0</v>
      </c>
      <c r="G828" s="51">
        <v>0</v>
      </c>
      <c r="H828" s="51">
        <v>6474647</v>
      </c>
      <c r="I828" s="51">
        <v>-5139413</v>
      </c>
      <c r="J828" s="51">
        <v>1335234</v>
      </c>
      <c r="K828" s="51">
        <v>0</v>
      </c>
      <c r="L828" s="51">
        <v>0</v>
      </c>
      <c r="M828" s="51">
        <v>0</v>
      </c>
      <c r="N828" s="51">
        <v>1335234</v>
      </c>
    </row>
    <row r="829" spans="1:14" ht="15.75" x14ac:dyDescent="0.25">
      <c r="A829" s="49" t="s">
        <v>553</v>
      </c>
      <c r="B829" s="50" t="s">
        <v>53</v>
      </c>
      <c r="C829" s="51">
        <v>7131946</v>
      </c>
      <c r="D829" s="51">
        <v>-203893</v>
      </c>
      <c r="E829" s="51">
        <v>0</v>
      </c>
      <c r="F829" s="51">
        <v>0</v>
      </c>
      <c r="G829" s="51">
        <v>0</v>
      </c>
      <c r="H829" s="51">
        <v>6928053</v>
      </c>
      <c r="I829" s="51">
        <v>-5751723</v>
      </c>
      <c r="J829" s="51">
        <v>1176330</v>
      </c>
      <c r="K829" s="51">
        <v>0</v>
      </c>
      <c r="L829" s="51">
        <v>0</v>
      </c>
      <c r="M829" s="51">
        <v>0</v>
      </c>
      <c r="N829" s="51">
        <v>1176330</v>
      </c>
    </row>
    <row r="830" spans="1:14" ht="15.75" x14ac:dyDescent="0.25">
      <c r="A830" s="49" t="s">
        <v>553</v>
      </c>
      <c r="B830" s="50" t="s">
        <v>54</v>
      </c>
      <c r="C830" s="51">
        <v>4018956</v>
      </c>
      <c r="D830" s="51">
        <v>-158315</v>
      </c>
      <c r="E830" s="51">
        <v>0</v>
      </c>
      <c r="F830" s="51">
        <v>0</v>
      </c>
      <c r="G830" s="51">
        <v>0</v>
      </c>
      <c r="H830" s="51">
        <v>3860641</v>
      </c>
      <c r="I830" s="51">
        <v>-3406080</v>
      </c>
      <c r="J830" s="51">
        <v>454561</v>
      </c>
      <c r="K830" s="51">
        <v>0</v>
      </c>
      <c r="L830" s="51">
        <v>0</v>
      </c>
      <c r="M830" s="51">
        <v>0</v>
      </c>
      <c r="N830" s="51">
        <v>454561</v>
      </c>
    </row>
    <row r="831" spans="1:14" ht="15.75" x14ac:dyDescent="0.25">
      <c r="A831" s="49" t="s">
        <v>553</v>
      </c>
      <c r="B831" s="50" t="s">
        <v>55</v>
      </c>
      <c r="C831" s="51">
        <v>3154329</v>
      </c>
      <c r="D831" s="51">
        <v>-93612</v>
      </c>
      <c r="E831" s="51">
        <v>0</v>
      </c>
      <c r="F831" s="51">
        <v>0</v>
      </c>
      <c r="G831" s="51">
        <v>0</v>
      </c>
      <c r="H831" s="51">
        <v>3060717</v>
      </c>
      <c r="I831" s="51">
        <v>-3007132</v>
      </c>
      <c r="J831" s="51">
        <v>53585</v>
      </c>
      <c r="K831" s="51">
        <v>0</v>
      </c>
      <c r="L831" s="51">
        <v>0</v>
      </c>
      <c r="M831" s="51">
        <v>0</v>
      </c>
      <c r="N831" s="51">
        <v>53585</v>
      </c>
    </row>
    <row r="832" spans="1:14" ht="15.75" x14ac:dyDescent="0.25">
      <c r="A832" s="49" t="s">
        <v>553</v>
      </c>
      <c r="B832" s="50" t="s">
        <v>56</v>
      </c>
      <c r="C832" s="51">
        <v>3095396</v>
      </c>
      <c r="D832" s="51">
        <v>-110616</v>
      </c>
      <c r="E832" s="51">
        <v>0</v>
      </c>
      <c r="F832" s="51">
        <v>0</v>
      </c>
      <c r="G832" s="51">
        <v>0</v>
      </c>
      <c r="H832" s="51">
        <v>2984780</v>
      </c>
      <c r="I832" s="51">
        <v>-2976037</v>
      </c>
      <c r="J832" s="51">
        <v>8743</v>
      </c>
      <c r="K832" s="51">
        <v>0</v>
      </c>
      <c r="L832" s="51">
        <v>0</v>
      </c>
      <c r="M832" s="51">
        <v>0</v>
      </c>
      <c r="N832" s="51">
        <v>8743</v>
      </c>
    </row>
    <row r="833" spans="1:14" ht="15.75" x14ac:dyDescent="0.25">
      <c r="A833" s="49" t="s">
        <v>553</v>
      </c>
      <c r="B833" s="50" t="s">
        <v>57</v>
      </c>
      <c r="C833" s="51">
        <v>2209782</v>
      </c>
      <c r="D833" s="51">
        <v>-59306</v>
      </c>
      <c r="E833" s="51">
        <v>0</v>
      </c>
      <c r="F833" s="51">
        <v>0</v>
      </c>
      <c r="G833" s="51">
        <v>0</v>
      </c>
      <c r="H833" s="51">
        <v>2150476</v>
      </c>
      <c r="I833" s="51">
        <v>-2145443</v>
      </c>
      <c r="J833" s="51">
        <v>5033</v>
      </c>
      <c r="K833" s="51">
        <v>0</v>
      </c>
      <c r="L833" s="51">
        <v>0</v>
      </c>
      <c r="M833" s="51">
        <v>0</v>
      </c>
      <c r="N833" s="51">
        <v>5033</v>
      </c>
    </row>
    <row r="834" spans="1:14" ht="15.75" x14ac:dyDescent="0.25">
      <c r="A834" s="49" t="s">
        <v>553</v>
      </c>
      <c r="B834" s="50" t="s">
        <v>58</v>
      </c>
      <c r="C834" s="51">
        <v>1065729</v>
      </c>
      <c r="D834" s="51">
        <v>-56779</v>
      </c>
      <c r="E834" s="51">
        <v>0</v>
      </c>
      <c r="F834" s="51">
        <v>0</v>
      </c>
      <c r="G834" s="51">
        <v>0</v>
      </c>
      <c r="H834" s="51">
        <v>1008950</v>
      </c>
      <c r="I834" s="51">
        <v>-1008950</v>
      </c>
      <c r="J834" s="51">
        <v>0</v>
      </c>
      <c r="K834" s="51">
        <v>0</v>
      </c>
      <c r="L834" s="51">
        <v>0</v>
      </c>
      <c r="M834" s="51">
        <v>0</v>
      </c>
      <c r="N834" s="51">
        <v>0</v>
      </c>
    </row>
    <row r="835" spans="1:14" ht="15.75" x14ac:dyDescent="0.25">
      <c r="A835" s="52" t="s">
        <v>431</v>
      </c>
      <c r="B835" s="53" t="s">
        <v>8</v>
      </c>
      <c r="C835" s="19">
        <f>SUBTOTAL(109,Program268[(C)
Program
Costs])</f>
        <v>65912803</v>
      </c>
      <c r="D835" s="19">
        <f>SUBTOTAL(109,Program268[(D)
Prior Period Adjustments])</f>
        <v>-1984032</v>
      </c>
      <c r="E835" s="19">
        <f>SUBTOTAL(109,Program268[(E)
Current Period Desk 
Reviews])</f>
        <v>0</v>
      </c>
      <c r="F835" s="19">
        <f>SUBTOTAL(109,Program268[(F)
Current Period 
Final 
Audits])</f>
        <v>0</v>
      </c>
      <c r="G835" s="19">
        <f>SUBTOTAL(109,Program268[(G)
Current Period 
Other Adjustments])</f>
        <v>0</v>
      </c>
      <c r="H835" s="19">
        <f>SUBTOTAL(109,Program268[(H)
Net Program Costs
Sum (C through G)])</f>
        <v>63928771</v>
      </c>
      <c r="I835" s="19">
        <f>SUBTOTAL(109,Program268[(I)
Payments
 and Offsets])</f>
        <v>-49918064</v>
      </c>
      <c r="J835" s="19">
        <f>SUBTOTAL(109,Program268[(J)
Accounts Payable Balance
(H + I)])</f>
        <v>14010707</v>
      </c>
      <c r="K835" s="19">
        <f>SUBTOTAL(109,Program268[(K)
Established 
Accounts Receivable])</f>
        <v>1000</v>
      </c>
      <c r="L835" s="19">
        <f>SUBTOTAL(109,Program268[(L)
Recovered
 Accounts Receivable])</f>
        <v>-1000</v>
      </c>
      <c r="M835" s="19">
        <f>SUBTOTAL(109,Program268[(M)
Accounts Receivable Balance
(K + L)])</f>
        <v>0</v>
      </c>
      <c r="N835" s="19">
        <f>SUBTOTAL(109,Program268[(N)
Net Balance
(J minus M)])</f>
        <v>14010707</v>
      </c>
    </row>
    <row r="836" spans="1:14" ht="15.75" x14ac:dyDescent="0.25">
      <c r="A836" s="17" t="s">
        <v>13</v>
      </c>
      <c r="B836" s="54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</row>
    <row r="837" spans="1:14" ht="78.75" x14ac:dyDescent="0.25">
      <c r="A837" s="39" t="s">
        <v>32</v>
      </c>
      <c r="B837" s="40" t="s">
        <v>33</v>
      </c>
      <c r="C837" s="41" t="s">
        <v>34</v>
      </c>
      <c r="D837" s="41" t="s">
        <v>35</v>
      </c>
      <c r="E837" s="42" t="s">
        <v>36</v>
      </c>
      <c r="F837" s="42" t="s">
        <v>37</v>
      </c>
      <c r="G837" s="42" t="s">
        <v>38</v>
      </c>
      <c r="H837" s="43" t="s">
        <v>39</v>
      </c>
      <c r="I837" s="44" t="s">
        <v>40</v>
      </c>
      <c r="J837" s="44" t="s">
        <v>41</v>
      </c>
      <c r="K837" s="42" t="s">
        <v>42</v>
      </c>
      <c r="L837" s="44" t="s">
        <v>43</v>
      </c>
      <c r="M837" s="44" t="s">
        <v>44</v>
      </c>
      <c r="N837" s="45" t="s">
        <v>45</v>
      </c>
    </row>
    <row r="838" spans="1:14" ht="15.75" x14ac:dyDescent="0.25">
      <c r="A838" s="46" t="s">
        <v>552</v>
      </c>
      <c r="B838" s="47" t="s">
        <v>80</v>
      </c>
      <c r="C838" s="48">
        <v>279843</v>
      </c>
      <c r="D838" s="48">
        <v>-279843</v>
      </c>
      <c r="E838" s="48">
        <v>0</v>
      </c>
      <c r="F838" s="48">
        <v>0</v>
      </c>
      <c r="G838" s="48">
        <v>0</v>
      </c>
      <c r="H838" s="48">
        <v>0</v>
      </c>
      <c r="I838" s="48">
        <v>0</v>
      </c>
      <c r="J838" s="48">
        <v>0</v>
      </c>
      <c r="K838" s="48">
        <v>0</v>
      </c>
      <c r="L838" s="48">
        <v>0</v>
      </c>
      <c r="M838" s="48">
        <v>0</v>
      </c>
      <c r="N838" s="48">
        <v>0</v>
      </c>
    </row>
    <row r="839" spans="1:14" ht="15.75" x14ac:dyDescent="0.25">
      <c r="A839" s="49" t="s">
        <v>552</v>
      </c>
      <c r="B839" s="50" t="s">
        <v>81</v>
      </c>
      <c r="C839" s="51">
        <v>326297</v>
      </c>
      <c r="D839" s="51">
        <v>-326297</v>
      </c>
      <c r="E839" s="51">
        <v>0</v>
      </c>
      <c r="F839" s="51">
        <v>0</v>
      </c>
      <c r="G839" s="51">
        <v>0</v>
      </c>
      <c r="H839" s="51">
        <v>0</v>
      </c>
      <c r="I839" s="51">
        <v>0</v>
      </c>
      <c r="J839" s="51">
        <v>0</v>
      </c>
      <c r="K839" s="51">
        <v>0</v>
      </c>
      <c r="L839" s="51">
        <v>0</v>
      </c>
      <c r="M839" s="51">
        <v>0</v>
      </c>
      <c r="N839" s="51">
        <v>0</v>
      </c>
    </row>
    <row r="840" spans="1:14" ht="15.75" x14ac:dyDescent="0.25">
      <c r="A840" s="49" t="s">
        <v>552</v>
      </c>
      <c r="B840" s="50" t="s">
        <v>82</v>
      </c>
      <c r="C840" s="51">
        <v>866208</v>
      </c>
      <c r="D840" s="51">
        <v>-14539</v>
      </c>
      <c r="E840" s="51">
        <v>0</v>
      </c>
      <c r="F840" s="51">
        <v>0</v>
      </c>
      <c r="G840" s="51">
        <v>0</v>
      </c>
      <c r="H840" s="51">
        <v>851669</v>
      </c>
      <c r="I840" s="51">
        <v>-696961</v>
      </c>
      <c r="J840" s="51">
        <v>154708</v>
      </c>
      <c r="K840" s="51">
        <v>0</v>
      </c>
      <c r="L840" s="51">
        <v>0</v>
      </c>
      <c r="M840" s="51">
        <v>0</v>
      </c>
      <c r="N840" s="51">
        <v>154708</v>
      </c>
    </row>
    <row r="841" spans="1:14" ht="15.75" x14ac:dyDescent="0.25">
      <c r="A841" s="49" t="s">
        <v>552</v>
      </c>
      <c r="B841" s="50" t="s">
        <v>83</v>
      </c>
      <c r="C841" s="51">
        <v>5698923</v>
      </c>
      <c r="D841" s="51">
        <v>-19557</v>
      </c>
      <c r="E841" s="51">
        <v>0</v>
      </c>
      <c r="F841" s="51">
        <v>0</v>
      </c>
      <c r="G841" s="51">
        <v>0</v>
      </c>
      <c r="H841" s="51">
        <v>5679366</v>
      </c>
      <c r="I841" s="51">
        <v>-5265644</v>
      </c>
      <c r="J841" s="51">
        <v>413722</v>
      </c>
      <c r="K841" s="51">
        <v>0</v>
      </c>
      <c r="L841" s="51">
        <v>0</v>
      </c>
      <c r="M841" s="51">
        <v>0</v>
      </c>
      <c r="N841" s="51">
        <v>413722</v>
      </c>
    </row>
    <row r="842" spans="1:14" ht="15.75" x14ac:dyDescent="0.25">
      <c r="A842" s="49" t="s">
        <v>552</v>
      </c>
      <c r="B842" s="50" t="s">
        <v>48</v>
      </c>
      <c r="C842" s="51">
        <v>5864955</v>
      </c>
      <c r="D842" s="51">
        <v>-25082</v>
      </c>
      <c r="E842" s="51">
        <v>0</v>
      </c>
      <c r="F842" s="51">
        <v>0</v>
      </c>
      <c r="G842" s="51">
        <v>0</v>
      </c>
      <c r="H842" s="51">
        <v>5839873</v>
      </c>
      <c r="I842" s="51">
        <v>-5536750</v>
      </c>
      <c r="J842" s="51">
        <v>303123</v>
      </c>
      <c r="K842" s="51">
        <v>0</v>
      </c>
      <c r="L842" s="51">
        <v>0</v>
      </c>
      <c r="M842" s="51">
        <v>0</v>
      </c>
      <c r="N842" s="51">
        <v>303123</v>
      </c>
    </row>
    <row r="843" spans="1:14" ht="15.75" x14ac:dyDescent="0.25">
      <c r="A843" s="49" t="s">
        <v>552</v>
      </c>
      <c r="B843" s="50" t="s">
        <v>49</v>
      </c>
      <c r="C843" s="51">
        <v>5738497</v>
      </c>
      <c r="D843" s="51">
        <v>-32881</v>
      </c>
      <c r="E843" s="51">
        <v>0</v>
      </c>
      <c r="F843" s="51">
        <v>0</v>
      </c>
      <c r="G843" s="51">
        <v>0</v>
      </c>
      <c r="H843" s="51">
        <v>5705616</v>
      </c>
      <c r="I843" s="51">
        <v>-5667416</v>
      </c>
      <c r="J843" s="51">
        <v>38200</v>
      </c>
      <c r="K843" s="51">
        <v>173</v>
      </c>
      <c r="L843" s="51">
        <v>-173</v>
      </c>
      <c r="M843" s="51">
        <v>0</v>
      </c>
      <c r="N843" s="51">
        <v>38200</v>
      </c>
    </row>
    <row r="844" spans="1:14" ht="15.75" x14ac:dyDescent="0.25">
      <c r="A844" s="49" t="s">
        <v>552</v>
      </c>
      <c r="B844" s="50" t="s">
        <v>50</v>
      </c>
      <c r="C844" s="51">
        <v>5778477</v>
      </c>
      <c r="D844" s="51">
        <v>-73436</v>
      </c>
      <c r="E844" s="51">
        <v>0</v>
      </c>
      <c r="F844" s="51">
        <v>0</v>
      </c>
      <c r="G844" s="51">
        <v>0</v>
      </c>
      <c r="H844" s="51">
        <v>5705041</v>
      </c>
      <c r="I844" s="51">
        <v>-5704156</v>
      </c>
      <c r="J844" s="51">
        <v>885</v>
      </c>
      <c r="K844" s="51">
        <v>18091</v>
      </c>
      <c r="L844" s="51">
        <v>-3366</v>
      </c>
      <c r="M844" s="51">
        <v>14725</v>
      </c>
      <c r="N844" s="51">
        <v>-13840</v>
      </c>
    </row>
    <row r="845" spans="1:14" ht="15.75" x14ac:dyDescent="0.25">
      <c r="A845" s="49" t="s">
        <v>552</v>
      </c>
      <c r="B845" s="50" t="s">
        <v>51</v>
      </c>
      <c r="C845" s="51">
        <v>5562858</v>
      </c>
      <c r="D845" s="51">
        <v>-35398</v>
      </c>
      <c r="E845" s="51">
        <v>0</v>
      </c>
      <c r="F845" s="51">
        <v>0</v>
      </c>
      <c r="G845" s="51">
        <v>0</v>
      </c>
      <c r="H845" s="51">
        <v>5527460</v>
      </c>
      <c r="I845" s="51">
        <v>-5438722</v>
      </c>
      <c r="J845" s="51">
        <v>88738</v>
      </c>
      <c r="K845" s="51">
        <v>3</v>
      </c>
      <c r="L845" s="51">
        <v>0</v>
      </c>
      <c r="M845" s="51">
        <v>3</v>
      </c>
      <c r="N845" s="51">
        <v>88735</v>
      </c>
    </row>
    <row r="846" spans="1:14" ht="15.75" x14ac:dyDescent="0.25">
      <c r="A846" s="49" t="s">
        <v>552</v>
      </c>
      <c r="B846" s="50" t="s">
        <v>52</v>
      </c>
      <c r="C846" s="51">
        <v>5396827</v>
      </c>
      <c r="D846" s="51">
        <v>-23126</v>
      </c>
      <c r="E846" s="51">
        <v>0</v>
      </c>
      <c r="F846" s="51">
        <v>0</v>
      </c>
      <c r="G846" s="51">
        <v>0</v>
      </c>
      <c r="H846" s="51">
        <v>5373701</v>
      </c>
      <c r="I846" s="51">
        <v>-5309206</v>
      </c>
      <c r="J846" s="51">
        <v>64495</v>
      </c>
      <c r="K846" s="51">
        <v>10680</v>
      </c>
      <c r="L846" s="51">
        <v>-8110</v>
      </c>
      <c r="M846" s="51">
        <v>2570</v>
      </c>
      <c r="N846" s="51">
        <v>61925</v>
      </c>
    </row>
    <row r="847" spans="1:14" ht="15.75" x14ac:dyDescent="0.25">
      <c r="A847" s="49" t="s">
        <v>552</v>
      </c>
      <c r="B847" s="50" t="s">
        <v>53</v>
      </c>
      <c r="C847" s="51">
        <v>5050576</v>
      </c>
      <c r="D847" s="51">
        <v>-17067</v>
      </c>
      <c r="E847" s="51">
        <v>0</v>
      </c>
      <c r="F847" s="51">
        <v>0</v>
      </c>
      <c r="G847" s="51">
        <v>0</v>
      </c>
      <c r="H847" s="51">
        <v>5033509</v>
      </c>
      <c r="I847" s="51">
        <v>-5003200</v>
      </c>
      <c r="J847" s="51">
        <v>30309</v>
      </c>
      <c r="K847" s="51">
        <v>0</v>
      </c>
      <c r="L847" s="51">
        <v>0</v>
      </c>
      <c r="M847" s="51">
        <v>0</v>
      </c>
      <c r="N847" s="51">
        <v>30309</v>
      </c>
    </row>
    <row r="848" spans="1:14" ht="15.75" x14ac:dyDescent="0.25">
      <c r="A848" s="49" t="s">
        <v>552</v>
      </c>
      <c r="B848" s="50" t="s">
        <v>54</v>
      </c>
      <c r="C848" s="51">
        <v>4860278</v>
      </c>
      <c r="D848" s="51">
        <v>-7428</v>
      </c>
      <c r="E848" s="51">
        <v>0</v>
      </c>
      <c r="F848" s="51">
        <v>0</v>
      </c>
      <c r="G848" s="51">
        <v>0</v>
      </c>
      <c r="H848" s="51">
        <v>4852850</v>
      </c>
      <c r="I848" s="51">
        <v>-4852850</v>
      </c>
      <c r="J848" s="51">
        <v>0</v>
      </c>
      <c r="K848" s="51">
        <v>4855</v>
      </c>
      <c r="L848" s="51">
        <v>-3446</v>
      </c>
      <c r="M848" s="51">
        <v>1409</v>
      </c>
      <c r="N848" s="51">
        <v>-1409</v>
      </c>
    </row>
    <row r="849" spans="1:14" ht="15.75" x14ac:dyDescent="0.25">
      <c r="A849" s="49" t="s">
        <v>552</v>
      </c>
      <c r="B849" s="50" t="s">
        <v>55</v>
      </c>
      <c r="C849" s="51">
        <v>4755119</v>
      </c>
      <c r="D849" s="51">
        <v>-12765</v>
      </c>
      <c r="E849" s="51">
        <v>0</v>
      </c>
      <c r="F849" s="51">
        <v>0</v>
      </c>
      <c r="G849" s="51">
        <v>0</v>
      </c>
      <c r="H849" s="51">
        <v>4742354</v>
      </c>
      <c r="I849" s="51">
        <v>-4742354</v>
      </c>
      <c r="J849" s="51">
        <v>0</v>
      </c>
      <c r="K849" s="51">
        <v>0</v>
      </c>
      <c r="L849" s="51">
        <v>0</v>
      </c>
      <c r="M849" s="51">
        <v>0</v>
      </c>
      <c r="N849" s="51">
        <v>0</v>
      </c>
    </row>
    <row r="850" spans="1:14" ht="15.75" x14ac:dyDescent="0.25">
      <c r="A850" s="49" t="s">
        <v>552</v>
      </c>
      <c r="B850" s="50" t="s">
        <v>56</v>
      </c>
      <c r="C850" s="51">
        <v>4618091</v>
      </c>
      <c r="D850" s="51">
        <v>-7048</v>
      </c>
      <c r="E850" s="51">
        <v>0</v>
      </c>
      <c r="F850" s="51">
        <v>0</v>
      </c>
      <c r="G850" s="51">
        <v>0</v>
      </c>
      <c r="H850" s="51">
        <v>4611043</v>
      </c>
      <c r="I850" s="51">
        <v>-4611043</v>
      </c>
      <c r="J850" s="51">
        <v>0</v>
      </c>
      <c r="K850" s="51">
        <v>0</v>
      </c>
      <c r="L850" s="51">
        <v>0</v>
      </c>
      <c r="M850" s="51">
        <v>0</v>
      </c>
      <c r="N850" s="51">
        <v>0</v>
      </c>
    </row>
    <row r="851" spans="1:14" ht="15.75" x14ac:dyDescent="0.25">
      <c r="A851" s="49" t="s">
        <v>552</v>
      </c>
      <c r="B851" s="50" t="s">
        <v>57</v>
      </c>
      <c r="C851" s="51">
        <v>4435452</v>
      </c>
      <c r="D851" s="51">
        <v>-6382</v>
      </c>
      <c r="E851" s="51">
        <v>0</v>
      </c>
      <c r="F851" s="51">
        <v>0</v>
      </c>
      <c r="G851" s="51">
        <v>0</v>
      </c>
      <c r="H851" s="51">
        <v>4429070</v>
      </c>
      <c r="I851" s="51">
        <v>-4429070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</row>
    <row r="852" spans="1:14" ht="15.75" x14ac:dyDescent="0.25">
      <c r="A852" s="49" t="s">
        <v>552</v>
      </c>
      <c r="B852" s="50" t="s">
        <v>58</v>
      </c>
      <c r="C852" s="51">
        <v>4321456</v>
      </c>
      <c r="D852" s="51">
        <v>-12073</v>
      </c>
      <c r="E852" s="51">
        <v>0</v>
      </c>
      <c r="F852" s="51">
        <v>0</v>
      </c>
      <c r="G852" s="51">
        <v>0</v>
      </c>
      <c r="H852" s="51">
        <v>4309383</v>
      </c>
      <c r="I852" s="51">
        <v>-4309383</v>
      </c>
      <c r="J852" s="51">
        <v>0</v>
      </c>
      <c r="K852" s="51">
        <v>5903</v>
      </c>
      <c r="L852" s="51">
        <v>-5903</v>
      </c>
      <c r="M852" s="51">
        <v>0</v>
      </c>
      <c r="N852" s="51">
        <v>0</v>
      </c>
    </row>
    <row r="853" spans="1:14" ht="15.75" x14ac:dyDescent="0.25">
      <c r="A853" s="49" t="s">
        <v>552</v>
      </c>
      <c r="B853" s="50" t="s">
        <v>59</v>
      </c>
      <c r="C853" s="51">
        <v>4043106</v>
      </c>
      <c r="D853" s="51">
        <v>-5467</v>
      </c>
      <c r="E853" s="51">
        <v>0</v>
      </c>
      <c r="F853" s="51">
        <v>0</v>
      </c>
      <c r="G853" s="51">
        <v>0</v>
      </c>
      <c r="H853" s="51">
        <v>4037639</v>
      </c>
      <c r="I853" s="51">
        <v>-4037639</v>
      </c>
      <c r="J853" s="51">
        <v>0</v>
      </c>
      <c r="K853" s="51">
        <v>0</v>
      </c>
      <c r="L853" s="51">
        <v>0</v>
      </c>
      <c r="M853" s="51">
        <v>0</v>
      </c>
      <c r="N853" s="51">
        <v>0</v>
      </c>
    </row>
    <row r="854" spans="1:14" ht="15.75" x14ac:dyDescent="0.25">
      <c r="A854" s="49" t="s">
        <v>552</v>
      </c>
      <c r="B854" s="50" t="s">
        <v>60</v>
      </c>
      <c r="C854" s="51">
        <v>2598394</v>
      </c>
      <c r="D854" s="51">
        <v>-5203</v>
      </c>
      <c r="E854" s="51">
        <v>0</v>
      </c>
      <c r="F854" s="51">
        <v>0</v>
      </c>
      <c r="G854" s="51">
        <v>0</v>
      </c>
      <c r="H854" s="51">
        <v>2593191</v>
      </c>
      <c r="I854" s="51">
        <v>-2593191</v>
      </c>
      <c r="J854" s="51">
        <v>0</v>
      </c>
      <c r="K854" s="51">
        <v>0</v>
      </c>
      <c r="L854" s="51">
        <v>0</v>
      </c>
      <c r="M854" s="51">
        <v>0</v>
      </c>
      <c r="N854" s="51">
        <v>0</v>
      </c>
    </row>
    <row r="855" spans="1:14" ht="15.75" x14ac:dyDescent="0.25">
      <c r="A855" s="49" t="s">
        <v>552</v>
      </c>
      <c r="B855" s="50" t="s">
        <v>61</v>
      </c>
      <c r="C855" s="51">
        <v>891081</v>
      </c>
      <c r="D855" s="51">
        <v>-2069</v>
      </c>
      <c r="E855" s="51">
        <v>0</v>
      </c>
      <c r="F855" s="51">
        <v>0</v>
      </c>
      <c r="G855" s="51">
        <v>0</v>
      </c>
      <c r="H855" s="51">
        <v>889012</v>
      </c>
      <c r="I855" s="51">
        <v>-889012</v>
      </c>
      <c r="J855" s="51">
        <v>0</v>
      </c>
      <c r="K855" s="51">
        <v>0</v>
      </c>
      <c r="L855" s="51">
        <v>0</v>
      </c>
      <c r="M855" s="51">
        <v>0</v>
      </c>
      <c r="N855" s="51">
        <v>0</v>
      </c>
    </row>
    <row r="856" spans="1:14" ht="15.75" x14ac:dyDescent="0.25">
      <c r="A856" s="52" t="s">
        <v>430</v>
      </c>
      <c r="B856" s="53" t="s">
        <v>8</v>
      </c>
      <c r="C856" s="19">
        <f>SUBTOTAL(109,Program230[(C)
Program
Costs])</f>
        <v>71086438</v>
      </c>
      <c r="D856" s="19">
        <f>SUBTOTAL(109,Program230[(D)
Prior Period Adjustments])</f>
        <v>-905661</v>
      </c>
      <c r="E856" s="19">
        <f>SUBTOTAL(109,Program230[(E)
Current Period Desk 
Reviews])</f>
        <v>0</v>
      </c>
      <c r="F856" s="19">
        <f>SUBTOTAL(109,Program230[(F)
Current Period 
Final 
Audits])</f>
        <v>0</v>
      </c>
      <c r="G856" s="19">
        <f>SUBTOTAL(109,Program230[(G)
Current Period 
Other Adjustments])</f>
        <v>0</v>
      </c>
      <c r="H856" s="19">
        <f>SUBTOTAL(109,Program230[(H)
Net Program Costs
Sum (C through G)])</f>
        <v>70180777</v>
      </c>
      <c r="I856" s="19">
        <f>SUBTOTAL(109,Program230[(I)
Payments
 and Offsets])</f>
        <v>-69086597</v>
      </c>
      <c r="J856" s="19">
        <f>SUBTOTAL(109,Program230[(J)
Accounts Payable Balance
(H + I)])</f>
        <v>1094180</v>
      </c>
      <c r="K856" s="19">
        <f>SUBTOTAL(109,Program230[(K)
Established 
Accounts Receivable])</f>
        <v>39705</v>
      </c>
      <c r="L856" s="19">
        <f>SUBTOTAL(109,Program230[(L)
Recovered
 Accounts Receivable])</f>
        <v>-20998</v>
      </c>
      <c r="M856" s="19">
        <f>SUBTOTAL(109,Program230[(M)
Accounts Receivable Balance
(K + L)])</f>
        <v>18707</v>
      </c>
      <c r="N856" s="19">
        <f>SUBTOTAL(109,Program230[(N)
Net Balance
(J minus M)])</f>
        <v>1075473</v>
      </c>
    </row>
    <row r="857" spans="1:14" ht="15.75" x14ac:dyDescent="0.25">
      <c r="A857" s="17" t="s">
        <v>13</v>
      </c>
      <c r="B857" s="54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</row>
    <row r="858" spans="1:14" ht="78.75" x14ac:dyDescent="0.25">
      <c r="A858" s="39" t="s">
        <v>32</v>
      </c>
      <c r="B858" s="40" t="s">
        <v>33</v>
      </c>
      <c r="C858" s="41" t="s">
        <v>34</v>
      </c>
      <c r="D858" s="41" t="s">
        <v>35</v>
      </c>
      <c r="E858" s="42" t="s">
        <v>36</v>
      </c>
      <c r="F858" s="42" t="s">
        <v>37</v>
      </c>
      <c r="G858" s="42" t="s">
        <v>38</v>
      </c>
      <c r="H858" s="43" t="s">
        <v>39</v>
      </c>
      <c r="I858" s="44" t="s">
        <v>40</v>
      </c>
      <c r="J858" s="44" t="s">
        <v>41</v>
      </c>
      <c r="K858" s="42" t="s">
        <v>42</v>
      </c>
      <c r="L858" s="44" t="s">
        <v>43</v>
      </c>
      <c r="M858" s="44" t="s">
        <v>44</v>
      </c>
      <c r="N858" s="45" t="s">
        <v>45</v>
      </c>
    </row>
    <row r="859" spans="1:14" ht="30" x14ac:dyDescent="0.25">
      <c r="A859" s="67" t="s">
        <v>551</v>
      </c>
      <c r="B859" s="57" t="s">
        <v>76</v>
      </c>
      <c r="C859" s="58">
        <v>11813</v>
      </c>
      <c r="D859" s="58">
        <v>0</v>
      </c>
      <c r="E859" s="58">
        <v>0</v>
      </c>
      <c r="F859" s="58">
        <v>0</v>
      </c>
      <c r="G859" s="58">
        <v>0</v>
      </c>
      <c r="H859" s="58">
        <v>11813</v>
      </c>
      <c r="I859" s="58">
        <v>0</v>
      </c>
      <c r="J859" s="58">
        <v>11813</v>
      </c>
      <c r="K859" s="58">
        <v>0</v>
      </c>
      <c r="L859" s="58">
        <v>0</v>
      </c>
      <c r="M859" s="58">
        <v>0</v>
      </c>
      <c r="N859" s="58">
        <v>11813</v>
      </c>
    </row>
    <row r="860" spans="1:14" ht="30" x14ac:dyDescent="0.25">
      <c r="A860" s="68" t="s">
        <v>551</v>
      </c>
      <c r="B860" s="60" t="s">
        <v>77</v>
      </c>
      <c r="C860" s="61">
        <v>13387</v>
      </c>
      <c r="D860" s="61">
        <v>0</v>
      </c>
      <c r="E860" s="61">
        <v>0</v>
      </c>
      <c r="F860" s="61">
        <v>0</v>
      </c>
      <c r="G860" s="61">
        <v>0</v>
      </c>
      <c r="H860" s="61">
        <v>13387</v>
      </c>
      <c r="I860" s="61">
        <v>-1000</v>
      </c>
      <c r="J860" s="61">
        <v>12387</v>
      </c>
      <c r="K860" s="61">
        <v>0</v>
      </c>
      <c r="L860" s="61">
        <v>0</v>
      </c>
      <c r="M860" s="61">
        <v>0</v>
      </c>
      <c r="N860" s="61">
        <v>12387</v>
      </c>
    </row>
    <row r="861" spans="1:14" ht="30" x14ac:dyDescent="0.25">
      <c r="A861" s="68" t="s">
        <v>551</v>
      </c>
      <c r="B861" s="60" t="s">
        <v>78</v>
      </c>
      <c r="C861" s="61">
        <v>21734</v>
      </c>
      <c r="D861" s="61">
        <v>0</v>
      </c>
      <c r="E861" s="61">
        <v>0</v>
      </c>
      <c r="F861" s="61">
        <v>0</v>
      </c>
      <c r="G861" s="61">
        <v>0</v>
      </c>
      <c r="H861" s="61">
        <v>21734</v>
      </c>
      <c r="I861" s="61">
        <v>-1000</v>
      </c>
      <c r="J861" s="61">
        <v>20734</v>
      </c>
      <c r="K861" s="61">
        <v>0</v>
      </c>
      <c r="L861" s="61">
        <v>0</v>
      </c>
      <c r="M861" s="61">
        <v>0</v>
      </c>
      <c r="N861" s="61">
        <v>20734</v>
      </c>
    </row>
    <row r="862" spans="1:14" ht="30" x14ac:dyDescent="0.25">
      <c r="A862" s="68" t="s">
        <v>551</v>
      </c>
      <c r="B862" s="60" t="s">
        <v>47</v>
      </c>
      <c r="C862" s="61">
        <v>21279</v>
      </c>
      <c r="D862" s="61">
        <v>0</v>
      </c>
      <c r="E862" s="61">
        <v>0</v>
      </c>
      <c r="F862" s="61">
        <v>0</v>
      </c>
      <c r="G862" s="61">
        <v>0</v>
      </c>
      <c r="H862" s="61">
        <v>21279</v>
      </c>
      <c r="I862" s="61">
        <v>-2085</v>
      </c>
      <c r="J862" s="61">
        <v>19194</v>
      </c>
      <c r="K862" s="61">
        <v>0</v>
      </c>
      <c r="L862" s="61">
        <v>0</v>
      </c>
      <c r="M862" s="61">
        <v>0</v>
      </c>
      <c r="N862" s="61">
        <v>19194</v>
      </c>
    </row>
    <row r="863" spans="1:14" ht="30" x14ac:dyDescent="0.25">
      <c r="A863" s="68" t="s">
        <v>551</v>
      </c>
      <c r="B863" s="60" t="s">
        <v>79</v>
      </c>
      <c r="C863" s="61">
        <v>204782</v>
      </c>
      <c r="D863" s="61">
        <v>-176935</v>
      </c>
      <c r="E863" s="61">
        <v>0</v>
      </c>
      <c r="F863" s="61">
        <v>0</v>
      </c>
      <c r="G863" s="61">
        <v>0</v>
      </c>
      <c r="H863" s="61">
        <v>27847</v>
      </c>
      <c r="I863" s="61">
        <v>-9502</v>
      </c>
      <c r="J863" s="61">
        <v>18345</v>
      </c>
      <c r="K863" s="61">
        <v>0</v>
      </c>
      <c r="L863" s="61">
        <v>0</v>
      </c>
      <c r="M863" s="61">
        <v>0</v>
      </c>
      <c r="N863" s="61">
        <v>18345</v>
      </c>
    </row>
    <row r="864" spans="1:14" ht="30" x14ac:dyDescent="0.25">
      <c r="A864" s="68" t="s">
        <v>551</v>
      </c>
      <c r="B864" s="60" t="s">
        <v>80</v>
      </c>
      <c r="C864" s="61">
        <v>381930</v>
      </c>
      <c r="D864" s="61">
        <v>-178464</v>
      </c>
      <c r="E864" s="61">
        <v>0</v>
      </c>
      <c r="F864" s="61">
        <v>0</v>
      </c>
      <c r="G864" s="61">
        <v>0</v>
      </c>
      <c r="H864" s="61">
        <v>203466</v>
      </c>
      <c r="I864" s="61">
        <v>-95748</v>
      </c>
      <c r="J864" s="61">
        <v>107718</v>
      </c>
      <c r="K864" s="61">
        <v>0</v>
      </c>
      <c r="L864" s="61">
        <v>0</v>
      </c>
      <c r="M864" s="61">
        <v>0</v>
      </c>
      <c r="N864" s="61">
        <v>107718</v>
      </c>
    </row>
    <row r="865" spans="1:14" ht="30" x14ac:dyDescent="0.25">
      <c r="A865" s="68" t="s">
        <v>551</v>
      </c>
      <c r="B865" s="60" t="s">
        <v>81</v>
      </c>
      <c r="C865" s="61">
        <v>421298</v>
      </c>
      <c r="D865" s="61">
        <v>-177965</v>
      </c>
      <c r="E865" s="61">
        <v>0</v>
      </c>
      <c r="F865" s="61">
        <v>0</v>
      </c>
      <c r="G865" s="61">
        <v>0</v>
      </c>
      <c r="H865" s="61">
        <v>243333</v>
      </c>
      <c r="I865" s="61">
        <v>-139031</v>
      </c>
      <c r="J865" s="61">
        <v>104302</v>
      </c>
      <c r="K865" s="61">
        <v>0</v>
      </c>
      <c r="L865" s="61">
        <v>0</v>
      </c>
      <c r="M865" s="61">
        <v>0</v>
      </c>
      <c r="N865" s="61">
        <v>104302</v>
      </c>
    </row>
    <row r="866" spans="1:14" ht="15.75" x14ac:dyDescent="0.25">
      <c r="A866" s="52" t="s">
        <v>429</v>
      </c>
      <c r="B866" s="53" t="s">
        <v>8</v>
      </c>
      <c r="C866" s="19">
        <f>SUBTOTAL(109,Program368[(C)
Program
Costs])</f>
        <v>1076223</v>
      </c>
      <c r="D866" s="19">
        <f>SUBTOTAL(109,Program368[(D)
Prior Period Adjustments])</f>
        <v>-533364</v>
      </c>
      <c r="E866" s="19">
        <f>SUBTOTAL(109,Program368[(E)
Current Period Desk 
Reviews])</f>
        <v>0</v>
      </c>
      <c r="F866" s="19">
        <f>SUBTOTAL(109,Program368[(F)
Current Period 
Final 
Audits])</f>
        <v>0</v>
      </c>
      <c r="G866" s="19">
        <f>SUBTOTAL(109,Program368[(G)
Current Period 
Other Adjustments])</f>
        <v>0</v>
      </c>
      <c r="H866" s="19">
        <f>SUBTOTAL(109,Program368[(H)
Net Program Costs
Sum (C through G)])</f>
        <v>542859</v>
      </c>
      <c r="I866" s="19">
        <f>SUBTOTAL(109,Program368[(I)
Payments
 and Offsets])</f>
        <v>-248366</v>
      </c>
      <c r="J866" s="19">
        <f>SUBTOTAL(109,Program368[(J)
Accounts Payable Balance
(H + I)])</f>
        <v>294493</v>
      </c>
      <c r="K866" s="19">
        <f>SUBTOTAL(109,Program368[(K)
Established 
Accounts Receivable])</f>
        <v>0</v>
      </c>
      <c r="L866" s="19">
        <f>SUBTOTAL(109,Program368[(L)
Recovered
 Accounts Receivable])</f>
        <v>0</v>
      </c>
      <c r="M866" s="19">
        <f>SUBTOTAL(109,Program368[(M)
Accounts Receivable Balance
(K + L)])</f>
        <v>0</v>
      </c>
      <c r="N866" s="19">
        <f>SUBTOTAL(109,Program368[(N)
Net Balance
(J minus M)])</f>
        <v>294493</v>
      </c>
    </row>
    <row r="867" spans="1:14" ht="15.75" x14ac:dyDescent="0.25">
      <c r="A867" s="17" t="s">
        <v>13</v>
      </c>
      <c r="B867" s="54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</row>
    <row r="868" spans="1:14" ht="78.75" x14ac:dyDescent="0.25">
      <c r="A868" s="39" t="s">
        <v>32</v>
      </c>
      <c r="B868" s="40" t="s">
        <v>33</v>
      </c>
      <c r="C868" s="41" t="s">
        <v>34</v>
      </c>
      <c r="D868" s="41" t="s">
        <v>35</v>
      </c>
      <c r="E868" s="42" t="s">
        <v>36</v>
      </c>
      <c r="F868" s="42" t="s">
        <v>37</v>
      </c>
      <c r="G868" s="42" t="s">
        <v>38</v>
      </c>
      <c r="H868" s="43" t="s">
        <v>39</v>
      </c>
      <c r="I868" s="44" t="s">
        <v>40</v>
      </c>
      <c r="J868" s="44" t="s">
        <v>41</v>
      </c>
      <c r="K868" s="42" t="s">
        <v>42</v>
      </c>
      <c r="L868" s="44" t="s">
        <v>43</v>
      </c>
      <c r="M868" s="44" t="s">
        <v>44</v>
      </c>
      <c r="N868" s="45" t="s">
        <v>45</v>
      </c>
    </row>
    <row r="869" spans="1:14" ht="15.75" x14ac:dyDescent="0.25">
      <c r="A869" s="46" t="s">
        <v>550</v>
      </c>
      <c r="B869" s="47" t="s">
        <v>76</v>
      </c>
      <c r="C869" s="48">
        <v>6108</v>
      </c>
      <c r="D869" s="48">
        <v>0</v>
      </c>
      <c r="E869" s="48">
        <v>0</v>
      </c>
      <c r="F869" s="48">
        <v>0</v>
      </c>
      <c r="G869" s="48">
        <v>0</v>
      </c>
      <c r="H869" s="48">
        <v>6108</v>
      </c>
      <c r="I869" s="48">
        <v>0</v>
      </c>
      <c r="J869" s="48">
        <v>6108</v>
      </c>
      <c r="K869" s="48">
        <v>0</v>
      </c>
      <c r="L869" s="48">
        <v>0</v>
      </c>
      <c r="M869" s="48">
        <v>0</v>
      </c>
      <c r="N869" s="48">
        <v>6108</v>
      </c>
    </row>
    <row r="870" spans="1:14" ht="15.75" x14ac:dyDescent="0.25">
      <c r="A870" s="49" t="s">
        <v>550</v>
      </c>
      <c r="B870" s="50" t="s">
        <v>77</v>
      </c>
      <c r="C870" s="51">
        <v>5721</v>
      </c>
      <c r="D870" s="51">
        <v>-1045</v>
      </c>
      <c r="E870" s="51">
        <v>0</v>
      </c>
      <c r="F870" s="51">
        <v>0</v>
      </c>
      <c r="G870" s="51">
        <v>0</v>
      </c>
      <c r="H870" s="51">
        <v>4676</v>
      </c>
      <c r="I870" s="51">
        <v>-1000</v>
      </c>
      <c r="J870" s="51">
        <v>3676</v>
      </c>
      <c r="K870" s="51">
        <v>0</v>
      </c>
      <c r="L870" s="51">
        <v>0</v>
      </c>
      <c r="M870" s="51">
        <v>0</v>
      </c>
      <c r="N870" s="51">
        <v>3676</v>
      </c>
    </row>
    <row r="871" spans="1:14" ht="15.75" x14ac:dyDescent="0.25">
      <c r="A871" s="49" t="s">
        <v>550</v>
      </c>
      <c r="B871" s="50" t="s">
        <v>78</v>
      </c>
      <c r="C871" s="51">
        <v>15235</v>
      </c>
      <c r="D871" s="51">
        <v>0</v>
      </c>
      <c r="E871" s="51">
        <v>0</v>
      </c>
      <c r="F871" s="51">
        <v>0</v>
      </c>
      <c r="G871" s="51">
        <v>0</v>
      </c>
      <c r="H871" s="51">
        <v>15235</v>
      </c>
      <c r="I871" s="51">
        <v>-1000</v>
      </c>
      <c r="J871" s="51">
        <v>14235</v>
      </c>
      <c r="K871" s="51">
        <v>0</v>
      </c>
      <c r="L871" s="51">
        <v>0</v>
      </c>
      <c r="M871" s="51">
        <v>0</v>
      </c>
      <c r="N871" s="51">
        <v>14235</v>
      </c>
    </row>
    <row r="872" spans="1:14" ht="15.75" x14ac:dyDescent="0.25">
      <c r="A872" s="49" t="s">
        <v>550</v>
      </c>
      <c r="B872" s="50" t="s">
        <v>47</v>
      </c>
      <c r="C872" s="51">
        <v>16772</v>
      </c>
      <c r="D872" s="51">
        <v>0</v>
      </c>
      <c r="E872" s="51">
        <v>0</v>
      </c>
      <c r="F872" s="51">
        <v>0</v>
      </c>
      <c r="G872" s="51">
        <v>0</v>
      </c>
      <c r="H872" s="51">
        <v>16772</v>
      </c>
      <c r="I872" s="51">
        <v>-1000</v>
      </c>
      <c r="J872" s="51">
        <v>15772</v>
      </c>
      <c r="K872" s="51">
        <v>0</v>
      </c>
      <c r="L872" s="51">
        <v>0</v>
      </c>
      <c r="M872" s="51">
        <v>0</v>
      </c>
      <c r="N872" s="51">
        <v>15772</v>
      </c>
    </row>
    <row r="873" spans="1:14" ht="15.75" x14ac:dyDescent="0.25">
      <c r="A873" s="49" t="s">
        <v>550</v>
      </c>
      <c r="B873" s="50" t="s">
        <v>79</v>
      </c>
      <c r="C873" s="51">
        <v>17459</v>
      </c>
      <c r="D873" s="51">
        <v>-1292</v>
      </c>
      <c r="E873" s="51">
        <v>0</v>
      </c>
      <c r="F873" s="51">
        <v>0</v>
      </c>
      <c r="G873" s="51">
        <v>0</v>
      </c>
      <c r="H873" s="51">
        <v>16167</v>
      </c>
      <c r="I873" s="51">
        <v>-7325</v>
      </c>
      <c r="J873" s="51">
        <v>8842</v>
      </c>
      <c r="K873" s="51">
        <v>0</v>
      </c>
      <c r="L873" s="51">
        <v>0</v>
      </c>
      <c r="M873" s="51">
        <v>0</v>
      </c>
      <c r="N873" s="51">
        <v>8842</v>
      </c>
    </row>
    <row r="874" spans="1:14" ht="15.75" x14ac:dyDescent="0.25">
      <c r="A874" s="49" t="s">
        <v>550</v>
      </c>
      <c r="B874" s="50" t="s">
        <v>80</v>
      </c>
      <c r="C874" s="51">
        <v>2667075</v>
      </c>
      <c r="D874" s="51">
        <v>-4061</v>
      </c>
      <c r="E874" s="51">
        <v>0</v>
      </c>
      <c r="F874" s="51">
        <v>0</v>
      </c>
      <c r="G874" s="51">
        <v>0</v>
      </c>
      <c r="H874" s="51">
        <v>2663014</v>
      </c>
      <c r="I874" s="51">
        <v>-2175080</v>
      </c>
      <c r="J874" s="51">
        <v>487934</v>
      </c>
      <c r="K874" s="51">
        <v>0</v>
      </c>
      <c r="L874" s="51">
        <v>0</v>
      </c>
      <c r="M874" s="51">
        <v>0</v>
      </c>
      <c r="N874" s="51">
        <v>487934</v>
      </c>
    </row>
    <row r="875" spans="1:14" ht="15.75" x14ac:dyDescent="0.25">
      <c r="A875" s="49" t="s">
        <v>550</v>
      </c>
      <c r="B875" s="50" t="s">
        <v>81</v>
      </c>
      <c r="C875" s="51">
        <v>1214204</v>
      </c>
      <c r="D875" s="51">
        <v>-9613</v>
      </c>
      <c r="E875" s="51">
        <v>0</v>
      </c>
      <c r="F875" s="51">
        <v>0</v>
      </c>
      <c r="G875" s="51">
        <v>0</v>
      </c>
      <c r="H875" s="51">
        <v>1204591</v>
      </c>
      <c r="I875" s="51">
        <v>-971288</v>
      </c>
      <c r="J875" s="51">
        <v>233303</v>
      </c>
      <c r="K875" s="51">
        <v>0</v>
      </c>
      <c r="L875" s="51">
        <v>0</v>
      </c>
      <c r="M875" s="51">
        <v>0</v>
      </c>
      <c r="N875" s="51">
        <v>233303</v>
      </c>
    </row>
    <row r="876" spans="1:14" ht="15.75" x14ac:dyDescent="0.25">
      <c r="A876" s="49" t="s">
        <v>550</v>
      </c>
      <c r="B876" s="50" t="s">
        <v>82</v>
      </c>
      <c r="C876" s="51">
        <v>1852328</v>
      </c>
      <c r="D876" s="51">
        <v>-18039</v>
      </c>
      <c r="E876" s="51">
        <v>0</v>
      </c>
      <c r="F876" s="51">
        <v>0</v>
      </c>
      <c r="G876" s="51">
        <v>0</v>
      </c>
      <c r="H876" s="51">
        <v>1834289</v>
      </c>
      <c r="I876" s="51">
        <v>-1568232</v>
      </c>
      <c r="J876" s="51">
        <v>266057</v>
      </c>
      <c r="K876" s="51">
        <v>0</v>
      </c>
      <c r="L876" s="51">
        <v>0</v>
      </c>
      <c r="M876" s="51">
        <v>0</v>
      </c>
      <c r="N876" s="51">
        <v>266057</v>
      </c>
    </row>
    <row r="877" spans="1:14" ht="15.75" x14ac:dyDescent="0.25">
      <c r="A877" s="49" t="s">
        <v>550</v>
      </c>
      <c r="B877" s="50" t="s">
        <v>83</v>
      </c>
      <c r="C877" s="51">
        <v>7193698</v>
      </c>
      <c r="D877" s="51">
        <v>-59183</v>
      </c>
      <c r="E877" s="51">
        <v>0</v>
      </c>
      <c r="F877" s="51">
        <v>0</v>
      </c>
      <c r="G877" s="51">
        <v>0</v>
      </c>
      <c r="H877" s="51">
        <v>7134515</v>
      </c>
      <c r="I877" s="51">
        <v>-5397077</v>
      </c>
      <c r="J877" s="51">
        <v>1737438</v>
      </c>
      <c r="K877" s="51">
        <v>0</v>
      </c>
      <c r="L877" s="51">
        <v>0</v>
      </c>
      <c r="M877" s="51">
        <v>0</v>
      </c>
      <c r="N877" s="51">
        <v>1737438</v>
      </c>
    </row>
    <row r="878" spans="1:14" ht="15.75" x14ac:dyDescent="0.25">
      <c r="A878" s="52" t="s">
        <v>428</v>
      </c>
      <c r="B878" s="53" t="s">
        <v>8</v>
      </c>
      <c r="C878" s="19">
        <f>SUBTOTAL(109,Program357[(C)
Program
Costs])</f>
        <v>12988600</v>
      </c>
      <c r="D878" s="19">
        <f>SUBTOTAL(109,Program357[(D)
Prior Period Adjustments])</f>
        <v>-93233</v>
      </c>
      <c r="E878" s="19">
        <f>SUBTOTAL(109,Program357[(E)
Current Period Desk 
Reviews])</f>
        <v>0</v>
      </c>
      <c r="F878" s="19">
        <f>SUBTOTAL(109,Program357[(F)
Current Period 
Final 
Audits])</f>
        <v>0</v>
      </c>
      <c r="G878" s="19">
        <f>SUBTOTAL(109,Program357[(G)
Current Period 
Other Adjustments])</f>
        <v>0</v>
      </c>
      <c r="H878" s="19">
        <f>SUBTOTAL(109,Program357[(H)
Net Program Costs
Sum (C through G)])</f>
        <v>12895367</v>
      </c>
      <c r="I878" s="19">
        <f>SUBTOTAL(109,Program357[(I)
Payments
 and Offsets])</f>
        <v>-10122002</v>
      </c>
      <c r="J878" s="19">
        <f>SUBTOTAL(109,Program357[(J)
Accounts Payable Balance
(H + I)])</f>
        <v>2773365</v>
      </c>
      <c r="K878" s="19">
        <f>SUBTOTAL(109,Program357[(K)
Established 
Accounts Receivable])</f>
        <v>0</v>
      </c>
      <c r="L878" s="19">
        <f>SUBTOTAL(109,Program357[(L)
Recovered
 Accounts Receivable])</f>
        <v>0</v>
      </c>
      <c r="M878" s="19">
        <f>SUBTOTAL(109,Program357[(M)
Accounts Receivable Balance
(K + L)])</f>
        <v>0</v>
      </c>
      <c r="N878" s="19">
        <f>SUBTOTAL(109,Program357[(N)
Net Balance
(J minus M)])</f>
        <v>2773365</v>
      </c>
    </row>
    <row r="879" spans="1:14" ht="15.75" x14ac:dyDescent="0.25">
      <c r="A879" s="17" t="s">
        <v>13</v>
      </c>
      <c r="B879" s="54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78.75" x14ac:dyDescent="0.25">
      <c r="A880" s="39" t="s">
        <v>32</v>
      </c>
      <c r="B880" s="40" t="s">
        <v>33</v>
      </c>
      <c r="C880" s="41" t="s">
        <v>34</v>
      </c>
      <c r="D880" s="41" t="s">
        <v>35</v>
      </c>
      <c r="E880" s="42" t="s">
        <v>36</v>
      </c>
      <c r="F880" s="42" t="s">
        <v>37</v>
      </c>
      <c r="G880" s="42" t="s">
        <v>38</v>
      </c>
      <c r="H880" s="43" t="s">
        <v>39</v>
      </c>
      <c r="I880" s="44" t="s">
        <v>40</v>
      </c>
      <c r="J880" s="44" t="s">
        <v>41</v>
      </c>
      <c r="K880" s="42" t="s">
        <v>42</v>
      </c>
      <c r="L880" s="44" t="s">
        <v>43</v>
      </c>
      <c r="M880" s="44" t="s">
        <v>44</v>
      </c>
      <c r="N880" s="45" t="s">
        <v>45</v>
      </c>
    </row>
    <row r="881" spans="1:14" ht="15.75" x14ac:dyDescent="0.25">
      <c r="A881" s="46" t="s">
        <v>549</v>
      </c>
      <c r="B881" s="47" t="s">
        <v>76</v>
      </c>
      <c r="C881" s="48">
        <v>9295</v>
      </c>
      <c r="D881" s="48">
        <v>0</v>
      </c>
      <c r="E881" s="48">
        <v>0</v>
      </c>
      <c r="F881" s="48">
        <v>0</v>
      </c>
      <c r="G881" s="48">
        <v>-1573</v>
      </c>
      <c r="H881" s="48">
        <v>7722</v>
      </c>
      <c r="I881" s="48">
        <v>0</v>
      </c>
      <c r="J881" s="48">
        <v>7722</v>
      </c>
      <c r="K881" s="48">
        <v>0</v>
      </c>
      <c r="L881" s="48">
        <v>0</v>
      </c>
      <c r="M881" s="48">
        <v>0</v>
      </c>
      <c r="N881" s="48">
        <v>7722</v>
      </c>
    </row>
    <row r="882" spans="1:14" ht="15.75" x14ac:dyDescent="0.25">
      <c r="A882" s="49" t="s">
        <v>549</v>
      </c>
      <c r="B882" s="50" t="s">
        <v>77</v>
      </c>
      <c r="C882" s="51">
        <v>8979</v>
      </c>
      <c r="D882" s="51">
        <v>316</v>
      </c>
      <c r="E882" s="51">
        <v>0</v>
      </c>
      <c r="F882" s="51">
        <v>0</v>
      </c>
      <c r="G882" s="51">
        <v>0</v>
      </c>
      <c r="H882" s="51">
        <v>9295</v>
      </c>
      <c r="I882" s="51">
        <v>-1000</v>
      </c>
      <c r="J882" s="51">
        <v>8295</v>
      </c>
      <c r="K882" s="51">
        <v>0</v>
      </c>
      <c r="L882" s="51">
        <v>0</v>
      </c>
      <c r="M882" s="51">
        <v>0</v>
      </c>
      <c r="N882" s="51">
        <v>8295</v>
      </c>
    </row>
    <row r="883" spans="1:14" ht="15.75" x14ac:dyDescent="0.25">
      <c r="A883" s="49" t="s">
        <v>549</v>
      </c>
      <c r="B883" s="50" t="s">
        <v>78</v>
      </c>
      <c r="C883" s="51">
        <v>18167</v>
      </c>
      <c r="D883" s="51">
        <v>321</v>
      </c>
      <c r="E883" s="51">
        <v>0</v>
      </c>
      <c r="F883" s="51">
        <v>0</v>
      </c>
      <c r="G883" s="51">
        <v>0</v>
      </c>
      <c r="H883" s="51">
        <v>18488</v>
      </c>
      <c r="I883" s="51">
        <v>-1000</v>
      </c>
      <c r="J883" s="51">
        <v>17488</v>
      </c>
      <c r="K883" s="51">
        <v>0</v>
      </c>
      <c r="L883" s="51">
        <v>0</v>
      </c>
      <c r="M883" s="51">
        <v>0</v>
      </c>
      <c r="N883" s="51">
        <v>17488</v>
      </c>
    </row>
    <row r="884" spans="1:14" ht="15.75" x14ac:dyDescent="0.25">
      <c r="A884" s="49" t="s">
        <v>549</v>
      </c>
      <c r="B884" s="50" t="s">
        <v>47</v>
      </c>
      <c r="C884" s="51">
        <v>23158</v>
      </c>
      <c r="D884" s="51">
        <v>366</v>
      </c>
      <c r="E884" s="51">
        <v>0</v>
      </c>
      <c r="F884" s="51">
        <v>0</v>
      </c>
      <c r="G884" s="51">
        <v>0</v>
      </c>
      <c r="H884" s="51">
        <v>23524</v>
      </c>
      <c r="I884" s="51">
        <v>-5404</v>
      </c>
      <c r="J884" s="51">
        <v>18120</v>
      </c>
      <c r="K884" s="51">
        <v>0</v>
      </c>
      <c r="L884" s="51">
        <v>0</v>
      </c>
      <c r="M884" s="51">
        <v>0</v>
      </c>
      <c r="N884" s="51">
        <v>18120</v>
      </c>
    </row>
    <row r="885" spans="1:14" ht="15.75" x14ac:dyDescent="0.25">
      <c r="A885" s="49" t="s">
        <v>549</v>
      </c>
      <c r="B885" s="50" t="s">
        <v>79</v>
      </c>
      <c r="C885" s="51">
        <v>33342</v>
      </c>
      <c r="D885" s="51">
        <v>81</v>
      </c>
      <c r="E885" s="51">
        <v>0</v>
      </c>
      <c r="F885" s="51">
        <v>0</v>
      </c>
      <c r="G885" s="51">
        <v>0</v>
      </c>
      <c r="H885" s="51">
        <v>33423</v>
      </c>
      <c r="I885" s="51">
        <v>-6448</v>
      </c>
      <c r="J885" s="51">
        <v>26975</v>
      </c>
      <c r="K885" s="51">
        <v>0</v>
      </c>
      <c r="L885" s="51">
        <v>0</v>
      </c>
      <c r="M885" s="51">
        <v>0</v>
      </c>
      <c r="N885" s="51">
        <v>26975</v>
      </c>
    </row>
    <row r="886" spans="1:14" ht="15.75" x14ac:dyDescent="0.25">
      <c r="A886" s="49" t="s">
        <v>549</v>
      </c>
      <c r="B886" s="50" t="s">
        <v>80</v>
      </c>
      <c r="C886" s="51">
        <v>4825620</v>
      </c>
      <c r="D886" s="51">
        <v>-4597889</v>
      </c>
      <c r="E886" s="51">
        <v>0</v>
      </c>
      <c r="F886" s="51">
        <v>0</v>
      </c>
      <c r="G886" s="51">
        <v>0</v>
      </c>
      <c r="H886" s="51">
        <v>227731</v>
      </c>
      <c r="I886" s="51">
        <v>-87827</v>
      </c>
      <c r="J886" s="51">
        <v>139904</v>
      </c>
      <c r="K886" s="51">
        <v>0</v>
      </c>
      <c r="L886" s="51">
        <v>0</v>
      </c>
      <c r="M886" s="51">
        <v>0</v>
      </c>
      <c r="N886" s="51">
        <v>139904</v>
      </c>
    </row>
    <row r="887" spans="1:14" ht="15.75" x14ac:dyDescent="0.25">
      <c r="A887" s="49" t="s">
        <v>549</v>
      </c>
      <c r="B887" s="50" t="s">
        <v>81</v>
      </c>
      <c r="C887" s="51">
        <v>4681527</v>
      </c>
      <c r="D887" s="51">
        <v>-4414890</v>
      </c>
      <c r="E887" s="51">
        <v>0</v>
      </c>
      <c r="F887" s="51">
        <v>0</v>
      </c>
      <c r="G887" s="51">
        <v>0</v>
      </c>
      <c r="H887" s="51">
        <v>266637</v>
      </c>
      <c r="I887" s="51">
        <v>-137331</v>
      </c>
      <c r="J887" s="51">
        <v>129306</v>
      </c>
      <c r="K887" s="51">
        <v>0</v>
      </c>
      <c r="L887" s="51">
        <v>0</v>
      </c>
      <c r="M887" s="51">
        <v>0</v>
      </c>
      <c r="N887" s="51">
        <v>129306</v>
      </c>
    </row>
    <row r="888" spans="1:14" ht="15.75" x14ac:dyDescent="0.25">
      <c r="A888" s="49" t="s">
        <v>549</v>
      </c>
      <c r="B888" s="50" t="s">
        <v>82</v>
      </c>
      <c r="C888" s="51">
        <v>4589134</v>
      </c>
      <c r="D888" s="51">
        <v>-3834933</v>
      </c>
      <c r="E888" s="51">
        <v>0</v>
      </c>
      <c r="F888" s="51">
        <v>0</v>
      </c>
      <c r="G888" s="51">
        <v>0</v>
      </c>
      <c r="H888" s="51">
        <v>754201</v>
      </c>
      <c r="I888" s="51">
        <v>-594151</v>
      </c>
      <c r="J888" s="51">
        <v>160050</v>
      </c>
      <c r="K888" s="51">
        <v>0</v>
      </c>
      <c r="L888" s="51">
        <v>0</v>
      </c>
      <c r="M888" s="51">
        <v>0</v>
      </c>
      <c r="N888" s="51">
        <v>160050</v>
      </c>
    </row>
    <row r="889" spans="1:14" ht="15.75" x14ac:dyDescent="0.25">
      <c r="A889" s="49" t="s">
        <v>549</v>
      </c>
      <c r="B889" s="50" t="s">
        <v>83</v>
      </c>
      <c r="C889" s="51">
        <v>4552870</v>
      </c>
      <c r="D889" s="51">
        <v>4538</v>
      </c>
      <c r="E889" s="51">
        <v>0</v>
      </c>
      <c r="F889" s="51">
        <v>0</v>
      </c>
      <c r="G889" s="51">
        <v>0</v>
      </c>
      <c r="H889" s="51">
        <v>4557408</v>
      </c>
      <c r="I889" s="51">
        <v>-4089648</v>
      </c>
      <c r="J889" s="51">
        <v>467760</v>
      </c>
      <c r="K889" s="51">
        <v>0</v>
      </c>
      <c r="L889" s="51">
        <v>0</v>
      </c>
      <c r="M889" s="51">
        <v>0</v>
      </c>
      <c r="N889" s="51">
        <v>467760</v>
      </c>
    </row>
    <row r="890" spans="1:14" ht="15.75" x14ac:dyDescent="0.25">
      <c r="A890" s="49" t="s">
        <v>549</v>
      </c>
      <c r="B890" s="50" t="s">
        <v>48</v>
      </c>
      <c r="C890" s="51">
        <v>4523685</v>
      </c>
      <c r="D890" s="51">
        <v>0</v>
      </c>
      <c r="E890" s="51">
        <v>0</v>
      </c>
      <c r="F890" s="51">
        <v>0</v>
      </c>
      <c r="G890" s="51">
        <v>0</v>
      </c>
      <c r="H890" s="51">
        <v>4523685</v>
      </c>
      <c r="I890" s="51">
        <v>-4169933</v>
      </c>
      <c r="J890" s="51">
        <v>353752</v>
      </c>
      <c r="K890" s="51">
        <v>0</v>
      </c>
      <c r="L890" s="51">
        <v>0</v>
      </c>
      <c r="M890" s="51">
        <v>0</v>
      </c>
      <c r="N890" s="51">
        <v>353752</v>
      </c>
    </row>
    <row r="891" spans="1:14" ht="15.75" x14ac:dyDescent="0.25">
      <c r="A891" s="49" t="s">
        <v>549</v>
      </c>
      <c r="B891" s="50" t="s">
        <v>49</v>
      </c>
      <c r="C891" s="51">
        <v>4624513</v>
      </c>
      <c r="D891" s="51">
        <v>46940</v>
      </c>
      <c r="E891" s="51">
        <v>0</v>
      </c>
      <c r="F891" s="51">
        <v>0</v>
      </c>
      <c r="G891" s="51">
        <v>0</v>
      </c>
      <c r="H891" s="51">
        <v>4671453</v>
      </c>
      <c r="I891" s="51">
        <v>-4619165</v>
      </c>
      <c r="J891" s="51">
        <v>52288</v>
      </c>
      <c r="K891" s="51">
        <v>0</v>
      </c>
      <c r="L891" s="51">
        <v>0</v>
      </c>
      <c r="M891" s="51">
        <v>0</v>
      </c>
      <c r="N891" s="51">
        <v>52288</v>
      </c>
    </row>
    <row r="892" spans="1:14" ht="15.75" x14ac:dyDescent="0.25">
      <c r="A892" s="49" t="s">
        <v>549</v>
      </c>
      <c r="B892" s="50" t="s">
        <v>50</v>
      </c>
      <c r="C892" s="51">
        <v>4587289</v>
      </c>
      <c r="D892" s="51">
        <v>78855</v>
      </c>
      <c r="E892" s="51">
        <v>0</v>
      </c>
      <c r="F892" s="51">
        <v>0</v>
      </c>
      <c r="G892" s="51">
        <v>0</v>
      </c>
      <c r="H892" s="51">
        <v>4666144</v>
      </c>
      <c r="I892" s="51">
        <v>-4664857</v>
      </c>
      <c r="J892" s="51">
        <v>1287</v>
      </c>
      <c r="K892" s="51">
        <v>15736</v>
      </c>
      <c r="L892" s="51">
        <v>-1126</v>
      </c>
      <c r="M892" s="51">
        <v>14610</v>
      </c>
      <c r="N892" s="51">
        <v>-13323</v>
      </c>
    </row>
    <row r="893" spans="1:14" ht="15.75" x14ac:dyDescent="0.25">
      <c r="A893" s="49" t="s">
        <v>549</v>
      </c>
      <c r="B893" s="50" t="s">
        <v>51</v>
      </c>
      <c r="C893" s="51">
        <v>4331771</v>
      </c>
      <c r="D893" s="51">
        <v>34178</v>
      </c>
      <c r="E893" s="51">
        <v>0</v>
      </c>
      <c r="F893" s="51">
        <v>0</v>
      </c>
      <c r="G893" s="51">
        <v>0</v>
      </c>
      <c r="H893" s="51">
        <v>4365949</v>
      </c>
      <c r="I893" s="51">
        <v>-4220239</v>
      </c>
      <c r="J893" s="51">
        <v>145710</v>
      </c>
      <c r="K893" s="51">
        <v>2</v>
      </c>
      <c r="L893" s="51">
        <v>0</v>
      </c>
      <c r="M893" s="51">
        <v>2</v>
      </c>
      <c r="N893" s="51">
        <v>145708</v>
      </c>
    </row>
    <row r="894" spans="1:14" ht="15.75" x14ac:dyDescent="0.25">
      <c r="A894" s="49" t="s">
        <v>549</v>
      </c>
      <c r="B894" s="50" t="s">
        <v>52</v>
      </c>
      <c r="C894" s="51">
        <v>4109726</v>
      </c>
      <c r="D894" s="51">
        <v>41781</v>
      </c>
      <c r="E894" s="51">
        <v>0</v>
      </c>
      <c r="F894" s="51">
        <v>0</v>
      </c>
      <c r="G894" s="51">
        <v>0</v>
      </c>
      <c r="H894" s="51">
        <v>4151507</v>
      </c>
      <c r="I894" s="51">
        <v>-4077222</v>
      </c>
      <c r="J894" s="51">
        <v>74285</v>
      </c>
      <c r="K894" s="51">
        <v>1352</v>
      </c>
      <c r="L894" s="51">
        <v>-912</v>
      </c>
      <c r="M894" s="51">
        <v>440</v>
      </c>
      <c r="N894" s="51">
        <v>73845</v>
      </c>
    </row>
    <row r="895" spans="1:14" ht="15.75" x14ac:dyDescent="0.25">
      <c r="A895" s="49" t="s">
        <v>549</v>
      </c>
      <c r="B895" s="50" t="s">
        <v>53</v>
      </c>
      <c r="C895" s="51">
        <v>3932249</v>
      </c>
      <c r="D895" s="51">
        <v>8317</v>
      </c>
      <c r="E895" s="51">
        <v>0</v>
      </c>
      <c r="F895" s="51">
        <v>0</v>
      </c>
      <c r="G895" s="51">
        <v>0</v>
      </c>
      <c r="H895" s="51">
        <v>3940566</v>
      </c>
      <c r="I895" s="51">
        <v>-3912544</v>
      </c>
      <c r="J895" s="51">
        <v>28022</v>
      </c>
      <c r="K895" s="51">
        <v>0</v>
      </c>
      <c r="L895" s="51">
        <v>0</v>
      </c>
      <c r="M895" s="51">
        <v>0</v>
      </c>
      <c r="N895" s="51">
        <v>28022</v>
      </c>
    </row>
    <row r="896" spans="1:14" ht="15.75" x14ac:dyDescent="0.25">
      <c r="A896" s="49" t="s">
        <v>549</v>
      </c>
      <c r="B896" s="50" t="s">
        <v>54</v>
      </c>
      <c r="C896" s="51">
        <v>3770599</v>
      </c>
      <c r="D896" s="51">
        <v>-20095</v>
      </c>
      <c r="E896" s="51">
        <v>0</v>
      </c>
      <c r="F896" s="51">
        <v>0</v>
      </c>
      <c r="G896" s="51">
        <v>0</v>
      </c>
      <c r="H896" s="51">
        <v>3750504</v>
      </c>
      <c r="I896" s="51">
        <v>-3750504</v>
      </c>
      <c r="J896" s="51">
        <v>0</v>
      </c>
      <c r="K896" s="51">
        <v>7395</v>
      </c>
      <c r="L896" s="51">
        <v>-5028</v>
      </c>
      <c r="M896" s="51">
        <v>2367</v>
      </c>
      <c r="N896" s="51">
        <v>-2367</v>
      </c>
    </row>
    <row r="897" spans="1:14" ht="15.75" x14ac:dyDescent="0.25">
      <c r="A897" s="49" t="s">
        <v>549</v>
      </c>
      <c r="B897" s="50" t="s">
        <v>55</v>
      </c>
      <c r="C897" s="51">
        <v>3704740</v>
      </c>
      <c r="D897" s="51">
        <v>7065</v>
      </c>
      <c r="E897" s="51">
        <v>0</v>
      </c>
      <c r="F897" s="51">
        <v>0</v>
      </c>
      <c r="G897" s="51">
        <v>0</v>
      </c>
      <c r="H897" s="51">
        <v>3711805</v>
      </c>
      <c r="I897" s="51">
        <v>-3711805</v>
      </c>
      <c r="J897" s="51">
        <v>0</v>
      </c>
      <c r="K897" s="51">
        <v>3393</v>
      </c>
      <c r="L897" s="51">
        <v>-3393</v>
      </c>
      <c r="M897" s="51">
        <v>0</v>
      </c>
      <c r="N897" s="51">
        <v>0</v>
      </c>
    </row>
    <row r="898" spans="1:14" ht="15.75" x14ac:dyDescent="0.25">
      <c r="A898" s="49" t="s">
        <v>549</v>
      </c>
      <c r="B898" s="50" t="s">
        <v>56</v>
      </c>
      <c r="C898" s="51">
        <v>3626223</v>
      </c>
      <c r="D898" s="51">
        <v>-65200</v>
      </c>
      <c r="E898" s="51">
        <v>0</v>
      </c>
      <c r="F898" s="51">
        <v>0</v>
      </c>
      <c r="G898" s="51">
        <v>0</v>
      </c>
      <c r="H898" s="51">
        <v>3561023</v>
      </c>
      <c r="I898" s="51">
        <v>-3561023</v>
      </c>
      <c r="J898" s="51">
        <v>0</v>
      </c>
      <c r="K898" s="51">
        <v>6886</v>
      </c>
      <c r="L898" s="51">
        <v>-6886</v>
      </c>
      <c r="M898" s="51">
        <v>0</v>
      </c>
      <c r="N898" s="51">
        <v>0</v>
      </c>
    </row>
    <row r="899" spans="1:14" ht="15.75" x14ac:dyDescent="0.25">
      <c r="A899" s="49" t="s">
        <v>549</v>
      </c>
      <c r="B899" s="50" t="s">
        <v>57</v>
      </c>
      <c r="C899" s="51">
        <v>3601253</v>
      </c>
      <c r="D899" s="51">
        <v>45137</v>
      </c>
      <c r="E899" s="51">
        <v>0</v>
      </c>
      <c r="F899" s="51">
        <v>0</v>
      </c>
      <c r="G899" s="51">
        <v>0</v>
      </c>
      <c r="H899" s="51">
        <v>3646390</v>
      </c>
      <c r="I899" s="51">
        <v>-3646390</v>
      </c>
      <c r="J899" s="51">
        <v>0</v>
      </c>
      <c r="K899" s="51">
        <v>6654</v>
      </c>
      <c r="L899" s="51">
        <v>-6654</v>
      </c>
      <c r="M899" s="51">
        <v>0</v>
      </c>
      <c r="N899" s="51">
        <v>0</v>
      </c>
    </row>
    <row r="900" spans="1:14" ht="15.75" x14ac:dyDescent="0.25">
      <c r="A900" s="49" t="s">
        <v>549</v>
      </c>
      <c r="B900" s="50" t="s">
        <v>58</v>
      </c>
      <c r="C900" s="51">
        <v>3405045</v>
      </c>
      <c r="D900" s="51">
        <v>-8237</v>
      </c>
      <c r="E900" s="51">
        <v>0</v>
      </c>
      <c r="F900" s="51">
        <v>0</v>
      </c>
      <c r="G900" s="51">
        <v>0</v>
      </c>
      <c r="H900" s="51">
        <v>3396808</v>
      </c>
      <c r="I900" s="51">
        <v>-3396808</v>
      </c>
      <c r="J900" s="51">
        <v>0</v>
      </c>
      <c r="K900" s="51">
        <v>111844</v>
      </c>
      <c r="L900" s="51">
        <v>-111844</v>
      </c>
      <c r="M900" s="51">
        <v>0</v>
      </c>
      <c r="N900" s="51">
        <v>0</v>
      </c>
    </row>
    <row r="901" spans="1:14" ht="15.75" x14ac:dyDescent="0.25">
      <c r="A901" s="49" t="s">
        <v>549</v>
      </c>
      <c r="B901" s="50" t="s">
        <v>59</v>
      </c>
      <c r="C901" s="51">
        <v>3327127</v>
      </c>
      <c r="D901" s="51">
        <v>-30529</v>
      </c>
      <c r="E901" s="51">
        <v>0</v>
      </c>
      <c r="F901" s="51">
        <v>0</v>
      </c>
      <c r="G901" s="51">
        <v>0</v>
      </c>
      <c r="H901" s="51">
        <v>3296598</v>
      </c>
      <c r="I901" s="51">
        <v>-3296598</v>
      </c>
      <c r="J901" s="51">
        <v>0</v>
      </c>
      <c r="K901" s="51">
        <v>28395</v>
      </c>
      <c r="L901" s="51">
        <v>-28395</v>
      </c>
      <c r="M901" s="51">
        <v>0</v>
      </c>
      <c r="N901" s="51">
        <v>0</v>
      </c>
    </row>
    <row r="902" spans="1:14" ht="15.75" x14ac:dyDescent="0.25">
      <c r="A902" s="49" t="s">
        <v>549</v>
      </c>
      <c r="B902" s="50" t="s">
        <v>60</v>
      </c>
      <c r="C902" s="51">
        <v>3358704</v>
      </c>
      <c r="D902" s="51">
        <v>-21684</v>
      </c>
      <c r="E902" s="51">
        <v>0</v>
      </c>
      <c r="F902" s="51">
        <v>0</v>
      </c>
      <c r="G902" s="51">
        <v>0</v>
      </c>
      <c r="H902" s="51">
        <v>3337020</v>
      </c>
      <c r="I902" s="51">
        <v>-3337020</v>
      </c>
      <c r="J902" s="51">
        <v>0</v>
      </c>
      <c r="K902" s="51">
        <v>8507</v>
      </c>
      <c r="L902" s="51">
        <v>-8507</v>
      </c>
      <c r="M902" s="51">
        <v>0</v>
      </c>
      <c r="N902" s="51">
        <v>0</v>
      </c>
    </row>
    <row r="903" spans="1:14" ht="15.75" x14ac:dyDescent="0.25">
      <c r="A903" s="49" t="s">
        <v>549</v>
      </c>
      <c r="B903" s="50" t="s">
        <v>61</v>
      </c>
      <c r="C903" s="51">
        <v>3254479</v>
      </c>
      <c r="D903" s="51">
        <v>-701</v>
      </c>
      <c r="E903" s="51">
        <v>0</v>
      </c>
      <c r="F903" s="51">
        <v>0</v>
      </c>
      <c r="G903" s="51">
        <v>0</v>
      </c>
      <c r="H903" s="51">
        <v>3253778</v>
      </c>
      <c r="I903" s="51">
        <v>-3253778</v>
      </c>
      <c r="J903" s="51">
        <v>0</v>
      </c>
      <c r="K903" s="51">
        <v>23176</v>
      </c>
      <c r="L903" s="51">
        <v>-23176</v>
      </c>
      <c r="M903" s="51">
        <v>0</v>
      </c>
      <c r="N903" s="51">
        <v>0</v>
      </c>
    </row>
    <row r="904" spans="1:14" ht="15.75" x14ac:dyDescent="0.25">
      <c r="A904" s="49" t="s">
        <v>549</v>
      </c>
      <c r="B904" s="50" t="s">
        <v>62</v>
      </c>
      <c r="C904" s="51">
        <v>3111259</v>
      </c>
      <c r="D904" s="51">
        <v>-20174</v>
      </c>
      <c r="E904" s="51">
        <v>0</v>
      </c>
      <c r="F904" s="51">
        <v>0</v>
      </c>
      <c r="G904" s="51">
        <v>0</v>
      </c>
      <c r="H904" s="51">
        <v>3091085</v>
      </c>
      <c r="I904" s="51">
        <v>-3091085</v>
      </c>
      <c r="J904" s="51">
        <v>0</v>
      </c>
      <c r="K904" s="51">
        <v>10472</v>
      </c>
      <c r="L904" s="51">
        <v>-10472</v>
      </c>
      <c r="M904" s="51">
        <v>0</v>
      </c>
      <c r="N904" s="51">
        <v>0</v>
      </c>
    </row>
    <row r="905" spans="1:14" ht="15.75" x14ac:dyDescent="0.25">
      <c r="A905" s="49" t="s">
        <v>549</v>
      </c>
      <c r="B905" s="50" t="s">
        <v>63</v>
      </c>
      <c r="C905" s="51">
        <v>2920660</v>
      </c>
      <c r="D905" s="51">
        <v>-2095</v>
      </c>
      <c r="E905" s="51">
        <v>0</v>
      </c>
      <c r="F905" s="51">
        <v>0</v>
      </c>
      <c r="G905" s="51">
        <v>0</v>
      </c>
      <c r="H905" s="51">
        <v>2918565</v>
      </c>
      <c r="I905" s="51">
        <v>-2918565</v>
      </c>
      <c r="J905" s="51">
        <v>0</v>
      </c>
      <c r="K905" s="51">
        <v>9348</v>
      </c>
      <c r="L905" s="51">
        <v>-9348</v>
      </c>
      <c r="M905" s="51">
        <v>0</v>
      </c>
      <c r="N905" s="51">
        <v>0</v>
      </c>
    </row>
    <row r="906" spans="1:14" ht="15.75" x14ac:dyDescent="0.25">
      <c r="A906" s="49" t="s">
        <v>549</v>
      </c>
      <c r="B906" s="50" t="s">
        <v>64</v>
      </c>
      <c r="C906" s="51">
        <v>2811538.080000001</v>
      </c>
      <c r="D906" s="51">
        <v>-12501.19</v>
      </c>
      <c r="E906" s="51">
        <v>0</v>
      </c>
      <c r="F906" s="51">
        <v>0</v>
      </c>
      <c r="G906" s="51">
        <v>0</v>
      </c>
      <c r="H906" s="51">
        <v>2799036.8900000011</v>
      </c>
      <c r="I906" s="51">
        <v>-2799036.8900000006</v>
      </c>
      <c r="J906" s="51">
        <v>0</v>
      </c>
      <c r="K906" s="51">
        <v>200000</v>
      </c>
      <c r="L906" s="51">
        <v>-200000</v>
      </c>
      <c r="M906" s="51">
        <v>0</v>
      </c>
      <c r="N906" s="51">
        <v>0</v>
      </c>
    </row>
    <row r="907" spans="1:14" ht="15.75" x14ac:dyDescent="0.25">
      <c r="A907" s="49" t="s">
        <v>549</v>
      </c>
      <c r="B907" s="50" t="s">
        <v>65</v>
      </c>
      <c r="C907" s="51">
        <v>1309526</v>
      </c>
      <c r="D907" s="51">
        <v>0</v>
      </c>
      <c r="E907" s="51">
        <v>0</v>
      </c>
      <c r="F907" s="51">
        <v>0</v>
      </c>
      <c r="G907" s="51">
        <v>0</v>
      </c>
      <c r="H907" s="51">
        <v>1309526</v>
      </c>
      <c r="I907" s="51">
        <v>-1309526</v>
      </c>
      <c r="J907" s="51">
        <v>0</v>
      </c>
      <c r="K907" s="51">
        <v>264</v>
      </c>
      <c r="L907" s="51">
        <v>-264</v>
      </c>
      <c r="M907" s="51">
        <v>0</v>
      </c>
      <c r="N907" s="51">
        <v>0</v>
      </c>
    </row>
    <row r="908" spans="1:14" ht="15.75" x14ac:dyDescent="0.25">
      <c r="A908" s="49" t="s">
        <v>549</v>
      </c>
      <c r="B908" s="50" t="s">
        <v>66</v>
      </c>
      <c r="C908" s="51">
        <v>92453</v>
      </c>
      <c r="D908" s="51">
        <v>-1292</v>
      </c>
      <c r="E908" s="51">
        <v>0</v>
      </c>
      <c r="F908" s="51">
        <v>0</v>
      </c>
      <c r="G908" s="51">
        <v>0</v>
      </c>
      <c r="H908" s="51">
        <v>91161</v>
      </c>
      <c r="I908" s="51">
        <v>-91161</v>
      </c>
      <c r="J908" s="51">
        <v>0</v>
      </c>
      <c r="K908" s="51">
        <v>0</v>
      </c>
      <c r="L908" s="51">
        <v>0</v>
      </c>
      <c r="M908" s="51">
        <v>0</v>
      </c>
      <c r="N908" s="51">
        <v>0</v>
      </c>
    </row>
    <row r="909" spans="1:14" ht="15.75" x14ac:dyDescent="0.25">
      <c r="A909" s="49" t="s">
        <v>549</v>
      </c>
      <c r="B909" s="50" t="s">
        <v>67</v>
      </c>
      <c r="C909" s="51">
        <v>2358281</v>
      </c>
      <c r="D909" s="51">
        <v>-4837</v>
      </c>
      <c r="E909" s="51">
        <v>0</v>
      </c>
      <c r="F909" s="51">
        <v>0</v>
      </c>
      <c r="G909" s="51">
        <v>0</v>
      </c>
      <c r="H909" s="51">
        <v>2353444</v>
      </c>
      <c r="I909" s="51">
        <v>-2353444</v>
      </c>
      <c r="J909" s="51">
        <v>0</v>
      </c>
      <c r="K909" s="51">
        <v>45558</v>
      </c>
      <c r="L909" s="51">
        <v>-45558</v>
      </c>
      <c r="M909" s="51">
        <v>0</v>
      </c>
      <c r="N909" s="51">
        <v>0</v>
      </c>
    </row>
    <row r="910" spans="1:14" ht="15.75" x14ac:dyDescent="0.25">
      <c r="A910" s="49" t="s">
        <v>549</v>
      </c>
      <c r="B910" s="50" t="s">
        <v>68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929</v>
      </c>
      <c r="L910" s="51">
        <v>-929</v>
      </c>
      <c r="M910" s="51">
        <v>0</v>
      </c>
      <c r="N910" s="51">
        <v>0</v>
      </c>
    </row>
    <row r="911" spans="1:14" ht="15.75" x14ac:dyDescent="0.25">
      <c r="A911" s="49" t="s">
        <v>549</v>
      </c>
      <c r="B911" s="50" t="s">
        <v>69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338</v>
      </c>
      <c r="L911" s="51">
        <v>-338</v>
      </c>
      <c r="M911" s="51">
        <v>0</v>
      </c>
      <c r="N911" s="51">
        <v>0</v>
      </c>
    </row>
    <row r="912" spans="1:14" ht="15.75" x14ac:dyDescent="0.25">
      <c r="A912" s="49" t="s">
        <v>549</v>
      </c>
      <c r="B912" s="50" t="s">
        <v>115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1204</v>
      </c>
      <c r="L912" s="51">
        <v>-1204</v>
      </c>
      <c r="M912" s="51">
        <v>0</v>
      </c>
      <c r="N912" s="51">
        <v>0</v>
      </c>
    </row>
    <row r="913" spans="1:14" ht="15.75" x14ac:dyDescent="0.25">
      <c r="A913" s="49" t="s">
        <v>549</v>
      </c>
      <c r="B913" s="50" t="s">
        <v>100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127</v>
      </c>
      <c r="L913" s="51">
        <v>-127</v>
      </c>
      <c r="M913" s="51">
        <v>0</v>
      </c>
      <c r="N913" s="51">
        <v>0</v>
      </c>
    </row>
    <row r="914" spans="1:14" ht="15.75" x14ac:dyDescent="0.25">
      <c r="A914" s="52" t="s">
        <v>427</v>
      </c>
      <c r="B914" s="53" t="s">
        <v>8</v>
      </c>
      <c r="C914" s="19">
        <f>SUBTOTAL(109,Program032[(C)
Program
Costs])</f>
        <v>85503212.079999998</v>
      </c>
      <c r="D914" s="19">
        <f>SUBTOTAL(109,Program032[(D)
Prior Period Adjustments])</f>
        <v>-12767162.189999999</v>
      </c>
      <c r="E914" s="19">
        <f>SUBTOTAL(109,Program032[(E)
Current Period Desk 
Reviews])</f>
        <v>0</v>
      </c>
      <c r="F914" s="19">
        <f>SUBTOTAL(109,Program032[(F)
Current Period 
Final 
Audits])</f>
        <v>0</v>
      </c>
      <c r="G914" s="19">
        <f>SUBTOTAL(109,Program032[(G)
Current Period 
Other Adjustments])</f>
        <v>-1573</v>
      </c>
      <c r="H914" s="19">
        <f>SUBTOTAL(109,Program032[(H)
Net Program Costs
Sum (C through G)])</f>
        <v>72734476.890000001</v>
      </c>
      <c r="I914" s="19">
        <f>SUBTOTAL(109,Program032[(I)
Payments
 and Offsets])</f>
        <v>-71103512.890000001</v>
      </c>
      <c r="J914" s="19">
        <f>SUBTOTAL(109,Program032[(J)
Accounts Payable Balance
(H + I)])</f>
        <v>1630964</v>
      </c>
      <c r="K914" s="19">
        <f>SUBTOTAL(109,Program032[(K)
Established 
Accounts Receivable])</f>
        <v>481580</v>
      </c>
      <c r="L914" s="19">
        <f>SUBTOTAL(109,Program032[(L)
Recovered
 Accounts Receivable])</f>
        <v>-464161</v>
      </c>
      <c r="M914" s="19">
        <f>SUBTOTAL(109,Program032[(M)
Accounts Receivable Balance
(K + L)])</f>
        <v>17419</v>
      </c>
      <c r="N914" s="19">
        <f>SUBTOTAL(109,Program032[(N)
Net Balance
(J minus M)])</f>
        <v>1613545</v>
      </c>
    </row>
    <row r="915" spans="1:14" ht="15.75" x14ac:dyDescent="0.25">
      <c r="A915" s="17" t="s">
        <v>13</v>
      </c>
      <c r="B915" s="54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</row>
    <row r="916" spans="1:14" ht="78.75" x14ac:dyDescent="0.25">
      <c r="A916" s="39" t="s">
        <v>32</v>
      </c>
      <c r="B916" s="40" t="s">
        <v>33</v>
      </c>
      <c r="C916" s="41" t="s">
        <v>34</v>
      </c>
      <c r="D916" s="41" t="s">
        <v>35</v>
      </c>
      <c r="E916" s="42" t="s">
        <v>36</v>
      </c>
      <c r="F916" s="42" t="s">
        <v>37</v>
      </c>
      <c r="G916" s="42" t="s">
        <v>38</v>
      </c>
      <c r="H916" s="43" t="s">
        <v>39</v>
      </c>
      <c r="I916" s="44" t="s">
        <v>40</v>
      </c>
      <c r="J916" s="44" t="s">
        <v>41</v>
      </c>
      <c r="K916" s="42" t="s">
        <v>42</v>
      </c>
      <c r="L916" s="44" t="s">
        <v>43</v>
      </c>
      <c r="M916" s="44" t="s">
        <v>44</v>
      </c>
      <c r="N916" s="45" t="s">
        <v>45</v>
      </c>
    </row>
    <row r="917" spans="1:14" ht="15.75" x14ac:dyDescent="0.25">
      <c r="A917" s="46" t="s">
        <v>548</v>
      </c>
      <c r="B917" s="47" t="s">
        <v>79</v>
      </c>
      <c r="C917" s="48">
        <v>2021</v>
      </c>
      <c r="D917" s="48">
        <v>0</v>
      </c>
      <c r="E917" s="48">
        <v>0</v>
      </c>
      <c r="F917" s="48">
        <v>0</v>
      </c>
      <c r="G917" s="48">
        <v>0</v>
      </c>
      <c r="H917" s="48">
        <v>2021</v>
      </c>
      <c r="I917" s="48">
        <v>-2021</v>
      </c>
      <c r="J917" s="48">
        <v>0</v>
      </c>
      <c r="K917" s="48">
        <v>0</v>
      </c>
      <c r="L917" s="48">
        <v>0</v>
      </c>
      <c r="M917" s="48">
        <v>0</v>
      </c>
      <c r="N917" s="48">
        <v>0</v>
      </c>
    </row>
    <row r="918" spans="1:14" ht="15.75" x14ac:dyDescent="0.25">
      <c r="A918" s="49" t="s">
        <v>548</v>
      </c>
      <c r="B918" s="50" t="s">
        <v>80</v>
      </c>
      <c r="C918" s="51">
        <v>8713</v>
      </c>
      <c r="D918" s="51">
        <v>0</v>
      </c>
      <c r="E918" s="51">
        <v>0</v>
      </c>
      <c r="F918" s="51">
        <v>0</v>
      </c>
      <c r="G918" s="51">
        <v>0</v>
      </c>
      <c r="H918" s="51">
        <v>8713</v>
      </c>
      <c r="I918" s="51">
        <v>-1000</v>
      </c>
      <c r="J918" s="51">
        <v>7713</v>
      </c>
      <c r="K918" s="51">
        <v>0</v>
      </c>
      <c r="L918" s="51">
        <v>0</v>
      </c>
      <c r="M918" s="51">
        <v>0</v>
      </c>
      <c r="N918" s="51">
        <v>7713</v>
      </c>
    </row>
    <row r="919" spans="1:14" ht="15.75" x14ac:dyDescent="0.25">
      <c r="A919" s="49" t="s">
        <v>548</v>
      </c>
      <c r="B919" s="50" t="s">
        <v>81</v>
      </c>
      <c r="C919" s="51">
        <v>5963</v>
      </c>
      <c r="D919" s="51">
        <v>0</v>
      </c>
      <c r="E919" s="51">
        <v>0</v>
      </c>
      <c r="F919" s="51">
        <v>0</v>
      </c>
      <c r="G919" s="51">
        <v>0</v>
      </c>
      <c r="H919" s="51">
        <v>5963</v>
      </c>
      <c r="I919" s="51">
        <v>-2158</v>
      </c>
      <c r="J919" s="51">
        <v>3805</v>
      </c>
      <c r="K919" s="51">
        <v>0</v>
      </c>
      <c r="L919" s="51">
        <v>0</v>
      </c>
      <c r="M919" s="51">
        <v>0</v>
      </c>
      <c r="N919" s="51">
        <v>3805</v>
      </c>
    </row>
    <row r="920" spans="1:14" ht="15.75" x14ac:dyDescent="0.25">
      <c r="A920" s="49" t="s">
        <v>548</v>
      </c>
      <c r="B920" s="50" t="s">
        <v>82</v>
      </c>
      <c r="C920" s="51">
        <v>14148</v>
      </c>
      <c r="D920" s="51">
        <v>0</v>
      </c>
      <c r="E920" s="51">
        <v>0</v>
      </c>
      <c r="F920" s="51">
        <v>0</v>
      </c>
      <c r="G920" s="51">
        <v>0</v>
      </c>
      <c r="H920" s="51">
        <v>14148</v>
      </c>
      <c r="I920" s="51">
        <v>-3224</v>
      </c>
      <c r="J920" s="51">
        <v>10924</v>
      </c>
      <c r="K920" s="51">
        <v>0</v>
      </c>
      <c r="L920" s="51">
        <v>0</v>
      </c>
      <c r="M920" s="51">
        <v>0</v>
      </c>
      <c r="N920" s="51">
        <v>10924</v>
      </c>
    </row>
    <row r="921" spans="1:14" ht="15.75" x14ac:dyDescent="0.25">
      <c r="A921" s="49" t="s">
        <v>548</v>
      </c>
      <c r="B921" s="50" t="s">
        <v>83</v>
      </c>
      <c r="C921" s="51">
        <v>287714</v>
      </c>
      <c r="D921" s="51">
        <v>-69160</v>
      </c>
      <c r="E921" s="51">
        <v>0</v>
      </c>
      <c r="F921" s="51">
        <v>0</v>
      </c>
      <c r="G921" s="51">
        <v>0</v>
      </c>
      <c r="H921" s="51">
        <v>218554</v>
      </c>
      <c r="I921" s="51">
        <v>-3127</v>
      </c>
      <c r="J921" s="51">
        <v>215427</v>
      </c>
      <c r="K921" s="51">
        <v>0</v>
      </c>
      <c r="L921" s="51">
        <v>0</v>
      </c>
      <c r="M921" s="51">
        <v>0</v>
      </c>
      <c r="N921" s="51">
        <v>215427</v>
      </c>
    </row>
    <row r="922" spans="1:14" ht="15.75" x14ac:dyDescent="0.25">
      <c r="A922" s="49" t="s">
        <v>548</v>
      </c>
      <c r="B922" s="50" t="s">
        <v>48</v>
      </c>
      <c r="C922" s="51">
        <v>421667</v>
      </c>
      <c r="D922" s="51">
        <v>-231254</v>
      </c>
      <c r="E922" s="51">
        <v>0</v>
      </c>
      <c r="F922" s="51">
        <v>0</v>
      </c>
      <c r="G922" s="51">
        <v>0</v>
      </c>
      <c r="H922" s="51">
        <v>190413</v>
      </c>
      <c r="I922" s="51">
        <v>-5416</v>
      </c>
      <c r="J922" s="51">
        <v>184997</v>
      </c>
      <c r="K922" s="51">
        <v>0</v>
      </c>
      <c r="L922" s="51">
        <v>0</v>
      </c>
      <c r="M922" s="51">
        <v>0</v>
      </c>
      <c r="N922" s="51">
        <v>184997</v>
      </c>
    </row>
    <row r="923" spans="1:14" ht="15.75" x14ac:dyDescent="0.25">
      <c r="A923" s="49" t="s">
        <v>548</v>
      </c>
      <c r="B923" s="50" t="s">
        <v>49</v>
      </c>
      <c r="C923" s="51">
        <v>448120</v>
      </c>
      <c r="D923" s="51">
        <v>-248251</v>
      </c>
      <c r="E923" s="51">
        <v>0</v>
      </c>
      <c r="F923" s="51">
        <v>0</v>
      </c>
      <c r="G923" s="51">
        <v>0</v>
      </c>
      <c r="H923" s="51">
        <v>199869</v>
      </c>
      <c r="I923" s="51">
        <v>-7800</v>
      </c>
      <c r="J923" s="51">
        <v>192069</v>
      </c>
      <c r="K923" s="51">
        <v>0</v>
      </c>
      <c r="L923" s="51">
        <v>0</v>
      </c>
      <c r="M923" s="51">
        <v>0</v>
      </c>
      <c r="N923" s="51">
        <v>192069</v>
      </c>
    </row>
    <row r="924" spans="1:14" ht="15.75" x14ac:dyDescent="0.25">
      <c r="A924" s="49" t="s">
        <v>548</v>
      </c>
      <c r="B924" s="50" t="s">
        <v>50</v>
      </c>
      <c r="C924" s="51">
        <v>363201</v>
      </c>
      <c r="D924" s="51">
        <v>-242148</v>
      </c>
      <c r="E924" s="51">
        <v>0</v>
      </c>
      <c r="F924" s="51">
        <v>0</v>
      </c>
      <c r="G924" s="51">
        <v>0</v>
      </c>
      <c r="H924" s="51">
        <v>121053</v>
      </c>
      <c r="I924" s="51">
        <v>-5779</v>
      </c>
      <c r="J924" s="51">
        <v>115274</v>
      </c>
      <c r="K924" s="51">
        <v>0</v>
      </c>
      <c r="L924" s="51">
        <v>0</v>
      </c>
      <c r="M924" s="51">
        <v>0</v>
      </c>
      <c r="N924" s="51">
        <v>115274</v>
      </c>
    </row>
    <row r="925" spans="1:14" ht="15.75" x14ac:dyDescent="0.25">
      <c r="A925" s="49" t="s">
        <v>548</v>
      </c>
      <c r="B925" s="50" t="s">
        <v>51</v>
      </c>
      <c r="C925" s="51">
        <v>267572</v>
      </c>
      <c r="D925" s="51">
        <v>-232521</v>
      </c>
      <c r="E925" s="51">
        <v>0</v>
      </c>
      <c r="F925" s="51">
        <v>0</v>
      </c>
      <c r="G925" s="51">
        <v>0</v>
      </c>
      <c r="H925" s="51">
        <v>35051</v>
      </c>
      <c r="I925" s="51">
        <v>-9658</v>
      </c>
      <c r="J925" s="51">
        <v>25393</v>
      </c>
      <c r="K925" s="51">
        <v>0</v>
      </c>
      <c r="L925" s="51">
        <v>0</v>
      </c>
      <c r="M925" s="51">
        <v>0</v>
      </c>
      <c r="N925" s="51">
        <v>25393</v>
      </c>
    </row>
    <row r="926" spans="1:14" ht="15.75" x14ac:dyDescent="0.25">
      <c r="A926" s="49" t="s">
        <v>548</v>
      </c>
      <c r="B926" s="50" t="s">
        <v>52</v>
      </c>
      <c r="C926" s="51">
        <v>224134</v>
      </c>
      <c r="D926" s="51">
        <v>-207010</v>
      </c>
      <c r="E926" s="51">
        <v>0</v>
      </c>
      <c r="F926" s="51">
        <v>0</v>
      </c>
      <c r="G926" s="51">
        <v>0</v>
      </c>
      <c r="H926" s="51">
        <v>17124</v>
      </c>
      <c r="I926" s="51">
        <v>-6568</v>
      </c>
      <c r="J926" s="51">
        <v>10556</v>
      </c>
      <c r="K926" s="51">
        <v>0</v>
      </c>
      <c r="L926" s="51">
        <v>0</v>
      </c>
      <c r="M926" s="51">
        <v>0</v>
      </c>
      <c r="N926" s="51">
        <v>10556</v>
      </c>
    </row>
    <row r="927" spans="1:14" ht="15.75" x14ac:dyDescent="0.25">
      <c r="A927" s="49" t="s">
        <v>548</v>
      </c>
      <c r="B927" s="50" t="s">
        <v>53</v>
      </c>
      <c r="C927" s="51">
        <v>187472</v>
      </c>
      <c r="D927" s="51">
        <v>-172674</v>
      </c>
      <c r="E927" s="51">
        <v>0</v>
      </c>
      <c r="F927" s="51">
        <v>0</v>
      </c>
      <c r="G927" s="51">
        <v>0</v>
      </c>
      <c r="H927" s="51">
        <v>14798</v>
      </c>
      <c r="I927" s="51">
        <v>-11934</v>
      </c>
      <c r="J927" s="51">
        <v>2864</v>
      </c>
      <c r="K927" s="51">
        <v>0</v>
      </c>
      <c r="L927" s="51">
        <v>0</v>
      </c>
      <c r="M927" s="51">
        <v>0</v>
      </c>
      <c r="N927" s="51">
        <v>2864</v>
      </c>
    </row>
    <row r="928" spans="1:14" ht="15.75" x14ac:dyDescent="0.25">
      <c r="A928" s="49" t="s">
        <v>548</v>
      </c>
      <c r="B928" s="50" t="s">
        <v>54</v>
      </c>
      <c r="C928" s="51">
        <v>143450</v>
      </c>
      <c r="D928" s="51">
        <v>-135408</v>
      </c>
      <c r="E928" s="51">
        <v>0</v>
      </c>
      <c r="F928" s="51">
        <v>0</v>
      </c>
      <c r="G928" s="51">
        <v>0</v>
      </c>
      <c r="H928" s="51">
        <v>8042</v>
      </c>
      <c r="I928" s="51">
        <v>-8042</v>
      </c>
      <c r="J928" s="51">
        <v>0</v>
      </c>
      <c r="K928" s="51">
        <v>0</v>
      </c>
      <c r="L928" s="51">
        <v>0</v>
      </c>
      <c r="M928" s="51">
        <v>0</v>
      </c>
      <c r="N928" s="51">
        <v>0</v>
      </c>
    </row>
    <row r="929" spans="1:14" ht="15.75" x14ac:dyDescent="0.25">
      <c r="A929" s="49" t="s">
        <v>548</v>
      </c>
      <c r="B929" s="50" t="s">
        <v>55</v>
      </c>
      <c r="C929" s="51">
        <v>669524</v>
      </c>
      <c r="D929" s="51">
        <v>-251</v>
      </c>
      <c r="E929" s="51">
        <v>0</v>
      </c>
      <c r="F929" s="51">
        <v>0</v>
      </c>
      <c r="G929" s="51">
        <v>0</v>
      </c>
      <c r="H929" s="51">
        <v>669273</v>
      </c>
      <c r="I929" s="51">
        <v>-669273</v>
      </c>
      <c r="J929" s="51">
        <v>0</v>
      </c>
      <c r="K929" s="51">
        <v>0</v>
      </c>
      <c r="L929" s="51">
        <v>0</v>
      </c>
      <c r="M929" s="51">
        <v>0</v>
      </c>
      <c r="N929" s="51">
        <v>0</v>
      </c>
    </row>
    <row r="930" spans="1:14" ht="15.75" x14ac:dyDescent="0.25">
      <c r="A930" s="49" t="s">
        <v>548</v>
      </c>
      <c r="B930" s="50" t="s">
        <v>56</v>
      </c>
      <c r="C930" s="51">
        <v>1779478</v>
      </c>
      <c r="D930" s="51">
        <v>-3483</v>
      </c>
      <c r="E930" s="51">
        <v>0</v>
      </c>
      <c r="F930" s="51">
        <v>0</v>
      </c>
      <c r="G930" s="51">
        <v>0</v>
      </c>
      <c r="H930" s="51">
        <v>1775995</v>
      </c>
      <c r="I930" s="51">
        <v>-1775995</v>
      </c>
      <c r="J930" s="51">
        <v>0</v>
      </c>
      <c r="K930" s="51">
        <v>0</v>
      </c>
      <c r="L930" s="51">
        <v>0</v>
      </c>
      <c r="M930" s="51">
        <v>0</v>
      </c>
      <c r="N930" s="51">
        <v>0</v>
      </c>
    </row>
    <row r="931" spans="1:14" ht="15.75" x14ac:dyDescent="0.25">
      <c r="A931" s="49" t="s">
        <v>548</v>
      </c>
      <c r="B931" s="50" t="s">
        <v>57</v>
      </c>
      <c r="C931" s="51">
        <v>1992356</v>
      </c>
      <c r="D931" s="51">
        <v>-184367</v>
      </c>
      <c r="E931" s="51">
        <v>0</v>
      </c>
      <c r="F931" s="51">
        <v>0</v>
      </c>
      <c r="G931" s="51">
        <v>0</v>
      </c>
      <c r="H931" s="51">
        <v>1807989</v>
      </c>
      <c r="I931" s="51">
        <v>-1807989</v>
      </c>
      <c r="J931" s="51">
        <v>0</v>
      </c>
      <c r="K931" s="51">
        <v>767144</v>
      </c>
      <c r="L931" s="51">
        <v>-766547</v>
      </c>
      <c r="M931" s="51">
        <v>597</v>
      </c>
      <c r="N931" s="51">
        <v>-597</v>
      </c>
    </row>
    <row r="932" spans="1:14" ht="15.75" x14ac:dyDescent="0.25">
      <c r="A932" s="49" t="s">
        <v>548</v>
      </c>
      <c r="B932" s="50" t="s">
        <v>58</v>
      </c>
      <c r="C932" s="51">
        <v>2247024</v>
      </c>
      <c r="D932" s="51">
        <v>-35570</v>
      </c>
      <c r="E932" s="51">
        <v>0</v>
      </c>
      <c r="F932" s="51">
        <v>0</v>
      </c>
      <c r="G932" s="51">
        <v>0</v>
      </c>
      <c r="H932" s="51">
        <v>2211454</v>
      </c>
      <c r="I932" s="51">
        <v>-2211454</v>
      </c>
      <c r="J932" s="51">
        <v>0</v>
      </c>
      <c r="K932" s="51">
        <v>406318</v>
      </c>
      <c r="L932" s="51">
        <v>-406318</v>
      </c>
      <c r="M932" s="51">
        <v>0</v>
      </c>
      <c r="N932" s="51">
        <v>0</v>
      </c>
    </row>
    <row r="933" spans="1:14" ht="15.75" x14ac:dyDescent="0.25">
      <c r="A933" s="49" t="s">
        <v>548</v>
      </c>
      <c r="B933" s="50" t="s">
        <v>59</v>
      </c>
      <c r="C933" s="51">
        <v>2031948</v>
      </c>
      <c r="D933" s="51">
        <v>-29798</v>
      </c>
      <c r="E933" s="51">
        <v>0</v>
      </c>
      <c r="F933" s="51">
        <v>0</v>
      </c>
      <c r="G933" s="51">
        <v>0</v>
      </c>
      <c r="H933" s="51">
        <v>2002150</v>
      </c>
      <c r="I933" s="51">
        <v>-2002150</v>
      </c>
      <c r="J933" s="51">
        <v>0</v>
      </c>
      <c r="K933" s="51">
        <v>150175</v>
      </c>
      <c r="L933" s="51">
        <v>-150175</v>
      </c>
      <c r="M933" s="51">
        <v>0</v>
      </c>
      <c r="N933" s="51">
        <v>0</v>
      </c>
    </row>
    <row r="934" spans="1:14" ht="15.75" x14ac:dyDescent="0.25">
      <c r="A934" s="49" t="s">
        <v>548</v>
      </c>
      <c r="B934" s="50" t="s">
        <v>60</v>
      </c>
      <c r="C934" s="51">
        <v>1720428</v>
      </c>
      <c r="D934" s="51">
        <v>-9195</v>
      </c>
      <c r="E934" s="51">
        <v>0</v>
      </c>
      <c r="F934" s="51">
        <v>0</v>
      </c>
      <c r="G934" s="51">
        <v>0</v>
      </c>
      <c r="H934" s="51">
        <v>1711233</v>
      </c>
      <c r="I934" s="51">
        <v>-1711233</v>
      </c>
      <c r="J934" s="51">
        <v>0</v>
      </c>
      <c r="K934" s="51">
        <v>347065</v>
      </c>
      <c r="L934" s="51">
        <v>-347065</v>
      </c>
      <c r="M934" s="51">
        <v>0</v>
      </c>
      <c r="N934" s="51">
        <v>0</v>
      </c>
    </row>
    <row r="935" spans="1:14" ht="15.75" x14ac:dyDescent="0.25">
      <c r="A935" s="49" t="s">
        <v>548</v>
      </c>
      <c r="B935" s="50" t="s">
        <v>61</v>
      </c>
      <c r="C935" s="51">
        <v>1785911</v>
      </c>
      <c r="D935" s="51">
        <v>-6032</v>
      </c>
      <c r="E935" s="51">
        <v>0</v>
      </c>
      <c r="F935" s="51">
        <v>0</v>
      </c>
      <c r="G935" s="51">
        <v>0</v>
      </c>
      <c r="H935" s="51">
        <v>1779879</v>
      </c>
      <c r="I935" s="51">
        <v>-1779879</v>
      </c>
      <c r="J935" s="51">
        <v>0</v>
      </c>
      <c r="K935" s="51">
        <v>249145</v>
      </c>
      <c r="L935" s="51">
        <v>-248887</v>
      </c>
      <c r="M935" s="51">
        <v>258</v>
      </c>
      <c r="N935" s="51">
        <v>-258</v>
      </c>
    </row>
    <row r="936" spans="1:14" ht="15.75" x14ac:dyDescent="0.25">
      <c r="A936" s="49" t="s">
        <v>548</v>
      </c>
      <c r="B936" s="50" t="s">
        <v>62</v>
      </c>
      <c r="C936" s="51">
        <v>1803466</v>
      </c>
      <c r="D936" s="51">
        <v>-1026</v>
      </c>
      <c r="E936" s="51">
        <v>0</v>
      </c>
      <c r="F936" s="51">
        <v>0</v>
      </c>
      <c r="G936" s="51">
        <v>0</v>
      </c>
      <c r="H936" s="51">
        <v>1802440</v>
      </c>
      <c r="I936" s="51">
        <v>-1802440</v>
      </c>
      <c r="J936" s="51">
        <v>0</v>
      </c>
      <c r="K936" s="51">
        <v>97252</v>
      </c>
      <c r="L936" s="51">
        <v>-97252</v>
      </c>
      <c r="M936" s="51">
        <v>0</v>
      </c>
      <c r="N936" s="51">
        <v>0</v>
      </c>
    </row>
    <row r="937" spans="1:14" ht="15.75" x14ac:dyDescent="0.25">
      <c r="A937" s="49" t="s">
        <v>548</v>
      </c>
      <c r="B937" s="50" t="s">
        <v>63</v>
      </c>
      <c r="C937" s="51">
        <v>1558469</v>
      </c>
      <c r="D937" s="51">
        <v>-16440</v>
      </c>
      <c r="E937" s="51">
        <v>0</v>
      </c>
      <c r="F937" s="51">
        <v>0</v>
      </c>
      <c r="G937" s="51">
        <v>0</v>
      </c>
      <c r="H937" s="51">
        <v>1542029</v>
      </c>
      <c r="I937" s="51">
        <v>-1542029</v>
      </c>
      <c r="J937" s="51">
        <v>0</v>
      </c>
      <c r="K937" s="51">
        <v>19552</v>
      </c>
      <c r="L937" s="51">
        <v>-19552</v>
      </c>
      <c r="M937" s="51">
        <v>0</v>
      </c>
      <c r="N937" s="51">
        <v>0</v>
      </c>
    </row>
    <row r="938" spans="1:14" ht="15.75" x14ac:dyDescent="0.25">
      <c r="A938" s="49" t="s">
        <v>548</v>
      </c>
      <c r="B938" s="50" t="s">
        <v>64</v>
      </c>
      <c r="C938" s="51">
        <v>1335244</v>
      </c>
      <c r="D938" s="51">
        <v>-14863</v>
      </c>
      <c r="E938" s="51">
        <v>0</v>
      </c>
      <c r="F938" s="51">
        <v>0</v>
      </c>
      <c r="G938" s="51">
        <v>0</v>
      </c>
      <c r="H938" s="51">
        <v>1320381</v>
      </c>
      <c r="I938" s="51">
        <v>-1320381</v>
      </c>
      <c r="J938" s="51">
        <v>0</v>
      </c>
      <c r="K938" s="51">
        <v>19639</v>
      </c>
      <c r="L938" s="51">
        <v>-19639</v>
      </c>
      <c r="M938" s="51">
        <v>0</v>
      </c>
      <c r="N938" s="51">
        <v>0</v>
      </c>
    </row>
    <row r="939" spans="1:14" ht="15.75" x14ac:dyDescent="0.25">
      <c r="A939" s="49" t="s">
        <v>548</v>
      </c>
      <c r="B939" s="50" t="s">
        <v>65</v>
      </c>
      <c r="C939" s="51">
        <v>1253996</v>
      </c>
      <c r="D939" s="51">
        <v>-13368</v>
      </c>
      <c r="E939" s="51">
        <v>0</v>
      </c>
      <c r="F939" s="51">
        <v>0</v>
      </c>
      <c r="G939" s="51">
        <v>0</v>
      </c>
      <c r="H939" s="51">
        <v>1240628</v>
      </c>
      <c r="I939" s="51">
        <v>-1240628</v>
      </c>
      <c r="J939" s="51">
        <v>0</v>
      </c>
      <c r="K939" s="51">
        <v>47961</v>
      </c>
      <c r="L939" s="51">
        <v>-47961</v>
      </c>
      <c r="M939" s="51">
        <v>0</v>
      </c>
      <c r="N939" s="51">
        <v>0</v>
      </c>
    </row>
    <row r="940" spans="1:14" ht="15.75" x14ac:dyDescent="0.25">
      <c r="A940" s="49" t="s">
        <v>548</v>
      </c>
      <c r="B940" s="50" t="s">
        <v>66</v>
      </c>
      <c r="C940" s="51">
        <v>1003777</v>
      </c>
      <c r="D940" s="51">
        <v>-10578</v>
      </c>
      <c r="E940" s="51">
        <v>0</v>
      </c>
      <c r="F940" s="51">
        <v>0</v>
      </c>
      <c r="G940" s="51">
        <v>0</v>
      </c>
      <c r="H940" s="51">
        <v>993199</v>
      </c>
      <c r="I940" s="51">
        <v>-993199</v>
      </c>
      <c r="J940" s="51">
        <v>0</v>
      </c>
      <c r="K940" s="51">
        <v>19169</v>
      </c>
      <c r="L940" s="51">
        <v>-19169</v>
      </c>
      <c r="M940" s="51">
        <v>0</v>
      </c>
      <c r="N940" s="51">
        <v>0</v>
      </c>
    </row>
    <row r="941" spans="1:14" ht="15.75" x14ac:dyDescent="0.25">
      <c r="A941" s="52" t="s">
        <v>426</v>
      </c>
      <c r="B941" s="53" t="s">
        <v>8</v>
      </c>
      <c r="C941" s="19">
        <f>SUBTOTAL(109,Program148[(C)
Program
Costs])</f>
        <v>21555796</v>
      </c>
      <c r="D941" s="19">
        <f>SUBTOTAL(109,Program148[(D)
Prior Period Adjustments])</f>
        <v>-1863397</v>
      </c>
      <c r="E941" s="19">
        <f>SUBTOTAL(109,Program148[(E)
Current Period Desk 
Reviews])</f>
        <v>0</v>
      </c>
      <c r="F941" s="19">
        <f>SUBTOTAL(109,Program148[(F)
Current Period 
Final 
Audits])</f>
        <v>0</v>
      </c>
      <c r="G941" s="19">
        <f>SUBTOTAL(109,Program148[(G)
Current Period 
Other Adjustments])</f>
        <v>0</v>
      </c>
      <c r="H941" s="19">
        <f>SUBTOTAL(109,Program148[(H)
Net Program Costs
Sum (C through G)])</f>
        <v>19692399</v>
      </c>
      <c r="I941" s="19">
        <f>SUBTOTAL(109,Program148[(I)
Payments
 and Offsets])</f>
        <v>-18923377</v>
      </c>
      <c r="J941" s="19">
        <f>SUBTOTAL(109,Program148[(J)
Accounts Payable Balance
(H + I)])</f>
        <v>769022</v>
      </c>
      <c r="K941" s="19">
        <f>SUBTOTAL(109,Program148[(K)
Established 
Accounts Receivable])</f>
        <v>2123420</v>
      </c>
      <c r="L941" s="19">
        <f>SUBTOTAL(109,Program148[(L)
Recovered
 Accounts Receivable])</f>
        <v>-2122565</v>
      </c>
      <c r="M941" s="19">
        <f>SUBTOTAL(109,Program148[(M)
Accounts Receivable Balance
(K + L)])</f>
        <v>855</v>
      </c>
      <c r="N941" s="19">
        <f>SUBTOTAL(109,Program148[(N)
Net Balance
(J minus M)])</f>
        <v>768167</v>
      </c>
    </row>
    <row r="942" spans="1:14" ht="15.75" x14ac:dyDescent="0.25">
      <c r="A942" s="17" t="s">
        <v>13</v>
      </c>
      <c r="B942" s="54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</row>
    <row r="943" spans="1:14" ht="78.75" x14ac:dyDescent="0.25">
      <c r="A943" s="39" t="s">
        <v>32</v>
      </c>
      <c r="B943" s="40" t="s">
        <v>33</v>
      </c>
      <c r="C943" s="41" t="s">
        <v>34</v>
      </c>
      <c r="D943" s="41" t="s">
        <v>35</v>
      </c>
      <c r="E943" s="42" t="s">
        <v>36</v>
      </c>
      <c r="F943" s="42" t="s">
        <v>37</v>
      </c>
      <c r="G943" s="42" t="s">
        <v>38</v>
      </c>
      <c r="H943" s="43" t="s">
        <v>39</v>
      </c>
      <c r="I943" s="44" t="s">
        <v>40</v>
      </c>
      <c r="J943" s="44" t="s">
        <v>41</v>
      </c>
      <c r="K943" s="42" t="s">
        <v>42</v>
      </c>
      <c r="L943" s="44" t="s">
        <v>43</v>
      </c>
      <c r="M943" s="44" t="s">
        <v>44</v>
      </c>
      <c r="N943" s="45" t="s">
        <v>45</v>
      </c>
    </row>
    <row r="944" spans="1:14" ht="30" x14ac:dyDescent="0.25">
      <c r="A944" s="67" t="s">
        <v>547</v>
      </c>
      <c r="B944" s="57" t="s">
        <v>55</v>
      </c>
      <c r="C944" s="58">
        <v>601123</v>
      </c>
      <c r="D944" s="58">
        <v>-280</v>
      </c>
      <c r="E944" s="58">
        <v>0</v>
      </c>
      <c r="F944" s="58">
        <v>0</v>
      </c>
      <c r="G944" s="58">
        <v>0</v>
      </c>
      <c r="H944" s="58">
        <v>600843</v>
      </c>
      <c r="I944" s="58">
        <v>-600843</v>
      </c>
      <c r="J944" s="58">
        <v>0</v>
      </c>
      <c r="K944" s="58">
        <v>0</v>
      </c>
      <c r="L944" s="58">
        <v>0</v>
      </c>
      <c r="M944" s="58">
        <v>0</v>
      </c>
      <c r="N944" s="58">
        <v>0</v>
      </c>
    </row>
    <row r="945" spans="1:14" ht="30" x14ac:dyDescent="0.25">
      <c r="A945" s="68" t="s">
        <v>547</v>
      </c>
      <c r="B945" s="60" t="s">
        <v>56</v>
      </c>
      <c r="C945" s="61">
        <v>1565610</v>
      </c>
      <c r="D945" s="61">
        <v>-2452</v>
      </c>
      <c r="E945" s="61">
        <v>0</v>
      </c>
      <c r="F945" s="61">
        <v>0</v>
      </c>
      <c r="G945" s="61">
        <v>0</v>
      </c>
      <c r="H945" s="61">
        <v>1563158</v>
      </c>
      <c r="I945" s="61">
        <v>-1563158</v>
      </c>
      <c r="J945" s="61">
        <v>0</v>
      </c>
      <c r="K945" s="61">
        <v>0</v>
      </c>
      <c r="L945" s="61">
        <v>0</v>
      </c>
      <c r="M945" s="61">
        <v>0</v>
      </c>
      <c r="N945" s="61">
        <v>0</v>
      </c>
    </row>
    <row r="946" spans="1:14" ht="30" x14ac:dyDescent="0.25">
      <c r="A946" s="68" t="s">
        <v>547</v>
      </c>
      <c r="B946" s="60" t="s">
        <v>57</v>
      </c>
      <c r="C946" s="61">
        <v>1578068</v>
      </c>
      <c r="D946" s="61">
        <v>-99505</v>
      </c>
      <c r="E946" s="61">
        <v>0</v>
      </c>
      <c r="F946" s="61">
        <v>0</v>
      </c>
      <c r="G946" s="61">
        <v>0</v>
      </c>
      <c r="H946" s="61">
        <v>1478563</v>
      </c>
      <c r="I946" s="61">
        <v>-1478563</v>
      </c>
      <c r="J946" s="61">
        <v>0</v>
      </c>
      <c r="K946" s="61">
        <v>424523</v>
      </c>
      <c r="L946" s="61">
        <v>-424523</v>
      </c>
      <c r="M946" s="61">
        <v>0</v>
      </c>
      <c r="N946" s="61">
        <v>0</v>
      </c>
    </row>
    <row r="947" spans="1:14" ht="30" x14ac:dyDescent="0.25">
      <c r="A947" s="68" t="s">
        <v>547</v>
      </c>
      <c r="B947" s="60" t="s">
        <v>58</v>
      </c>
      <c r="C947" s="61">
        <v>1747993</v>
      </c>
      <c r="D947" s="61">
        <v>-29418</v>
      </c>
      <c r="E947" s="61">
        <v>0</v>
      </c>
      <c r="F947" s="61">
        <v>0</v>
      </c>
      <c r="G947" s="61">
        <v>0</v>
      </c>
      <c r="H947" s="61">
        <v>1718575</v>
      </c>
      <c r="I947" s="61">
        <v>-1718575</v>
      </c>
      <c r="J947" s="61">
        <v>0</v>
      </c>
      <c r="K947" s="61">
        <v>198056</v>
      </c>
      <c r="L947" s="61">
        <v>-198056</v>
      </c>
      <c r="M947" s="61">
        <v>0</v>
      </c>
      <c r="N947" s="61">
        <v>0</v>
      </c>
    </row>
    <row r="948" spans="1:14" ht="30" x14ac:dyDescent="0.25">
      <c r="A948" s="68" t="s">
        <v>547</v>
      </c>
      <c r="B948" s="60" t="s">
        <v>59</v>
      </c>
      <c r="C948" s="61">
        <v>1503572</v>
      </c>
      <c r="D948" s="61">
        <v>-21079</v>
      </c>
      <c r="E948" s="61">
        <v>0</v>
      </c>
      <c r="F948" s="61">
        <v>0</v>
      </c>
      <c r="G948" s="61">
        <v>0</v>
      </c>
      <c r="H948" s="61">
        <v>1482493</v>
      </c>
      <c r="I948" s="61">
        <v>-1482493</v>
      </c>
      <c r="J948" s="61">
        <v>0</v>
      </c>
      <c r="K948" s="61">
        <v>174322</v>
      </c>
      <c r="L948" s="61">
        <v>-174322</v>
      </c>
      <c r="M948" s="61">
        <v>0</v>
      </c>
      <c r="N948" s="61">
        <v>0</v>
      </c>
    </row>
    <row r="949" spans="1:14" ht="30" x14ac:dyDescent="0.25">
      <c r="A949" s="68" t="s">
        <v>547</v>
      </c>
      <c r="B949" s="60" t="s">
        <v>60</v>
      </c>
      <c r="C949" s="61">
        <v>1125795</v>
      </c>
      <c r="D949" s="61">
        <v>-7322</v>
      </c>
      <c r="E949" s="61">
        <v>0</v>
      </c>
      <c r="F949" s="61">
        <v>0</v>
      </c>
      <c r="G949" s="61">
        <v>0</v>
      </c>
      <c r="H949" s="61">
        <v>1118473</v>
      </c>
      <c r="I949" s="61">
        <v>-1118473</v>
      </c>
      <c r="J949" s="61">
        <v>0</v>
      </c>
      <c r="K949" s="61">
        <v>220476</v>
      </c>
      <c r="L949" s="61">
        <v>-220476</v>
      </c>
      <c r="M949" s="61">
        <v>0</v>
      </c>
      <c r="N949" s="61">
        <v>0</v>
      </c>
    </row>
    <row r="950" spans="1:14" ht="30" x14ac:dyDescent="0.25">
      <c r="A950" s="68" t="s">
        <v>547</v>
      </c>
      <c r="B950" s="60" t="s">
        <v>61</v>
      </c>
      <c r="C950" s="61">
        <v>1097856</v>
      </c>
      <c r="D950" s="61">
        <v>-6331</v>
      </c>
      <c r="E950" s="61">
        <v>0</v>
      </c>
      <c r="F950" s="61">
        <v>0</v>
      </c>
      <c r="G950" s="61">
        <v>0</v>
      </c>
      <c r="H950" s="61">
        <v>1091525</v>
      </c>
      <c r="I950" s="61">
        <v>-1091525</v>
      </c>
      <c r="J950" s="61">
        <v>0</v>
      </c>
      <c r="K950" s="61">
        <v>437671</v>
      </c>
      <c r="L950" s="61">
        <v>-436936</v>
      </c>
      <c r="M950" s="61">
        <v>735</v>
      </c>
      <c r="N950" s="61">
        <v>-735</v>
      </c>
    </row>
    <row r="951" spans="1:14" ht="30" x14ac:dyDescent="0.25">
      <c r="A951" s="68" t="s">
        <v>547</v>
      </c>
      <c r="B951" s="60" t="s">
        <v>62</v>
      </c>
      <c r="C951" s="61">
        <v>1043556</v>
      </c>
      <c r="D951" s="61">
        <v>-152643</v>
      </c>
      <c r="E951" s="61">
        <v>0</v>
      </c>
      <c r="F951" s="61">
        <v>0</v>
      </c>
      <c r="G951" s="61">
        <v>0</v>
      </c>
      <c r="H951" s="61">
        <v>890913</v>
      </c>
      <c r="I951" s="61">
        <v>-890913</v>
      </c>
      <c r="J951" s="61">
        <v>0</v>
      </c>
      <c r="K951" s="61">
        <v>111023</v>
      </c>
      <c r="L951" s="61">
        <v>-111023</v>
      </c>
      <c r="M951" s="61">
        <v>0</v>
      </c>
      <c r="N951" s="61">
        <v>0</v>
      </c>
    </row>
    <row r="952" spans="1:14" ht="30" x14ac:dyDescent="0.25">
      <c r="A952" s="68" t="s">
        <v>547</v>
      </c>
      <c r="B952" s="60" t="s">
        <v>63</v>
      </c>
      <c r="C952" s="61">
        <v>892502</v>
      </c>
      <c r="D952" s="61">
        <v>-73309</v>
      </c>
      <c r="E952" s="61">
        <v>0</v>
      </c>
      <c r="F952" s="61">
        <v>0</v>
      </c>
      <c r="G952" s="61">
        <v>0</v>
      </c>
      <c r="H952" s="61">
        <v>819193</v>
      </c>
      <c r="I952" s="61">
        <v>-819193</v>
      </c>
      <c r="J952" s="61">
        <v>0</v>
      </c>
      <c r="K952" s="61">
        <v>51427</v>
      </c>
      <c r="L952" s="61">
        <v>-51427</v>
      </c>
      <c r="M952" s="61">
        <v>0</v>
      </c>
      <c r="N952" s="61">
        <v>0</v>
      </c>
    </row>
    <row r="953" spans="1:14" ht="30" x14ac:dyDescent="0.25">
      <c r="A953" s="68" t="s">
        <v>547</v>
      </c>
      <c r="B953" s="60" t="s">
        <v>64</v>
      </c>
      <c r="C953" s="61">
        <v>744921</v>
      </c>
      <c r="D953" s="61">
        <v>-43514</v>
      </c>
      <c r="E953" s="61">
        <v>0</v>
      </c>
      <c r="F953" s="61">
        <v>0</v>
      </c>
      <c r="G953" s="61">
        <v>0</v>
      </c>
      <c r="H953" s="61">
        <v>701407</v>
      </c>
      <c r="I953" s="61">
        <v>-701407</v>
      </c>
      <c r="J953" s="61">
        <v>0</v>
      </c>
      <c r="K953" s="61">
        <v>35268</v>
      </c>
      <c r="L953" s="61">
        <v>-35268</v>
      </c>
      <c r="M953" s="61">
        <v>0</v>
      </c>
      <c r="N953" s="61">
        <v>0</v>
      </c>
    </row>
    <row r="954" spans="1:14" ht="30" x14ac:dyDescent="0.25">
      <c r="A954" s="68" t="s">
        <v>547</v>
      </c>
      <c r="B954" s="60" t="s">
        <v>65</v>
      </c>
      <c r="C954" s="61">
        <v>695102</v>
      </c>
      <c r="D954" s="61">
        <v>-60817</v>
      </c>
      <c r="E954" s="61">
        <v>0</v>
      </c>
      <c r="F954" s="61">
        <v>0</v>
      </c>
      <c r="G954" s="61">
        <v>0</v>
      </c>
      <c r="H954" s="61">
        <v>634285</v>
      </c>
      <c r="I954" s="61">
        <v>-634285</v>
      </c>
      <c r="J954" s="61">
        <v>0</v>
      </c>
      <c r="K954" s="61">
        <v>48327</v>
      </c>
      <c r="L954" s="61">
        <v>-48327</v>
      </c>
      <c r="M954" s="61">
        <v>0</v>
      </c>
      <c r="N954" s="61">
        <v>0</v>
      </c>
    </row>
    <row r="955" spans="1:14" ht="30" x14ac:dyDescent="0.25">
      <c r="A955" s="68" t="s">
        <v>547</v>
      </c>
      <c r="B955" s="60" t="s">
        <v>66</v>
      </c>
      <c r="C955" s="61">
        <v>564614</v>
      </c>
      <c r="D955" s="61">
        <v>-12463</v>
      </c>
      <c r="E955" s="61">
        <v>0</v>
      </c>
      <c r="F955" s="61">
        <v>0</v>
      </c>
      <c r="G955" s="61">
        <v>0</v>
      </c>
      <c r="H955" s="61">
        <v>552151</v>
      </c>
      <c r="I955" s="61">
        <v>-552151</v>
      </c>
      <c r="J955" s="61">
        <v>0</v>
      </c>
      <c r="K955" s="61">
        <v>7616</v>
      </c>
      <c r="L955" s="61">
        <v>-7616</v>
      </c>
      <c r="M955" s="61">
        <v>0</v>
      </c>
      <c r="N955" s="61">
        <v>0</v>
      </c>
    </row>
    <row r="956" spans="1:14" ht="15.75" x14ac:dyDescent="0.25">
      <c r="A956" s="52" t="s">
        <v>425</v>
      </c>
      <c r="B956" s="53" t="s">
        <v>8</v>
      </c>
      <c r="C956" s="19">
        <f>SUBTOTAL(109,Program149[(C)
Program
Costs])</f>
        <v>13160712</v>
      </c>
      <c r="D956" s="19">
        <f>SUBTOTAL(109,Program149[(D)
Prior Period Adjustments])</f>
        <v>-509133</v>
      </c>
      <c r="E956" s="19">
        <f>SUBTOTAL(109,Program149[(E)
Current Period Desk 
Reviews])</f>
        <v>0</v>
      </c>
      <c r="F956" s="19">
        <f>SUBTOTAL(109,Program149[(F)
Current Period 
Final 
Audits])</f>
        <v>0</v>
      </c>
      <c r="G956" s="19">
        <f>SUBTOTAL(109,Program149[(G)
Current Period 
Other Adjustments])</f>
        <v>0</v>
      </c>
      <c r="H956" s="19">
        <f>SUBTOTAL(109,Program149[(H)
Net Program Costs
Sum (C through G)])</f>
        <v>12651579</v>
      </c>
      <c r="I956" s="19">
        <f>SUBTOTAL(109,Program149[(I)
Payments
 and Offsets])</f>
        <v>-12651579</v>
      </c>
      <c r="J956" s="19">
        <f>SUBTOTAL(109,Program149[(J)
Accounts Payable Balance
(H + I)])</f>
        <v>0</v>
      </c>
      <c r="K956" s="19">
        <f>SUBTOTAL(109,Program149[(K)
Established 
Accounts Receivable])</f>
        <v>1708709</v>
      </c>
      <c r="L956" s="19">
        <f>SUBTOTAL(109,Program149[(L)
Recovered
 Accounts Receivable])</f>
        <v>-1707974</v>
      </c>
      <c r="M956" s="19">
        <f>SUBTOTAL(109,Program149[(M)
Accounts Receivable Balance
(K + L)])</f>
        <v>735</v>
      </c>
      <c r="N956" s="19">
        <f>SUBTOTAL(109,Program149[(N)
Net Balance
(J minus M)])</f>
        <v>-735</v>
      </c>
    </row>
    <row r="957" spans="1:14" ht="15.75" x14ac:dyDescent="0.25">
      <c r="A957" s="17" t="s">
        <v>13</v>
      </c>
      <c r="B957" s="54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</row>
    <row r="958" spans="1:14" ht="78.75" x14ac:dyDescent="0.25">
      <c r="A958" s="39" t="s">
        <v>32</v>
      </c>
      <c r="B958" s="40" t="s">
        <v>33</v>
      </c>
      <c r="C958" s="41" t="s">
        <v>34</v>
      </c>
      <c r="D958" s="41" t="s">
        <v>35</v>
      </c>
      <c r="E958" s="42" t="s">
        <v>36</v>
      </c>
      <c r="F958" s="42" t="s">
        <v>37</v>
      </c>
      <c r="G958" s="42" t="s">
        <v>38</v>
      </c>
      <c r="H958" s="43" t="s">
        <v>39</v>
      </c>
      <c r="I958" s="44" t="s">
        <v>40</v>
      </c>
      <c r="J958" s="44" t="s">
        <v>41</v>
      </c>
      <c r="K958" s="42" t="s">
        <v>42</v>
      </c>
      <c r="L958" s="44" t="s">
        <v>43</v>
      </c>
      <c r="M958" s="44" t="s">
        <v>44</v>
      </c>
      <c r="N958" s="45" t="s">
        <v>45</v>
      </c>
    </row>
    <row r="959" spans="1:14" ht="15.75" x14ac:dyDescent="0.25">
      <c r="A959" s="46" t="s">
        <v>546</v>
      </c>
      <c r="B959" s="47" t="s">
        <v>76</v>
      </c>
      <c r="C959" s="48">
        <v>8974</v>
      </c>
      <c r="D959" s="48">
        <v>0</v>
      </c>
      <c r="E959" s="48">
        <v>0</v>
      </c>
      <c r="F959" s="48">
        <v>0</v>
      </c>
      <c r="G959" s="48">
        <v>0</v>
      </c>
      <c r="H959" s="48">
        <v>8974</v>
      </c>
      <c r="I959" s="48">
        <v>0</v>
      </c>
      <c r="J959" s="48">
        <v>8974</v>
      </c>
      <c r="K959" s="48">
        <v>0</v>
      </c>
      <c r="L959" s="48">
        <v>0</v>
      </c>
      <c r="M959" s="48">
        <v>0</v>
      </c>
      <c r="N959" s="48">
        <v>8974</v>
      </c>
    </row>
    <row r="960" spans="1:14" ht="15.75" x14ac:dyDescent="0.25">
      <c r="A960" s="49" t="s">
        <v>546</v>
      </c>
      <c r="B960" s="50" t="s">
        <v>77</v>
      </c>
      <c r="C960" s="51">
        <v>8800</v>
      </c>
      <c r="D960" s="51">
        <v>0</v>
      </c>
      <c r="E960" s="51">
        <v>0</v>
      </c>
      <c r="F960" s="51">
        <v>0</v>
      </c>
      <c r="G960" s="51">
        <v>0</v>
      </c>
      <c r="H960" s="51">
        <v>8800</v>
      </c>
      <c r="I960" s="51">
        <v>-1000</v>
      </c>
      <c r="J960" s="51">
        <v>7800</v>
      </c>
      <c r="K960" s="51">
        <v>0</v>
      </c>
      <c r="L960" s="51">
        <v>0</v>
      </c>
      <c r="M960" s="51">
        <v>0</v>
      </c>
      <c r="N960" s="51">
        <v>7800</v>
      </c>
    </row>
    <row r="961" spans="1:14" ht="15.75" x14ac:dyDescent="0.25">
      <c r="A961" s="49" t="s">
        <v>546</v>
      </c>
      <c r="B961" s="50" t="s">
        <v>78</v>
      </c>
      <c r="C961" s="51">
        <v>7120</v>
      </c>
      <c r="D961" s="51">
        <v>0</v>
      </c>
      <c r="E961" s="51">
        <v>0</v>
      </c>
      <c r="F961" s="51">
        <v>0</v>
      </c>
      <c r="G961" s="51">
        <v>0</v>
      </c>
      <c r="H961" s="51">
        <v>7120</v>
      </c>
      <c r="I961" s="51">
        <v>-1000</v>
      </c>
      <c r="J961" s="51">
        <v>6120</v>
      </c>
      <c r="K961" s="51">
        <v>0</v>
      </c>
      <c r="L961" s="51">
        <v>0</v>
      </c>
      <c r="M961" s="51">
        <v>0</v>
      </c>
      <c r="N961" s="51">
        <v>6120</v>
      </c>
    </row>
    <row r="962" spans="1:14" ht="15.75" x14ac:dyDescent="0.25">
      <c r="A962" s="49" t="s">
        <v>546</v>
      </c>
      <c r="B962" s="50" t="s">
        <v>47</v>
      </c>
      <c r="C962" s="51">
        <v>3284</v>
      </c>
      <c r="D962" s="51">
        <v>0</v>
      </c>
      <c r="E962" s="51">
        <v>0</v>
      </c>
      <c r="F962" s="51">
        <v>0</v>
      </c>
      <c r="G962" s="51">
        <v>0</v>
      </c>
      <c r="H962" s="51">
        <v>3284</v>
      </c>
      <c r="I962" s="51">
        <v>-1000</v>
      </c>
      <c r="J962" s="51">
        <v>2284</v>
      </c>
      <c r="K962" s="51">
        <v>0</v>
      </c>
      <c r="L962" s="51">
        <v>0</v>
      </c>
      <c r="M962" s="51">
        <v>0</v>
      </c>
      <c r="N962" s="51">
        <v>2284</v>
      </c>
    </row>
    <row r="963" spans="1:14" ht="15.75" x14ac:dyDescent="0.25">
      <c r="A963" s="49" t="s">
        <v>546</v>
      </c>
      <c r="B963" s="50" t="s">
        <v>79</v>
      </c>
      <c r="C963" s="51">
        <v>13759</v>
      </c>
      <c r="D963" s="51">
        <v>0</v>
      </c>
      <c r="E963" s="51">
        <v>0</v>
      </c>
      <c r="F963" s="51">
        <v>0</v>
      </c>
      <c r="G963" s="51">
        <v>0</v>
      </c>
      <c r="H963" s="51">
        <v>13759</v>
      </c>
      <c r="I963" s="51">
        <v>-1000</v>
      </c>
      <c r="J963" s="51">
        <v>12759</v>
      </c>
      <c r="K963" s="51">
        <v>0</v>
      </c>
      <c r="L963" s="51">
        <v>0</v>
      </c>
      <c r="M963" s="51">
        <v>0</v>
      </c>
      <c r="N963" s="51">
        <v>12759</v>
      </c>
    </row>
    <row r="964" spans="1:14" ht="15.75" x14ac:dyDescent="0.25">
      <c r="A964" s="49" t="s">
        <v>546</v>
      </c>
      <c r="B964" s="50" t="s">
        <v>80</v>
      </c>
      <c r="C964" s="51">
        <v>137810</v>
      </c>
      <c r="D964" s="51">
        <v>0</v>
      </c>
      <c r="E964" s="51">
        <v>0</v>
      </c>
      <c r="F964" s="51">
        <v>0</v>
      </c>
      <c r="G964" s="51">
        <v>0</v>
      </c>
      <c r="H964" s="51">
        <v>137810</v>
      </c>
      <c r="I964" s="51">
        <v>-36419</v>
      </c>
      <c r="J964" s="51">
        <v>101391</v>
      </c>
      <c r="K964" s="51">
        <v>0</v>
      </c>
      <c r="L964" s="51">
        <v>0</v>
      </c>
      <c r="M964" s="51">
        <v>0</v>
      </c>
      <c r="N964" s="51">
        <v>101391</v>
      </c>
    </row>
    <row r="965" spans="1:14" ht="15.75" x14ac:dyDescent="0.25">
      <c r="A965" s="49" t="s">
        <v>546</v>
      </c>
      <c r="B965" s="50" t="s">
        <v>81</v>
      </c>
      <c r="C965" s="51">
        <v>140532</v>
      </c>
      <c r="D965" s="51">
        <v>0</v>
      </c>
      <c r="E965" s="51">
        <v>0</v>
      </c>
      <c r="F965" s="51">
        <v>0</v>
      </c>
      <c r="G965" s="51">
        <v>0</v>
      </c>
      <c r="H965" s="51">
        <v>140532</v>
      </c>
      <c r="I965" s="51">
        <v>-62155</v>
      </c>
      <c r="J965" s="51">
        <v>78377</v>
      </c>
      <c r="K965" s="51">
        <v>0</v>
      </c>
      <c r="L965" s="51">
        <v>0</v>
      </c>
      <c r="M965" s="51">
        <v>0</v>
      </c>
      <c r="N965" s="51">
        <v>78377</v>
      </c>
    </row>
    <row r="966" spans="1:14" ht="15.75" x14ac:dyDescent="0.25">
      <c r="A966" s="49" t="s">
        <v>546</v>
      </c>
      <c r="B966" s="50" t="s">
        <v>82</v>
      </c>
      <c r="C966" s="51">
        <v>670268</v>
      </c>
      <c r="D966" s="51">
        <v>-14949</v>
      </c>
      <c r="E966" s="51">
        <v>0</v>
      </c>
      <c r="F966" s="51">
        <v>0</v>
      </c>
      <c r="G966" s="51">
        <v>0</v>
      </c>
      <c r="H966" s="51">
        <v>655319</v>
      </c>
      <c r="I966" s="51">
        <v>-407291</v>
      </c>
      <c r="J966" s="51">
        <v>248028</v>
      </c>
      <c r="K966" s="51">
        <v>0</v>
      </c>
      <c r="L966" s="51">
        <v>0</v>
      </c>
      <c r="M966" s="51">
        <v>0</v>
      </c>
      <c r="N966" s="51">
        <v>248028</v>
      </c>
    </row>
    <row r="967" spans="1:14" ht="15.75" x14ac:dyDescent="0.25">
      <c r="A967" s="49" t="s">
        <v>546</v>
      </c>
      <c r="B967" s="50" t="s">
        <v>83</v>
      </c>
      <c r="C967" s="51">
        <v>3698995</v>
      </c>
      <c r="D967" s="51">
        <v>-13503</v>
      </c>
      <c r="E967" s="51">
        <v>0</v>
      </c>
      <c r="F967" s="51">
        <v>0</v>
      </c>
      <c r="G967" s="51">
        <v>0</v>
      </c>
      <c r="H967" s="51">
        <v>3685492</v>
      </c>
      <c r="I967" s="51">
        <v>-3016024</v>
      </c>
      <c r="J967" s="51">
        <v>669468</v>
      </c>
      <c r="K967" s="51">
        <v>0</v>
      </c>
      <c r="L967" s="51">
        <v>0</v>
      </c>
      <c r="M967" s="51">
        <v>0</v>
      </c>
      <c r="N967" s="51">
        <v>669468</v>
      </c>
    </row>
    <row r="968" spans="1:14" ht="15.75" x14ac:dyDescent="0.25">
      <c r="A968" s="49" t="s">
        <v>546</v>
      </c>
      <c r="B968" s="50" t="s">
        <v>48</v>
      </c>
      <c r="C968" s="51">
        <v>4632484</v>
      </c>
      <c r="D968" s="51">
        <v>-14699</v>
      </c>
      <c r="E968" s="51">
        <v>0</v>
      </c>
      <c r="F968" s="51">
        <v>0</v>
      </c>
      <c r="G968" s="51">
        <v>0</v>
      </c>
      <c r="H968" s="51">
        <v>4617785</v>
      </c>
      <c r="I968" s="51">
        <v>-3861580</v>
      </c>
      <c r="J968" s="51">
        <v>756205</v>
      </c>
      <c r="K968" s="51">
        <v>0</v>
      </c>
      <c r="L968" s="51">
        <v>0</v>
      </c>
      <c r="M968" s="51">
        <v>0</v>
      </c>
      <c r="N968" s="51">
        <v>756205</v>
      </c>
    </row>
    <row r="969" spans="1:14" ht="15.75" x14ac:dyDescent="0.25">
      <c r="A969" s="49" t="s">
        <v>546</v>
      </c>
      <c r="B969" s="50" t="s">
        <v>49</v>
      </c>
      <c r="C969" s="51">
        <v>4429508</v>
      </c>
      <c r="D969" s="51">
        <v>-35055</v>
      </c>
      <c r="E969" s="51">
        <v>0</v>
      </c>
      <c r="F969" s="51">
        <v>0</v>
      </c>
      <c r="G969" s="51">
        <v>0</v>
      </c>
      <c r="H969" s="51">
        <v>4394453</v>
      </c>
      <c r="I969" s="51">
        <v>-4276983</v>
      </c>
      <c r="J969" s="51">
        <v>117470</v>
      </c>
      <c r="K969" s="51">
        <v>0</v>
      </c>
      <c r="L969" s="51">
        <v>0</v>
      </c>
      <c r="M969" s="51">
        <v>0</v>
      </c>
      <c r="N969" s="51">
        <v>117470</v>
      </c>
    </row>
    <row r="970" spans="1:14" ht="15.75" x14ac:dyDescent="0.25">
      <c r="A970" s="49" t="s">
        <v>546</v>
      </c>
      <c r="B970" s="50" t="s">
        <v>50</v>
      </c>
      <c r="C970" s="51">
        <v>4494197</v>
      </c>
      <c r="D970" s="51">
        <v>-58422</v>
      </c>
      <c r="E970" s="51">
        <v>0</v>
      </c>
      <c r="F970" s="51">
        <v>0</v>
      </c>
      <c r="G970" s="51">
        <v>0</v>
      </c>
      <c r="H970" s="51">
        <v>4435775</v>
      </c>
      <c r="I970" s="51">
        <v>-4210760</v>
      </c>
      <c r="J970" s="51">
        <v>225015</v>
      </c>
      <c r="K970" s="51">
        <v>12323</v>
      </c>
      <c r="L970" s="51">
        <v>-8157</v>
      </c>
      <c r="M970" s="51">
        <v>4166</v>
      </c>
      <c r="N970" s="51">
        <v>220849</v>
      </c>
    </row>
    <row r="971" spans="1:14" ht="15.75" x14ac:dyDescent="0.25">
      <c r="A971" s="49" t="s">
        <v>546</v>
      </c>
      <c r="B971" s="50" t="s">
        <v>51</v>
      </c>
      <c r="C971" s="51">
        <v>4330411</v>
      </c>
      <c r="D971" s="51">
        <v>-92025</v>
      </c>
      <c r="E971" s="51">
        <v>0</v>
      </c>
      <c r="F971" s="51">
        <v>0</v>
      </c>
      <c r="G971" s="51">
        <v>0</v>
      </c>
      <c r="H971" s="51">
        <v>4238386</v>
      </c>
      <c r="I971" s="51">
        <v>-3825740</v>
      </c>
      <c r="J971" s="51">
        <v>412646</v>
      </c>
      <c r="K971" s="51">
        <v>0</v>
      </c>
      <c r="L971" s="51">
        <v>0</v>
      </c>
      <c r="M971" s="51">
        <v>0</v>
      </c>
      <c r="N971" s="51">
        <v>412646</v>
      </c>
    </row>
    <row r="972" spans="1:14" ht="15.75" x14ac:dyDescent="0.25">
      <c r="A972" s="49" t="s">
        <v>546</v>
      </c>
      <c r="B972" s="50" t="s">
        <v>52</v>
      </c>
      <c r="C972" s="51">
        <v>4599463</v>
      </c>
      <c r="D972" s="51">
        <v>-89653</v>
      </c>
      <c r="E972" s="51">
        <v>0</v>
      </c>
      <c r="F972" s="51">
        <v>0</v>
      </c>
      <c r="G972" s="51">
        <v>0</v>
      </c>
      <c r="H972" s="51">
        <v>4509810</v>
      </c>
      <c r="I972" s="51">
        <v>-4361183</v>
      </c>
      <c r="J972" s="51">
        <v>148627</v>
      </c>
      <c r="K972" s="51">
        <v>65813</v>
      </c>
      <c r="L972" s="51">
        <v>-59790</v>
      </c>
      <c r="M972" s="51">
        <v>6023</v>
      </c>
      <c r="N972" s="51">
        <v>142604</v>
      </c>
    </row>
    <row r="973" spans="1:14" ht="15.75" x14ac:dyDescent="0.25">
      <c r="A973" s="49" t="s">
        <v>546</v>
      </c>
      <c r="B973" s="50" t="s">
        <v>53</v>
      </c>
      <c r="C973" s="51">
        <v>4752865</v>
      </c>
      <c r="D973" s="51">
        <v>-16712</v>
      </c>
      <c r="E973" s="51">
        <v>0</v>
      </c>
      <c r="F973" s="51">
        <v>0</v>
      </c>
      <c r="G973" s="51">
        <v>0</v>
      </c>
      <c r="H973" s="51">
        <v>4736153</v>
      </c>
      <c r="I973" s="51">
        <v>-4678559</v>
      </c>
      <c r="J973" s="51">
        <v>57594</v>
      </c>
      <c r="K973" s="51">
        <v>1319463</v>
      </c>
      <c r="L973" s="51">
        <v>-1295960</v>
      </c>
      <c r="M973" s="51">
        <v>23503</v>
      </c>
      <c r="N973" s="51">
        <v>34091</v>
      </c>
    </row>
    <row r="974" spans="1:14" ht="15.75" x14ac:dyDescent="0.25">
      <c r="A974" s="49" t="s">
        <v>546</v>
      </c>
      <c r="B974" s="50" t="s">
        <v>54</v>
      </c>
      <c r="C974" s="51">
        <v>4266539</v>
      </c>
      <c r="D974" s="51">
        <v>-7199</v>
      </c>
      <c r="E974" s="51">
        <v>0</v>
      </c>
      <c r="F974" s="51">
        <v>0</v>
      </c>
      <c r="G974" s="51">
        <v>0</v>
      </c>
      <c r="H974" s="51">
        <v>4259340</v>
      </c>
      <c r="I974" s="51">
        <v>-4259340</v>
      </c>
      <c r="J974" s="51">
        <v>0</v>
      </c>
      <c r="K974" s="51">
        <v>0</v>
      </c>
      <c r="L974" s="51">
        <v>0</v>
      </c>
      <c r="M974" s="51">
        <v>0</v>
      </c>
      <c r="N974" s="51">
        <v>0</v>
      </c>
    </row>
    <row r="975" spans="1:14" ht="15.75" x14ac:dyDescent="0.25">
      <c r="A975" s="49" t="s">
        <v>546</v>
      </c>
      <c r="B975" s="50" t="s">
        <v>55</v>
      </c>
      <c r="C975" s="51">
        <v>5052147</v>
      </c>
      <c r="D975" s="51">
        <v>-10835</v>
      </c>
      <c r="E975" s="51">
        <v>0</v>
      </c>
      <c r="F975" s="51">
        <v>0</v>
      </c>
      <c r="G975" s="51">
        <v>0</v>
      </c>
      <c r="H975" s="51">
        <v>5041312</v>
      </c>
      <c r="I975" s="51">
        <v>-5041312</v>
      </c>
      <c r="J975" s="51">
        <v>0</v>
      </c>
      <c r="K975" s="51">
        <v>0</v>
      </c>
      <c r="L975" s="51">
        <v>0</v>
      </c>
      <c r="M975" s="51">
        <v>0</v>
      </c>
      <c r="N975" s="51">
        <v>0</v>
      </c>
    </row>
    <row r="976" spans="1:14" ht="15.75" x14ac:dyDescent="0.25">
      <c r="A976" s="49" t="s">
        <v>546</v>
      </c>
      <c r="B976" s="50" t="s">
        <v>56</v>
      </c>
      <c r="C976" s="51">
        <v>7430311</v>
      </c>
      <c r="D976" s="51">
        <v>-194521</v>
      </c>
      <c r="E976" s="51">
        <v>0</v>
      </c>
      <c r="F976" s="51">
        <v>0</v>
      </c>
      <c r="G976" s="51">
        <v>0</v>
      </c>
      <c r="H976" s="51">
        <v>7235790</v>
      </c>
      <c r="I976" s="51">
        <v>-7235790</v>
      </c>
      <c r="J976" s="51">
        <v>0</v>
      </c>
      <c r="K976" s="51">
        <v>204853</v>
      </c>
      <c r="L976" s="51">
        <v>-204853</v>
      </c>
      <c r="M976" s="51">
        <v>0</v>
      </c>
      <c r="N976" s="51">
        <v>0</v>
      </c>
    </row>
    <row r="977" spans="1:14" ht="15.75" x14ac:dyDescent="0.25">
      <c r="A977" s="49" t="s">
        <v>546</v>
      </c>
      <c r="B977" s="50" t="s">
        <v>57</v>
      </c>
      <c r="C977" s="51">
        <v>8876775</v>
      </c>
      <c r="D977" s="51">
        <v>-588849</v>
      </c>
      <c r="E977" s="51">
        <v>0</v>
      </c>
      <c r="F977" s="51">
        <v>0</v>
      </c>
      <c r="G977" s="51">
        <v>0</v>
      </c>
      <c r="H977" s="51">
        <v>8287926</v>
      </c>
      <c r="I977" s="51">
        <v>-8287926</v>
      </c>
      <c r="J977" s="51">
        <v>0</v>
      </c>
      <c r="K977" s="51">
        <v>1426115</v>
      </c>
      <c r="L977" s="51">
        <v>-1425358</v>
      </c>
      <c r="M977" s="51">
        <v>757</v>
      </c>
      <c r="N977" s="51">
        <v>-757</v>
      </c>
    </row>
    <row r="978" spans="1:14" ht="15.75" x14ac:dyDescent="0.25">
      <c r="A978" s="49" t="s">
        <v>546</v>
      </c>
      <c r="B978" s="50" t="s">
        <v>58</v>
      </c>
      <c r="C978" s="51">
        <v>10807342</v>
      </c>
      <c r="D978" s="51">
        <v>-1000072</v>
      </c>
      <c r="E978" s="51">
        <v>0</v>
      </c>
      <c r="F978" s="51">
        <v>0</v>
      </c>
      <c r="G978" s="51">
        <v>0</v>
      </c>
      <c r="H978" s="51">
        <v>9807270</v>
      </c>
      <c r="I978" s="51">
        <v>-9807270</v>
      </c>
      <c r="J978" s="51">
        <v>0</v>
      </c>
      <c r="K978" s="51">
        <v>1636613</v>
      </c>
      <c r="L978" s="51">
        <v>-1636463</v>
      </c>
      <c r="M978" s="51">
        <v>150</v>
      </c>
      <c r="N978" s="51">
        <v>-150</v>
      </c>
    </row>
    <row r="979" spans="1:14" ht="15.75" x14ac:dyDescent="0.25">
      <c r="A979" s="49" t="s">
        <v>546</v>
      </c>
      <c r="B979" s="50" t="s">
        <v>59</v>
      </c>
      <c r="C979" s="51">
        <v>10997836</v>
      </c>
      <c r="D979" s="51">
        <v>-176558</v>
      </c>
      <c r="E979" s="51">
        <v>0</v>
      </c>
      <c r="F979" s="51">
        <v>0</v>
      </c>
      <c r="G979" s="51">
        <v>0</v>
      </c>
      <c r="H979" s="51">
        <v>10821278</v>
      </c>
      <c r="I979" s="51">
        <v>-10821278</v>
      </c>
      <c r="J979" s="51">
        <v>0</v>
      </c>
      <c r="K979" s="51">
        <v>593229</v>
      </c>
      <c r="L979" s="51">
        <v>-593229</v>
      </c>
      <c r="M979" s="51">
        <v>0</v>
      </c>
      <c r="N979" s="51">
        <v>0</v>
      </c>
    </row>
    <row r="980" spans="1:14" ht="15.75" x14ac:dyDescent="0.25">
      <c r="A980" s="49" t="s">
        <v>546</v>
      </c>
      <c r="B980" s="50" t="s">
        <v>60</v>
      </c>
      <c r="C980" s="51">
        <v>7058063</v>
      </c>
      <c r="D980" s="51">
        <v>-26448</v>
      </c>
      <c r="E980" s="51">
        <v>0</v>
      </c>
      <c r="F980" s="51">
        <v>0</v>
      </c>
      <c r="G980" s="51">
        <v>0</v>
      </c>
      <c r="H980" s="51">
        <v>7031615</v>
      </c>
      <c r="I980" s="51">
        <v>-7031615</v>
      </c>
      <c r="J980" s="51">
        <v>0</v>
      </c>
      <c r="K980" s="51">
        <v>1141856</v>
      </c>
      <c r="L980" s="51">
        <v>-1141856</v>
      </c>
      <c r="M980" s="51">
        <v>0</v>
      </c>
      <c r="N980" s="51">
        <v>0</v>
      </c>
    </row>
    <row r="981" spans="1:14" ht="15.75" x14ac:dyDescent="0.25">
      <c r="A981" s="49" t="s">
        <v>546</v>
      </c>
      <c r="B981" s="50" t="s">
        <v>61</v>
      </c>
      <c r="C981" s="51">
        <v>6009155</v>
      </c>
      <c r="D981" s="51">
        <v>1896</v>
      </c>
      <c r="E981" s="51">
        <v>0</v>
      </c>
      <c r="F981" s="51">
        <v>0</v>
      </c>
      <c r="G981" s="51">
        <v>0</v>
      </c>
      <c r="H981" s="51">
        <v>6011051</v>
      </c>
      <c r="I981" s="51">
        <v>-6011051</v>
      </c>
      <c r="J981" s="51">
        <v>0</v>
      </c>
      <c r="K981" s="51">
        <v>423593</v>
      </c>
      <c r="L981" s="51">
        <v>-423593</v>
      </c>
      <c r="M981" s="51">
        <v>0</v>
      </c>
      <c r="N981" s="51">
        <v>0</v>
      </c>
    </row>
    <row r="982" spans="1:14" ht="15.75" x14ac:dyDescent="0.25">
      <c r="A982" s="49" t="s">
        <v>546</v>
      </c>
      <c r="B982" s="50" t="s">
        <v>62</v>
      </c>
      <c r="C982" s="51">
        <v>5088011</v>
      </c>
      <c r="D982" s="51">
        <v>-6123</v>
      </c>
      <c r="E982" s="51">
        <v>0</v>
      </c>
      <c r="F982" s="51">
        <v>0</v>
      </c>
      <c r="G982" s="51">
        <v>0</v>
      </c>
      <c r="H982" s="51">
        <v>5081888</v>
      </c>
      <c r="I982" s="51">
        <v>-5081888</v>
      </c>
      <c r="J982" s="51">
        <v>0</v>
      </c>
      <c r="K982" s="51">
        <v>291561</v>
      </c>
      <c r="L982" s="51">
        <v>-291561</v>
      </c>
      <c r="M982" s="51">
        <v>0</v>
      </c>
      <c r="N982" s="51">
        <v>0</v>
      </c>
    </row>
    <row r="983" spans="1:14" ht="15.75" x14ac:dyDescent="0.25">
      <c r="A983" s="49" t="s">
        <v>546</v>
      </c>
      <c r="B983" s="50" t="s">
        <v>63</v>
      </c>
      <c r="C983" s="51">
        <v>4222625</v>
      </c>
      <c r="D983" s="51">
        <v>-1028609</v>
      </c>
      <c r="E983" s="51">
        <v>0</v>
      </c>
      <c r="F983" s="51">
        <v>0</v>
      </c>
      <c r="G983" s="51">
        <v>0</v>
      </c>
      <c r="H983" s="51">
        <v>3194016</v>
      </c>
      <c r="I983" s="51">
        <v>-3194016</v>
      </c>
      <c r="J983" s="51">
        <v>0</v>
      </c>
      <c r="K983" s="51">
        <v>246277</v>
      </c>
      <c r="L983" s="51">
        <v>-246277</v>
      </c>
      <c r="M983" s="51">
        <v>0</v>
      </c>
      <c r="N983" s="51">
        <v>0</v>
      </c>
    </row>
    <row r="984" spans="1:14" ht="15.75" x14ac:dyDescent="0.25">
      <c r="A984" s="49" t="s">
        <v>546</v>
      </c>
      <c r="B984" s="50" t="s">
        <v>64</v>
      </c>
      <c r="C984" s="51">
        <v>3831288</v>
      </c>
      <c r="D984" s="51">
        <v>-749995</v>
      </c>
      <c r="E984" s="51">
        <v>0</v>
      </c>
      <c r="F984" s="51">
        <v>0</v>
      </c>
      <c r="G984" s="51">
        <v>0</v>
      </c>
      <c r="H984" s="51">
        <v>3081293</v>
      </c>
      <c r="I984" s="51">
        <v>-3081293</v>
      </c>
      <c r="J984" s="51">
        <v>0</v>
      </c>
      <c r="K984" s="51">
        <v>130914</v>
      </c>
      <c r="L984" s="51">
        <v>-130914</v>
      </c>
      <c r="M984" s="51">
        <v>0</v>
      </c>
      <c r="N984" s="51">
        <v>0</v>
      </c>
    </row>
    <row r="985" spans="1:14" ht="15.75" x14ac:dyDescent="0.25">
      <c r="A985" s="49" t="s">
        <v>546</v>
      </c>
      <c r="B985" s="50" t="s">
        <v>65</v>
      </c>
      <c r="C985" s="51">
        <v>2993998</v>
      </c>
      <c r="D985" s="51">
        <v>-690363</v>
      </c>
      <c r="E985" s="51">
        <v>0</v>
      </c>
      <c r="F985" s="51">
        <v>0</v>
      </c>
      <c r="G985" s="51">
        <v>0</v>
      </c>
      <c r="H985" s="51">
        <v>2303635</v>
      </c>
      <c r="I985" s="51">
        <v>-2303635</v>
      </c>
      <c r="J985" s="51">
        <v>0</v>
      </c>
      <c r="K985" s="51">
        <v>103458</v>
      </c>
      <c r="L985" s="51">
        <v>-103458</v>
      </c>
      <c r="M985" s="51">
        <v>0</v>
      </c>
      <c r="N985" s="51">
        <v>0</v>
      </c>
    </row>
    <row r="986" spans="1:14" ht="15.75" x14ac:dyDescent="0.25">
      <c r="A986" s="52" t="s">
        <v>424</v>
      </c>
      <c r="B986" s="53" t="s">
        <v>8</v>
      </c>
      <c r="C986" s="19">
        <f>SUBTOTAL(109,Program153[(C)
Program
Costs])</f>
        <v>108562560</v>
      </c>
      <c r="D986" s="19">
        <f>SUBTOTAL(109,Program153[(D)
Prior Period Adjustments])</f>
        <v>-4812694</v>
      </c>
      <c r="E986" s="19">
        <f>SUBTOTAL(109,Program153[(E)
Current Period Desk 
Reviews])</f>
        <v>0</v>
      </c>
      <c r="F986" s="19">
        <f>SUBTOTAL(109,Program153[(F)
Current Period 
Final 
Audits])</f>
        <v>0</v>
      </c>
      <c r="G986" s="19">
        <f>SUBTOTAL(109,Program153[(G)
Current Period 
Other Adjustments])</f>
        <v>0</v>
      </c>
      <c r="H986" s="19">
        <f>SUBTOTAL(109,Program153[(H)
Net Program Costs
Sum (C through G)])</f>
        <v>103749866</v>
      </c>
      <c r="I986" s="19">
        <f>SUBTOTAL(109,Program153[(I)
Payments
 and Offsets])</f>
        <v>-100897108</v>
      </c>
      <c r="J986" s="19">
        <f>SUBTOTAL(109,Program153[(J)
Accounts Payable Balance
(H + I)])</f>
        <v>2852758</v>
      </c>
      <c r="K986" s="19">
        <f>SUBTOTAL(109,Program153[(K)
Established 
Accounts Receivable])</f>
        <v>7596068</v>
      </c>
      <c r="L986" s="19">
        <f>SUBTOTAL(109,Program153[(L)
Recovered
 Accounts Receivable])</f>
        <v>-7561469</v>
      </c>
      <c r="M986" s="19">
        <f>SUBTOTAL(109,Program153[(M)
Accounts Receivable Balance
(K + L)])</f>
        <v>34599</v>
      </c>
      <c r="N986" s="19">
        <f>SUBTOTAL(109,Program153[(N)
Net Balance
(J minus M)])</f>
        <v>2818159</v>
      </c>
    </row>
    <row r="987" spans="1:14" ht="15.75" x14ac:dyDescent="0.25">
      <c r="A987" s="17" t="s">
        <v>13</v>
      </c>
      <c r="B987" s="54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</row>
    <row r="988" spans="1:14" ht="78.75" x14ac:dyDescent="0.25">
      <c r="A988" s="39" t="s">
        <v>32</v>
      </c>
      <c r="B988" s="40" t="s">
        <v>33</v>
      </c>
      <c r="C988" s="41" t="s">
        <v>34</v>
      </c>
      <c r="D988" s="41" t="s">
        <v>35</v>
      </c>
      <c r="E988" s="42" t="s">
        <v>36</v>
      </c>
      <c r="F988" s="42" t="s">
        <v>37</v>
      </c>
      <c r="G988" s="42" t="s">
        <v>38</v>
      </c>
      <c r="H988" s="43" t="s">
        <v>39</v>
      </c>
      <c r="I988" s="44" t="s">
        <v>40</v>
      </c>
      <c r="J988" s="44" t="s">
        <v>41</v>
      </c>
      <c r="K988" s="42" t="s">
        <v>42</v>
      </c>
      <c r="L988" s="44" t="s">
        <v>43</v>
      </c>
      <c r="M988" s="44" t="s">
        <v>44</v>
      </c>
      <c r="N988" s="45" t="s">
        <v>45</v>
      </c>
    </row>
    <row r="989" spans="1:14" ht="15.75" x14ac:dyDescent="0.25">
      <c r="A989" s="46" t="s">
        <v>545</v>
      </c>
      <c r="B989" s="47" t="s">
        <v>55</v>
      </c>
      <c r="C989" s="48">
        <v>336886</v>
      </c>
      <c r="D989" s="48">
        <v>0</v>
      </c>
      <c r="E989" s="48">
        <v>0</v>
      </c>
      <c r="F989" s="48">
        <v>0</v>
      </c>
      <c r="G989" s="48">
        <v>0</v>
      </c>
      <c r="H989" s="48">
        <v>336886</v>
      </c>
      <c r="I989" s="48">
        <v>-336886</v>
      </c>
      <c r="J989" s="48">
        <v>0</v>
      </c>
      <c r="K989" s="48">
        <v>0</v>
      </c>
      <c r="L989" s="48">
        <v>0</v>
      </c>
      <c r="M989" s="48">
        <v>0</v>
      </c>
      <c r="N989" s="48">
        <v>0</v>
      </c>
    </row>
    <row r="990" spans="1:14" ht="15.75" x14ac:dyDescent="0.25">
      <c r="A990" s="49" t="s">
        <v>545</v>
      </c>
      <c r="B990" s="50" t="s">
        <v>56</v>
      </c>
      <c r="C990" s="51">
        <v>428848</v>
      </c>
      <c r="D990" s="51">
        <v>-381</v>
      </c>
      <c r="E990" s="51">
        <v>0</v>
      </c>
      <c r="F990" s="51">
        <v>0</v>
      </c>
      <c r="G990" s="51">
        <v>0</v>
      </c>
      <c r="H990" s="51">
        <v>428467</v>
      </c>
      <c r="I990" s="51">
        <v>-428467</v>
      </c>
      <c r="J990" s="51">
        <v>0</v>
      </c>
      <c r="K990" s="51">
        <v>0</v>
      </c>
      <c r="L990" s="51">
        <v>0</v>
      </c>
      <c r="M990" s="51">
        <v>0</v>
      </c>
      <c r="N990" s="51">
        <v>0</v>
      </c>
    </row>
    <row r="991" spans="1:14" ht="15.75" x14ac:dyDescent="0.25">
      <c r="A991" s="49" t="s">
        <v>545</v>
      </c>
      <c r="B991" s="50" t="s">
        <v>57</v>
      </c>
      <c r="C991" s="51">
        <v>302411</v>
      </c>
      <c r="D991" s="51">
        <v>-45298</v>
      </c>
      <c r="E991" s="51">
        <v>0</v>
      </c>
      <c r="F991" s="51">
        <v>0</v>
      </c>
      <c r="G991" s="51">
        <v>0</v>
      </c>
      <c r="H991" s="51">
        <v>257113</v>
      </c>
      <c r="I991" s="51">
        <v>-257113</v>
      </c>
      <c r="J991" s="51">
        <v>0</v>
      </c>
      <c r="K991" s="51">
        <v>75436</v>
      </c>
      <c r="L991" s="51">
        <v>-75436</v>
      </c>
      <c r="M991" s="51">
        <v>0</v>
      </c>
      <c r="N991" s="51">
        <v>0</v>
      </c>
    </row>
    <row r="992" spans="1:14" ht="15.75" x14ac:dyDescent="0.25">
      <c r="A992" s="49" t="s">
        <v>545</v>
      </c>
      <c r="B992" s="50" t="s">
        <v>58</v>
      </c>
      <c r="C992" s="51">
        <v>256543</v>
      </c>
      <c r="D992" s="51">
        <v>-24663</v>
      </c>
      <c r="E992" s="51">
        <v>0</v>
      </c>
      <c r="F992" s="51">
        <v>0</v>
      </c>
      <c r="G992" s="51">
        <v>0</v>
      </c>
      <c r="H992" s="51">
        <v>231880</v>
      </c>
      <c r="I992" s="51">
        <v>-231880</v>
      </c>
      <c r="J992" s="51">
        <v>0</v>
      </c>
      <c r="K992" s="51">
        <v>56171</v>
      </c>
      <c r="L992" s="51">
        <v>-54892</v>
      </c>
      <c r="M992" s="51">
        <v>1279</v>
      </c>
      <c r="N992" s="51">
        <v>-1279</v>
      </c>
    </row>
    <row r="993" spans="1:14" ht="15.75" x14ac:dyDescent="0.25">
      <c r="A993" s="49" t="s">
        <v>545</v>
      </c>
      <c r="B993" s="50" t="s">
        <v>59</v>
      </c>
      <c r="C993" s="51">
        <v>304537</v>
      </c>
      <c r="D993" s="51">
        <v>-927</v>
      </c>
      <c r="E993" s="51">
        <v>0</v>
      </c>
      <c r="F993" s="51">
        <v>0</v>
      </c>
      <c r="G993" s="51">
        <v>0</v>
      </c>
      <c r="H993" s="51">
        <v>303610</v>
      </c>
      <c r="I993" s="51">
        <v>-303610</v>
      </c>
      <c r="J993" s="51">
        <v>0</v>
      </c>
      <c r="K993" s="51">
        <v>26692</v>
      </c>
      <c r="L993" s="51">
        <v>-26692</v>
      </c>
      <c r="M993" s="51">
        <v>0</v>
      </c>
      <c r="N993" s="51">
        <v>0</v>
      </c>
    </row>
    <row r="994" spans="1:14" ht="15.75" x14ac:dyDescent="0.25">
      <c r="A994" s="49" t="s">
        <v>545</v>
      </c>
      <c r="B994" s="50" t="s">
        <v>60</v>
      </c>
      <c r="C994" s="51">
        <v>216580</v>
      </c>
      <c r="D994" s="51">
        <v>-635</v>
      </c>
      <c r="E994" s="51">
        <v>0</v>
      </c>
      <c r="F994" s="51">
        <v>0</v>
      </c>
      <c r="G994" s="51">
        <v>0</v>
      </c>
      <c r="H994" s="51">
        <v>215945</v>
      </c>
      <c r="I994" s="51">
        <v>-215945</v>
      </c>
      <c r="J994" s="51">
        <v>0</v>
      </c>
      <c r="K994" s="51">
        <v>31792</v>
      </c>
      <c r="L994" s="51">
        <v>-31792</v>
      </c>
      <c r="M994" s="51">
        <v>0</v>
      </c>
      <c r="N994" s="51">
        <v>0</v>
      </c>
    </row>
    <row r="995" spans="1:14" ht="15.75" x14ac:dyDescent="0.25">
      <c r="A995" s="49" t="s">
        <v>545</v>
      </c>
      <c r="B995" s="50" t="s">
        <v>61</v>
      </c>
      <c r="C995" s="51">
        <v>177414</v>
      </c>
      <c r="D995" s="51">
        <v>-2281</v>
      </c>
      <c r="E995" s="51">
        <v>0</v>
      </c>
      <c r="F995" s="51">
        <v>0</v>
      </c>
      <c r="G995" s="51">
        <v>0</v>
      </c>
      <c r="H995" s="51">
        <v>175133</v>
      </c>
      <c r="I995" s="51">
        <v>-175133</v>
      </c>
      <c r="J995" s="51">
        <v>0</v>
      </c>
      <c r="K995" s="51">
        <v>7617</v>
      </c>
      <c r="L995" s="51">
        <v>-7617</v>
      </c>
      <c r="M995" s="51">
        <v>0</v>
      </c>
      <c r="N995" s="51">
        <v>0</v>
      </c>
    </row>
    <row r="996" spans="1:14" ht="15.75" x14ac:dyDescent="0.25">
      <c r="A996" s="49" t="s">
        <v>545</v>
      </c>
      <c r="B996" s="50" t="s">
        <v>62</v>
      </c>
      <c r="C996" s="51">
        <v>294161</v>
      </c>
      <c r="D996" s="51">
        <v>-163316</v>
      </c>
      <c r="E996" s="51">
        <v>0</v>
      </c>
      <c r="F996" s="51">
        <v>0</v>
      </c>
      <c r="G996" s="51">
        <v>0</v>
      </c>
      <c r="H996" s="51">
        <v>130845</v>
      </c>
      <c r="I996" s="51">
        <v>-130845</v>
      </c>
      <c r="J996" s="51">
        <v>0</v>
      </c>
      <c r="K996" s="51">
        <v>0</v>
      </c>
      <c r="L996" s="51">
        <v>0</v>
      </c>
      <c r="M996" s="51">
        <v>0</v>
      </c>
      <c r="N996" s="51">
        <v>0</v>
      </c>
    </row>
    <row r="997" spans="1:14" ht="15.75" x14ac:dyDescent="0.25">
      <c r="A997" s="49" t="s">
        <v>545</v>
      </c>
      <c r="B997" s="50" t="s">
        <v>63</v>
      </c>
      <c r="C997" s="51">
        <v>103134</v>
      </c>
      <c r="D997" s="51">
        <v>-52365</v>
      </c>
      <c r="E997" s="51">
        <v>0</v>
      </c>
      <c r="F997" s="51">
        <v>0</v>
      </c>
      <c r="G997" s="51">
        <v>0</v>
      </c>
      <c r="H997" s="51">
        <v>50769</v>
      </c>
      <c r="I997" s="51">
        <v>-50769</v>
      </c>
      <c r="J997" s="51">
        <v>0</v>
      </c>
      <c r="K997" s="51">
        <v>0</v>
      </c>
      <c r="L997" s="51">
        <v>0</v>
      </c>
      <c r="M997" s="51">
        <v>0</v>
      </c>
      <c r="N997" s="51">
        <v>0</v>
      </c>
    </row>
    <row r="998" spans="1:14" ht="15.75" x14ac:dyDescent="0.25">
      <c r="A998" s="52" t="s">
        <v>423</v>
      </c>
      <c r="B998" s="53" t="s">
        <v>8</v>
      </c>
      <c r="C998" s="19">
        <f>SUBTOTAL(109,Program169[(C)
Program
Costs])</f>
        <v>2420514</v>
      </c>
      <c r="D998" s="19">
        <f>SUBTOTAL(109,Program169[(D)
Prior Period Adjustments])</f>
        <v>-289866</v>
      </c>
      <c r="E998" s="19">
        <f>SUBTOTAL(109,Program169[(E)
Current Period Desk 
Reviews])</f>
        <v>0</v>
      </c>
      <c r="F998" s="19">
        <f>SUBTOTAL(109,Program169[(F)
Current Period 
Final 
Audits])</f>
        <v>0</v>
      </c>
      <c r="G998" s="19">
        <f>SUBTOTAL(109,Program169[(G)
Current Period 
Other Adjustments])</f>
        <v>0</v>
      </c>
      <c r="H998" s="19">
        <f>SUBTOTAL(109,Program169[(H)
Net Program Costs
Sum (C through G)])</f>
        <v>2130648</v>
      </c>
      <c r="I998" s="19">
        <f>SUBTOTAL(109,Program169[(I)
Payments
 and Offsets])</f>
        <v>-2130648</v>
      </c>
      <c r="J998" s="19">
        <f>SUBTOTAL(109,Program169[(J)
Accounts Payable Balance
(H + I)])</f>
        <v>0</v>
      </c>
      <c r="K998" s="19">
        <f>SUBTOTAL(109,Program169[(K)
Established 
Accounts Receivable])</f>
        <v>197708</v>
      </c>
      <c r="L998" s="19">
        <f>SUBTOTAL(109,Program169[(L)
Recovered
 Accounts Receivable])</f>
        <v>-196429</v>
      </c>
      <c r="M998" s="19">
        <f>SUBTOTAL(109,Program169[(M)
Accounts Receivable Balance
(K + L)])</f>
        <v>1279</v>
      </c>
      <c r="N998" s="19">
        <f>SUBTOTAL(109,Program169[(N)
Net Balance
(J minus M)])</f>
        <v>-1279</v>
      </c>
    </row>
    <row r="999" spans="1:14" ht="15.75" x14ac:dyDescent="0.25">
      <c r="A999" s="17" t="s">
        <v>13</v>
      </c>
      <c r="B999" s="54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</row>
    <row r="1000" spans="1:14" ht="78.75" x14ac:dyDescent="0.25">
      <c r="A1000" s="39" t="s">
        <v>32</v>
      </c>
      <c r="B1000" s="40" t="s">
        <v>33</v>
      </c>
      <c r="C1000" s="41" t="s">
        <v>34</v>
      </c>
      <c r="D1000" s="41" t="s">
        <v>35</v>
      </c>
      <c r="E1000" s="42" t="s">
        <v>36</v>
      </c>
      <c r="F1000" s="42" t="s">
        <v>37</v>
      </c>
      <c r="G1000" s="42" t="s">
        <v>38</v>
      </c>
      <c r="H1000" s="43" t="s">
        <v>39</v>
      </c>
      <c r="I1000" s="44" t="s">
        <v>40</v>
      </c>
      <c r="J1000" s="44" t="s">
        <v>41</v>
      </c>
      <c r="K1000" s="42" t="s">
        <v>42</v>
      </c>
      <c r="L1000" s="44" t="s">
        <v>43</v>
      </c>
      <c r="M1000" s="44" t="s">
        <v>44</v>
      </c>
      <c r="N1000" s="45" t="s">
        <v>45</v>
      </c>
    </row>
    <row r="1001" spans="1:14" ht="15.75" x14ac:dyDescent="0.25">
      <c r="A1001" s="46" t="s">
        <v>544</v>
      </c>
      <c r="B1001" s="47" t="s">
        <v>77</v>
      </c>
      <c r="C1001" s="48">
        <v>2350</v>
      </c>
      <c r="D1001" s="48">
        <v>0</v>
      </c>
      <c r="E1001" s="48">
        <v>0</v>
      </c>
      <c r="F1001" s="48">
        <v>0</v>
      </c>
      <c r="G1001" s="48">
        <v>0</v>
      </c>
      <c r="H1001" s="48">
        <v>2350</v>
      </c>
      <c r="I1001" s="48">
        <v>-1000</v>
      </c>
      <c r="J1001" s="48">
        <v>1350</v>
      </c>
      <c r="K1001" s="48">
        <v>0</v>
      </c>
      <c r="L1001" s="48">
        <v>0</v>
      </c>
      <c r="M1001" s="48">
        <v>0</v>
      </c>
      <c r="N1001" s="48">
        <v>1350</v>
      </c>
    </row>
    <row r="1002" spans="1:14" ht="15.75" x14ac:dyDescent="0.25">
      <c r="A1002" s="49" t="s">
        <v>544</v>
      </c>
      <c r="B1002" s="50" t="s">
        <v>78</v>
      </c>
      <c r="C1002" s="51">
        <v>3677</v>
      </c>
      <c r="D1002" s="51">
        <v>0</v>
      </c>
      <c r="E1002" s="51">
        <v>0</v>
      </c>
      <c r="F1002" s="51">
        <v>0</v>
      </c>
      <c r="G1002" s="51">
        <v>0</v>
      </c>
      <c r="H1002" s="51">
        <v>3677</v>
      </c>
      <c r="I1002" s="51">
        <v>-1000</v>
      </c>
      <c r="J1002" s="51">
        <v>2677</v>
      </c>
      <c r="K1002" s="51">
        <v>0</v>
      </c>
      <c r="L1002" s="51">
        <v>0</v>
      </c>
      <c r="M1002" s="51">
        <v>0</v>
      </c>
      <c r="N1002" s="51">
        <v>2677</v>
      </c>
    </row>
    <row r="1003" spans="1:14" ht="15.75" x14ac:dyDescent="0.25">
      <c r="A1003" s="49" t="s">
        <v>544</v>
      </c>
      <c r="B1003" s="50" t="s">
        <v>79</v>
      </c>
      <c r="C1003" s="51">
        <v>3353</v>
      </c>
      <c r="D1003" s="51">
        <v>0</v>
      </c>
      <c r="E1003" s="51">
        <v>0</v>
      </c>
      <c r="F1003" s="51">
        <v>0</v>
      </c>
      <c r="G1003" s="51">
        <v>0</v>
      </c>
      <c r="H1003" s="51">
        <v>3353</v>
      </c>
      <c r="I1003" s="51">
        <v>-1000</v>
      </c>
      <c r="J1003" s="51">
        <v>2353</v>
      </c>
      <c r="K1003" s="51">
        <v>0</v>
      </c>
      <c r="L1003" s="51">
        <v>0</v>
      </c>
      <c r="M1003" s="51">
        <v>0</v>
      </c>
      <c r="N1003" s="51">
        <v>2353</v>
      </c>
    </row>
    <row r="1004" spans="1:14" ht="15.75" x14ac:dyDescent="0.25">
      <c r="A1004" s="49" t="s">
        <v>544</v>
      </c>
      <c r="B1004" s="50" t="s">
        <v>80</v>
      </c>
      <c r="C1004" s="51">
        <v>222555</v>
      </c>
      <c r="D1004" s="51">
        <v>0</v>
      </c>
      <c r="E1004" s="51">
        <v>0</v>
      </c>
      <c r="F1004" s="51">
        <v>0</v>
      </c>
      <c r="G1004" s="51">
        <v>0</v>
      </c>
      <c r="H1004" s="51">
        <v>222555</v>
      </c>
      <c r="I1004" s="51">
        <v>-2931</v>
      </c>
      <c r="J1004" s="51">
        <v>219624</v>
      </c>
      <c r="K1004" s="51">
        <v>0</v>
      </c>
      <c r="L1004" s="51">
        <v>0</v>
      </c>
      <c r="M1004" s="51">
        <v>0</v>
      </c>
      <c r="N1004" s="51">
        <v>219624</v>
      </c>
    </row>
    <row r="1005" spans="1:14" ht="15.75" x14ac:dyDescent="0.25">
      <c r="A1005" s="49" t="s">
        <v>544</v>
      </c>
      <c r="B1005" s="50" t="s">
        <v>81</v>
      </c>
      <c r="C1005" s="51">
        <v>247195</v>
      </c>
      <c r="D1005" s="51">
        <v>0</v>
      </c>
      <c r="E1005" s="51">
        <v>0</v>
      </c>
      <c r="F1005" s="51">
        <v>0</v>
      </c>
      <c r="G1005" s="51">
        <v>0</v>
      </c>
      <c r="H1005" s="51">
        <v>247195</v>
      </c>
      <c r="I1005" s="51">
        <v>-2026</v>
      </c>
      <c r="J1005" s="51">
        <v>245169</v>
      </c>
      <c r="K1005" s="51">
        <v>0</v>
      </c>
      <c r="L1005" s="51">
        <v>0</v>
      </c>
      <c r="M1005" s="51">
        <v>0</v>
      </c>
      <c r="N1005" s="51">
        <v>245169</v>
      </c>
    </row>
    <row r="1006" spans="1:14" ht="15.75" x14ac:dyDescent="0.25">
      <c r="A1006" s="49" t="s">
        <v>544</v>
      </c>
      <c r="B1006" s="50" t="s">
        <v>82</v>
      </c>
      <c r="C1006" s="51">
        <v>491903</v>
      </c>
      <c r="D1006" s="51">
        <v>0</v>
      </c>
      <c r="E1006" s="51">
        <v>0</v>
      </c>
      <c r="F1006" s="51">
        <v>0</v>
      </c>
      <c r="G1006" s="51">
        <v>0</v>
      </c>
      <c r="H1006" s="51">
        <v>491903</v>
      </c>
      <c r="I1006" s="51">
        <v>-7255</v>
      </c>
      <c r="J1006" s="51">
        <v>484648</v>
      </c>
      <c r="K1006" s="51">
        <v>0</v>
      </c>
      <c r="L1006" s="51">
        <v>0</v>
      </c>
      <c r="M1006" s="51">
        <v>0</v>
      </c>
      <c r="N1006" s="51">
        <v>484648</v>
      </c>
    </row>
    <row r="1007" spans="1:14" ht="15.75" x14ac:dyDescent="0.25">
      <c r="A1007" s="49" t="s">
        <v>544</v>
      </c>
      <c r="B1007" s="50" t="s">
        <v>83</v>
      </c>
      <c r="C1007" s="51">
        <v>848630</v>
      </c>
      <c r="D1007" s="51">
        <v>-3035</v>
      </c>
      <c r="E1007" s="51">
        <v>0</v>
      </c>
      <c r="F1007" s="51">
        <v>0</v>
      </c>
      <c r="G1007" s="51">
        <v>0</v>
      </c>
      <c r="H1007" s="51">
        <v>845595</v>
      </c>
      <c r="I1007" s="51">
        <v>-217384</v>
      </c>
      <c r="J1007" s="51">
        <v>628211</v>
      </c>
      <c r="K1007" s="51">
        <v>0</v>
      </c>
      <c r="L1007" s="51">
        <v>0</v>
      </c>
      <c r="M1007" s="51">
        <v>0</v>
      </c>
      <c r="N1007" s="51">
        <v>628211</v>
      </c>
    </row>
    <row r="1008" spans="1:14" ht="15.75" x14ac:dyDescent="0.25">
      <c r="A1008" s="49" t="s">
        <v>544</v>
      </c>
      <c r="B1008" s="50" t="s">
        <v>48</v>
      </c>
      <c r="C1008" s="51">
        <v>990328</v>
      </c>
      <c r="D1008" s="51">
        <v>-2457</v>
      </c>
      <c r="E1008" s="51">
        <v>0</v>
      </c>
      <c r="F1008" s="51">
        <v>0</v>
      </c>
      <c r="G1008" s="51">
        <v>0</v>
      </c>
      <c r="H1008" s="51">
        <v>987871</v>
      </c>
      <c r="I1008" s="51">
        <v>-268064</v>
      </c>
      <c r="J1008" s="51">
        <v>719807</v>
      </c>
      <c r="K1008" s="51">
        <v>0</v>
      </c>
      <c r="L1008" s="51">
        <v>0</v>
      </c>
      <c r="M1008" s="51">
        <v>0</v>
      </c>
      <c r="N1008" s="51">
        <v>719807</v>
      </c>
    </row>
    <row r="1009" spans="1:14" ht="15.75" x14ac:dyDescent="0.25">
      <c r="A1009" s="49" t="s">
        <v>544</v>
      </c>
      <c r="B1009" s="50" t="s">
        <v>49</v>
      </c>
      <c r="C1009" s="51">
        <v>1075026</v>
      </c>
      <c r="D1009" s="51">
        <v>-3145</v>
      </c>
      <c r="E1009" s="51">
        <v>0</v>
      </c>
      <c r="F1009" s="51">
        <v>0</v>
      </c>
      <c r="G1009" s="51">
        <v>0</v>
      </c>
      <c r="H1009" s="51">
        <v>1071881</v>
      </c>
      <c r="I1009" s="51">
        <v>-1019256</v>
      </c>
      <c r="J1009" s="51">
        <v>52625</v>
      </c>
      <c r="K1009" s="51">
        <v>0</v>
      </c>
      <c r="L1009" s="51">
        <v>0</v>
      </c>
      <c r="M1009" s="51">
        <v>0</v>
      </c>
      <c r="N1009" s="51">
        <v>52625</v>
      </c>
    </row>
    <row r="1010" spans="1:14" ht="15.75" x14ac:dyDescent="0.25">
      <c r="A1010" s="49" t="s">
        <v>544</v>
      </c>
      <c r="B1010" s="50" t="s">
        <v>50</v>
      </c>
      <c r="C1010" s="51">
        <v>1257077</v>
      </c>
      <c r="D1010" s="51">
        <v>-540</v>
      </c>
      <c r="E1010" s="51">
        <v>0</v>
      </c>
      <c r="F1010" s="51">
        <v>0</v>
      </c>
      <c r="G1010" s="51">
        <v>0</v>
      </c>
      <c r="H1010" s="51">
        <v>1256537</v>
      </c>
      <c r="I1010" s="51">
        <v>-1159096</v>
      </c>
      <c r="J1010" s="51">
        <v>97441</v>
      </c>
      <c r="K1010" s="51">
        <v>0</v>
      </c>
      <c r="L1010" s="51">
        <v>0</v>
      </c>
      <c r="M1010" s="51">
        <v>0</v>
      </c>
      <c r="N1010" s="51">
        <v>97441</v>
      </c>
    </row>
    <row r="1011" spans="1:14" ht="15.75" x14ac:dyDescent="0.25">
      <c r="A1011" s="49" t="s">
        <v>544</v>
      </c>
      <c r="B1011" s="50" t="s">
        <v>51</v>
      </c>
      <c r="C1011" s="51">
        <v>1163887</v>
      </c>
      <c r="D1011" s="51">
        <v>-3980</v>
      </c>
      <c r="E1011" s="51">
        <v>0</v>
      </c>
      <c r="F1011" s="51">
        <v>0</v>
      </c>
      <c r="G1011" s="51">
        <v>0</v>
      </c>
      <c r="H1011" s="51">
        <v>1159907</v>
      </c>
      <c r="I1011" s="51">
        <v>-470577</v>
      </c>
      <c r="J1011" s="51">
        <v>689330</v>
      </c>
      <c r="K1011" s="51">
        <v>0</v>
      </c>
      <c r="L1011" s="51">
        <v>0</v>
      </c>
      <c r="M1011" s="51">
        <v>0</v>
      </c>
      <c r="N1011" s="51">
        <v>689330</v>
      </c>
    </row>
    <row r="1012" spans="1:14" ht="15.75" x14ac:dyDescent="0.25">
      <c r="A1012" s="49" t="s">
        <v>544</v>
      </c>
      <c r="B1012" s="50" t="s">
        <v>52</v>
      </c>
      <c r="C1012" s="51">
        <v>1178972</v>
      </c>
      <c r="D1012" s="51">
        <v>-2116</v>
      </c>
      <c r="E1012" s="51">
        <v>0</v>
      </c>
      <c r="F1012" s="51">
        <v>0</v>
      </c>
      <c r="G1012" s="51">
        <v>0</v>
      </c>
      <c r="H1012" s="51">
        <v>1176856</v>
      </c>
      <c r="I1012" s="51">
        <v>-651415</v>
      </c>
      <c r="J1012" s="51">
        <v>525441</v>
      </c>
      <c r="K1012" s="51">
        <v>28652</v>
      </c>
      <c r="L1012" s="51">
        <v>-27448</v>
      </c>
      <c r="M1012" s="51">
        <v>1204</v>
      </c>
      <c r="N1012" s="51">
        <v>524237</v>
      </c>
    </row>
    <row r="1013" spans="1:14" ht="15.75" x14ac:dyDescent="0.25">
      <c r="A1013" s="49" t="s">
        <v>544</v>
      </c>
      <c r="B1013" s="50" t="s">
        <v>53</v>
      </c>
      <c r="C1013" s="51">
        <v>1187181</v>
      </c>
      <c r="D1013" s="51">
        <v>-1303</v>
      </c>
      <c r="E1013" s="51">
        <v>0</v>
      </c>
      <c r="F1013" s="51">
        <v>0</v>
      </c>
      <c r="G1013" s="51">
        <v>0</v>
      </c>
      <c r="H1013" s="51">
        <v>1185878</v>
      </c>
      <c r="I1013" s="51">
        <v>-1112778</v>
      </c>
      <c r="J1013" s="51">
        <v>73100</v>
      </c>
      <c r="K1013" s="51">
        <v>0</v>
      </c>
      <c r="L1013" s="51">
        <v>0</v>
      </c>
      <c r="M1013" s="51">
        <v>0</v>
      </c>
      <c r="N1013" s="51">
        <v>73100</v>
      </c>
    </row>
    <row r="1014" spans="1:14" ht="15.75" x14ac:dyDescent="0.25">
      <c r="A1014" s="49" t="s">
        <v>544</v>
      </c>
      <c r="B1014" s="50" t="s">
        <v>54</v>
      </c>
      <c r="C1014" s="51">
        <v>757347</v>
      </c>
      <c r="D1014" s="51">
        <v>-2170</v>
      </c>
      <c r="E1014" s="51">
        <v>0</v>
      </c>
      <c r="F1014" s="51">
        <v>0</v>
      </c>
      <c r="G1014" s="51">
        <v>0</v>
      </c>
      <c r="H1014" s="51">
        <v>755177</v>
      </c>
      <c r="I1014" s="51">
        <v>-755177</v>
      </c>
      <c r="J1014" s="51">
        <v>0</v>
      </c>
      <c r="K1014" s="51">
        <v>0</v>
      </c>
      <c r="L1014" s="51">
        <v>0</v>
      </c>
      <c r="M1014" s="51">
        <v>0</v>
      </c>
      <c r="N1014" s="51">
        <v>0</v>
      </c>
    </row>
    <row r="1015" spans="1:14" ht="15.75" x14ac:dyDescent="0.25">
      <c r="A1015" s="49" t="s">
        <v>544</v>
      </c>
      <c r="B1015" s="50" t="s">
        <v>55</v>
      </c>
      <c r="C1015" s="51">
        <v>881400</v>
      </c>
      <c r="D1015" s="51">
        <v>-1321</v>
      </c>
      <c r="E1015" s="51">
        <v>0</v>
      </c>
      <c r="F1015" s="51">
        <v>0</v>
      </c>
      <c r="G1015" s="51">
        <v>0</v>
      </c>
      <c r="H1015" s="51">
        <v>880079</v>
      </c>
      <c r="I1015" s="51">
        <v>-880079</v>
      </c>
      <c r="J1015" s="51">
        <v>0</v>
      </c>
      <c r="K1015" s="51">
        <v>0</v>
      </c>
      <c r="L1015" s="51">
        <v>0</v>
      </c>
      <c r="M1015" s="51">
        <v>0</v>
      </c>
      <c r="N1015" s="51">
        <v>0</v>
      </c>
    </row>
    <row r="1016" spans="1:14" ht="15.75" x14ac:dyDescent="0.25">
      <c r="A1016" s="49" t="s">
        <v>544</v>
      </c>
      <c r="B1016" s="50" t="s">
        <v>56</v>
      </c>
      <c r="C1016" s="51">
        <v>962276</v>
      </c>
      <c r="D1016" s="51">
        <v>-1343</v>
      </c>
      <c r="E1016" s="51">
        <v>0</v>
      </c>
      <c r="F1016" s="51">
        <v>0</v>
      </c>
      <c r="G1016" s="51">
        <v>0</v>
      </c>
      <c r="H1016" s="51">
        <v>960933</v>
      </c>
      <c r="I1016" s="51">
        <v>-960933</v>
      </c>
      <c r="J1016" s="51">
        <v>0</v>
      </c>
      <c r="K1016" s="51">
        <v>0</v>
      </c>
      <c r="L1016" s="51">
        <v>0</v>
      </c>
      <c r="M1016" s="51">
        <v>0</v>
      </c>
      <c r="N1016" s="51">
        <v>0</v>
      </c>
    </row>
    <row r="1017" spans="1:14" ht="15.75" x14ac:dyDescent="0.25">
      <c r="A1017" s="49" t="s">
        <v>544</v>
      </c>
      <c r="B1017" s="50" t="s">
        <v>57</v>
      </c>
      <c r="C1017" s="51">
        <v>835448</v>
      </c>
      <c r="D1017" s="51">
        <v>-37360</v>
      </c>
      <c r="E1017" s="51">
        <v>0</v>
      </c>
      <c r="F1017" s="51">
        <v>0</v>
      </c>
      <c r="G1017" s="51">
        <v>0</v>
      </c>
      <c r="H1017" s="51">
        <v>798088</v>
      </c>
      <c r="I1017" s="51">
        <v>-798088</v>
      </c>
      <c r="J1017" s="51">
        <v>0</v>
      </c>
      <c r="K1017" s="51">
        <v>72371</v>
      </c>
      <c r="L1017" s="51">
        <v>-72080</v>
      </c>
      <c r="M1017" s="51">
        <v>291</v>
      </c>
      <c r="N1017" s="51">
        <v>-291</v>
      </c>
    </row>
    <row r="1018" spans="1:14" ht="15.75" x14ac:dyDescent="0.25">
      <c r="A1018" s="49" t="s">
        <v>544</v>
      </c>
      <c r="B1018" s="50" t="s">
        <v>58</v>
      </c>
      <c r="C1018" s="51">
        <v>691915</v>
      </c>
      <c r="D1018" s="51">
        <v>-22080</v>
      </c>
      <c r="E1018" s="51">
        <v>0</v>
      </c>
      <c r="F1018" s="51">
        <v>0</v>
      </c>
      <c r="G1018" s="51">
        <v>0</v>
      </c>
      <c r="H1018" s="51">
        <v>669835</v>
      </c>
      <c r="I1018" s="51">
        <v>-669835</v>
      </c>
      <c r="J1018" s="51">
        <v>0</v>
      </c>
      <c r="K1018" s="51">
        <v>67093</v>
      </c>
      <c r="L1018" s="51">
        <v>-67093</v>
      </c>
      <c r="M1018" s="51">
        <v>0</v>
      </c>
      <c r="N1018" s="51">
        <v>0</v>
      </c>
    </row>
    <row r="1019" spans="1:14" ht="15.75" x14ac:dyDescent="0.25">
      <c r="A1019" s="49" t="s">
        <v>544</v>
      </c>
      <c r="B1019" s="50" t="s">
        <v>59</v>
      </c>
      <c r="C1019" s="51">
        <v>707935</v>
      </c>
      <c r="D1019" s="51">
        <v>-1475</v>
      </c>
      <c r="E1019" s="51">
        <v>0</v>
      </c>
      <c r="F1019" s="51">
        <v>0</v>
      </c>
      <c r="G1019" s="51">
        <v>0</v>
      </c>
      <c r="H1019" s="51">
        <v>706460</v>
      </c>
      <c r="I1019" s="51">
        <v>-706460</v>
      </c>
      <c r="J1019" s="51">
        <v>0</v>
      </c>
      <c r="K1019" s="51">
        <v>15334</v>
      </c>
      <c r="L1019" s="51">
        <v>-15334</v>
      </c>
      <c r="M1019" s="51">
        <v>0</v>
      </c>
      <c r="N1019" s="51">
        <v>0</v>
      </c>
    </row>
    <row r="1020" spans="1:14" ht="15.75" x14ac:dyDescent="0.25">
      <c r="A1020" s="49" t="s">
        <v>544</v>
      </c>
      <c r="B1020" s="50" t="s">
        <v>60</v>
      </c>
      <c r="C1020" s="51">
        <v>569111</v>
      </c>
      <c r="D1020" s="51">
        <v>-6986</v>
      </c>
      <c r="E1020" s="51">
        <v>0</v>
      </c>
      <c r="F1020" s="51">
        <v>0</v>
      </c>
      <c r="G1020" s="51">
        <v>0</v>
      </c>
      <c r="H1020" s="51">
        <v>562125</v>
      </c>
      <c r="I1020" s="51">
        <v>-562125</v>
      </c>
      <c r="J1020" s="51">
        <v>0</v>
      </c>
      <c r="K1020" s="51">
        <v>61034</v>
      </c>
      <c r="L1020" s="51">
        <v>-61034</v>
      </c>
      <c r="M1020" s="51">
        <v>0</v>
      </c>
      <c r="N1020" s="51">
        <v>0</v>
      </c>
    </row>
    <row r="1021" spans="1:14" ht="15.75" x14ac:dyDescent="0.25">
      <c r="A1021" s="49" t="s">
        <v>544</v>
      </c>
      <c r="B1021" s="50" t="s">
        <v>61</v>
      </c>
      <c r="C1021" s="51">
        <v>419800</v>
      </c>
      <c r="D1021" s="51">
        <v>11527</v>
      </c>
      <c r="E1021" s="51">
        <v>0</v>
      </c>
      <c r="F1021" s="51">
        <v>0</v>
      </c>
      <c r="G1021" s="51">
        <v>0</v>
      </c>
      <c r="H1021" s="51">
        <v>431327</v>
      </c>
      <c r="I1021" s="51">
        <v>-431327</v>
      </c>
      <c r="J1021" s="51">
        <v>0</v>
      </c>
      <c r="K1021" s="51">
        <v>47363</v>
      </c>
      <c r="L1021" s="51">
        <v>-47363</v>
      </c>
      <c r="M1021" s="51">
        <v>0</v>
      </c>
      <c r="N1021" s="51">
        <v>0</v>
      </c>
    </row>
    <row r="1022" spans="1:14" ht="15.75" x14ac:dyDescent="0.25">
      <c r="A1022" s="49" t="s">
        <v>544</v>
      </c>
      <c r="B1022" s="50" t="s">
        <v>62</v>
      </c>
      <c r="C1022" s="51">
        <v>247271</v>
      </c>
      <c r="D1022" s="51">
        <v>-1883</v>
      </c>
      <c r="E1022" s="51">
        <v>0</v>
      </c>
      <c r="F1022" s="51">
        <v>0</v>
      </c>
      <c r="G1022" s="51">
        <v>0</v>
      </c>
      <c r="H1022" s="51">
        <v>245388</v>
      </c>
      <c r="I1022" s="51">
        <v>-245388</v>
      </c>
      <c r="J1022" s="51">
        <v>0</v>
      </c>
      <c r="K1022" s="51">
        <v>0</v>
      </c>
      <c r="L1022" s="51">
        <v>0</v>
      </c>
      <c r="M1022" s="51">
        <v>0</v>
      </c>
      <c r="N1022" s="51">
        <v>0</v>
      </c>
    </row>
    <row r="1023" spans="1:14" ht="15.75" x14ac:dyDescent="0.25">
      <c r="A1023" s="49" t="s">
        <v>544</v>
      </c>
      <c r="B1023" s="50" t="s">
        <v>63</v>
      </c>
      <c r="C1023" s="51">
        <v>242053</v>
      </c>
      <c r="D1023" s="51">
        <v>-322</v>
      </c>
      <c r="E1023" s="51">
        <v>0</v>
      </c>
      <c r="F1023" s="51">
        <v>0</v>
      </c>
      <c r="G1023" s="51">
        <v>0</v>
      </c>
      <c r="H1023" s="51">
        <v>241731</v>
      </c>
      <c r="I1023" s="51">
        <v>-241731</v>
      </c>
      <c r="J1023" s="51">
        <v>0</v>
      </c>
      <c r="K1023" s="51">
        <v>0</v>
      </c>
      <c r="L1023" s="51">
        <v>0</v>
      </c>
      <c r="M1023" s="51">
        <v>0</v>
      </c>
      <c r="N1023" s="51">
        <v>0</v>
      </c>
    </row>
    <row r="1024" spans="1:14" ht="15.75" x14ac:dyDescent="0.25">
      <c r="A1024" s="49" t="s">
        <v>544</v>
      </c>
      <c r="B1024" s="50" t="s">
        <v>64</v>
      </c>
      <c r="C1024" s="51">
        <v>72415</v>
      </c>
      <c r="D1024" s="51">
        <v>-212</v>
      </c>
      <c r="E1024" s="51">
        <v>0</v>
      </c>
      <c r="F1024" s="51">
        <v>0</v>
      </c>
      <c r="G1024" s="51">
        <v>0</v>
      </c>
      <c r="H1024" s="51">
        <v>72203</v>
      </c>
      <c r="I1024" s="51">
        <v>-72203</v>
      </c>
      <c r="J1024" s="51">
        <v>0</v>
      </c>
      <c r="K1024" s="51">
        <v>0</v>
      </c>
      <c r="L1024" s="51">
        <v>0</v>
      </c>
      <c r="M1024" s="51">
        <v>0</v>
      </c>
      <c r="N1024" s="51">
        <v>0</v>
      </c>
    </row>
    <row r="1025" spans="1:14" ht="15.75" x14ac:dyDescent="0.25">
      <c r="A1025" s="52" t="s">
        <v>422</v>
      </c>
      <c r="B1025" s="53" t="s">
        <v>8</v>
      </c>
      <c r="C1025" s="19">
        <f>SUBTOTAL(109,Program155[(C)
Program
Costs])</f>
        <v>15059105</v>
      </c>
      <c r="D1025" s="19">
        <f>SUBTOTAL(109,Program155[(D)
Prior Period Adjustments])</f>
        <v>-80201</v>
      </c>
      <c r="E1025" s="19">
        <f>SUBTOTAL(109,Program155[(E)
Current Period Desk 
Reviews])</f>
        <v>0</v>
      </c>
      <c r="F1025" s="19">
        <f>SUBTOTAL(109,Program155[(F)
Current Period 
Final 
Audits])</f>
        <v>0</v>
      </c>
      <c r="G1025" s="19">
        <f>SUBTOTAL(109,Program155[(G)
Current Period 
Other Adjustments])</f>
        <v>0</v>
      </c>
      <c r="H1025" s="19">
        <f>SUBTOTAL(109,Program155[(H)
Net Program Costs
Sum (C through G)])</f>
        <v>14978904</v>
      </c>
      <c r="I1025" s="19">
        <f>SUBTOTAL(109,Program155[(I)
Payments
 and Offsets])</f>
        <v>-11237128</v>
      </c>
      <c r="J1025" s="19">
        <f>SUBTOTAL(109,Program155[(J)
Accounts Payable Balance
(H + I)])</f>
        <v>3741776</v>
      </c>
      <c r="K1025" s="19">
        <f>SUBTOTAL(109,Program155[(K)
Established 
Accounts Receivable])</f>
        <v>291847</v>
      </c>
      <c r="L1025" s="19">
        <f>SUBTOTAL(109,Program155[(L)
Recovered
 Accounts Receivable])</f>
        <v>-290352</v>
      </c>
      <c r="M1025" s="19">
        <f>SUBTOTAL(109,Program155[(M)
Accounts Receivable Balance
(K + L)])</f>
        <v>1495</v>
      </c>
      <c r="N1025" s="19">
        <f>SUBTOTAL(109,Program155[(N)
Net Balance
(J minus M)])</f>
        <v>3740281</v>
      </c>
    </row>
    <row r="1026" spans="1:14" ht="15.75" x14ac:dyDescent="0.25">
      <c r="A1026" s="17" t="s">
        <v>13</v>
      </c>
      <c r="B1026" s="54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</row>
    <row r="1027" spans="1:14" ht="78.75" x14ac:dyDescent="0.25">
      <c r="A1027" s="39" t="s">
        <v>32</v>
      </c>
      <c r="B1027" s="40" t="s">
        <v>33</v>
      </c>
      <c r="C1027" s="41" t="s">
        <v>34</v>
      </c>
      <c r="D1027" s="41" t="s">
        <v>35</v>
      </c>
      <c r="E1027" s="42" t="s">
        <v>36</v>
      </c>
      <c r="F1027" s="42" t="s">
        <v>37</v>
      </c>
      <c r="G1027" s="42" t="s">
        <v>38</v>
      </c>
      <c r="H1027" s="43" t="s">
        <v>39</v>
      </c>
      <c r="I1027" s="44" t="s">
        <v>40</v>
      </c>
      <c r="J1027" s="44" t="s">
        <v>41</v>
      </c>
      <c r="K1027" s="42" t="s">
        <v>42</v>
      </c>
      <c r="L1027" s="44" t="s">
        <v>43</v>
      </c>
      <c r="M1027" s="44" t="s">
        <v>44</v>
      </c>
      <c r="N1027" s="45" t="s">
        <v>45</v>
      </c>
    </row>
    <row r="1028" spans="1:14" ht="15.75" x14ac:dyDescent="0.25">
      <c r="A1028" s="46" t="s">
        <v>543</v>
      </c>
      <c r="B1028" s="47" t="s">
        <v>61</v>
      </c>
      <c r="C1028" s="48">
        <v>0</v>
      </c>
      <c r="D1028" s="48">
        <v>0</v>
      </c>
      <c r="E1028" s="48">
        <v>0</v>
      </c>
      <c r="F1028" s="48">
        <v>0</v>
      </c>
      <c r="G1028" s="48">
        <v>0</v>
      </c>
      <c r="H1028" s="48">
        <v>0</v>
      </c>
      <c r="I1028" s="48">
        <v>0</v>
      </c>
      <c r="J1028" s="48">
        <v>0</v>
      </c>
      <c r="K1028" s="48">
        <v>9126</v>
      </c>
      <c r="L1028" s="48">
        <v>-9126</v>
      </c>
      <c r="M1028" s="48">
        <v>0</v>
      </c>
      <c r="N1028" s="48">
        <v>0</v>
      </c>
    </row>
    <row r="1029" spans="1:14" ht="15.75" x14ac:dyDescent="0.25">
      <c r="A1029" s="49" t="s">
        <v>543</v>
      </c>
      <c r="B1029" s="50" t="s">
        <v>63</v>
      </c>
      <c r="C1029" s="51">
        <v>48365</v>
      </c>
      <c r="D1029" s="51">
        <v>0</v>
      </c>
      <c r="E1029" s="51">
        <v>0</v>
      </c>
      <c r="F1029" s="51">
        <v>0</v>
      </c>
      <c r="G1029" s="51">
        <v>0</v>
      </c>
      <c r="H1029" s="51">
        <v>48365</v>
      </c>
      <c r="I1029" s="51">
        <v>-48365</v>
      </c>
      <c r="J1029" s="51">
        <v>0</v>
      </c>
      <c r="K1029" s="51">
        <v>135</v>
      </c>
      <c r="L1029" s="51">
        <v>-135</v>
      </c>
      <c r="M1029" s="51">
        <v>0</v>
      </c>
      <c r="N1029" s="51">
        <v>0</v>
      </c>
    </row>
    <row r="1030" spans="1:14" ht="15.75" x14ac:dyDescent="0.25">
      <c r="A1030" s="49" t="s">
        <v>543</v>
      </c>
      <c r="B1030" s="50" t="s">
        <v>64</v>
      </c>
      <c r="C1030" s="51">
        <v>150036</v>
      </c>
      <c r="D1030" s="51">
        <v>-20776</v>
      </c>
      <c r="E1030" s="51">
        <v>0</v>
      </c>
      <c r="F1030" s="51">
        <v>0</v>
      </c>
      <c r="G1030" s="51">
        <v>0</v>
      </c>
      <c r="H1030" s="51">
        <v>129260</v>
      </c>
      <c r="I1030" s="51">
        <v>-129260</v>
      </c>
      <c r="J1030" s="51">
        <v>0</v>
      </c>
      <c r="K1030" s="51">
        <v>6030</v>
      </c>
      <c r="L1030" s="51">
        <v>-6030</v>
      </c>
      <c r="M1030" s="51">
        <v>0</v>
      </c>
      <c r="N1030" s="51">
        <v>0</v>
      </c>
    </row>
    <row r="1031" spans="1:14" ht="15.75" x14ac:dyDescent="0.25">
      <c r="A1031" s="49" t="s">
        <v>543</v>
      </c>
      <c r="B1031" s="50" t="s">
        <v>65</v>
      </c>
      <c r="C1031" s="51">
        <v>81648</v>
      </c>
      <c r="D1031" s="51">
        <v>-4054</v>
      </c>
      <c r="E1031" s="51">
        <v>0</v>
      </c>
      <c r="F1031" s="51">
        <v>0</v>
      </c>
      <c r="G1031" s="51">
        <v>0</v>
      </c>
      <c r="H1031" s="51">
        <v>77594</v>
      </c>
      <c r="I1031" s="51">
        <v>-77594</v>
      </c>
      <c r="J1031" s="51">
        <v>0</v>
      </c>
      <c r="K1031" s="51">
        <v>5630</v>
      </c>
      <c r="L1031" s="51">
        <v>-5630</v>
      </c>
      <c r="M1031" s="51">
        <v>0</v>
      </c>
      <c r="N1031" s="51">
        <v>0</v>
      </c>
    </row>
    <row r="1032" spans="1:14" ht="15.75" x14ac:dyDescent="0.25">
      <c r="A1032" s="49" t="s">
        <v>543</v>
      </c>
      <c r="B1032" s="50" t="s">
        <v>66</v>
      </c>
      <c r="C1032" s="51">
        <v>34040</v>
      </c>
      <c r="D1032" s="51">
        <v>-1908</v>
      </c>
      <c r="E1032" s="51">
        <v>0</v>
      </c>
      <c r="F1032" s="51">
        <v>0</v>
      </c>
      <c r="G1032" s="51">
        <v>0</v>
      </c>
      <c r="H1032" s="51">
        <v>32132</v>
      </c>
      <c r="I1032" s="51">
        <v>-32132</v>
      </c>
      <c r="J1032" s="51">
        <v>0</v>
      </c>
      <c r="K1032" s="51">
        <v>9695</v>
      </c>
      <c r="L1032" s="51">
        <v>-9695</v>
      </c>
      <c r="M1032" s="51">
        <v>0</v>
      </c>
      <c r="N1032" s="51">
        <v>0</v>
      </c>
    </row>
    <row r="1033" spans="1:14" ht="15.75" x14ac:dyDescent="0.25">
      <c r="A1033" s="49" t="s">
        <v>543</v>
      </c>
      <c r="B1033" s="50" t="s">
        <v>67</v>
      </c>
      <c r="C1033" s="51">
        <v>30222</v>
      </c>
      <c r="D1033" s="51">
        <v>-3805</v>
      </c>
      <c r="E1033" s="51">
        <v>0</v>
      </c>
      <c r="F1033" s="51">
        <v>0</v>
      </c>
      <c r="G1033" s="51">
        <v>0</v>
      </c>
      <c r="H1033" s="51">
        <v>26417</v>
      </c>
      <c r="I1033" s="51">
        <v>-26417</v>
      </c>
      <c r="J1033" s="51">
        <v>0</v>
      </c>
      <c r="K1033" s="51">
        <v>4846</v>
      </c>
      <c r="L1033" s="51">
        <v>-4846</v>
      </c>
      <c r="M1033" s="51">
        <v>0</v>
      </c>
      <c r="N1033" s="51">
        <v>0</v>
      </c>
    </row>
    <row r="1034" spans="1:14" ht="15.75" x14ac:dyDescent="0.25">
      <c r="A1034" s="52" t="s">
        <v>421</v>
      </c>
      <c r="B1034" s="53" t="s">
        <v>8</v>
      </c>
      <c r="C1034" s="19">
        <f>SUBTOTAL(109,Program036[(C)
Program
Costs])</f>
        <v>344311</v>
      </c>
      <c r="D1034" s="19">
        <f>SUBTOTAL(109,Program036[(D)
Prior Period Adjustments])</f>
        <v>-30543</v>
      </c>
      <c r="E1034" s="19">
        <f>SUBTOTAL(109,Program036[(E)
Current Period Desk 
Reviews])</f>
        <v>0</v>
      </c>
      <c r="F1034" s="19">
        <f>SUBTOTAL(109,Program036[(F)
Current Period 
Final 
Audits])</f>
        <v>0</v>
      </c>
      <c r="G1034" s="19">
        <f>SUBTOTAL(109,Program036[(G)
Current Period 
Other Adjustments])</f>
        <v>0</v>
      </c>
      <c r="H1034" s="19">
        <f>SUBTOTAL(109,Program036[(H)
Net Program Costs
Sum (C through G)])</f>
        <v>313768</v>
      </c>
      <c r="I1034" s="19">
        <f>SUBTOTAL(109,Program036[(I)
Payments
 and Offsets])</f>
        <v>-313768</v>
      </c>
      <c r="J1034" s="19">
        <f>SUBTOTAL(109,Program036[(J)
Accounts Payable Balance
(H + I)])</f>
        <v>0</v>
      </c>
      <c r="K1034" s="19">
        <f>SUBTOTAL(109,Program036[(K)
Established 
Accounts Receivable])</f>
        <v>35462</v>
      </c>
      <c r="L1034" s="19">
        <f>SUBTOTAL(109,Program036[(L)
Recovered
 Accounts Receivable])</f>
        <v>-35462</v>
      </c>
      <c r="M1034" s="19">
        <f>SUBTOTAL(109,Program036[(M)
Accounts Receivable Balance
(K + L)])</f>
        <v>0</v>
      </c>
      <c r="N1034" s="19">
        <f>SUBTOTAL(109,Program036[(N)
Net Balance
(J minus M)])</f>
        <v>0</v>
      </c>
    </row>
    <row r="1035" spans="1:14" ht="15.75" x14ac:dyDescent="0.25">
      <c r="A1035" s="17" t="s">
        <v>13</v>
      </c>
      <c r="B1035" s="54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  <c r="N1035" s="55"/>
    </row>
    <row r="1036" spans="1:14" ht="78.75" x14ac:dyDescent="0.25">
      <c r="A1036" s="39" t="s">
        <v>32</v>
      </c>
      <c r="B1036" s="40" t="s">
        <v>33</v>
      </c>
      <c r="C1036" s="41" t="s">
        <v>34</v>
      </c>
      <c r="D1036" s="41" t="s">
        <v>35</v>
      </c>
      <c r="E1036" s="42" t="s">
        <v>36</v>
      </c>
      <c r="F1036" s="42" t="s">
        <v>37</v>
      </c>
      <c r="G1036" s="42" t="s">
        <v>38</v>
      </c>
      <c r="H1036" s="43" t="s">
        <v>39</v>
      </c>
      <c r="I1036" s="44" t="s">
        <v>40</v>
      </c>
      <c r="J1036" s="44" t="s">
        <v>41</v>
      </c>
      <c r="K1036" s="42" t="s">
        <v>42</v>
      </c>
      <c r="L1036" s="44" t="s">
        <v>43</v>
      </c>
      <c r="M1036" s="44" t="s">
        <v>44</v>
      </c>
      <c r="N1036" s="45" t="s">
        <v>45</v>
      </c>
    </row>
    <row r="1037" spans="1:14" ht="15.75" x14ac:dyDescent="0.25">
      <c r="A1037" s="46" t="s">
        <v>542</v>
      </c>
      <c r="B1037" s="47" t="s">
        <v>51</v>
      </c>
      <c r="C1037" s="48">
        <v>5870</v>
      </c>
      <c r="D1037" s="48">
        <v>-5870</v>
      </c>
      <c r="E1037" s="48">
        <v>0</v>
      </c>
      <c r="F1037" s="48">
        <v>0</v>
      </c>
      <c r="G1037" s="48">
        <v>0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v>0</v>
      </c>
    </row>
    <row r="1038" spans="1:14" ht="15.75" x14ac:dyDescent="0.25">
      <c r="A1038" s="49" t="s">
        <v>542</v>
      </c>
      <c r="B1038" s="50" t="s">
        <v>52</v>
      </c>
      <c r="C1038" s="51">
        <v>1676675</v>
      </c>
      <c r="D1038" s="51">
        <v>-19910</v>
      </c>
      <c r="E1038" s="51">
        <v>0</v>
      </c>
      <c r="F1038" s="51">
        <v>0</v>
      </c>
      <c r="G1038" s="51">
        <v>0</v>
      </c>
      <c r="H1038" s="51">
        <v>1656765</v>
      </c>
      <c r="I1038" s="51">
        <v>-1480782</v>
      </c>
      <c r="J1038" s="51">
        <v>175983</v>
      </c>
      <c r="K1038" s="51">
        <v>32178</v>
      </c>
      <c r="L1038" s="51">
        <v>-30021</v>
      </c>
      <c r="M1038" s="51">
        <v>2157</v>
      </c>
      <c r="N1038" s="51">
        <v>173826</v>
      </c>
    </row>
    <row r="1039" spans="1:14" ht="15.75" x14ac:dyDescent="0.25">
      <c r="A1039" s="49" t="s">
        <v>542</v>
      </c>
      <c r="B1039" s="50" t="s">
        <v>53</v>
      </c>
      <c r="C1039" s="51">
        <v>1592756</v>
      </c>
      <c r="D1039" s="51">
        <v>-42632</v>
      </c>
      <c r="E1039" s="51">
        <v>0</v>
      </c>
      <c r="F1039" s="51">
        <v>0</v>
      </c>
      <c r="G1039" s="51">
        <v>0</v>
      </c>
      <c r="H1039" s="51">
        <v>1550124</v>
      </c>
      <c r="I1039" s="51">
        <v>-1376323</v>
      </c>
      <c r="J1039" s="51">
        <v>173801</v>
      </c>
      <c r="K1039" s="51">
        <v>0</v>
      </c>
      <c r="L1039" s="51">
        <v>0</v>
      </c>
      <c r="M1039" s="51">
        <v>0</v>
      </c>
      <c r="N1039" s="51">
        <v>173801</v>
      </c>
    </row>
    <row r="1040" spans="1:14" ht="15.75" x14ac:dyDescent="0.25">
      <c r="A1040" s="49" t="s">
        <v>542</v>
      </c>
      <c r="B1040" s="50" t="s">
        <v>54</v>
      </c>
      <c r="C1040" s="51">
        <v>1246005</v>
      </c>
      <c r="D1040" s="51">
        <v>-1968</v>
      </c>
      <c r="E1040" s="51">
        <v>0</v>
      </c>
      <c r="F1040" s="51">
        <v>0</v>
      </c>
      <c r="G1040" s="51">
        <v>0</v>
      </c>
      <c r="H1040" s="51">
        <v>1244037</v>
      </c>
      <c r="I1040" s="51">
        <v>-1244037</v>
      </c>
      <c r="J1040" s="51">
        <v>0</v>
      </c>
      <c r="K1040" s="51">
        <v>0</v>
      </c>
      <c r="L1040" s="51">
        <v>0</v>
      </c>
      <c r="M1040" s="51">
        <v>0</v>
      </c>
      <c r="N1040" s="51">
        <v>0</v>
      </c>
    </row>
    <row r="1041" spans="1:14" ht="15.75" x14ac:dyDescent="0.25">
      <c r="A1041" s="49" t="s">
        <v>542</v>
      </c>
      <c r="B1041" s="50" t="s">
        <v>55</v>
      </c>
      <c r="C1041" s="51">
        <v>1939056</v>
      </c>
      <c r="D1041" s="51">
        <v>-629486</v>
      </c>
      <c r="E1041" s="51">
        <v>0</v>
      </c>
      <c r="F1041" s="51">
        <v>0</v>
      </c>
      <c r="G1041" s="51">
        <v>0</v>
      </c>
      <c r="H1041" s="51">
        <v>1309570</v>
      </c>
      <c r="I1041" s="51">
        <v>-1309570</v>
      </c>
      <c r="J1041" s="51">
        <v>0</v>
      </c>
      <c r="K1041" s="51">
        <v>618692</v>
      </c>
      <c r="L1041" s="51">
        <v>-618692</v>
      </c>
      <c r="M1041" s="51">
        <v>0</v>
      </c>
      <c r="N1041" s="51">
        <v>0</v>
      </c>
    </row>
    <row r="1042" spans="1:14" ht="15.75" x14ac:dyDescent="0.25">
      <c r="A1042" s="49" t="s">
        <v>542</v>
      </c>
      <c r="B1042" s="50" t="s">
        <v>56</v>
      </c>
      <c r="C1042" s="51">
        <v>1963647</v>
      </c>
      <c r="D1042" s="51">
        <v>-512494</v>
      </c>
      <c r="E1042" s="51">
        <v>0</v>
      </c>
      <c r="F1042" s="51">
        <v>0</v>
      </c>
      <c r="G1042" s="51">
        <v>0</v>
      </c>
      <c r="H1042" s="51">
        <v>1451153</v>
      </c>
      <c r="I1042" s="51">
        <v>-1451153</v>
      </c>
      <c r="J1042" s="51">
        <v>0</v>
      </c>
      <c r="K1042" s="51">
        <v>511232</v>
      </c>
      <c r="L1042" s="51">
        <v>-511232</v>
      </c>
      <c r="M1042" s="51">
        <v>0</v>
      </c>
      <c r="N1042" s="51">
        <v>0</v>
      </c>
    </row>
    <row r="1043" spans="1:14" ht="15.75" x14ac:dyDescent="0.25">
      <c r="A1043" s="49" t="s">
        <v>542</v>
      </c>
      <c r="B1043" s="50" t="s">
        <v>57</v>
      </c>
      <c r="C1043" s="51">
        <v>2099460</v>
      </c>
      <c r="D1043" s="51">
        <v>-519555</v>
      </c>
      <c r="E1043" s="51">
        <v>0</v>
      </c>
      <c r="F1043" s="51">
        <v>0</v>
      </c>
      <c r="G1043" s="51">
        <v>0</v>
      </c>
      <c r="H1043" s="51">
        <v>1579905</v>
      </c>
      <c r="I1043" s="51">
        <v>-1579905</v>
      </c>
      <c r="J1043" s="51">
        <v>0</v>
      </c>
      <c r="K1043" s="51">
        <v>818310</v>
      </c>
      <c r="L1043" s="51">
        <v>-816980</v>
      </c>
      <c r="M1043" s="51">
        <v>1330</v>
      </c>
      <c r="N1043" s="51">
        <v>-1330</v>
      </c>
    </row>
    <row r="1044" spans="1:14" ht="15.75" x14ac:dyDescent="0.25">
      <c r="A1044" s="49" t="s">
        <v>542</v>
      </c>
      <c r="B1044" s="50" t="s">
        <v>58</v>
      </c>
      <c r="C1044" s="51">
        <v>1784749</v>
      </c>
      <c r="D1044" s="51">
        <v>-205977</v>
      </c>
      <c r="E1044" s="51">
        <v>0</v>
      </c>
      <c r="F1044" s="51">
        <v>0</v>
      </c>
      <c r="G1044" s="51">
        <v>0</v>
      </c>
      <c r="H1044" s="51">
        <v>1578772</v>
      </c>
      <c r="I1044" s="51">
        <v>-1578772</v>
      </c>
      <c r="J1044" s="51">
        <v>0</v>
      </c>
      <c r="K1044" s="51">
        <v>537444</v>
      </c>
      <c r="L1044" s="51">
        <v>-537444</v>
      </c>
      <c r="M1044" s="51">
        <v>0</v>
      </c>
      <c r="N1044" s="51">
        <v>0</v>
      </c>
    </row>
    <row r="1045" spans="1:14" ht="15.75" x14ac:dyDescent="0.25">
      <c r="A1045" s="49" t="s">
        <v>542</v>
      </c>
      <c r="B1045" s="50" t="s">
        <v>59</v>
      </c>
      <c r="C1045" s="51">
        <v>1602234</v>
      </c>
      <c r="D1045" s="51">
        <v>-3826</v>
      </c>
      <c r="E1045" s="51">
        <v>0</v>
      </c>
      <c r="F1045" s="51">
        <v>0</v>
      </c>
      <c r="G1045" s="51">
        <v>0</v>
      </c>
      <c r="H1045" s="51">
        <v>1598408</v>
      </c>
      <c r="I1045" s="51">
        <v>-1598408</v>
      </c>
      <c r="J1045" s="51">
        <v>0</v>
      </c>
      <c r="K1045" s="51">
        <v>249906</v>
      </c>
      <c r="L1045" s="51">
        <v>-249906</v>
      </c>
      <c r="M1045" s="51">
        <v>0</v>
      </c>
      <c r="N1045" s="51">
        <v>0</v>
      </c>
    </row>
    <row r="1046" spans="1:14" ht="15.75" x14ac:dyDescent="0.25">
      <c r="A1046" s="49" t="s">
        <v>542</v>
      </c>
      <c r="B1046" s="50" t="s">
        <v>60</v>
      </c>
      <c r="C1046" s="51">
        <v>1529703</v>
      </c>
      <c r="D1046" s="51">
        <v>-8881</v>
      </c>
      <c r="E1046" s="51">
        <v>0</v>
      </c>
      <c r="F1046" s="51">
        <v>0</v>
      </c>
      <c r="G1046" s="51">
        <v>0</v>
      </c>
      <c r="H1046" s="51">
        <v>1520822</v>
      </c>
      <c r="I1046" s="51">
        <v>-1520822</v>
      </c>
      <c r="J1046" s="51">
        <v>0</v>
      </c>
      <c r="K1046" s="51">
        <v>330310</v>
      </c>
      <c r="L1046" s="51">
        <v>-330310</v>
      </c>
      <c r="M1046" s="51">
        <v>0</v>
      </c>
      <c r="N1046" s="51">
        <v>0</v>
      </c>
    </row>
    <row r="1047" spans="1:14" ht="15.75" x14ac:dyDescent="0.25">
      <c r="A1047" s="49" t="s">
        <v>542</v>
      </c>
      <c r="B1047" s="50" t="s">
        <v>61</v>
      </c>
      <c r="C1047" s="51">
        <v>1546055</v>
      </c>
      <c r="D1047" s="51">
        <v>17183</v>
      </c>
      <c r="E1047" s="51">
        <v>0</v>
      </c>
      <c r="F1047" s="51">
        <v>0</v>
      </c>
      <c r="G1047" s="51">
        <v>0</v>
      </c>
      <c r="H1047" s="51">
        <v>1563238</v>
      </c>
      <c r="I1047" s="51">
        <v>-1563238</v>
      </c>
      <c r="J1047" s="51">
        <v>0</v>
      </c>
      <c r="K1047" s="51">
        <v>210330</v>
      </c>
      <c r="L1047" s="51">
        <v>-210330</v>
      </c>
      <c r="M1047" s="51">
        <v>0</v>
      </c>
      <c r="N1047" s="51">
        <v>0</v>
      </c>
    </row>
    <row r="1048" spans="1:14" ht="15.75" x14ac:dyDescent="0.25">
      <c r="A1048" s="49" t="s">
        <v>542</v>
      </c>
      <c r="B1048" s="50" t="s">
        <v>62</v>
      </c>
      <c r="C1048" s="51">
        <v>1051734</v>
      </c>
      <c r="D1048" s="51">
        <v>-43071</v>
      </c>
      <c r="E1048" s="51">
        <v>0</v>
      </c>
      <c r="F1048" s="51">
        <v>0</v>
      </c>
      <c r="G1048" s="51">
        <v>0</v>
      </c>
      <c r="H1048" s="51">
        <v>1008663</v>
      </c>
      <c r="I1048" s="51">
        <v>-1008663</v>
      </c>
      <c r="J1048" s="51">
        <v>0</v>
      </c>
      <c r="K1048" s="51">
        <v>36375</v>
      </c>
      <c r="L1048" s="51">
        <v>-36375</v>
      </c>
      <c r="M1048" s="51">
        <v>0</v>
      </c>
      <c r="N1048" s="51">
        <v>0</v>
      </c>
    </row>
    <row r="1049" spans="1:14" ht="15.75" x14ac:dyDescent="0.25">
      <c r="A1049" s="49" t="s">
        <v>542</v>
      </c>
      <c r="B1049" s="50" t="s">
        <v>63</v>
      </c>
      <c r="C1049" s="51">
        <v>846601</v>
      </c>
      <c r="D1049" s="51">
        <v>-33448</v>
      </c>
      <c r="E1049" s="51">
        <v>0</v>
      </c>
      <c r="F1049" s="51">
        <v>0</v>
      </c>
      <c r="G1049" s="51">
        <v>0</v>
      </c>
      <c r="H1049" s="51">
        <v>813153</v>
      </c>
      <c r="I1049" s="51">
        <v>-813153</v>
      </c>
      <c r="J1049" s="51">
        <v>0</v>
      </c>
      <c r="K1049" s="51">
        <v>28626</v>
      </c>
      <c r="L1049" s="51">
        <v>-28626</v>
      </c>
      <c r="M1049" s="51">
        <v>0</v>
      </c>
      <c r="N1049" s="51">
        <v>0</v>
      </c>
    </row>
    <row r="1050" spans="1:14" ht="15.75" x14ac:dyDescent="0.25">
      <c r="A1050" s="49" t="s">
        <v>542</v>
      </c>
      <c r="B1050" s="50" t="s">
        <v>64</v>
      </c>
      <c r="C1050" s="51">
        <v>726353</v>
      </c>
      <c r="D1050" s="51">
        <v>-12580</v>
      </c>
      <c r="E1050" s="51">
        <v>0</v>
      </c>
      <c r="F1050" s="51">
        <v>0</v>
      </c>
      <c r="G1050" s="51">
        <v>0</v>
      </c>
      <c r="H1050" s="51">
        <v>713773</v>
      </c>
      <c r="I1050" s="51">
        <v>-713773</v>
      </c>
      <c r="J1050" s="51">
        <v>0</v>
      </c>
      <c r="K1050" s="51">
        <v>7289</v>
      </c>
      <c r="L1050" s="51">
        <v>-7289</v>
      </c>
      <c r="M1050" s="51">
        <v>0</v>
      </c>
      <c r="N1050" s="51">
        <v>0</v>
      </c>
    </row>
    <row r="1051" spans="1:14" ht="15.75" x14ac:dyDescent="0.25">
      <c r="A1051" s="52" t="s">
        <v>420</v>
      </c>
      <c r="B1051" s="53" t="s">
        <v>8</v>
      </c>
      <c r="C1051" s="19">
        <f>SUBTOTAL(109,Program157[(C)
Program
Costs])</f>
        <v>19610898</v>
      </c>
      <c r="D1051" s="19">
        <f>SUBTOTAL(109,Program157[(D)
Prior Period Adjustments])</f>
        <v>-2022515</v>
      </c>
      <c r="E1051" s="19">
        <f>SUBTOTAL(109,Program157[(E)
Current Period Desk 
Reviews])</f>
        <v>0</v>
      </c>
      <c r="F1051" s="19">
        <f>SUBTOTAL(109,Program157[(F)
Current Period 
Final 
Audits])</f>
        <v>0</v>
      </c>
      <c r="G1051" s="19">
        <f>SUBTOTAL(109,Program157[(G)
Current Period 
Other Adjustments])</f>
        <v>0</v>
      </c>
      <c r="H1051" s="19">
        <f>SUBTOTAL(109,Program157[(H)
Net Program Costs
Sum (C through G)])</f>
        <v>17588383</v>
      </c>
      <c r="I1051" s="19">
        <f>SUBTOTAL(109,Program157[(I)
Payments
 and Offsets])</f>
        <v>-17238599</v>
      </c>
      <c r="J1051" s="19">
        <f>SUBTOTAL(109,Program157[(J)
Accounts Payable Balance
(H + I)])</f>
        <v>349784</v>
      </c>
      <c r="K1051" s="19">
        <f>SUBTOTAL(109,Program157[(K)
Established 
Accounts Receivable])</f>
        <v>3380692</v>
      </c>
      <c r="L1051" s="19">
        <f>SUBTOTAL(109,Program157[(L)
Recovered
 Accounts Receivable])</f>
        <v>-3377205</v>
      </c>
      <c r="M1051" s="19">
        <f>SUBTOTAL(109,Program157[(M)
Accounts Receivable Balance
(K + L)])</f>
        <v>3487</v>
      </c>
      <c r="N1051" s="19">
        <f>SUBTOTAL(109,Program157[(N)
Net Balance
(J minus M)])</f>
        <v>346297</v>
      </c>
    </row>
    <row r="1052" spans="1:14" ht="15.75" x14ac:dyDescent="0.25">
      <c r="A1052" s="17" t="s">
        <v>13</v>
      </c>
      <c r="B1052" s="54"/>
      <c r="C1052" s="55"/>
      <c r="D1052" s="55"/>
      <c r="E1052" s="55"/>
      <c r="F1052" s="55"/>
      <c r="G1052" s="55"/>
      <c r="H1052" s="55"/>
      <c r="I1052" s="55"/>
      <c r="J1052" s="55"/>
      <c r="K1052" s="55"/>
      <c r="L1052" s="55"/>
      <c r="M1052" s="55"/>
      <c r="N1052" s="55"/>
    </row>
    <row r="1053" spans="1:14" ht="78.75" x14ac:dyDescent="0.25">
      <c r="A1053" s="39" t="s">
        <v>32</v>
      </c>
      <c r="B1053" s="40" t="s">
        <v>33</v>
      </c>
      <c r="C1053" s="41" t="s">
        <v>34</v>
      </c>
      <c r="D1053" s="41" t="s">
        <v>35</v>
      </c>
      <c r="E1053" s="42" t="s">
        <v>36</v>
      </c>
      <c r="F1053" s="42" t="s">
        <v>37</v>
      </c>
      <c r="G1053" s="42" t="s">
        <v>38</v>
      </c>
      <c r="H1053" s="43" t="s">
        <v>39</v>
      </c>
      <c r="I1053" s="44" t="s">
        <v>40</v>
      </c>
      <c r="J1053" s="44" t="s">
        <v>41</v>
      </c>
      <c r="K1053" s="42" t="s">
        <v>42</v>
      </c>
      <c r="L1053" s="44" t="s">
        <v>43</v>
      </c>
      <c r="M1053" s="44" t="s">
        <v>44</v>
      </c>
      <c r="N1053" s="45" t="s">
        <v>45</v>
      </c>
    </row>
    <row r="1054" spans="1:14" ht="30" x14ac:dyDescent="0.25">
      <c r="A1054" s="67" t="s">
        <v>541</v>
      </c>
      <c r="B1054" s="57" t="s">
        <v>58</v>
      </c>
      <c r="C1054" s="58">
        <v>20259</v>
      </c>
      <c r="D1054" s="58">
        <v>-729</v>
      </c>
      <c r="E1054" s="58">
        <v>0</v>
      </c>
      <c r="F1054" s="58">
        <v>0</v>
      </c>
      <c r="G1054" s="58">
        <v>0</v>
      </c>
      <c r="H1054" s="58">
        <v>19530</v>
      </c>
      <c r="I1054" s="58">
        <v>-19530</v>
      </c>
      <c r="J1054" s="58">
        <v>0</v>
      </c>
      <c r="K1054" s="58">
        <v>0</v>
      </c>
      <c r="L1054" s="58">
        <v>0</v>
      </c>
      <c r="M1054" s="58">
        <v>0</v>
      </c>
      <c r="N1054" s="58">
        <v>0</v>
      </c>
    </row>
    <row r="1055" spans="1:14" ht="30" x14ac:dyDescent="0.25">
      <c r="A1055" s="68" t="s">
        <v>541</v>
      </c>
      <c r="B1055" s="60" t="s">
        <v>59</v>
      </c>
      <c r="C1055" s="61">
        <v>3758</v>
      </c>
      <c r="D1055" s="61">
        <v>0</v>
      </c>
      <c r="E1055" s="61">
        <v>0</v>
      </c>
      <c r="F1055" s="61">
        <v>0</v>
      </c>
      <c r="G1055" s="61">
        <v>0</v>
      </c>
      <c r="H1055" s="61">
        <v>3758</v>
      </c>
      <c r="I1055" s="61">
        <v>-3758</v>
      </c>
      <c r="J1055" s="61">
        <v>0</v>
      </c>
      <c r="K1055" s="61">
        <v>0</v>
      </c>
      <c r="L1055" s="61">
        <v>0</v>
      </c>
      <c r="M1055" s="61">
        <v>0</v>
      </c>
      <c r="N1055" s="61">
        <v>0</v>
      </c>
    </row>
    <row r="1056" spans="1:14" ht="30" x14ac:dyDescent="0.25">
      <c r="A1056" s="68" t="s">
        <v>541</v>
      </c>
      <c r="B1056" s="60" t="s">
        <v>61</v>
      </c>
      <c r="C1056" s="61">
        <v>346</v>
      </c>
      <c r="D1056" s="61">
        <v>0</v>
      </c>
      <c r="E1056" s="61">
        <v>0</v>
      </c>
      <c r="F1056" s="61">
        <v>0</v>
      </c>
      <c r="G1056" s="61">
        <v>0</v>
      </c>
      <c r="H1056" s="61">
        <v>346</v>
      </c>
      <c r="I1056" s="61">
        <v>-346</v>
      </c>
      <c r="J1056" s="61">
        <v>0</v>
      </c>
      <c r="K1056" s="61">
        <v>0</v>
      </c>
      <c r="L1056" s="61">
        <v>0</v>
      </c>
      <c r="M1056" s="61">
        <v>0</v>
      </c>
      <c r="N1056" s="61">
        <v>0</v>
      </c>
    </row>
    <row r="1057" spans="1:14" ht="30" x14ac:dyDescent="0.25">
      <c r="A1057" s="68" t="s">
        <v>541</v>
      </c>
      <c r="B1057" s="60" t="s">
        <v>62</v>
      </c>
      <c r="C1057" s="61">
        <v>6966</v>
      </c>
      <c r="D1057" s="61">
        <v>0</v>
      </c>
      <c r="E1057" s="61">
        <v>0</v>
      </c>
      <c r="F1057" s="61">
        <v>0</v>
      </c>
      <c r="G1057" s="61">
        <v>0</v>
      </c>
      <c r="H1057" s="61">
        <v>6966</v>
      </c>
      <c r="I1057" s="61">
        <v>-6966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</row>
    <row r="1058" spans="1:14" ht="15.75" x14ac:dyDescent="0.25">
      <c r="A1058" s="52" t="s">
        <v>419</v>
      </c>
      <c r="B1058" s="53" t="s">
        <v>8</v>
      </c>
      <c r="C1058" s="19">
        <f>SUBTOTAL(109,Program194[(C)
Program
Costs])</f>
        <v>31329</v>
      </c>
      <c r="D1058" s="19">
        <f>SUBTOTAL(109,Program194[(D)
Prior Period Adjustments])</f>
        <v>-729</v>
      </c>
      <c r="E1058" s="19">
        <f>SUBTOTAL(109,Program194[(E)
Current Period Desk 
Reviews])</f>
        <v>0</v>
      </c>
      <c r="F1058" s="19">
        <f>SUBTOTAL(109,Program194[(F)
Current Period 
Final 
Audits])</f>
        <v>0</v>
      </c>
      <c r="G1058" s="19">
        <f>SUBTOTAL(109,Program194[(G)
Current Period 
Other Adjustments])</f>
        <v>0</v>
      </c>
      <c r="H1058" s="19">
        <f>SUBTOTAL(109,Program194[(H)
Net Program Costs
Sum (C through G)])</f>
        <v>30600</v>
      </c>
      <c r="I1058" s="19">
        <f>SUBTOTAL(109,Program194[(I)
Payments
 and Offsets])</f>
        <v>-30600</v>
      </c>
      <c r="J1058" s="19">
        <f>SUBTOTAL(109,Program194[(J)
Accounts Payable Balance
(H + I)])</f>
        <v>0</v>
      </c>
      <c r="K1058" s="19">
        <f>SUBTOTAL(109,Program194[(K)
Established 
Accounts Receivable])</f>
        <v>0</v>
      </c>
      <c r="L1058" s="19">
        <f>SUBTOTAL(109,Program194[(L)
Recovered
 Accounts Receivable])</f>
        <v>0</v>
      </c>
      <c r="M1058" s="19">
        <f>SUBTOTAL(109,Program194[(M)
Accounts Receivable Balance
(K + L)])</f>
        <v>0</v>
      </c>
      <c r="N1058" s="19">
        <f>SUBTOTAL(109,Program194[(N)
Net Balance
(J minus M)])</f>
        <v>0</v>
      </c>
    </row>
    <row r="1059" spans="1:14" ht="15.75" x14ac:dyDescent="0.25">
      <c r="A1059" s="17" t="s">
        <v>13</v>
      </c>
      <c r="B1059" s="54"/>
      <c r="C1059" s="55"/>
      <c r="D1059" s="55"/>
      <c r="E1059" s="55"/>
      <c r="F1059" s="55"/>
      <c r="G1059" s="55"/>
      <c r="H1059" s="55"/>
      <c r="I1059" s="55"/>
      <c r="J1059" s="55"/>
      <c r="K1059" s="55"/>
      <c r="L1059" s="55"/>
      <c r="M1059" s="55"/>
      <c r="N1059" s="55"/>
    </row>
    <row r="1060" spans="1:14" ht="78.75" x14ac:dyDescent="0.25">
      <c r="A1060" s="39" t="s">
        <v>32</v>
      </c>
      <c r="B1060" s="40" t="s">
        <v>33</v>
      </c>
      <c r="C1060" s="41" t="s">
        <v>34</v>
      </c>
      <c r="D1060" s="41" t="s">
        <v>35</v>
      </c>
      <c r="E1060" s="42" t="s">
        <v>36</v>
      </c>
      <c r="F1060" s="42" t="s">
        <v>37</v>
      </c>
      <c r="G1060" s="42" t="s">
        <v>38</v>
      </c>
      <c r="H1060" s="43" t="s">
        <v>39</v>
      </c>
      <c r="I1060" s="44" t="s">
        <v>40</v>
      </c>
      <c r="J1060" s="44" t="s">
        <v>41</v>
      </c>
      <c r="K1060" s="42" t="s">
        <v>42</v>
      </c>
      <c r="L1060" s="44" t="s">
        <v>43</v>
      </c>
      <c r="M1060" s="44" t="s">
        <v>44</v>
      </c>
      <c r="N1060" s="45" t="s">
        <v>45</v>
      </c>
    </row>
    <row r="1061" spans="1:14" ht="15.75" x14ac:dyDescent="0.25">
      <c r="A1061" s="46" t="s">
        <v>540</v>
      </c>
      <c r="B1061" s="47" t="s">
        <v>48</v>
      </c>
      <c r="C1061" s="48">
        <v>16207118</v>
      </c>
      <c r="D1061" s="48">
        <v>-54634</v>
      </c>
      <c r="E1061" s="48">
        <v>0</v>
      </c>
      <c r="F1061" s="48">
        <v>0</v>
      </c>
      <c r="G1061" s="48">
        <v>0</v>
      </c>
      <c r="H1061" s="48">
        <v>16152484</v>
      </c>
      <c r="I1061" s="48">
        <v>-13025656</v>
      </c>
      <c r="J1061" s="48">
        <v>3126828</v>
      </c>
      <c r="K1061" s="48">
        <v>0</v>
      </c>
      <c r="L1061" s="48">
        <v>0</v>
      </c>
      <c r="M1061" s="48">
        <v>0</v>
      </c>
      <c r="N1061" s="48">
        <v>3126828</v>
      </c>
    </row>
    <row r="1062" spans="1:14" ht="15.75" x14ac:dyDescent="0.25">
      <c r="A1062" s="49" t="s">
        <v>540</v>
      </c>
      <c r="B1062" s="50" t="s">
        <v>49</v>
      </c>
      <c r="C1062" s="51">
        <v>16627661</v>
      </c>
      <c r="D1062" s="51">
        <v>-79792</v>
      </c>
      <c r="E1062" s="51">
        <v>0</v>
      </c>
      <c r="F1062" s="51">
        <v>0</v>
      </c>
      <c r="G1062" s="51">
        <v>0</v>
      </c>
      <c r="H1062" s="51">
        <v>16547869</v>
      </c>
      <c r="I1062" s="51">
        <v>-13812414</v>
      </c>
      <c r="J1062" s="51">
        <v>2735455</v>
      </c>
      <c r="K1062" s="51">
        <v>5</v>
      </c>
      <c r="L1062" s="51">
        <v>-1</v>
      </c>
      <c r="M1062" s="51">
        <v>4</v>
      </c>
      <c r="N1062" s="51">
        <v>2735451</v>
      </c>
    </row>
    <row r="1063" spans="1:14" ht="15.75" x14ac:dyDescent="0.25">
      <c r="A1063" s="49" t="s">
        <v>540</v>
      </c>
      <c r="B1063" s="50" t="s">
        <v>50</v>
      </c>
      <c r="C1063" s="51">
        <v>17073247</v>
      </c>
      <c r="D1063" s="51">
        <v>-83106</v>
      </c>
      <c r="E1063" s="51">
        <v>0</v>
      </c>
      <c r="F1063" s="51">
        <v>0</v>
      </c>
      <c r="G1063" s="51">
        <v>0</v>
      </c>
      <c r="H1063" s="51">
        <v>16990141</v>
      </c>
      <c r="I1063" s="51">
        <v>-14707605</v>
      </c>
      <c r="J1063" s="51">
        <v>2282536</v>
      </c>
      <c r="K1063" s="51">
        <v>0</v>
      </c>
      <c r="L1063" s="51">
        <v>0</v>
      </c>
      <c r="M1063" s="51">
        <v>0</v>
      </c>
      <c r="N1063" s="51">
        <v>2282536</v>
      </c>
    </row>
    <row r="1064" spans="1:14" ht="15.75" x14ac:dyDescent="0.25">
      <c r="A1064" s="49" t="s">
        <v>540</v>
      </c>
      <c r="B1064" s="50" t="s">
        <v>51</v>
      </c>
      <c r="C1064" s="51">
        <v>16693649</v>
      </c>
      <c r="D1064" s="51">
        <v>-288358</v>
      </c>
      <c r="E1064" s="51">
        <v>0</v>
      </c>
      <c r="F1064" s="51">
        <v>0</v>
      </c>
      <c r="G1064" s="51">
        <v>0</v>
      </c>
      <c r="H1064" s="51">
        <v>16405291</v>
      </c>
      <c r="I1064" s="51">
        <v>-14589752</v>
      </c>
      <c r="J1064" s="51">
        <v>1815539</v>
      </c>
      <c r="K1064" s="51">
        <v>0</v>
      </c>
      <c r="L1064" s="51">
        <v>0</v>
      </c>
      <c r="M1064" s="51">
        <v>0</v>
      </c>
      <c r="N1064" s="51">
        <v>1815539</v>
      </c>
    </row>
    <row r="1065" spans="1:14" ht="15.75" x14ac:dyDescent="0.25">
      <c r="A1065" s="49" t="s">
        <v>540</v>
      </c>
      <c r="B1065" s="50" t="s">
        <v>52</v>
      </c>
      <c r="C1065" s="51">
        <v>15797289</v>
      </c>
      <c r="D1065" s="51">
        <v>-256597</v>
      </c>
      <c r="E1065" s="51">
        <v>0</v>
      </c>
      <c r="F1065" s="51">
        <v>0</v>
      </c>
      <c r="G1065" s="51">
        <v>0</v>
      </c>
      <c r="H1065" s="51">
        <v>15540692</v>
      </c>
      <c r="I1065" s="51">
        <v>-14149028</v>
      </c>
      <c r="J1065" s="51">
        <v>1391664</v>
      </c>
      <c r="K1065" s="51">
        <v>0</v>
      </c>
      <c r="L1065" s="51">
        <v>0</v>
      </c>
      <c r="M1065" s="51">
        <v>0</v>
      </c>
      <c r="N1065" s="51">
        <v>1391664</v>
      </c>
    </row>
    <row r="1066" spans="1:14" ht="15.75" x14ac:dyDescent="0.25">
      <c r="A1066" s="49" t="s">
        <v>540</v>
      </c>
      <c r="B1066" s="50" t="s">
        <v>53</v>
      </c>
      <c r="C1066" s="51">
        <v>16867825</v>
      </c>
      <c r="D1066" s="51">
        <v>-401482</v>
      </c>
      <c r="E1066" s="51">
        <v>0</v>
      </c>
      <c r="F1066" s="51">
        <v>0</v>
      </c>
      <c r="G1066" s="51">
        <v>0</v>
      </c>
      <c r="H1066" s="51">
        <v>16466343</v>
      </c>
      <c r="I1066" s="51">
        <v>-15476282</v>
      </c>
      <c r="J1066" s="51">
        <v>990061</v>
      </c>
      <c r="K1066" s="51">
        <v>0</v>
      </c>
      <c r="L1066" s="51">
        <v>0</v>
      </c>
      <c r="M1066" s="51">
        <v>0</v>
      </c>
      <c r="N1066" s="51">
        <v>990061</v>
      </c>
    </row>
    <row r="1067" spans="1:14" ht="15.75" x14ac:dyDescent="0.25">
      <c r="A1067" s="49" t="s">
        <v>540</v>
      </c>
      <c r="B1067" s="50" t="s">
        <v>54</v>
      </c>
      <c r="C1067" s="51">
        <v>16354783</v>
      </c>
      <c r="D1067" s="51">
        <v>-209387</v>
      </c>
      <c r="E1067" s="51">
        <v>0</v>
      </c>
      <c r="F1067" s="51">
        <v>0</v>
      </c>
      <c r="G1067" s="51">
        <v>0</v>
      </c>
      <c r="H1067" s="51">
        <v>16145396</v>
      </c>
      <c r="I1067" s="51">
        <v>-16145396</v>
      </c>
      <c r="J1067" s="51">
        <v>0</v>
      </c>
      <c r="K1067" s="51">
        <v>182770</v>
      </c>
      <c r="L1067" s="51">
        <v>-2252</v>
      </c>
      <c r="M1067" s="51">
        <v>180518</v>
      </c>
      <c r="N1067" s="51">
        <v>-180518</v>
      </c>
    </row>
    <row r="1068" spans="1:14" ht="15.75" x14ac:dyDescent="0.25">
      <c r="A1068" s="49" t="s">
        <v>540</v>
      </c>
      <c r="B1068" s="50" t="s">
        <v>55</v>
      </c>
      <c r="C1068" s="51">
        <v>17213214</v>
      </c>
      <c r="D1068" s="51">
        <v>-34364</v>
      </c>
      <c r="E1068" s="51">
        <v>0</v>
      </c>
      <c r="F1068" s="51">
        <v>0</v>
      </c>
      <c r="G1068" s="51">
        <v>0</v>
      </c>
      <c r="H1068" s="51">
        <v>17178850</v>
      </c>
      <c r="I1068" s="51">
        <v>-17178850</v>
      </c>
      <c r="J1068" s="51">
        <v>0</v>
      </c>
      <c r="K1068" s="51">
        <v>0</v>
      </c>
      <c r="L1068" s="51">
        <v>0</v>
      </c>
      <c r="M1068" s="51">
        <v>0</v>
      </c>
      <c r="N1068" s="51">
        <v>0</v>
      </c>
    </row>
    <row r="1069" spans="1:14" ht="15.75" x14ac:dyDescent="0.25">
      <c r="A1069" s="49" t="s">
        <v>540</v>
      </c>
      <c r="B1069" s="50" t="s">
        <v>56</v>
      </c>
      <c r="C1069" s="51">
        <v>17074329</v>
      </c>
      <c r="D1069" s="51">
        <v>-64070</v>
      </c>
      <c r="E1069" s="51">
        <v>0</v>
      </c>
      <c r="F1069" s="51">
        <v>0</v>
      </c>
      <c r="G1069" s="51">
        <v>0</v>
      </c>
      <c r="H1069" s="51">
        <v>17010259</v>
      </c>
      <c r="I1069" s="51">
        <v>-17010259</v>
      </c>
      <c r="J1069" s="51">
        <v>0</v>
      </c>
      <c r="K1069" s="51">
        <v>0</v>
      </c>
      <c r="L1069" s="51">
        <v>0</v>
      </c>
      <c r="M1069" s="51">
        <v>0</v>
      </c>
      <c r="N1069" s="51">
        <v>0</v>
      </c>
    </row>
    <row r="1070" spans="1:14" ht="15.75" x14ac:dyDescent="0.25">
      <c r="A1070" s="49" t="s">
        <v>540</v>
      </c>
      <c r="B1070" s="50" t="s">
        <v>57</v>
      </c>
      <c r="C1070" s="51">
        <v>18590847</v>
      </c>
      <c r="D1070" s="51">
        <v>-73567</v>
      </c>
      <c r="E1070" s="51">
        <v>0</v>
      </c>
      <c r="F1070" s="51">
        <v>0</v>
      </c>
      <c r="G1070" s="51">
        <v>0</v>
      </c>
      <c r="H1070" s="51">
        <v>18517280</v>
      </c>
      <c r="I1070" s="51">
        <v>-18517280</v>
      </c>
      <c r="J1070" s="51">
        <v>0</v>
      </c>
      <c r="K1070" s="51">
        <v>290709</v>
      </c>
      <c r="L1070" s="51">
        <v>-284043</v>
      </c>
      <c r="M1070" s="51">
        <v>6666</v>
      </c>
      <c r="N1070" s="51">
        <v>-6666</v>
      </c>
    </row>
    <row r="1071" spans="1:14" ht="15.75" x14ac:dyDescent="0.25">
      <c r="A1071" s="49" t="s">
        <v>540</v>
      </c>
      <c r="B1071" s="50" t="s">
        <v>58</v>
      </c>
      <c r="C1071" s="51">
        <v>16066606</v>
      </c>
      <c r="D1071" s="51">
        <v>-166252</v>
      </c>
      <c r="E1071" s="51">
        <v>0</v>
      </c>
      <c r="F1071" s="51">
        <v>0</v>
      </c>
      <c r="G1071" s="51">
        <v>0</v>
      </c>
      <c r="H1071" s="51">
        <v>15900354</v>
      </c>
      <c r="I1071" s="51">
        <v>-15900354</v>
      </c>
      <c r="J1071" s="51">
        <v>0</v>
      </c>
      <c r="K1071" s="51">
        <v>488975</v>
      </c>
      <c r="L1071" s="51">
        <v>-487057</v>
      </c>
      <c r="M1071" s="51">
        <v>1918</v>
      </c>
      <c r="N1071" s="51">
        <v>-1918</v>
      </c>
    </row>
    <row r="1072" spans="1:14" ht="15.75" x14ac:dyDescent="0.25">
      <c r="A1072" s="49" t="s">
        <v>540</v>
      </c>
      <c r="B1072" s="50" t="s">
        <v>59</v>
      </c>
      <c r="C1072" s="51">
        <v>14379123</v>
      </c>
      <c r="D1072" s="51">
        <v>-91931</v>
      </c>
      <c r="E1072" s="51">
        <v>0</v>
      </c>
      <c r="F1072" s="51">
        <v>0</v>
      </c>
      <c r="G1072" s="51">
        <v>0</v>
      </c>
      <c r="H1072" s="51">
        <v>14287192</v>
      </c>
      <c r="I1072" s="51">
        <v>-14287192</v>
      </c>
      <c r="J1072" s="51">
        <v>0</v>
      </c>
      <c r="K1072" s="51">
        <v>111664</v>
      </c>
      <c r="L1072" s="51">
        <v>-111537</v>
      </c>
      <c r="M1072" s="51">
        <v>127</v>
      </c>
      <c r="N1072" s="51">
        <v>-127</v>
      </c>
    </row>
    <row r="1073" spans="1:14" ht="15.75" x14ac:dyDescent="0.25">
      <c r="A1073" s="49" t="s">
        <v>540</v>
      </c>
      <c r="B1073" s="50" t="s">
        <v>60</v>
      </c>
      <c r="C1073" s="51">
        <v>11722943</v>
      </c>
      <c r="D1073" s="51">
        <v>-9943</v>
      </c>
      <c r="E1073" s="51">
        <v>0</v>
      </c>
      <c r="F1073" s="51">
        <v>0</v>
      </c>
      <c r="G1073" s="51">
        <v>0</v>
      </c>
      <c r="H1073" s="51">
        <v>11713000</v>
      </c>
      <c r="I1073" s="51">
        <v>-11713000</v>
      </c>
      <c r="J1073" s="51">
        <v>0</v>
      </c>
      <c r="K1073" s="51">
        <v>1237169</v>
      </c>
      <c r="L1073" s="51">
        <v>-1236569</v>
      </c>
      <c r="M1073" s="51">
        <v>600</v>
      </c>
      <c r="N1073" s="51">
        <v>-600</v>
      </c>
    </row>
    <row r="1074" spans="1:14" ht="15.75" x14ac:dyDescent="0.25">
      <c r="A1074" s="49" t="s">
        <v>540</v>
      </c>
      <c r="B1074" s="50" t="s">
        <v>61</v>
      </c>
      <c r="C1074" s="51">
        <v>10103377</v>
      </c>
      <c r="D1074" s="51">
        <v>-377365</v>
      </c>
      <c r="E1074" s="51">
        <v>0</v>
      </c>
      <c r="F1074" s="51">
        <v>0</v>
      </c>
      <c r="G1074" s="51">
        <v>0</v>
      </c>
      <c r="H1074" s="51">
        <v>9726012</v>
      </c>
      <c r="I1074" s="51">
        <v>-9726012</v>
      </c>
      <c r="J1074" s="51">
        <v>0</v>
      </c>
      <c r="K1074" s="51">
        <v>455586</v>
      </c>
      <c r="L1074" s="51">
        <v>-455586</v>
      </c>
      <c r="M1074" s="51">
        <v>0</v>
      </c>
      <c r="N1074" s="51">
        <v>0</v>
      </c>
    </row>
    <row r="1075" spans="1:14" ht="15.75" x14ac:dyDescent="0.25">
      <c r="A1075" s="49" t="s">
        <v>540</v>
      </c>
      <c r="B1075" s="50" t="s">
        <v>62</v>
      </c>
      <c r="C1075" s="51">
        <v>8006742</v>
      </c>
      <c r="D1075" s="51">
        <v>-271426</v>
      </c>
      <c r="E1075" s="51">
        <v>0</v>
      </c>
      <c r="F1075" s="51">
        <v>0</v>
      </c>
      <c r="G1075" s="51">
        <v>0</v>
      </c>
      <c r="H1075" s="51">
        <v>7735316</v>
      </c>
      <c r="I1075" s="51">
        <v>-7735316</v>
      </c>
      <c r="J1075" s="51">
        <v>0</v>
      </c>
      <c r="K1075" s="51">
        <v>134545</v>
      </c>
      <c r="L1075" s="51">
        <v>-134545</v>
      </c>
      <c r="M1075" s="51">
        <v>0</v>
      </c>
      <c r="N1075" s="51">
        <v>0</v>
      </c>
    </row>
    <row r="1076" spans="1:14" ht="15.75" x14ac:dyDescent="0.25">
      <c r="A1076" s="49" t="s">
        <v>540</v>
      </c>
      <c r="B1076" s="50" t="s">
        <v>63</v>
      </c>
      <c r="C1076" s="51">
        <v>6550594</v>
      </c>
      <c r="D1076" s="51">
        <v>-1078645</v>
      </c>
      <c r="E1076" s="51">
        <v>0</v>
      </c>
      <c r="F1076" s="51">
        <v>0</v>
      </c>
      <c r="G1076" s="51">
        <v>0</v>
      </c>
      <c r="H1076" s="51">
        <v>5471949</v>
      </c>
      <c r="I1076" s="51">
        <v>-5471949</v>
      </c>
      <c r="J1076" s="51">
        <v>0</v>
      </c>
      <c r="K1076" s="51">
        <v>226798</v>
      </c>
      <c r="L1076" s="51">
        <v>-226798</v>
      </c>
      <c r="M1076" s="51">
        <v>0</v>
      </c>
      <c r="N1076" s="51">
        <v>0</v>
      </c>
    </row>
    <row r="1077" spans="1:14" ht="15.75" x14ac:dyDescent="0.25">
      <c r="A1077" s="49" t="s">
        <v>540</v>
      </c>
      <c r="B1077" s="50" t="s">
        <v>64</v>
      </c>
      <c r="C1077" s="51">
        <v>4179728</v>
      </c>
      <c r="D1077" s="51">
        <v>-496871</v>
      </c>
      <c r="E1077" s="51">
        <v>0</v>
      </c>
      <c r="F1077" s="51">
        <v>0</v>
      </c>
      <c r="G1077" s="51">
        <v>0</v>
      </c>
      <c r="H1077" s="51">
        <v>3682857</v>
      </c>
      <c r="I1077" s="51">
        <v>-3682857</v>
      </c>
      <c r="J1077" s="51">
        <v>0</v>
      </c>
      <c r="K1077" s="51">
        <v>253939</v>
      </c>
      <c r="L1077" s="51">
        <v>-253939</v>
      </c>
      <c r="M1077" s="51">
        <v>0</v>
      </c>
      <c r="N1077" s="51">
        <v>0</v>
      </c>
    </row>
    <row r="1078" spans="1:14" ht="15.75" x14ac:dyDescent="0.25">
      <c r="A1078" s="49" t="s">
        <v>540</v>
      </c>
      <c r="B1078" s="50" t="s">
        <v>65</v>
      </c>
      <c r="C1078" s="51">
        <v>2460301</v>
      </c>
      <c r="D1078" s="51">
        <v>-95888</v>
      </c>
      <c r="E1078" s="51">
        <v>0</v>
      </c>
      <c r="F1078" s="51">
        <v>0</v>
      </c>
      <c r="G1078" s="51">
        <v>0</v>
      </c>
      <c r="H1078" s="51">
        <v>2364413</v>
      </c>
      <c r="I1078" s="51">
        <v>-2364413</v>
      </c>
      <c r="J1078" s="51">
        <v>0</v>
      </c>
      <c r="K1078" s="51">
        <v>185342</v>
      </c>
      <c r="L1078" s="51">
        <v>-185342</v>
      </c>
      <c r="M1078" s="51">
        <v>0</v>
      </c>
      <c r="N1078" s="51">
        <v>0</v>
      </c>
    </row>
    <row r="1079" spans="1:14" ht="15.75" x14ac:dyDescent="0.25">
      <c r="A1079" s="49" t="s">
        <v>540</v>
      </c>
      <c r="B1079" s="50" t="s">
        <v>66</v>
      </c>
      <c r="C1079" s="51">
        <v>1843580</v>
      </c>
      <c r="D1079" s="51">
        <v>-9531</v>
      </c>
      <c r="E1079" s="51">
        <v>0</v>
      </c>
      <c r="F1079" s="51">
        <v>0</v>
      </c>
      <c r="G1079" s="51">
        <v>0</v>
      </c>
      <c r="H1079" s="51">
        <v>1834049</v>
      </c>
      <c r="I1079" s="51">
        <v>-1834049</v>
      </c>
      <c r="J1079" s="51">
        <v>0</v>
      </c>
      <c r="K1079" s="51">
        <v>182380</v>
      </c>
      <c r="L1079" s="51">
        <v>-182380</v>
      </c>
      <c r="M1079" s="51">
        <v>0</v>
      </c>
      <c r="N1079" s="51">
        <v>0</v>
      </c>
    </row>
    <row r="1080" spans="1:14" ht="15.75" x14ac:dyDescent="0.25">
      <c r="A1080" s="49" t="s">
        <v>540</v>
      </c>
      <c r="B1080" s="50" t="s">
        <v>67</v>
      </c>
      <c r="C1080" s="51">
        <v>1706856</v>
      </c>
      <c r="D1080" s="51">
        <v>-271410</v>
      </c>
      <c r="E1080" s="51">
        <v>0</v>
      </c>
      <c r="F1080" s="51">
        <v>0</v>
      </c>
      <c r="G1080" s="51">
        <v>0</v>
      </c>
      <c r="H1080" s="51">
        <v>1435446</v>
      </c>
      <c r="I1080" s="51">
        <v>-1435446</v>
      </c>
      <c r="J1080" s="51">
        <v>0</v>
      </c>
      <c r="K1080" s="51">
        <v>143253</v>
      </c>
      <c r="L1080" s="51">
        <v>-143253</v>
      </c>
      <c r="M1080" s="51">
        <v>0</v>
      </c>
      <c r="N1080" s="51">
        <v>0</v>
      </c>
    </row>
    <row r="1081" spans="1:14" ht="15.75" x14ac:dyDescent="0.25">
      <c r="A1081" s="49" t="s">
        <v>540</v>
      </c>
      <c r="B1081" s="50" t="s">
        <v>68</v>
      </c>
      <c r="C1081" s="51">
        <v>273541</v>
      </c>
      <c r="D1081" s="51">
        <v>-6712</v>
      </c>
      <c r="E1081" s="51">
        <v>0</v>
      </c>
      <c r="F1081" s="51">
        <v>0</v>
      </c>
      <c r="G1081" s="51">
        <v>0</v>
      </c>
      <c r="H1081" s="51">
        <v>266829</v>
      </c>
      <c r="I1081" s="51">
        <v>-266829</v>
      </c>
      <c r="J1081" s="51">
        <v>0</v>
      </c>
      <c r="K1081" s="51">
        <v>140410</v>
      </c>
      <c r="L1081" s="51">
        <v>-140410</v>
      </c>
      <c r="M1081" s="51">
        <v>0</v>
      </c>
      <c r="N1081" s="51">
        <v>0</v>
      </c>
    </row>
    <row r="1082" spans="1:14" ht="15.75" x14ac:dyDescent="0.25">
      <c r="A1082" s="49" t="s">
        <v>540</v>
      </c>
      <c r="B1082" s="50" t="s">
        <v>69</v>
      </c>
      <c r="C1082" s="51">
        <v>0</v>
      </c>
      <c r="D1082" s="51">
        <v>0</v>
      </c>
      <c r="E1082" s="51">
        <v>0</v>
      </c>
      <c r="F1082" s="51">
        <v>0</v>
      </c>
      <c r="G1082" s="51">
        <v>0</v>
      </c>
      <c r="H1082" s="51">
        <v>0</v>
      </c>
      <c r="I1082" s="51">
        <v>0</v>
      </c>
      <c r="J1082" s="51">
        <v>0</v>
      </c>
      <c r="K1082" s="51">
        <v>12408</v>
      </c>
      <c r="L1082" s="51">
        <v>-12408</v>
      </c>
      <c r="M1082" s="51">
        <v>0</v>
      </c>
      <c r="N1082" s="51">
        <v>0</v>
      </c>
    </row>
    <row r="1083" spans="1:14" ht="15.75" x14ac:dyDescent="0.25">
      <c r="A1083" s="49" t="s">
        <v>540</v>
      </c>
      <c r="B1083" s="50" t="s">
        <v>115</v>
      </c>
      <c r="C1083" s="51">
        <v>0</v>
      </c>
      <c r="D1083" s="51">
        <v>0</v>
      </c>
      <c r="E1083" s="51">
        <v>0</v>
      </c>
      <c r="F1083" s="51">
        <v>0</v>
      </c>
      <c r="G1083" s="51">
        <v>0</v>
      </c>
      <c r="H1083" s="51">
        <v>0</v>
      </c>
      <c r="I1083" s="51">
        <v>0</v>
      </c>
      <c r="J1083" s="51">
        <v>0</v>
      </c>
      <c r="K1083" s="51">
        <v>2913</v>
      </c>
      <c r="L1083" s="51">
        <v>-2913</v>
      </c>
      <c r="M1083" s="51">
        <v>0</v>
      </c>
      <c r="N1083" s="51">
        <v>0</v>
      </c>
    </row>
    <row r="1084" spans="1:14" ht="15.75" x14ac:dyDescent="0.25">
      <c r="A1084" s="52" t="s">
        <v>418</v>
      </c>
      <c r="B1084" s="53" t="s">
        <v>8</v>
      </c>
      <c r="C1084" s="19">
        <f>SUBTOTAL(109,Program042[(C)
Program
Costs])</f>
        <v>245793353</v>
      </c>
      <c r="D1084" s="19">
        <f>SUBTOTAL(109,Program042[(D)
Prior Period Adjustments])</f>
        <v>-4421331</v>
      </c>
      <c r="E1084" s="19">
        <f>SUBTOTAL(109,Program042[(E)
Current Period Desk 
Reviews])</f>
        <v>0</v>
      </c>
      <c r="F1084" s="19">
        <f>SUBTOTAL(109,Program042[(F)
Current Period 
Final 
Audits])</f>
        <v>0</v>
      </c>
      <c r="G1084" s="19">
        <f>SUBTOTAL(109,Program042[(G)
Current Period 
Other Adjustments])</f>
        <v>0</v>
      </c>
      <c r="H1084" s="19">
        <f>SUBTOTAL(109,Program042[(H)
Net Program Costs
Sum (C through G)])</f>
        <v>241372022</v>
      </c>
      <c r="I1084" s="19">
        <f>SUBTOTAL(109,Program042[(I)
Payments
 and Offsets])</f>
        <v>-229029939</v>
      </c>
      <c r="J1084" s="19">
        <f>SUBTOTAL(109,Program042[(J)
Accounts Payable Balance
(H + I)])</f>
        <v>12342083</v>
      </c>
      <c r="K1084" s="19">
        <f>SUBTOTAL(109,Program042[(K)
Established 
Accounts Receivable])</f>
        <v>4048866</v>
      </c>
      <c r="L1084" s="19">
        <f>SUBTOTAL(109,Program042[(L)
Recovered
 Accounts Receivable])</f>
        <v>-3859033</v>
      </c>
      <c r="M1084" s="19">
        <f>SUBTOTAL(109,Program042[(M)
Accounts Receivable Balance
(K + L)])</f>
        <v>189833</v>
      </c>
      <c r="N1084" s="19">
        <f>SUBTOTAL(109,Program042[(N)
Net Balance
(J minus M)])</f>
        <v>12152250</v>
      </c>
    </row>
    <row r="1085" spans="1:14" ht="15.75" x14ac:dyDescent="0.25">
      <c r="A1085" s="17" t="s">
        <v>13</v>
      </c>
      <c r="B1085" s="54"/>
      <c r="C1085" s="55"/>
      <c r="D1085" s="55"/>
      <c r="E1085" s="55"/>
      <c r="F1085" s="55"/>
      <c r="G1085" s="55"/>
      <c r="H1085" s="55"/>
      <c r="I1085" s="55"/>
      <c r="J1085" s="55"/>
      <c r="K1085" s="55"/>
      <c r="L1085" s="55"/>
      <c r="M1085" s="55"/>
      <c r="N1085" s="55"/>
    </row>
    <row r="1086" spans="1:14" ht="78.75" x14ac:dyDescent="0.25">
      <c r="A1086" s="39" t="s">
        <v>32</v>
      </c>
      <c r="B1086" s="40" t="s">
        <v>33</v>
      </c>
      <c r="C1086" s="41" t="s">
        <v>34</v>
      </c>
      <c r="D1086" s="41" t="s">
        <v>35</v>
      </c>
      <c r="E1086" s="42" t="s">
        <v>36</v>
      </c>
      <c r="F1086" s="42" t="s">
        <v>37</v>
      </c>
      <c r="G1086" s="42" t="s">
        <v>38</v>
      </c>
      <c r="H1086" s="43" t="s">
        <v>39</v>
      </c>
      <c r="I1086" s="44" t="s">
        <v>40</v>
      </c>
      <c r="J1086" s="44" t="s">
        <v>41</v>
      </c>
      <c r="K1086" s="42" t="s">
        <v>42</v>
      </c>
      <c r="L1086" s="44" t="s">
        <v>43</v>
      </c>
      <c r="M1086" s="44" t="s">
        <v>44</v>
      </c>
      <c r="N1086" s="45" t="s">
        <v>45</v>
      </c>
    </row>
    <row r="1087" spans="1:14" ht="30" x14ac:dyDescent="0.25">
      <c r="A1087" s="67" t="s">
        <v>539</v>
      </c>
      <c r="B1087" s="57" t="s">
        <v>82</v>
      </c>
      <c r="C1087" s="58">
        <v>3805786</v>
      </c>
      <c r="D1087" s="58">
        <v>-7164</v>
      </c>
      <c r="E1087" s="58">
        <v>0</v>
      </c>
      <c r="F1087" s="58">
        <v>0</v>
      </c>
      <c r="G1087" s="58">
        <v>0</v>
      </c>
      <c r="H1087" s="58">
        <v>3798622</v>
      </c>
      <c r="I1087" s="58">
        <v>-1953055</v>
      </c>
      <c r="J1087" s="58">
        <v>1845567</v>
      </c>
      <c r="K1087" s="58">
        <v>0</v>
      </c>
      <c r="L1087" s="58">
        <v>0</v>
      </c>
      <c r="M1087" s="58">
        <v>0</v>
      </c>
      <c r="N1087" s="58">
        <v>1845567</v>
      </c>
    </row>
    <row r="1088" spans="1:14" ht="30" x14ac:dyDescent="0.25">
      <c r="A1088" s="68" t="s">
        <v>539</v>
      </c>
      <c r="B1088" s="60" t="s">
        <v>83</v>
      </c>
      <c r="C1088" s="61">
        <v>16504627</v>
      </c>
      <c r="D1088" s="61">
        <v>-47156</v>
      </c>
      <c r="E1088" s="61">
        <v>0</v>
      </c>
      <c r="F1088" s="61">
        <v>0</v>
      </c>
      <c r="G1088" s="61">
        <v>0</v>
      </c>
      <c r="H1088" s="61">
        <v>16457471</v>
      </c>
      <c r="I1088" s="61">
        <v>-12354318</v>
      </c>
      <c r="J1088" s="61">
        <v>4103153</v>
      </c>
      <c r="K1088" s="61">
        <v>0</v>
      </c>
      <c r="L1088" s="61">
        <v>0</v>
      </c>
      <c r="M1088" s="61">
        <v>0</v>
      </c>
      <c r="N1088" s="61">
        <v>4103153</v>
      </c>
    </row>
    <row r="1089" spans="1:14" ht="15.75" x14ac:dyDescent="0.25">
      <c r="A1089" s="52" t="s">
        <v>417</v>
      </c>
      <c r="B1089" s="53" t="s">
        <v>8</v>
      </c>
      <c r="C1089" s="19">
        <f>SUBTOTAL(109,Program319[(C)
Program
Costs])</f>
        <v>20310413</v>
      </c>
      <c r="D1089" s="19">
        <f>SUBTOTAL(109,Program319[(D)
Prior Period Adjustments])</f>
        <v>-54320</v>
      </c>
      <c r="E1089" s="19">
        <f>SUBTOTAL(109,Program319[(E)
Current Period Desk 
Reviews])</f>
        <v>0</v>
      </c>
      <c r="F1089" s="19">
        <f>SUBTOTAL(109,Program319[(F)
Current Period 
Final 
Audits])</f>
        <v>0</v>
      </c>
      <c r="G1089" s="19">
        <f>SUBTOTAL(109,Program319[(G)
Current Period 
Other Adjustments])</f>
        <v>0</v>
      </c>
      <c r="H1089" s="19">
        <f>SUBTOTAL(109,Program319[(H)
Net Program Costs
Sum (C through G)])</f>
        <v>20256093</v>
      </c>
      <c r="I1089" s="19">
        <f>SUBTOTAL(109,Program319[(I)
Payments
 and Offsets])</f>
        <v>-14307373</v>
      </c>
      <c r="J1089" s="19">
        <f>SUBTOTAL(109,Program319[(J)
Accounts Payable Balance
(H + I)])</f>
        <v>5948720</v>
      </c>
      <c r="K1089" s="19">
        <f>SUBTOTAL(109,Program319[(K)
Established 
Accounts Receivable])</f>
        <v>0</v>
      </c>
      <c r="L1089" s="19">
        <f>SUBTOTAL(109,Program319[(L)
Recovered
 Accounts Receivable])</f>
        <v>0</v>
      </c>
      <c r="M1089" s="19">
        <f>SUBTOTAL(109,Program319[(M)
Accounts Receivable Balance
(K + L)])</f>
        <v>0</v>
      </c>
      <c r="N1089" s="19">
        <f>SUBTOTAL(109,Program319[(N)
Net Balance
(J minus M)])</f>
        <v>5948720</v>
      </c>
    </row>
    <row r="1090" spans="1:14" ht="15.75" x14ac:dyDescent="0.25">
      <c r="A1090" s="17" t="s">
        <v>13</v>
      </c>
      <c r="B1090" s="54"/>
      <c r="C1090" s="55"/>
      <c r="D1090" s="55"/>
      <c r="E1090" s="55"/>
      <c r="F1090" s="55"/>
      <c r="G1090" s="55"/>
      <c r="H1090" s="55"/>
      <c r="I1090" s="55"/>
      <c r="J1090" s="55"/>
      <c r="K1090" s="55"/>
      <c r="L1090" s="55"/>
      <c r="M1090" s="55"/>
      <c r="N1090" s="55"/>
    </row>
    <row r="1091" spans="1:14" ht="78.75" x14ac:dyDescent="0.25">
      <c r="A1091" s="39" t="s">
        <v>32</v>
      </c>
      <c r="B1091" s="40" t="s">
        <v>33</v>
      </c>
      <c r="C1091" s="41" t="s">
        <v>34</v>
      </c>
      <c r="D1091" s="41" t="s">
        <v>35</v>
      </c>
      <c r="E1091" s="42" t="s">
        <v>36</v>
      </c>
      <c r="F1091" s="42" t="s">
        <v>37</v>
      </c>
      <c r="G1091" s="42" t="s">
        <v>38</v>
      </c>
      <c r="H1091" s="43" t="s">
        <v>39</v>
      </c>
      <c r="I1091" s="44" t="s">
        <v>40</v>
      </c>
      <c r="J1091" s="44" t="s">
        <v>41</v>
      </c>
      <c r="K1091" s="42" t="s">
        <v>42</v>
      </c>
      <c r="L1091" s="44" t="s">
        <v>43</v>
      </c>
      <c r="M1091" s="44" t="s">
        <v>44</v>
      </c>
      <c r="N1091" s="45" t="s">
        <v>45</v>
      </c>
    </row>
    <row r="1092" spans="1:14" ht="15.75" x14ac:dyDescent="0.25">
      <c r="A1092" s="46" t="s">
        <v>538</v>
      </c>
      <c r="B1092" s="47" t="s">
        <v>52</v>
      </c>
      <c r="C1092" s="48">
        <v>24047</v>
      </c>
      <c r="D1092" s="48">
        <v>-286</v>
      </c>
      <c r="E1092" s="48">
        <v>0</v>
      </c>
      <c r="F1092" s="48">
        <v>0</v>
      </c>
      <c r="G1092" s="48">
        <v>0</v>
      </c>
      <c r="H1092" s="48">
        <v>23761</v>
      </c>
      <c r="I1092" s="48">
        <v>-22690</v>
      </c>
      <c r="J1092" s="48">
        <v>1071</v>
      </c>
      <c r="K1092" s="48">
        <v>0</v>
      </c>
      <c r="L1092" s="48">
        <v>0</v>
      </c>
      <c r="M1092" s="48">
        <v>0</v>
      </c>
      <c r="N1092" s="48">
        <v>1071</v>
      </c>
    </row>
    <row r="1093" spans="1:14" ht="15.75" x14ac:dyDescent="0.25">
      <c r="A1093" s="49" t="s">
        <v>538</v>
      </c>
      <c r="B1093" s="50" t="s">
        <v>53</v>
      </c>
      <c r="C1093" s="51">
        <v>3950</v>
      </c>
      <c r="D1093" s="51">
        <v>0</v>
      </c>
      <c r="E1093" s="51">
        <v>0</v>
      </c>
      <c r="F1093" s="51">
        <v>0</v>
      </c>
      <c r="G1093" s="51">
        <v>0</v>
      </c>
      <c r="H1093" s="51">
        <v>3950</v>
      </c>
      <c r="I1093" s="51">
        <v>-3950</v>
      </c>
      <c r="J1093" s="51">
        <v>0</v>
      </c>
      <c r="K1093" s="51">
        <v>0</v>
      </c>
      <c r="L1093" s="51">
        <v>0</v>
      </c>
      <c r="M1093" s="51">
        <v>0</v>
      </c>
      <c r="N1093" s="51">
        <v>0</v>
      </c>
    </row>
    <row r="1094" spans="1:14" ht="15.75" x14ac:dyDescent="0.25">
      <c r="A1094" s="49" t="s">
        <v>538</v>
      </c>
      <c r="B1094" s="50" t="s">
        <v>54</v>
      </c>
      <c r="C1094" s="51">
        <v>7119</v>
      </c>
      <c r="D1094" s="51">
        <v>0</v>
      </c>
      <c r="E1094" s="51">
        <v>0</v>
      </c>
      <c r="F1094" s="51">
        <v>0</v>
      </c>
      <c r="G1094" s="51">
        <v>0</v>
      </c>
      <c r="H1094" s="51">
        <v>7119</v>
      </c>
      <c r="I1094" s="51">
        <v>-7119</v>
      </c>
      <c r="J1094" s="51">
        <v>0</v>
      </c>
      <c r="K1094" s="51">
        <v>0</v>
      </c>
      <c r="L1094" s="51">
        <v>0</v>
      </c>
      <c r="M1094" s="51">
        <v>0</v>
      </c>
      <c r="N1094" s="51">
        <v>0</v>
      </c>
    </row>
    <row r="1095" spans="1:14" ht="15.75" x14ac:dyDescent="0.25">
      <c r="A1095" s="49" t="s">
        <v>538</v>
      </c>
      <c r="B1095" s="50" t="s">
        <v>55</v>
      </c>
      <c r="C1095" s="51">
        <v>1082</v>
      </c>
      <c r="D1095" s="51">
        <v>0</v>
      </c>
      <c r="E1095" s="51">
        <v>0</v>
      </c>
      <c r="F1095" s="51">
        <v>0</v>
      </c>
      <c r="G1095" s="51">
        <v>0</v>
      </c>
      <c r="H1095" s="51">
        <v>1082</v>
      </c>
      <c r="I1095" s="51">
        <v>-1082</v>
      </c>
      <c r="J1095" s="51">
        <v>0</v>
      </c>
      <c r="K1095" s="51">
        <v>0</v>
      </c>
      <c r="L1095" s="51">
        <v>0</v>
      </c>
      <c r="M1095" s="51">
        <v>0</v>
      </c>
      <c r="N1095" s="51">
        <v>0</v>
      </c>
    </row>
    <row r="1096" spans="1:14" ht="15.75" x14ac:dyDescent="0.25">
      <c r="A1096" s="49" t="s">
        <v>538</v>
      </c>
      <c r="B1096" s="50" t="s">
        <v>56</v>
      </c>
      <c r="C1096" s="51">
        <v>1047</v>
      </c>
      <c r="D1096" s="51">
        <v>0</v>
      </c>
      <c r="E1096" s="51">
        <v>0</v>
      </c>
      <c r="F1096" s="51">
        <v>0</v>
      </c>
      <c r="G1096" s="51">
        <v>0</v>
      </c>
      <c r="H1096" s="51">
        <v>1047</v>
      </c>
      <c r="I1096" s="51">
        <v>-1047</v>
      </c>
      <c r="J1096" s="51">
        <v>0</v>
      </c>
      <c r="K1096" s="51">
        <v>0</v>
      </c>
      <c r="L1096" s="51">
        <v>0</v>
      </c>
      <c r="M1096" s="51">
        <v>0</v>
      </c>
      <c r="N1096" s="51">
        <v>0</v>
      </c>
    </row>
    <row r="1097" spans="1:14" ht="15.75" x14ac:dyDescent="0.25">
      <c r="A1097" s="52" t="s">
        <v>416</v>
      </c>
      <c r="B1097" s="53" t="s">
        <v>8</v>
      </c>
      <c r="C1097" s="19">
        <f>SUBTOTAL(109,Program275[(C)
Program
Costs])</f>
        <v>37245</v>
      </c>
      <c r="D1097" s="19">
        <f>SUBTOTAL(109,Program275[(D)
Prior Period Adjustments])</f>
        <v>-286</v>
      </c>
      <c r="E1097" s="19">
        <f>SUBTOTAL(109,Program275[(E)
Current Period Desk 
Reviews])</f>
        <v>0</v>
      </c>
      <c r="F1097" s="19">
        <f>SUBTOTAL(109,Program275[(F)
Current Period 
Final 
Audits])</f>
        <v>0</v>
      </c>
      <c r="G1097" s="19">
        <f>SUBTOTAL(109,Program275[(G)
Current Period 
Other Adjustments])</f>
        <v>0</v>
      </c>
      <c r="H1097" s="19">
        <f>SUBTOTAL(109,Program275[(H)
Net Program Costs
Sum (C through G)])</f>
        <v>36959</v>
      </c>
      <c r="I1097" s="19">
        <f>SUBTOTAL(109,Program275[(I)
Payments
 and Offsets])</f>
        <v>-35888</v>
      </c>
      <c r="J1097" s="19">
        <f>SUBTOTAL(109,Program275[(J)
Accounts Payable Balance
(H + I)])</f>
        <v>1071</v>
      </c>
      <c r="K1097" s="19">
        <f>SUBTOTAL(109,Program275[(K)
Established 
Accounts Receivable])</f>
        <v>0</v>
      </c>
      <c r="L1097" s="19">
        <f>SUBTOTAL(109,Program275[(L)
Recovered
 Accounts Receivable])</f>
        <v>0</v>
      </c>
      <c r="M1097" s="19">
        <f>SUBTOTAL(109,Program275[(M)
Accounts Receivable Balance
(K + L)])</f>
        <v>0</v>
      </c>
      <c r="N1097" s="19">
        <f>SUBTOTAL(109,Program275[(N)
Net Balance
(J minus M)])</f>
        <v>1071</v>
      </c>
    </row>
    <row r="1098" spans="1:14" ht="15.75" x14ac:dyDescent="0.25">
      <c r="A1098" s="17" t="s">
        <v>13</v>
      </c>
      <c r="B1098" s="54"/>
      <c r="C1098" s="55"/>
      <c r="D1098" s="55"/>
      <c r="E1098" s="55"/>
      <c r="F1098" s="55"/>
      <c r="G1098" s="55"/>
      <c r="H1098" s="55"/>
      <c r="I1098" s="55"/>
      <c r="J1098" s="55"/>
      <c r="K1098" s="55"/>
      <c r="L1098" s="55"/>
      <c r="M1098" s="55"/>
      <c r="N1098" s="55"/>
    </row>
    <row r="1099" spans="1:14" ht="78.75" x14ac:dyDescent="0.25">
      <c r="A1099" s="39" t="s">
        <v>32</v>
      </c>
      <c r="B1099" s="40" t="s">
        <v>33</v>
      </c>
      <c r="C1099" s="41" t="s">
        <v>34</v>
      </c>
      <c r="D1099" s="41" t="s">
        <v>35</v>
      </c>
      <c r="E1099" s="42" t="s">
        <v>36</v>
      </c>
      <c r="F1099" s="42" t="s">
        <v>37</v>
      </c>
      <c r="G1099" s="42" t="s">
        <v>38</v>
      </c>
      <c r="H1099" s="43" t="s">
        <v>39</v>
      </c>
      <c r="I1099" s="44" t="s">
        <v>40</v>
      </c>
      <c r="J1099" s="44" t="s">
        <v>41</v>
      </c>
      <c r="K1099" s="42" t="s">
        <v>42</v>
      </c>
      <c r="L1099" s="44" t="s">
        <v>43</v>
      </c>
      <c r="M1099" s="44" t="s">
        <v>44</v>
      </c>
      <c r="N1099" s="45" t="s">
        <v>45</v>
      </c>
    </row>
    <row r="1100" spans="1:14" ht="45" x14ac:dyDescent="0.25">
      <c r="A1100" s="67" t="s">
        <v>537</v>
      </c>
      <c r="B1100" s="57" t="s">
        <v>49</v>
      </c>
      <c r="C1100" s="58">
        <v>75011</v>
      </c>
      <c r="D1100" s="58">
        <v>-75011</v>
      </c>
      <c r="E1100" s="58">
        <v>0</v>
      </c>
      <c r="F1100" s="58">
        <v>0</v>
      </c>
      <c r="G1100" s="58">
        <v>0</v>
      </c>
      <c r="H1100" s="58">
        <v>0</v>
      </c>
      <c r="I1100" s="58">
        <v>0</v>
      </c>
      <c r="J1100" s="58">
        <v>0</v>
      </c>
      <c r="K1100" s="58">
        <v>0</v>
      </c>
      <c r="L1100" s="58">
        <v>0</v>
      </c>
      <c r="M1100" s="58">
        <v>0</v>
      </c>
      <c r="N1100" s="58">
        <v>0</v>
      </c>
    </row>
    <row r="1101" spans="1:14" ht="45" x14ac:dyDescent="0.25">
      <c r="A1101" s="68" t="s">
        <v>537</v>
      </c>
      <c r="B1101" s="60" t="s">
        <v>50</v>
      </c>
      <c r="C1101" s="61">
        <v>65378</v>
      </c>
      <c r="D1101" s="61">
        <v>-327</v>
      </c>
      <c r="E1101" s="61">
        <v>0</v>
      </c>
      <c r="F1101" s="61">
        <v>0</v>
      </c>
      <c r="G1101" s="61">
        <v>0</v>
      </c>
      <c r="H1101" s="61">
        <v>65051</v>
      </c>
      <c r="I1101" s="61">
        <v>-63255</v>
      </c>
      <c r="J1101" s="61">
        <v>1796</v>
      </c>
      <c r="K1101" s="61">
        <v>0</v>
      </c>
      <c r="L1101" s="61">
        <v>0</v>
      </c>
      <c r="M1101" s="61">
        <v>0</v>
      </c>
      <c r="N1101" s="61">
        <v>1796</v>
      </c>
    </row>
    <row r="1102" spans="1:14" ht="45" x14ac:dyDescent="0.25">
      <c r="A1102" s="68" t="s">
        <v>537</v>
      </c>
      <c r="B1102" s="60" t="s">
        <v>51</v>
      </c>
      <c r="C1102" s="61">
        <v>3617450</v>
      </c>
      <c r="D1102" s="61">
        <v>-186247</v>
      </c>
      <c r="E1102" s="61">
        <v>0</v>
      </c>
      <c r="F1102" s="61">
        <v>0</v>
      </c>
      <c r="G1102" s="61">
        <v>0</v>
      </c>
      <c r="H1102" s="61">
        <v>3431203</v>
      </c>
      <c r="I1102" s="61">
        <v>-3273018</v>
      </c>
      <c r="J1102" s="61">
        <v>158185</v>
      </c>
      <c r="K1102" s="61">
        <v>0</v>
      </c>
      <c r="L1102" s="61">
        <v>0</v>
      </c>
      <c r="M1102" s="61">
        <v>0</v>
      </c>
      <c r="N1102" s="61">
        <v>158185</v>
      </c>
    </row>
    <row r="1103" spans="1:14" ht="45" x14ac:dyDescent="0.25">
      <c r="A1103" s="68" t="s">
        <v>537</v>
      </c>
      <c r="B1103" s="60" t="s">
        <v>52</v>
      </c>
      <c r="C1103" s="61">
        <v>3431438</v>
      </c>
      <c r="D1103" s="61">
        <v>-183584</v>
      </c>
      <c r="E1103" s="61">
        <v>0</v>
      </c>
      <c r="F1103" s="61">
        <v>0</v>
      </c>
      <c r="G1103" s="61">
        <v>0</v>
      </c>
      <c r="H1103" s="61">
        <v>3247854</v>
      </c>
      <c r="I1103" s="61">
        <v>-3128316</v>
      </c>
      <c r="J1103" s="61">
        <v>119538</v>
      </c>
      <c r="K1103" s="61">
        <v>0</v>
      </c>
      <c r="L1103" s="61">
        <v>0</v>
      </c>
      <c r="M1103" s="61">
        <v>0</v>
      </c>
      <c r="N1103" s="61">
        <v>119538</v>
      </c>
    </row>
    <row r="1104" spans="1:14" ht="45" x14ac:dyDescent="0.25">
      <c r="A1104" s="68" t="s">
        <v>537</v>
      </c>
      <c r="B1104" s="60" t="s">
        <v>53</v>
      </c>
      <c r="C1104" s="61">
        <v>3018053</v>
      </c>
      <c r="D1104" s="61">
        <v>-156651</v>
      </c>
      <c r="E1104" s="61">
        <v>0</v>
      </c>
      <c r="F1104" s="61">
        <v>0</v>
      </c>
      <c r="G1104" s="61">
        <v>0</v>
      </c>
      <c r="H1104" s="61">
        <v>2861402</v>
      </c>
      <c r="I1104" s="61">
        <v>-2768647</v>
      </c>
      <c r="J1104" s="61">
        <v>92755</v>
      </c>
      <c r="K1104" s="61">
        <v>0</v>
      </c>
      <c r="L1104" s="61">
        <v>0</v>
      </c>
      <c r="M1104" s="61">
        <v>0</v>
      </c>
      <c r="N1104" s="61">
        <v>92755</v>
      </c>
    </row>
    <row r="1105" spans="1:14" ht="45" x14ac:dyDescent="0.25">
      <c r="A1105" s="68" t="s">
        <v>537</v>
      </c>
      <c r="B1105" s="60" t="s">
        <v>54</v>
      </c>
      <c r="C1105" s="61">
        <v>2106675</v>
      </c>
      <c r="D1105" s="61">
        <v>-96791</v>
      </c>
      <c r="E1105" s="61">
        <v>0</v>
      </c>
      <c r="F1105" s="61">
        <v>0</v>
      </c>
      <c r="G1105" s="61">
        <v>0</v>
      </c>
      <c r="H1105" s="61">
        <v>2009884</v>
      </c>
      <c r="I1105" s="61">
        <v>-1993510</v>
      </c>
      <c r="J1105" s="61">
        <v>16374</v>
      </c>
      <c r="K1105" s="61">
        <v>0</v>
      </c>
      <c r="L1105" s="61">
        <v>0</v>
      </c>
      <c r="M1105" s="61">
        <v>0</v>
      </c>
      <c r="N1105" s="61">
        <v>16374</v>
      </c>
    </row>
    <row r="1106" spans="1:14" ht="15.75" x14ac:dyDescent="0.25">
      <c r="A1106" s="97" t="s">
        <v>415</v>
      </c>
      <c r="B1106" s="98" t="s">
        <v>8</v>
      </c>
      <c r="C1106" s="99">
        <f>SUBTOTAL(109,Program265[(C)
Program
Costs])</f>
        <v>12314005</v>
      </c>
      <c r="D1106" s="99">
        <f>SUBTOTAL(109,Program265[(D)
Prior Period Adjustments])</f>
        <v>-698611</v>
      </c>
      <c r="E1106" s="99">
        <f>SUBTOTAL(109,Program265[(E)
Current Period Desk 
Reviews])</f>
        <v>0</v>
      </c>
      <c r="F1106" s="99">
        <f>SUBTOTAL(109,Program265[(F)
Current Period 
Final 
Audits])</f>
        <v>0</v>
      </c>
      <c r="G1106" s="99">
        <f>SUBTOTAL(109,Program265[(G)
Current Period 
Other Adjustments])</f>
        <v>0</v>
      </c>
      <c r="H1106" s="99">
        <f>SUBTOTAL(109,Program265[(H)
Net Program Costs
Sum (C through G)])</f>
        <v>11615394</v>
      </c>
      <c r="I1106" s="99">
        <f>SUBTOTAL(109,Program265[(I)
Payments
 and Offsets])</f>
        <v>-11226746</v>
      </c>
      <c r="J1106" s="99">
        <f>SUBTOTAL(109,Program265[(J)
Accounts Payable Balance
(H + I)])</f>
        <v>388648</v>
      </c>
      <c r="K1106" s="99">
        <f>SUBTOTAL(109,Program265[(K)
Established 
Accounts Receivable])</f>
        <v>0</v>
      </c>
      <c r="L1106" s="99">
        <f>SUBTOTAL(109,Program265[(L)
Recovered
 Accounts Receivable])</f>
        <v>0</v>
      </c>
      <c r="M1106" s="99">
        <f>SUBTOTAL(109,Program265[(M)
Accounts Receivable Balance
(K + L)])</f>
        <v>0</v>
      </c>
      <c r="N1106" s="99">
        <f>SUBTOTAL(109,Program265[(N)
Net Balance
(J minus M)])</f>
        <v>388648</v>
      </c>
    </row>
    <row r="1107" spans="1:14" ht="15.75" x14ac:dyDescent="0.25">
      <c r="A1107" s="17" t="s">
        <v>13</v>
      </c>
      <c r="B1107" s="54"/>
      <c r="C1107" s="55"/>
      <c r="D1107" s="55"/>
      <c r="E1107" s="55"/>
      <c r="F1107" s="55"/>
      <c r="G1107" s="55"/>
      <c r="H1107" s="55"/>
      <c r="I1107" s="55"/>
      <c r="J1107" s="55"/>
      <c r="K1107" s="55"/>
      <c r="L1107" s="55"/>
      <c r="M1107" s="55"/>
      <c r="N1107" s="55"/>
    </row>
    <row r="1108" spans="1:14" ht="78.75" x14ac:dyDescent="0.25">
      <c r="A1108" s="39" t="s">
        <v>32</v>
      </c>
      <c r="B1108" s="40" t="s">
        <v>33</v>
      </c>
      <c r="C1108" s="41" t="s">
        <v>34</v>
      </c>
      <c r="D1108" s="41" t="s">
        <v>35</v>
      </c>
      <c r="E1108" s="42" t="s">
        <v>36</v>
      </c>
      <c r="F1108" s="42" t="s">
        <v>37</v>
      </c>
      <c r="G1108" s="42" t="s">
        <v>38</v>
      </c>
      <c r="H1108" s="43" t="s">
        <v>39</v>
      </c>
      <c r="I1108" s="44" t="s">
        <v>40</v>
      </c>
      <c r="J1108" s="44" t="s">
        <v>41</v>
      </c>
      <c r="K1108" s="42" t="s">
        <v>42</v>
      </c>
      <c r="L1108" s="44" t="s">
        <v>43</v>
      </c>
      <c r="M1108" s="44" t="s">
        <v>44</v>
      </c>
      <c r="N1108" s="45" t="s">
        <v>45</v>
      </c>
    </row>
    <row r="1109" spans="1:14" ht="15.75" x14ac:dyDescent="0.25">
      <c r="A1109" s="69" t="s">
        <v>536</v>
      </c>
      <c r="B1109" s="47" t="s">
        <v>76</v>
      </c>
      <c r="C1109" s="48">
        <v>74680</v>
      </c>
      <c r="D1109" s="48">
        <v>0</v>
      </c>
      <c r="E1109" s="48">
        <v>0</v>
      </c>
      <c r="F1109" s="48">
        <v>0</v>
      </c>
      <c r="G1109" s="48">
        <v>0</v>
      </c>
      <c r="H1109" s="48">
        <v>74680</v>
      </c>
      <c r="I1109" s="48">
        <v>0</v>
      </c>
      <c r="J1109" s="48">
        <v>74680</v>
      </c>
      <c r="K1109" s="48">
        <v>0</v>
      </c>
      <c r="L1109" s="48">
        <v>0</v>
      </c>
      <c r="M1109" s="48">
        <v>0</v>
      </c>
      <c r="N1109" s="48">
        <v>74680</v>
      </c>
    </row>
    <row r="1110" spans="1:14" ht="15.75" x14ac:dyDescent="0.25">
      <c r="A1110" s="49" t="s">
        <v>536</v>
      </c>
      <c r="B1110" s="50" t="s">
        <v>77</v>
      </c>
      <c r="C1110" s="51">
        <v>114153</v>
      </c>
      <c r="D1110" s="51">
        <v>0</v>
      </c>
      <c r="E1110" s="51">
        <v>0</v>
      </c>
      <c r="F1110" s="51">
        <v>0</v>
      </c>
      <c r="G1110" s="51">
        <v>0</v>
      </c>
      <c r="H1110" s="51">
        <v>114153</v>
      </c>
      <c r="I1110" s="51">
        <v>-1000</v>
      </c>
      <c r="J1110" s="51">
        <v>113153</v>
      </c>
      <c r="K1110" s="51">
        <v>0</v>
      </c>
      <c r="L1110" s="51">
        <v>0</v>
      </c>
      <c r="M1110" s="51">
        <v>0</v>
      </c>
      <c r="N1110" s="51">
        <v>113153</v>
      </c>
    </row>
    <row r="1111" spans="1:14" ht="15.75" x14ac:dyDescent="0.25">
      <c r="A1111" s="49" t="s">
        <v>536</v>
      </c>
      <c r="B1111" s="50" t="s">
        <v>78</v>
      </c>
      <c r="C1111" s="51">
        <v>161660</v>
      </c>
      <c r="D1111" s="51">
        <v>0</v>
      </c>
      <c r="E1111" s="51">
        <v>0</v>
      </c>
      <c r="F1111" s="51">
        <v>0</v>
      </c>
      <c r="G1111" s="51">
        <v>0</v>
      </c>
      <c r="H1111" s="51">
        <v>161660</v>
      </c>
      <c r="I1111" s="51">
        <v>-1000</v>
      </c>
      <c r="J1111" s="51">
        <v>160660</v>
      </c>
      <c r="K1111" s="51">
        <v>0</v>
      </c>
      <c r="L1111" s="51">
        <v>0</v>
      </c>
      <c r="M1111" s="51">
        <v>0</v>
      </c>
      <c r="N1111" s="51">
        <v>160660</v>
      </c>
    </row>
    <row r="1112" spans="1:14" ht="15.75" x14ac:dyDescent="0.25">
      <c r="A1112" s="49" t="s">
        <v>536</v>
      </c>
      <c r="B1112" s="50" t="s">
        <v>47</v>
      </c>
      <c r="C1112" s="51">
        <v>168987</v>
      </c>
      <c r="D1112" s="51">
        <v>-253</v>
      </c>
      <c r="E1112" s="51">
        <v>0</v>
      </c>
      <c r="F1112" s="51">
        <v>0</v>
      </c>
      <c r="G1112" s="51">
        <v>0</v>
      </c>
      <c r="H1112" s="51">
        <v>168734</v>
      </c>
      <c r="I1112" s="51">
        <v>-46317</v>
      </c>
      <c r="J1112" s="51">
        <v>122417</v>
      </c>
      <c r="K1112" s="51">
        <v>0</v>
      </c>
      <c r="L1112" s="51">
        <v>0</v>
      </c>
      <c r="M1112" s="51">
        <v>0</v>
      </c>
      <c r="N1112" s="51">
        <v>122417</v>
      </c>
    </row>
    <row r="1113" spans="1:14" ht="15.75" x14ac:dyDescent="0.25">
      <c r="A1113" s="49" t="s">
        <v>536</v>
      </c>
      <c r="B1113" s="50" t="s">
        <v>79</v>
      </c>
      <c r="C1113" s="51">
        <v>233077</v>
      </c>
      <c r="D1113" s="51">
        <v>-1793</v>
      </c>
      <c r="E1113" s="51">
        <v>0</v>
      </c>
      <c r="F1113" s="51">
        <v>0</v>
      </c>
      <c r="G1113" s="51">
        <v>0</v>
      </c>
      <c r="H1113" s="51">
        <v>231284</v>
      </c>
      <c r="I1113" s="51">
        <v>-38472</v>
      </c>
      <c r="J1113" s="51">
        <v>192812</v>
      </c>
      <c r="K1113" s="51">
        <v>0</v>
      </c>
      <c r="L1113" s="51">
        <v>0</v>
      </c>
      <c r="M1113" s="51">
        <v>0</v>
      </c>
      <c r="N1113" s="51">
        <v>192812</v>
      </c>
    </row>
    <row r="1114" spans="1:14" ht="15.75" x14ac:dyDescent="0.25">
      <c r="A1114" s="49" t="s">
        <v>536</v>
      </c>
      <c r="B1114" s="50" t="s">
        <v>80</v>
      </c>
      <c r="C1114" s="51">
        <v>1624030</v>
      </c>
      <c r="D1114" s="51">
        <v>-176</v>
      </c>
      <c r="E1114" s="51">
        <v>0</v>
      </c>
      <c r="F1114" s="51">
        <v>0</v>
      </c>
      <c r="G1114" s="51">
        <v>0</v>
      </c>
      <c r="H1114" s="51">
        <v>1623854</v>
      </c>
      <c r="I1114" s="51">
        <v>-835468</v>
      </c>
      <c r="J1114" s="51">
        <v>788386</v>
      </c>
      <c r="K1114" s="51">
        <v>0</v>
      </c>
      <c r="L1114" s="51">
        <v>0</v>
      </c>
      <c r="M1114" s="51">
        <v>0</v>
      </c>
      <c r="N1114" s="51">
        <v>788386</v>
      </c>
    </row>
    <row r="1115" spans="1:14" ht="15.75" x14ac:dyDescent="0.25">
      <c r="A1115" s="49" t="s">
        <v>536</v>
      </c>
      <c r="B1115" s="50" t="s">
        <v>81</v>
      </c>
      <c r="C1115" s="51">
        <v>1847225</v>
      </c>
      <c r="D1115" s="51">
        <v>-937</v>
      </c>
      <c r="E1115" s="51">
        <v>0</v>
      </c>
      <c r="F1115" s="51">
        <v>0</v>
      </c>
      <c r="G1115" s="51">
        <v>0</v>
      </c>
      <c r="H1115" s="51">
        <v>1846288</v>
      </c>
      <c r="I1115" s="51">
        <v>-1214783</v>
      </c>
      <c r="J1115" s="51">
        <v>631505</v>
      </c>
      <c r="K1115" s="51">
        <v>0</v>
      </c>
      <c r="L1115" s="51">
        <v>0</v>
      </c>
      <c r="M1115" s="51">
        <v>0</v>
      </c>
      <c r="N1115" s="51">
        <v>631505</v>
      </c>
    </row>
    <row r="1116" spans="1:14" ht="15.75" x14ac:dyDescent="0.25">
      <c r="A1116" s="49" t="s">
        <v>536</v>
      </c>
      <c r="B1116" s="50" t="s">
        <v>82</v>
      </c>
      <c r="C1116" s="51">
        <v>2763658</v>
      </c>
      <c r="D1116" s="51">
        <v>-24768</v>
      </c>
      <c r="E1116" s="51">
        <v>0</v>
      </c>
      <c r="F1116" s="51">
        <v>0</v>
      </c>
      <c r="G1116" s="51">
        <v>0</v>
      </c>
      <c r="H1116" s="51">
        <v>2738890</v>
      </c>
      <c r="I1116" s="51">
        <v>-1912990</v>
      </c>
      <c r="J1116" s="51">
        <v>825900</v>
      </c>
      <c r="K1116" s="51">
        <v>0</v>
      </c>
      <c r="L1116" s="51">
        <v>0</v>
      </c>
      <c r="M1116" s="51">
        <v>0</v>
      </c>
      <c r="N1116" s="51">
        <v>825900</v>
      </c>
    </row>
    <row r="1117" spans="1:14" ht="15.75" x14ac:dyDescent="0.25">
      <c r="A1117" s="49" t="s">
        <v>536</v>
      </c>
      <c r="B1117" s="50" t="s">
        <v>83</v>
      </c>
      <c r="C1117" s="51">
        <v>25498311</v>
      </c>
      <c r="D1117" s="51">
        <v>-305418</v>
      </c>
      <c r="E1117" s="51">
        <v>0</v>
      </c>
      <c r="F1117" s="51">
        <v>0</v>
      </c>
      <c r="G1117" s="51">
        <v>0</v>
      </c>
      <c r="H1117" s="51">
        <v>25192893</v>
      </c>
      <c r="I1117" s="51">
        <v>-21266482</v>
      </c>
      <c r="J1117" s="51">
        <v>3926411</v>
      </c>
      <c r="K1117" s="51">
        <v>0</v>
      </c>
      <c r="L1117" s="51">
        <v>0</v>
      </c>
      <c r="M1117" s="51">
        <v>0</v>
      </c>
      <c r="N1117" s="51">
        <v>3926411</v>
      </c>
    </row>
    <row r="1118" spans="1:14" ht="15.75" x14ac:dyDescent="0.25">
      <c r="A1118" s="49" t="s">
        <v>536</v>
      </c>
      <c r="B1118" s="50" t="s">
        <v>48</v>
      </c>
      <c r="C1118" s="51">
        <v>24009548</v>
      </c>
      <c r="D1118" s="51">
        <v>-297996</v>
      </c>
      <c r="E1118" s="51">
        <v>0</v>
      </c>
      <c r="F1118" s="51">
        <v>0</v>
      </c>
      <c r="G1118" s="51">
        <v>0</v>
      </c>
      <c r="H1118" s="51">
        <v>23711552</v>
      </c>
      <c r="I1118" s="51">
        <v>-20724878</v>
      </c>
      <c r="J1118" s="51">
        <v>2986674</v>
      </c>
      <c r="K1118" s="51">
        <v>0</v>
      </c>
      <c r="L1118" s="51">
        <v>0</v>
      </c>
      <c r="M1118" s="51">
        <v>0</v>
      </c>
      <c r="N1118" s="51">
        <v>2986674</v>
      </c>
    </row>
    <row r="1119" spans="1:14" ht="15.75" x14ac:dyDescent="0.25">
      <c r="A1119" s="49" t="s">
        <v>536</v>
      </c>
      <c r="B1119" s="50" t="s">
        <v>49</v>
      </c>
      <c r="C1119" s="51">
        <v>18780951</v>
      </c>
      <c r="D1119" s="51">
        <v>-287170</v>
      </c>
      <c r="E1119" s="51">
        <v>0</v>
      </c>
      <c r="F1119" s="51">
        <v>0</v>
      </c>
      <c r="G1119" s="51">
        <v>0</v>
      </c>
      <c r="H1119" s="51">
        <v>18493781</v>
      </c>
      <c r="I1119" s="51">
        <v>-16223313</v>
      </c>
      <c r="J1119" s="51">
        <v>2270468</v>
      </c>
      <c r="K1119" s="51">
        <v>0</v>
      </c>
      <c r="L1119" s="51">
        <v>0</v>
      </c>
      <c r="M1119" s="51">
        <v>0</v>
      </c>
      <c r="N1119" s="51">
        <v>2270468</v>
      </c>
    </row>
    <row r="1120" spans="1:14" ht="15.75" x14ac:dyDescent="0.25">
      <c r="A1120" s="49" t="s">
        <v>536</v>
      </c>
      <c r="B1120" s="50" t="s">
        <v>50</v>
      </c>
      <c r="C1120" s="51">
        <v>18187806</v>
      </c>
      <c r="D1120" s="51">
        <v>-810087</v>
      </c>
      <c r="E1120" s="51">
        <v>0</v>
      </c>
      <c r="F1120" s="51">
        <v>0</v>
      </c>
      <c r="G1120" s="51">
        <v>0</v>
      </c>
      <c r="H1120" s="51">
        <v>17377719</v>
      </c>
      <c r="I1120" s="51">
        <v>-15811250</v>
      </c>
      <c r="J1120" s="51">
        <v>1566469</v>
      </c>
      <c r="K1120" s="51">
        <v>1150</v>
      </c>
      <c r="L1120" s="51">
        <v>0</v>
      </c>
      <c r="M1120" s="51">
        <v>1150</v>
      </c>
      <c r="N1120" s="51">
        <v>1565319</v>
      </c>
    </row>
    <row r="1121" spans="1:14" ht="15.75" x14ac:dyDescent="0.25">
      <c r="A1121" s="49" t="s">
        <v>536</v>
      </c>
      <c r="B1121" s="50" t="s">
        <v>51</v>
      </c>
      <c r="C1121" s="51">
        <v>18240539</v>
      </c>
      <c r="D1121" s="51">
        <v>-1545280</v>
      </c>
      <c r="E1121" s="51">
        <v>0</v>
      </c>
      <c r="F1121" s="51">
        <v>0</v>
      </c>
      <c r="G1121" s="51">
        <v>0</v>
      </c>
      <c r="H1121" s="51">
        <v>16695259</v>
      </c>
      <c r="I1121" s="51">
        <v>-14809884</v>
      </c>
      <c r="J1121" s="51">
        <v>1885375</v>
      </c>
      <c r="K1121" s="51">
        <v>10</v>
      </c>
      <c r="L1121" s="51">
        <v>-9</v>
      </c>
      <c r="M1121" s="51">
        <v>1</v>
      </c>
      <c r="N1121" s="51">
        <v>1885374</v>
      </c>
    </row>
    <row r="1122" spans="1:14" ht="15.75" x14ac:dyDescent="0.25">
      <c r="A1122" s="49" t="s">
        <v>536</v>
      </c>
      <c r="B1122" s="50" t="s">
        <v>52</v>
      </c>
      <c r="C1122" s="51">
        <v>15718939</v>
      </c>
      <c r="D1122" s="51">
        <v>-1060022</v>
      </c>
      <c r="E1122" s="51">
        <v>0</v>
      </c>
      <c r="F1122" s="51">
        <v>0</v>
      </c>
      <c r="G1122" s="51">
        <v>0</v>
      </c>
      <c r="H1122" s="51">
        <v>14658917</v>
      </c>
      <c r="I1122" s="51">
        <v>-13490929</v>
      </c>
      <c r="J1122" s="51">
        <v>1167988</v>
      </c>
      <c r="K1122" s="51">
        <v>203988</v>
      </c>
      <c r="L1122" s="51">
        <v>-199903</v>
      </c>
      <c r="M1122" s="51">
        <v>4085</v>
      </c>
      <c r="N1122" s="51">
        <v>1163903</v>
      </c>
    </row>
    <row r="1123" spans="1:14" ht="15.75" x14ac:dyDescent="0.25">
      <c r="A1123" s="49" t="s">
        <v>536</v>
      </c>
      <c r="B1123" s="50" t="s">
        <v>53</v>
      </c>
      <c r="C1123" s="51">
        <v>13154620</v>
      </c>
      <c r="D1123" s="51">
        <v>-720827</v>
      </c>
      <c r="E1123" s="51">
        <v>0</v>
      </c>
      <c r="F1123" s="51">
        <v>0</v>
      </c>
      <c r="G1123" s="51">
        <v>0</v>
      </c>
      <c r="H1123" s="51">
        <v>12433793</v>
      </c>
      <c r="I1123" s="51">
        <v>-11714663</v>
      </c>
      <c r="J1123" s="51">
        <v>719130</v>
      </c>
      <c r="K1123" s="51">
        <v>0</v>
      </c>
      <c r="L1123" s="51">
        <v>0</v>
      </c>
      <c r="M1123" s="51">
        <v>0</v>
      </c>
      <c r="N1123" s="51">
        <v>719130</v>
      </c>
    </row>
    <row r="1124" spans="1:14" ht="15.75" x14ac:dyDescent="0.25">
      <c r="A1124" s="49" t="s">
        <v>536</v>
      </c>
      <c r="B1124" s="50" t="s">
        <v>54</v>
      </c>
      <c r="C1124" s="51">
        <v>9961279</v>
      </c>
      <c r="D1124" s="51">
        <v>-235802</v>
      </c>
      <c r="E1124" s="51">
        <v>0</v>
      </c>
      <c r="F1124" s="51">
        <v>0</v>
      </c>
      <c r="G1124" s="51">
        <v>0</v>
      </c>
      <c r="H1124" s="51">
        <v>9725477</v>
      </c>
      <c r="I1124" s="51">
        <v>-9725477</v>
      </c>
      <c r="J1124" s="51">
        <v>0</v>
      </c>
      <c r="K1124" s="51">
        <v>253984</v>
      </c>
      <c r="L1124" s="51">
        <v>-193565</v>
      </c>
      <c r="M1124" s="51">
        <v>60419</v>
      </c>
      <c r="N1124" s="51">
        <v>-60419</v>
      </c>
    </row>
    <row r="1125" spans="1:14" ht="15.75" x14ac:dyDescent="0.25">
      <c r="A1125" s="49" t="s">
        <v>536</v>
      </c>
      <c r="B1125" s="50" t="s">
        <v>55</v>
      </c>
      <c r="C1125" s="51">
        <v>9972141</v>
      </c>
      <c r="D1125" s="51">
        <v>-1206323</v>
      </c>
      <c r="E1125" s="51">
        <v>0</v>
      </c>
      <c r="F1125" s="51">
        <v>0</v>
      </c>
      <c r="G1125" s="51">
        <v>0</v>
      </c>
      <c r="H1125" s="51">
        <v>8765818</v>
      </c>
      <c r="I1125" s="51">
        <v>-8765818</v>
      </c>
      <c r="J1125" s="51">
        <v>0</v>
      </c>
      <c r="K1125" s="51">
        <v>1253345</v>
      </c>
      <c r="L1125" s="51">
        <v>-405483</v>
      </c>
      <c r="M1125" s="51">
        <v>847862</v>
      </c>
      <c r="N1125" s="51">
        <v>-847862</v>
      </c>
    </row>
    <row r="1126" spans="1:14" ht="15.75" x14ac:dyDescent="0.25">
      <c r="A1126" s="49" t="s">
        <v>536</v>
      </c>
      <c r="B1126" s="50" t="s">
        <v>56</v>
      </c>
      <c r="C1126" s="51">
        <v>8605528</v>
      </c>
      <c r="D1126" s="51">
        <v>-1116614</v>
      </c>
      <c r="E1126" s="51">
        <v>0</v>
      </c>
      <c r="F1126" s="51">
        <v>0</v>
      </c>
      <c r="G1126" s="51">
        <v>0</v>
      </c>
      <c r="H1126" s="51">
        <v>7488914</v>
      </c>
      <c r="I1126" s="51">
        <v>-7488914</v>
      </c>
      <c r="J1126" s="51">
        <v>0</v>
      </c>
      <c r="K1126" s="51">
        <v>895210</v>
      </c>
      <c r="L1126" s="51">
        <v>-357099</v>
      </c>
      <c r="M1126" s="51">
        <v>538111</v>
      </c>
      <c r="N1126" s="51">
        <v>-538111</v>
      </c>
    </row>
    <row r="1127" spans="1:14" ht="15.75" x14ac:dyDescent="0.25">
      <c r="A1127" s="49" t="s">
        <v>536</v>
      </c>
      <c r="B1127" s="50" t="s">
        <v>57</v>
      </c>
      <c r="C1127" s="51">
        <v>10854589</v>
      </c>
      <c r="D1127" s="51">
        <v>-1737398</v>
      </c>
      <c r="E1127" s="51">
        <v>0</v>
      </c>
      <c r="F1127" s="51">
        <v>0</v>
      </c>
      <c r="G1127" s="51">
        <v>0</v>
      </c>
      <c r="H1127" s="51">
        <v>9117191</v>
      </c>
      <c r="I1127" s="51">
        <v>-9117191</v>
      </c>
      <c r="J1127" s="51">
        <v>0</v>
      </c>
      <c r="K1127" s="51">
        <v>2622888</v>
      </c>
      <c r="L1127" s="51">
        <v>-2622888</v>
      </c>
      <c r="M1127" s="51">
        <v>0</v>
      </c>
      <c r="N1127" s="51">
        <v>0</v>
      </c>
    </row>
    <row r="1128" spans="1:14" ht="15.75" x14ac:dyDescent="0.25">
      <c r="A1128" s="49" t="s">
        <v>536</v>
      </c>
      <c r="B1128" s="50" t="s">
        <v>58</v>
      </c>
      <c r="C1128" s="51">
        <v>11774170</v>
      </c>
      <c r="D1128" s="51">
        <v>-2136494</v>
      </c>
      <c r="E1128" s="51">
        <v>0</v>
      </c>
      <c r="F1128" s="51">
        <v>0</v>
      </c>
      <c r="G1128" s="51">
        <v>0</v>
      </c>
      <c r="H1128" s="51">
        <v>9637676</v>
      </c>
      <c r="I1128" s="51">
        <v>-9637676</v>
      </c>
      <c r="J1128" s="51">
        <v>0</v>
      </c>
      <c r="K1128" s="51">
        <v>2550690</v>
      </c>
      <c r="L1128" s="51">
        <v>-2550690</v>
      </c>
      <c r="M1128" s="51">
        <v>0</v>
      </c>
      <c r="N1128" s="51">
        <v>0</v>
      </c>
    </row>
    <row r="1129" spans="1:14" ht="15.75" x14ac:dyDescent="0.25">
      <c r="A1129" s="49" t="s">
        <v>536</v>
      </c>
      <c r="B1129" s="50" t="s">
        <v>59</v>
      </c>
      <c r="C1129" s="51">
        <v>11191493</v>
      </c>
      <c r="D1129" s="51">
        <v>-2033059</v>
      </c>
      <c r="E1129" s="51">
        <v>0</v>
      </c>
      <c r="F1129" s="51">
        <v>0</v>
      </c>
      <c r="G1129" s="51">
        <v>0</v>
      </c>
      <c r="H1129" s="51">
        <v>9158434</v>
      </c>
      <c r="I1129" s="51">
        <v>-9158434</v>
      </c>
      <c r="J1129" s="51">
        <v>0</v>
      </c>
      <c r="K1129" s="51">
        <v>3018962</v>
      </c>
      <c r="L1129" s="51">
        <v>-3018962</v>
      </c>
      <c r="M1129" s="51">
        <v>0</v>
      </c>
      <c r="N1129" s="51">
        <v>0</v>
      </c>
    </row>
    <row r="1130" spans="1:14" ht="15.75" x14ac:dyDescent="0.25">
      <c r="A1130" s="49" t="s">
        <v>536</v>
      </c>
      <c r="B1130" s="50" t="s">
        <v>60</v>
      </c>
      <c r="C1130" s="51">
        <v>9477994</v>
      </c>
      <c r="D1130" s="51">
        <v>-1838765</v>
      </c>
      <c r="E1130" s="51">
        <v>0</v>
      </c>
      <c r="F1130" s="51">
        <v>0</v>
      </c>
      <c r="G1130" s="51">
        <v>0</v>
      </c>
      <c r="H1130" s="51">
        <v>7639229</v>
      </c>
      <c r="I1130" s="51">
        <v>-7639229</v>
      </c>
      <c r="J1130" s="51">
        <v>0</v>
      </c>
      <c r="K1130" s="51">
        <v>2921979</v>
      </c>
      <c r="L1130" s="51">
        <v>-2921979</v>
      </c>
      <c r="M1130" s="51">
        <v>0</v>
      </c>
      <c r="N1130" s="51">
        <v>0</v>
      </c>
    </row>
    <row r="1131" spans="1:14" ht="15.75" x14ac:dyDescent="0.25">
      <c r="A1131" s="49" t="s">
        <v>536</v>
      </c>
      <c r="B1131" s="50" t="s">
        <v>61</v>
      </c>
      <c r="C1131" s="51">
        <v>8228750</v>
      </c>
      <c r="D1131" s="51">
        <v>-682603</v>
      </c>
      <c r="E1131" s="51">
        <v>0</v>
      </c>
      <c r="F1131" s="51">
        <v>0</v>
      </c>
      <c r="G1131" s="51">
        <v>0</v>
      </c>
      <c r="H1131" s="51">
        <v>7546147</v>
      </c>
      <c r="I1131" s="51">
        <v>-7546147</v>
      </c>
      <c r="J1131" s="51">
        <v>0</v>
      </c>
      <c r="K1131" s="51">
        <v>981262</v>
      </c>
      <c r="L1131" s="51">
        <v>-981262</v>
      </c>
      <c r="M1131" s="51">
        <v>0</v>
      </c>
      <c r="N1131" s="51">
        <v>0</v>
      </c>
    </row>
    <row r="1132" spans="1:14" ht="15.75" x14ac:dyDescent="0.25">
      <c r="A1132" s="49" t="s">
        <v>536</v>
      </c>
      <c r="B1132" s="50" t="s">
        <v>62</v>
      </c>
      <c r="C1132" s="51">
        <v>7924264</v>
      </c>
      <c r="D1132" s="51">
        <v>-954337</v>
      </c>
      <c r="E1132" s="51">
        <v>0</v>
      </c>
      <c r="F1132" s="51">
        <v>0</v>
      </c>
      <c r="G1132" s="51">
        <v>0</v>
      </c>
      <c r="H1132" s="51">
        <v>6969927</v>
      </c>
      <c r="I1132" s="51">
        <v>-6969927</v>
      </c>
      <c r="J1132" s="51">
        <v>0</v>
      </c>
      <c r="K1132" s="51">
        <v>589385</v>
      </c>
      <c r="L1132" s="51">
        <v>-589385</v>
      </c>
      <c r="M1132" s="51">
        <v>0</v>
      </c>
      <c r="N1132" s="51">
        <v>0</v>
      </c>
    </row>
    <row r="1133" spans="1:14" ht="15.75" x14ac:dyDescent="0.25">
      <c r="A1133" s="49" t="s">
        <v>536</v>
      </c>
      <c r="B1133" s="50" t="s">
        <v>63</v>
      </c>
      <c r="C1133" s="51">
        <v>6635855</v>
      </c>
      <c r="D1133" s="51">
        <v>-885026</v>
      </c>
      <c r="E1133" s="51">
        <v>0</v>
      </c>
      <c r="F1133" s="51">
        <v>0</v>
      </c>
      <c r="G1133" s="51">
        <v>0</v>
      </c>
      <c r="H1133" s="51">
        <v>5750829</v>
      </c>
      <c r="I1133" s="51">
        <v>-5750829</v>
      </c>
      <c r="J1133" s="51">
        <v>0</v>
      </c>
      <c r="K1133" s="51">
        <v>996420</v>
      </c>
      <c r="L1133" s="51">
        <v>-996420</v>
      </c>
      <c r="M1133" s="51">
        <v>0</v>
      </c>
      <c r="N1133" s="51">
        <v>0</v>
      </c>
    </row>
    <row r="1134" spans="1:14" ht="15.75" x14ac:dyDescent="0.25">
      <c r="A1134" s="49" t="s">
        <v>536</v>
      </c>
      <c r="B1134" s="50" t="s">
        <v>64</v>
      </c>
      <c r="C1134" s="51">
        <v>4995719</v>
      </c>
      <c r="D1134" s="51">
        <v>-35804</v>
      </c>
      <c r="E1134" s="51">
        <v>0</v>
      </c>
      <c r="F1134" s="51">
        <v>0</v>
      </c>
      <c r="G1134" s="51">
        <v>0</v>
      </c>
      <c r="H1134" s="51">
        <v>4959915</v>
      </c>
      <c r="I1134" s="51">
        <v>-4959915</v>
      </c>
      <c r="J1134" s="51">
        <v>0</v>
      </c>
      <c r="K1134" s="51">
        <v>428940</v>
      </c>
      <c r="L1134" s="51">
        <v>-428940</v>
      </c>
      <c r="M1134" s="51">
        <v>0</v>
      </c>
      <c r="N1134" s="51">
        <v>0</v>
      </c>
    </row>
    <row r="1135" spans="1:14" ht="15.75" x14ac:dyDescent="0.25">
      <c r="A1135" s="49" t="s">
        <v>536</v>
      </c>
      <c r="B1135" s="50" t="s">
        <v>65</v>
      </c>
      <c r="C1135" s="51">
        <v>4163265</v>
      </c>
      <c r="D1135" s="51">
        <v>-18115</v>
      </c>
      <c r="E1135" s="51">
        <v>0</v>
      </c>
      <c r="F1135" s="51">
        <v>0</v>
      </c>
      <c r="G1135" s="51">
        <v>0</v>
      </c>
      <c r="H1135" s="51">
        <v>4145150</v>
      </c>
      <c r="I1135" s="51">
        <v>-4145150</v>
      </c>
      <c r="J1135" s="51">
        <v>0</v>
      </c>
      <c r="K1135" s="51">
        <v>257776</v>
      </c>
      <c r="L1135" s="51">
        <v>-257776</v>
      </c>
      <c r="M1135" s="51">
        <v>0</v>
      </c>
      <c r="N1135" s="51">
        <v>0</v>
      </c>
    </row>
    <row r="1136" spans="1:14" ht="15.75" x14ac:dyDescent="0.25">
      <c r="A1136" s="49" t="s">
        <v>536</v>
      </c>
      <c r="B1136" s="50" t="s">
        <v>66</v>
      </c>
      <c r="C1136" s="51">
        <v>3343092</v>
      </c>
      <c r="D1136" s="51">
        <v>-82762</v>
      </c>
      <c r="E1136" s="51">
        <v>0</v>
      </c>
      <c r="F1136" s="51">
        <v>0</v>
      </c>
      <c r="G1136" s="51">
        <v>0</v>
      </c>
      <c r="H1136" s="51">
        <v>3260330</v>
      </c>
      <c r="I1136" s="51">
        <v>-3260330</v>
      </c>
      <c r="J1136" s="51">
        <v>0</v>
      </c>
      <c r="K1136" s="51">
        <v>1006651</v>
      </c>
      <c r="L1136" s="51">
        <v>-1006651</v>
      </c>
      <c r="M1136" s="51">
        <v>0</v>
      </c>
      <c r="N1136" s="51">
        <v>0</v>
      </c>
    </row>
    <row r="1137" spans="1:14" ht="15.75" x14ac:dyDescent="0.25">
      <c r="A1137" s="49" t="s">
        <v>536</v>
      </c>
      <c r="B1137" s="50" t="s">
        <v>67</v>
      </c>
      <c r="C1137" s="51">
        <v>4040532</v>
      </c>
      <c r="D1137" s="51">
        <v>-1591397</v>
      </c>
      <c r="E1137" s="51">
        <v>0</v>
      </c>
      <c r="F1137" s="51">
        <v>0</v>
      </c>
      <c r="G1137" s="51">
        <v>0</v>
      </c>
      <c r="H1137" s="51">
        <v>2449135</v>
      </c>
      <c r="I1137" s="51">
        <v>-2449135</v>
      </c>
      <c r="J1137" s="51">
        <v>0</v>
      </c>
      <c r="K1137" s="51">
        <v>1375535</v>
      </c>
      <c r="L1137" s="51">
        <v>-1375535</v>
      </c>
      <c r="M1137" s="51">
        <v>0</v>
      </c>
      <c r="N1137" s="51">
        <v>0</v>
      </c>
    </row>
    <row r="1138" spans="1:14" ht="15.75" x14ac:dyDescent="0.25">
      <c r="A1138" s="49" t="s">
        <v>536</v>
      </c>
      <c r="B1138" s="50" t="s">
        <v>68</v>
      </c>
      <c r="C1138" s="51">
        <v>0</v>
      </c>
      <c r="D1138" s="51">
        <v>0</v>
      </c>
      <c r="E1138" s="51">
        <v>0</v>
      </c>
      <c r="F1138" s="51">
        <v>0</v>
      </c>
      <c r="G1138" s="51">
        <v>0</v>
      </c>
      <c r="H1138" s="51">
        <v>0</v>
      </c>
      <c r="I1138" s="51">
        <v>0</v>
      </c>
      <c r="J1138" s="51">
        <v>0</v>
      </c>
      <c r="K1138" s="51">
        <v>280616</v>
      </c>
      <c r="L1138" s="51">
        <v>-280616</v>
      </c>
      <c r="M1138" s="51">
        <v>0</v>
      </c>
      <c r="N1138" s="51">
        <v>0</v>
      </c>
    </row>
    <row r="1139" spans="1:14" ht="15.75" x14ac:dyDescent="0.25">
      <c r="A1139" s="52" t="s">
        <v>414</v>
      </c>
      <c r="B1139" s="53" t="s">
        <v>8</v>
      </c>
      <c r="C1139" s="19">
        <f>SUBTOTAL(109,Program048[(C)
Program
Costs])</f>
        <v>251746855</v>
      </c>
      <c r="D1139" s="19">
        <f>SUBTOTAL(109,Program048[(D)
Prior Period Adjustments])</f>
        <v>-19609226</v>
      </c>
      <c r="E1139" s="19">
        <f>SUBTOTAL(109,Program048[(E)
Current Period Desk 
Reviews])</f>
        <v>0</v>
      </c>
      <c r="F1139" s="19">
        <f>SUBTOTAL(109,Program048[(F)
Current Period 
Final 
Audits])</f>
        <v>0</v>
      </c>
      <c r="G1139" s="19">
        <f>SUBTOTAL(109,Program048[(G)
Current Period 
Other Adjustments])</f>
        <v>0</v>
      </c>
      <c r="H1139" s="19">
        <f>SUBTOTAL(109,Program048[(H)
Net Program Costs
Sum (C through G)])</f>
        <v>232137629</v>
      </c>
      <c r="I1139" s="19">
        <f>SUBTOTAL(109,Program048[(I)
Payments
 and Offsets])</f>
        <v>-214705601</v>
      </c>
      <c r="J1139" s="19">
        <f>SUBTOTAL(109,Program048[(J)
Accounts Payable Balance
(H + I)])</f>
        <v>17432028</v>
      </c>
      <c r="K1139" s="19">
        <f>SUBTOTAL(109,Program048[(K)
Established 
Accounts Receivable])</f>
        <v>19638791</v>
      </c>
      <c r="L1139" s="19">
        <f>SUBTOTAL(109,Program048[(L)
Recovered
 Accounts Receivable])</f>
        <v>-18187163</v>
      </c>
      <c r="M1139" s="19">
        <f>SUBTOTAL(109,Program048[(M)
Accounts Receivable Balance
(K + L)])</f>
        <v>1451628</v>
      </c>
      <c r="N1139" s="19">
        <f>SUBTOTAL(109,Program048[(N)
Net Balance
(J minus M)])</f>
        <v>15980400</v>
      </c>
    </row>
    <row r="1140" spans="1:14" ht="15.75" x14ac:dyDescent="0.25">
      <c r="A1140" s="17" t="s">
        <v>13</v>
      </c>
      <c r="B1140" s="54"/>
      <c r="C1140" s="55"/>
      <c r="D1140" s="55"/>
      <c r="E1140" s="55"/>
      <c r="F1140" s="55"/>
      <c r="G1140" s="55"/>
      <c r="H1140" s="55"/>
      <c r="I1140" s="55"/>
      <c r="J1140" s="55"/>
      <c r="K1140" s="55"/>
      <c r="L1140" s="55"/>
      <c r="M1140" s="55"/>
      <c r="N1140" s="55"/>
    </row>
    <row r="1141" spans="1:14" ht="78.75" x14ac:dyDescent="0.25">
      <c r="A1141" s="39" t="s">
        <v>32</v>
      </c>
      <c r="B1141" s="40" t="s">
        <v>33</v>
      </c>
      <c r="C1141" s="41" t="s">
        <v>34</v>
      </c>
      <c r="D1141" s="41" t="s">
        <v>35</v>
      </c>
      <c r="E1141" s="42" t="s">
        <v>36</v>
      </c>
      <c r="F1141" s="42" t="s">
        <v>37</v>
      </c>
      <c r="G1141" s="42" t="s">
        <v>38</v>
      </c>
      <c r="H1141" s="43" t="s">
        <v>39</v>
      </c>
      <c r="I1141" s="44" t="s">
        <v>40</v>
      </c>
      <c r="J1141" s="44" t="s">
        <v>41</v>
      </c>
      <c r="K1141" s="42" t="s">
        <v>42</v>
      </c>
      <c r="L1141" s="44" t="s">
        <v>43</v>
      </c>
      <c r="M1141" s="44" t="s">
        <v>44</v>
      </c>
      <c r="N1141" s="45" t="s">
        <v>45</v>
      </c>
    </row>
    <row r="1142" spans="1:14" ht="30" x14ac:dyDescent="0.25">
      <c r="A1142" s="67" t="s">
        <v>535</v>
      </c>
      <c r="B1142" s="57" t="s">
        <v>51</v>
      </c>
      <c r="C1142" s="58">
        <v>7098578</v>
      </c>
      <c r="D1142" s="58">
        <v>-66583</v>
      </c>
      <c r="E1142" s="58">
        <v>0</v>
      </c>
      <c r="F1142" s="58">
        <v>0</v>
      </c>
      <c r="G1142" s="58">
        <v>0</v>
      </c>
      <c r="H1142" s="58">
        <v>7031995</v>
      </c>
      <c r="I1142" s="58">
        <v>-6148659</v>
      </c>
      <c r="J1142" s="58">
        <v>883336</v>
      </c>
      <c r="K1142" s="58">
        <v>9</v>
      </c>
      <c r="L1142" s="58">
        <v>-7</v>
      </c>
      <c r="M1142" s="58">
        <v>2</v>
      </c>
      <c r="N1142" s="58">
        <v>883334</v>
      </c>
    </row>
    <row r="1143" spans="1:14" ht="30" x14ac:dyDescent="0.25">
      <c r="A1143" s="68" t="s">
        <v>535</v>
      </c>
      <c r="B1143" s="60" t="s">
        <v>52</v>
      </c>
      <c r="C1143" s="61">
        <v>6625839</v>
      </c>
      <c r="D1143" s="61">
        <v>-8549</v>
      </c>
      <c r="E1143" s="61">
        <v>0</v>
      </c>
      <c r="F1143" s="61">
        <v>0</v>
      </c>
      <c r="G1143" s="61">
        <v>0</v>
      </c>
      <c r="H1143" s="61">
        <v>6617290</v>
      </c>
      <c r="I1143" s="61">
        <v>-6100481</v>
      </c>
      <c r="J1143" s="61">
        <v>516809</v>
      </c>
      <c r="K1143" s="61">
        <v>60300</v>
      </c>
      <c r="L1143" s="61">
        <v>-54923</v>
      </c>
      <c r="M1143" s="61">
        <v>5377</v>
      </c>
      <c r="N1143" s="61">
        <v>511432</v>
      </c>
    </row>
    <row r="1144" spans="1:14" ht="30" x14ac:dyDescent="0.25">
      <c r="A1144" s="68" t="s">
        <v>535</v>
      </c>
      <c r="B1144" s="60" t="s">
        <v>53</v>
      </c>
      <c r="C1144" s="61">
        <v>5735933</v>
      </c>
      <c r="D1144" s="61">
        <v>-9241</v>
      </c>
      <c r="E1144" s="61">
        <v>0</v>
      </c>
      <c r="F1144" s="61">
        <v>0</v>
      </c>
      <c r="G1144" s="61">
        <v>0</v>
      </c>
      <c r="H1144" s="61">
        <v>5726692</v>
      </c>
      <c r="I1144" s="61">
        <v>-5639598</v>
      </c>
      <c r="J1144" s="61">
        <v>87094</v>
      </c>
      <c r="K1144" s="61">
        <v>1191913</v>
      </c>
      <c r="L1144" s="61">
        <v>-1172322</v>
      </c>
      <c r="M1144" s="61">
        <v>19591</v>
      </c>
      <c r="N1144" s="61">
        <v>67503</v>
      </c>
    </row>
    <row r="1145" spans="1:14" ht="30" x14ac:dyDescent="0.25">
      <c r="A1145" s="68" t="s">
        <v>535</v>
      </c>
      <c r="B1145" s="60" t="s">
        <v>54</v>
      </c>
      <c r="C1145" s="61">
        <v>5239451</v>
      </c>
      <c r="D1145" s="61">
        <v>-12310</v>
      </c>
      <c r="E1145" s="61">
        <v>0</v>
      </c>
      <c r="F1145" s="61">
        <v>0</v>
      </c>
      <c r="G1145" s="61">
        <v>0</v>
      </c>
      <c r="H1145" s="61">
        <v>5227141</v>
      </c>
      <c r="I1145" s="61">
        <v>-5227141</v>
      </c>
      <c r="J1145" s="61">
        <v>0</v>
      </c>
      <c r="K1145" s="61">
        <v>1755</v>
      </c>
      <c r="L1145" s="61">
        <v>0</v>
      </c>
      <c r="M1145" s="61">
        <v>1755</v>
      </c>
      <c r="N1145" s="61">
        <v>-1755</v>
      </c>
    </row>
    <row r="1146" spans="1:14" ht="30" x14ac:dyDescent="0.25">
      <c r="A1146" s="68" t="s">
        <v>535</v>
      </c>
      <c r="B1146" s="60" t="s">
        <v>55</v>
      </c>
      <c r="C1146" s="61">
        <v>6136271</v>
      </c>
      <c r="D1146" s="61">
        <v>-6818</v>
      </c>
      <c r="E1146" s="61">
        <v>0</v>
      </c>
      <c r="F1146" s="61">
        <v>0</v>
      </c>
      <c r="G1146" s="61">
        <v>0</v>
      </c>
      <c r="H1146" s="61">
        <v>6129453</v>
      </c>
      <c r="I1146" s="61">
        <v>-6129453</v>
      </c>
      <c r="J1146" s="61">
        <v>0</v>
      </c>
      <c r="K1146" s="61">
        <v>0</v>
      </c>
      <c r="L1146" s="61">
        <v>0</v>
      </c>
      <c r="M1146" s="61">
        <v>0</v>
      </c>
      <c r="N1146" s="61">
        <v>0</v>
      </c>
    </row>
    <row r="1147" spans="1:14" ht="30" x14ac:dyDescent="0.25">
      <c r="A1147" s="68" t="s">
        <v>535</v>
      </c>
      <c r="B1147" s="60" t="s">
        <v>56</v>
      </c>
      <c r="C1147" s="61">
        <v>5842584</v>
      </c>
      <c r="D1147" s="61">
        <v>-312375</v>
      </c>
      <c r="E1147" s="61">
        <v>0</v>
      </c>
      <c r="F1147" s="61">
        <v>0</v>
      </c>
      <c r="G1147" s="61">
        <v>0</v>
      </c>
      <c r="H1147" s="61">
        <v>5530209</v>
      </c>
      <c r="I1147" s="61">
        <v>-5530209</v>
      </c>
      <c r="J1147" s="61">
        <v>0</v>
      </c>
      <c r="K1147" s="61">
        <v>18634</v>
      </c>
      <c r="L1147" s="61">
        <v>-18634</v>
      </c>
      <c r="M1147" s="61">
        <v>0</v>
      </c>
      <c r="N1147" s="61">
        <v>0</v>
      </c>
    </row>
    <row r="1148" spans="1:14" ht="30" x14ac:dyDescent="0.25">
      <c r="A1148" s="68" t="s">
        <v>535</v>
      </c>
      <c r="B1148" s="60" t="s">
        <v>57</v>
      </c>
      <c r="C1148" s="61">
        <v>6122825</v>
      </c>
      <c r="D1148" s="61">
        <v>-787784</v>
      </c>
      <c r="E1148" s="61">
        <v>0</v>
      </c>
      <c r="F1148" s="61">
        <v>0</v>
      </c>
      <c r="G1148" s="61">
        <v>0</v>
      </c>
      <c r="H1148" s="61">
        <v>5335041</v>
      </c>
      <c r="I1148" s="61">
        <v>-5335041</v>
      </c>
      <c r="J1148" s="61">
        <v>0</v>
      </c>
      <c r="K1148" s="61">
        <v>816379</v>
      </c>
      <c r="L1148" s="61">
        <v>-816379</v>
      </c>
      <c r="M1148" s="61">
        <v>0</v>
      </c>
      <c r="N1148" s="61">
        <v>0</v>
      </c>
    </row>
    <row r="1149" spans="1:14" ht="30" x14ac:dyDescent="0.25">
      <c r="A1149" s="68" t="s">
        <v>535</v>
      </c>
      <c r="B1149" s="60" t="s">
        <v>58</v>
      </c>
      <c r="C1149" s="61">
        <v>6660207</v>
      </c>
      <c r="D1149" s="61">
        <v>-725275</v>
      </c>
      <c r="E1149" s="61">
        <v>0</v>
      </c>
      <c r="F1149" s="61">
        <v>0</v>
      </c>
      <c r="G1149" s="61">
        <v>0</v>
      </c>
      <c r="H1149" s="61">
        <v>5934932</v>
      </c>
      <c r="I1149" s="61">
        <v>-5934932</v>
      </c>
      <c r="J1149" s="61">
        <v>0</v>
      </c>
      <c r="K1149" s="61">
        <v>371065</v>
      </c>
      <c r="L1149" s="61">
        <v>-371065</v>
      </c>
      <c r="M1149" s="61">
        <v>0</v>
      </c>
      <c r="N1149" s="61">
        <v>0</v>
      </c>
    </row>
    <row r="1150" spans="1:14" ht="30" x14ac:dyDescent="0.25">
      <c r="A1150" s="68" t="s">
        <v>535</v>
      </c>
      <c r="B1150" s="60" t="s">
        <v>59</v>
      </c>
      <c r="C1150" s="61">
        <v>4762146</v>
      </c>
      <c r="D1150" s="61">
        <v>-203903</v>
      </c>
      <c r="E1150" s="61">
        <v>0</v>
      </c>
      <c r="F1150" s="61">
        <v>0</v>
      </c>
      <c r="G1150" s="61">
        <v>0</v>
      </c>
      <c r="H1150" s="61">
        <v>4558243</v>
      </c>
      <c r="I1150" s="61">
        <v>-4558243</v>
      </c>
      <c r="J1150" s="61">
        <v>0</v>
      </c>
      <c r="K1150" s="61">
        <v>268298</v>
      </c>
      <c r="L1150" s="61">
        <v>-268298</v>
      </c>
      <c r="M1150" s="61">
        <v>0</v>
      </c>
      <c r="N1150" s="61">
        <v>0</v>
      </c>
    </row>
    <row r="1151" spans="1:14" ht="30" x14ac:dyDescent="0.25">
      <c r="A1151" s="68" t="s">
        <v>535</v>
      </c>
      <c r="B1151" s="60" t="s">
        <v>60</v>
      </c>
      <c r="C1151" s="61">
        <v>4100751</v>
      </c>
      <c r="D1151" s="61">
        <v>-19326</v>
      </c>
      <c r="E1151" s="61">
        <v>0</v>
      </c>
      <c r="F1151" s="61">
        <v>0</v>
      </c>
      <c r="G1151" s="61">
        <v>0</v>
      </c>
      <c r="H1151" s="61">
        <v>4081425</v>
      </c>
      <c r="I1151" s="61">
        <v>-4081425</v>
      </c>
      <c r="J1151" s="61">
        <v>0</v>
      </c>
      <c r="K1151" s="61">
        <v>418461</v>
      </c>
      <c r="L1151" s="61">
        <v>-418461</v>
      </c>
      <c r="M1151" s="61">
        <v>0</v>
      </c>
      <c r="N1151" s="61">
        <v>0</v>
      </c>
    </row>
    <row r="1152" spans="1:14" ht="30" x14ac:dyDescent="0.25">
      <c r="A1152" s="68" t="s">
        <v>535</v>
      </c>
      <c r="B1152" s="60" t="s">
        <v>61</v>
      </c>
      <c r="C1152" s="61">
        <v>3298931</v>
      </c>
      <c r="D1152" s="61">
        <v>-27993</v>
      </c>
      <c r="E1152" s="61">
        <v>0</v>
      </c>
      <c r="F1152" s="61">
        <v>0</v>
      </c>
      <c r="G1152" s="61">
        <v>0</v>
      </c>
      <c r="H1152" s="61">
        <v>3270938</v>
      </c>
      <c r="I1152" s="61">
        <v>-3270938</v>
      </c>
      <c r="J1152" s="61">
        <v>0</v>
      </c>
      <c r="K1152" s="61">
        <v>498231</v>
      </c>
      <c r="L1152" s="61">
        <v>-498231</v>
      </c>
      <c r="M1152" s="61">
        <v>0</v>
      </c>
      <c r="N1152" s="61">
        <v>0</v>
      </c>
    </row>
    <row r="1153" spans="1:14" ht="30" x14ac:dyDescent="0.25">
      <c r="A1153" s="68" t="s">
        <v>535</v>
      </c>
      <c r="B1153" s="60" t="s">
        <v>62</v>
      </c>
      <c r="C1153" s="61">
        <v>4984666</v>
      </c>
      <c r="D1153" s="61">
        <v>-2676641</v>
      </c>
      <c r="E1153" s="61">
        <v>0</v>
      </c>
      <c r="F1153" s="61">
        <v>0</v>
      </c>
      <c r="G1153" s="61">
        <v>0</v>
      </c>
      <c r="H1153" s="61">
        <v>2308025</v>
      </c>
      <c r="I1153" s="61">
        <v>-2308025</v>
      </c>
      <c r="J1153" s="61">
        <v>0</v>
      </c>
      <c r="K1153" s="61">
        <v>726099</v>
      </c>
      <c r="L1153" s="61">
        <v>-726099</v>
      </c>
      <c r="M1153" s="61">
        <v>0</v>
      </c>
      <c r="N1153" s="61">
        <v>0</v>
      </c>
    </row>
    <row r="1154" spans="1:14" ht="30" x14ac:dyDescent="0.25">
      <c r="A1154" s="68" t="s">
        <v>535</v>
      </c>
      <c r="B1154" s="60" t="s">
        <v>63</v>
      </c>
      <c r="C1154" s="61">
        <v>4357919</v>
      </c>
      <c r="D1154" s="61">
        <v>-2605575</v>
      </c>
      <c r="E1154" s="61">
        <v>0</v>
      </c>
      <c r="F1154" s="61">
        <v>0</v>
      </c>
      <c r="G1154" s="61">
        <v>0</v>
      </c>
      <c r="H1154" s="61">
        <v>1752344</v>
      </c>
      <c r="I1154" s="61">
        <v>-1752344</v>
      </c>
      <c r="J1154" s="61">
        <v>0</v>
      </c>
      <c r="K1154" s="61">
        <v>614249</v>
      </c>
      <c r="L1154" s="61">
        <v>-614249</v>
      </c>
      <c r="M1154" s="61">
        <v>0</v>
      </c>
      <c r="N1154" s="61">
        <v>0</v>
      </c>
    </row>
    <row r="1155" spans="1:14" ht="30" x14ac:dyDescent="0.25">
      <c r="A1155" s="68" t="s">
        <v>535</v>
      </c>
      <c r="B1155" s="60" t="s">
        <v>64</v>
      </c>
      <c r="C1155" s="61">
        <v>4115404</v>
      </c>
      <c r="D1155" s="61">
        <v>-2497007</v>
      </c>
      <c r="E1155" s="61">
        <v>0</v>
      </c>
      <c r="F1155" s="61">
        <v>0</v>
      </c>
      <c r="G1155" s="61">
        <v>0</v>
      </c>
      <c r="H1155" s="61">
        <v>1618397</v>
      </c>
      <c r="I1155" s="61">
        <v>-1618397</v>
      </c>
      <c r="J1155" s="61">
        <v>0</v>
      </c>
      <c r="K1155" s="61">
        <v>613507</v>
      </c>
      <c r="L1155" s="61">
        <v>-613507</v>
      </c>
      <c r="M1155" s="61">
        <v>0</v>
      </c>
      <c r="N1155" s="61">
        <v>0</v>
      </c>
    </row>
    <row r="1156" spans="1:14" ht="30" x14ac:dyDescent="0.25">
      <c r="A1156" s="68" t="s">
        <v>535</v>
      </c>
      <c r="B1156" s="60" t="s">
        <v>65</v>
      </c>
      <c r="C1156" s="61">
        <v>2974902</v>
      </c>
      <c r="D1156" s="61">
        <v>-1685979</v>
      </c>
      <c r="E1156" s="61">
        <v>0</v>
      </c>
      <c r="F1156" s="61">
        <v>0</v>
      </c>
      <c r="G1156" s="61">
        <v>0</v>
      </c>
      <c r="H1156" s="61">
        <v>1288923</v>
      </c>
      <c r="I1156" s="61">
        <v>-1288923</v>
      </c>
      <c r="J1156" s="61">
        <v>0</v>
      </c>
      <c r="K1156" s="61">
        <v>407667</v>
      </c>
      <c r="L1156" s="61">
        <v>-407667</v>
      </c>
      <c r="M1156" s="61">
        <v>0</v>
      </c>
      <c r="N1156" s="61">
        <v>0</v>
      </c>
    </row>
    <row r="1157" spans="1:14" ht="15.75" x14ac:dyDescent="0.25">
      <c r="A1157" s="52" t="s">
        <v>413</v>
      </c>
      <c r="B1157" s="53" t="s">
        <v>8</v>
      </c>
      <c r="C1157" s="19">
        <f>SUBTOTAL(109,Program150[(C)
Program
Costs])</f>
        <v>78056407</v>
      </c>
      <c r="D1157" s="19">
        <f>SUBTOTAL(109,Program150[(D)
Prior Period Adjustments])</f>
        <v>-11645359</v>
      </c>
      <c r="E1157" s="19">
        <f>SUBTOTAL(109,Program150[(E)
Current Period Desk 
Reviews])</f>
        <v>0</v>
      </c>
      <c r="F1157" s="19">
        <f>SUBTOTAL(109,Program150[(F)
Current Period 
Final 
Audits])</f>
        <v>0</v>
      </c>
      <c r="G1157" s="19">
        <f>SUBTOTAL(109,Program150[(G)
Current Period 
Other Adjustments])</f>
        <v>0</v>
      </c>
      <c r="H1157" s="19">
        <f>SUBTOTAL(109,Program150[(H)
Net Program Costs
Sum (C through G)])</f>
        <v>66411048</v>
      </c>
      <c r="I1157" s="19">
        <f>SUBTOTAL(109,Program150[(I)
Payments
 and Offsets])</f>
        <v>-64923809</v>
      </c>
      <c r="J1157" s="19">
        <f>SUBTOTAL(109,Program150[(J)
Accounts Payable Balance
(H + I)])</f>
        <v>1487239</v>
      </c>
      <c r="K1157" s="19">
        <f>SUBTOTAL(109,Program150[(K)
Established 
Accounts Receivable])</f>
        <v>6006567</v>
      </c>
      <c r="L1157" s="19">
        <f>SUBTOTAL(109,Program150[(L)
Recovered
 Accounts Receivable])</f>
        <v>-5979842</v>
      </c>
      <c r="M1157" s="19">
        <f>SUBTOTAL(109,Program150[(M)
Accounts Receivable Balance
(K + L)])</f>
        <v>26725</v>
      </c>
      <c r="N1157" s="19">
        <f>SUBTOTAL(109,Program150[(N)
Net Balance
(J minus M)])</f>
        <v>1460514</v>
      </c>
    </row>
    <row r="1158" spans="1:14" ht="15.75" x14ac:dyDescent="0.25">
      <c r="A1158" s="17" t="s">
        <v>13</v>
      </c>
      <c r="B1158" s="54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78.75" x14ac:dyDescent="0.25">
      <c r="A1159" s="39" t="s">
        <v>32</v>
      </c>
      <c r="B1159" s="40" t="s">
        <v>33</v>
      </c>
      <c r="C1159" s="41" t="s">
        <v>34</v>
      </c>
      <c r="D1159" s="41" t="s">
        <v>35</v>
      </c>
      <c r="E1159" s="42" t="s">
        <v>36</v>
      </c>
      <c r="F1159" s="42" t="s">
        <v>37</v>
      </c>
      <c r="G1159" s="42" t="s">
        <v>38</v>
      </c>
      <c r="H1159" s="43" t="s">
        <v>39</v>
      </c>
      <c r="I1159" s="44" t="s">
        <v>40</v>
      </c>
      <c r="J1159" s="44" t="s">
        <v>41</v>
      </c>
      <c r="K1159" s="42" t="s">
        <v>42</v>
      </c>
      <c r="L1159" s="44" t="s">
        <v>43</v>
      </c>
      <c r="M1159" s="44" t="s">
        <v>44</v>
      </c>
      <c r="N1159" s="45" t="s">
        <v>45</v>
      </c>
    </row>
    <row r="1160" spans="1:14" ht="15.75" x14ac:dyDescent="0.25">
      <c r="A1160" s="46" t="s">
        <v>534</v>
      </c>
      <c r="B1160" s="47" t="s">
        <v>58</v>
      </c>
      <c r="C1160" s="48">
        <v>0</v>
      </c>
      <c r="D1160" s="48">
        <v>2854</v>
      </c>
      <c r="E1160" s="48">
        <v>0</v>
      </c>
      <c r="F1160" s="48">
        <v>0</v>
      </c>
      <c r="G1160" s="48">
        <v>0</v>
      </c>
      <c r="H1160" s="48">
        <v>2854</v>
      </c>
      <c r="I1160" s="48">
        <v>-2854</v>
      </c>
      <c r="J1160" s="48">
        <v>0</v>
      </c>
      <c r="K1160" s="48">
        <v>37398</v>
      </c>
      <c r="L1160" s="48">
        <v>-30346</v>
      </c>
      <c r="M1160" s="48">
        <v>7052</v>
      </c>
      <c r="N1160" s="48">
        <v>-7052</v>
      </c>
    </row>
    <row r="1161" spans="1:14" ht="15.75" x14ac:dyDescent="0.25">
      <c r="A1161" s="49" t="s">
        <v>534</v>
      </c>
      <c r="B1161" s="50" t="s">
        <v>59</v>
      </c>
      <c r="C1161" s="51">
        <v>4428563</v>
      </c>
      <c r="D1161" s="51">
        <v>-11892</v>
      </c>
      <c r="E1161" s="51">
        <v>0</v>
      </c>
      <c r="F1161" s="51">
        <v>0</v>
      </c>
      <c r="G1161" s="51">
        <v>0</v>
      </c>
      <c r="H1161" s="51">
        <v>4416671</v>
      </c>
      <c r="I1161" s="51">
        <v>-4416671</v>
      </c>
      <c r="J1161" s="51">
        <v>0</v>
      </c>
      <c r="K1161" s="51">
        <v>67236</v>
      </c>
      <c r="L1161" s="51">
        <v>-67019</v>
      </c>
      <c r="M1161" s="51">
        <v>217</v>
      </c>
      <c r="N1161" s="51">
        <v>-217</v>
      </c>
    </row>
    <row r="1162" spans="1:14" ht="15.75" x14ac:dyDescent="0.25">
      <c r="A1162" s="49" t="s">
        <v>534</v>
      </c>
      <c r="B1162" s="50" t="s">
        <v>60</v>
      </c>
      <c r="C1162" s="51">
        <v>4014178</v>
      </c>
      <c r="D1162" s="51">
        <v>-26573</v>
      </c>
      <c r="E1162" s="51">
        <v>0</v>
      </c>
      <c r="F1162" s="51">
        <v>0</v>
      </c>
      <c r="G1162" s="51">
        <v>0</v>
      </c>
      <c r="H1162" s="51">
        <v>3987605</v>
      </c>
      <c r="I1162" s="51">
        <v>-3987605</v>
      </c>
      <c r="J1162" s="51">
        <v>0</v>
      </c>
      <c r="K1162" s="51">
        <v>31472</v>
      </c>
      <c r="L1162" s="51">
        <v>-31472</v>
      </c>
      <c r="M1162" s="51">
        <v>0</v>
      </c>
      <c r="N1162" s="51">
        <v>0</v>
      </c>
    </row>
    <row r="1163" spans="1:14" ht="15.75" x14ac:dyDescent="0.25">
      <c r="A1163" s="49" t="s">
        <v>534</v>
      </c>
      <c r="B1163" s="50" t="s">
        <v>61</v>
      </c>
      <c r="C1163" s="51">
        <v>3419483</v>
      </c>
      <c r="D1163" s="51">
        <v>-22493</v>
      </c>
      <c r="E1163" s="51">
        <v>0</v>
      </c>
      <c r="F1163" s="51">
        <v>0</v>
      </c>
      <c r="G1163" s="51">
        <v>0</v>
      </c>
      <c r="H1163" s="51">
        <v>3396990</v>
      </c>
      <c r="I1163" s="51">
        <v>-3396990</v>
      </c>
      <c r="J1163" s="51">
        <v>0</v>
      </c>
      <c r="K1163" s="51">
        <v>223087</v>
      </c>
      <c r="L1163" s="51">
        <v>-220400</v>
      </c>
      <c r="M1163" s="51">
        <v>2687</v>
      </c>
      <c r="N1163" s="51">
        <v>-2687</v>
      </c>
    </row>
    <row r="1164" spans="1:14" ht="15.75" x14ac:dyDescent="0.25">
      <c r="A1164" s="49" t="s">
        <v>534</v>
      </c>
      <c r="B1164" s="50" t="s">
        <v>62</v>
      </c>
      <c r="C1164" s="51">
        <v>2730885</v>
      </c>
      <c r="D1164" s="51">
        <v>-17287</v>
      </c>
      <c r="E1164" s="51">
        <v>0</v>
      </c>
      <c r="F1164" s="51">
        <v>0</v>
      </c>
      <c r="G1164" s="51">
        <v>0</v>
      </c>
      <c r="H1164" s="51">
        <v>2713598</v>
      </c>
      <c r="I1164" s="51">
        <v>-2713598</v>
      </c>
      <c r="J1164" s="51">
        <v>0</v>
      </c>
      <c r="K1164" s="51">
        <v>217201</v>
      </c>
      <c r="L1164" s="51">
        <v>-217050</v>
      </c>
      <c r="M1164" s="51">
        <v>151</v>
      </c>
      <c r="N1164" s="51">
        <v>-151</v>
      </c>
    </row>
    <row r="1165" spans="1:14" ht="15.75" x14ac:dyDescent="0.25">
      <c r="A1165" s="49" t="s">
        <v>534</v>
      </c>
      <c r="B1165" s="50" t="s">
        <v>63</v>
      </c>
      <c r="C1165" s="51">
        <v>2312212</v>
      </c>
      <c r="D1165" s="51">
        <v>-537652</v>
      </c>
      <c r="E1165" s="51">
        <v>0</v>
      </c>
      <c r="F1165" s="51">
        <v>0</v>
      </c>
      <c r="G1165" s="51">
        <v>0</v>
      </c>
      <c r="H1165" s="51">
        <v>1774560</v>
      </c>
      <c r="I1165" s="51">
        <v>-1774560</v>
      </c>
      <c r="J1165" s="51">
        <v>0</v>
      </c>
      <c r="K1165" s="51">
        <v>208523</v>
      </c>
      <c r="L1165" s="51">
        <v>-208225</v>
      </c>
      <c r="M1165" s="51">
        <v>298</v>
      </c>
      <c r="N1165" s="51">
        <v>-298</v>
      </c>
    </row>
    <row r="1166" spans="1:14" ht="15.75" x14ac:dyDescent="0.25">
      <c r="A1166" s="49" t="s">
        <v>534</v>
      </c>
      <c r="B1166" s="50" t="s">
        <v>64</v>
      </c>
      <c r="C1166" s="51">
        <v>2578436</v>
      </c>
      <c r="D1166" s="51">
        <v>-1449824</v>
      </c>
      <c r="E1166" s="51">
        <v>0</v>
      </c>
      <c r="F1166" s="51">
        <v>0</v>
      </c>
      <c r="G1166" s="51">
        <v>0</v>
      </c>
      <c r="H1166" s="51">
        <v>1128612</v>
      </c>
      <c r="I1166" s="51">
        <v>-1128612</v>
      </c>
      <c r="J1166" s="51">
        <v>0</v>
      </c>
      <c r="K1166" s="51">
        <v>2880</v>
      </c>
      <c r="L1166" s="51">
        <v>-2634</v>
      </c>
      <c r="M1166" s="51">
        <v>246</v>
      </c>
      <c r="N1166" s="51">
        <v>-246</v>
      </c>
    </row>
    <row r="1167" spans="1:14" ht="15.75" x14ac:dyDescent="0.25">
      <c r="A1167" s="49" t="s">
        <v>534</v>
      </c>
      <c r="B1167" s="50" t="s">
        <v>65</v>
      </c>
      <c r="C1167" s="51">
        <v>2078815</v>
      </c>
      <c r="D1167" s="51">
        <v>-1330507</v>
      </c>
      <c r="E1167" s="51">
        <v>0</v>
      </c>
      <c r="F1167" s="51">
        <v>0</v>
      </c>
      <c r="G1167" s="51">
        <v>0</v>
      </c>
      <c r="H1167" s="51">
        <v>748308</v>
      </c>
      <c r="I1167" s="51">
        <v>-748308</v>
      </c>
      <c r="J1167" s="51">
        <v>0</v>
      </c>
      <c r="K1167" s="51">
        <v>551</v>
      </c>
      <c r="L1167" s="51">
        <v>0</v>
      </c>
      <c r="M1167" s="51">
        <v>551</v>
      </c>
      <c r="N1167" s="51">
        <v>-551</v>
      </c>
    </row>
    <row r="1168" spans="1:14" ht="15.75" x14ac:dyDescent="0.25">
      <c r="A1168" s="49" t="s">
        <v>534</v>
      </c>
      <c r="B1168" s="50" t="s">
        <v>66</v>
      </c>
      <c r="C1168" s="51">
        <v>1701785</v>
      </c>
      <c r="D1168" s="51">
        <v>-1070905</v>
      </c>
      <c r="E1168" s="51">
        <v>0</v>
      </c>
      <c r="F1168" s="51">
        <v>0</v>
      </c>
      <c r="G1168" s="51">
        <v>0</v>
      </c>
      <c r="H1168" s="51">
        <v>630880</v>
      </c>
      <c r="I1168" s="51">
        <v>-630880</v>
      </c>
      <c r="J1168" s="51">
        <v>0</v>
      </c>
      <c r="K1168" s="51">
        <v>0</v>
      </c>
      <c r="L1168" s="51">
        <v>0</v>
      </c>
      <c r="M1168" s="51">
        <v>0</v>
      </c>
      <c r="N1168" s="51">
        <v>0</v>
      </c>
    </row>
    <row r="1169" spans="1:14" ht="15.75" x14ac:dyDescent="0.25">
      <c r="A1169" s="49" t="s">
        <v>534</v>
      </c>
      <c r="B1169" s="50" t="s">
        <v>67</v>
      </c>
      <c r="C1169" s="51">
        <v>1755141</v>
      </c>
      <c r="D1169" s="51">
        <v>-885329</v>
      </c>
      <c r="E1169" s="51">
        <v>0</v>
      </c>
      <c r="F1169" s="51">
        <v>0</v>
      </c>
      <c r="G1169" s="51">
        <v>0</v>
      </c>
      <c r="H1169" s="51">
        <v>869812</v>
      </c>
      <c r="I1169" s="51">
        <v>-869812</v>
      </c>
      <c r="J1169" s="51">
        <v>0</v>
      </c>
      <c r="K1169" s="51">
        <v>302710</v>
      </c>
      <c r="L1169" s="51">
        <v>-302634</v>
      </c>
      <c r="M1169" s="51">
        <v>76</v>
      </c>
      <c r="N1169" s="51">
        <v>-76</v>
      </c>
    </row>
    <row r="1170" spans="1:14" ht="15.75" x14ac:dyDescent="0.25">
      <c r="A1170" s="49" t="s">
        <v>534</v>
      </c>
      <c r="B1170" s="50" t="s">
        <v>69</v>
      </c>
      <c r="C1170" s="51">
        <v>2034377</v>
      </c>
      <c r="D1170" s="51">
        <v>1863</v>
      </c>
      <c r="E1170" s="51">
        <v>0</v>
      </c>
      <c r="F1170" s="51">
        <v>0</v>
      </c>
      <c r="G1170" s="51">
        <v>0</v>
      </c>
      <c r="H1170" s="51">
        <v>2036240</v>
      </c>
      <c r="I1170" s="51">
        <v>-2036240</v>
      </c>
      <c r="J1170" s="51">
        <v>0</v>
      </c>
      <c r="K1170" s="51">
        <v>0</v>
      </c>
      <c r="L1170" s="51">
        <v>0</v>
      </c>
      <c r="M1170" s="51">
        <v>0</v>
      </c>
      <c r="N1170" s="51">
        <v>0</v>
      </c>
    </row>
    <row r="1171" spans="1:14" ht="15.75" x14ac:dyDescent="0.25">
      <c r="A1171" s="52" t="s">
        <v>412</v>
      </c>
      <c r="B1171" s="53" t="s">
        <v>8</v>
      </c>
      <c r="C1171" s="19">
        <f>SUBTOTAL(109,Program092[(C)
Program
Costs])</f>
        <v>27053875</v>
      </c>
      <c r="D1171" s="19">
        <f>SUBTOTAL(109,Program092[(D)
Prior Period Adjustments])</f>
        <v>-5347745</v>
      </c>
      <c r="E1171" s="19">
        <f>SUBTOTAL(109,Program092[(E)
Current Period Desk 
Reviews])</f>
        <v>0</v>
      </c>
      <c r="F1171" s="19">
        <f>SUBTOTAL(109,Program092[(F)
Current Period 
Final 
Audits])</f>
        <v>0</v>
      </c>
      <c r="G1171" s="19">
        <f>SUBTOTAL(109,Program092[(G)
Current Period 
Other Adjustments])</f>
        <v>0</v>
      </c>
      <c r="H1171" s="19">
        <f>SUBTOTAL(109,Program092[(H)
Net Program Costs
Sum (C through G)])</f>
        <v>21706130</v>
      </c>
      <c r="I1171" s="19">
        <f>SUBTOTAL(109,Program092[(I)
Payments
 and Offsets])</f>
        <v>-21706130</v>
      </c>
      <c r="J1171" s="19">
        <f>SUBTOTAL(109,Program092[(J)
Accounts Payable Balance
(H + I)])</f>
        <v>0</v>
      </c>
      <c r="K1171" s="19">
        <f>SUBTOTAL(109,Program092[(K)
Established 
Accounts Receivable])</f>
        <v>1091058</v>
      </c>
      <c r="L1171" s="19">
        <f>SUBTOTAL(109,Program092[(L)
Recovered
 Accounts Receivable])</f>
        <v>-1079780</v>
      </c>
      <c r="M1171" s="19">
        <f>SUBTOTAL(109,Program092[(M)
Accounts Receivable Balance
(K + L)])</f>
        <v>11278</v>
      </c>
      <c r="N1171" s="19">
        <f>SUBTOTAL(109,Program092[(N)
Net Balance
(J minus M)])</f>
        <v>-11278</v>
      </c>
    </row>
    <row r="1172" spans="1:14" ht="15.75" x14ac:dyDescent="0.25">
      <c r="A1172" s="17" t="s">
        <v>13</v>
      </c>
      <c r="B1172" s="54"/>
      <c r="C1172" s="55"/>
      <c r="D1172" s="55"/>
      <c r="E1172" s="55"/>
      <c r="F1172" s="55"/>
      <c r="G1172" s="55"/>
      <c r="H1172" s="55"/>
      <c r="I1172" s="55"/>
      <c r="J1172" s="55"/>
      <c r="K1172" s="55"/>
      <c r="L1172" s="55"/>
      <c r="M1172" s="55"/>
      <c r="N1172" s="55"/>
    </row>
    <row r="1173" spans="1:14" ht="78.75" x14ac:dyDescent="0.25">
      <c r="A1173" s="39" t="s">
        <v>32</v>
      </c>
      <c r="B1173" s="40" t="s">
        <v>33</v>
      </c>
      <c r="C1173" s="41" t="s">
        <v>34</v>
      </c>
      <c r="D1173" s="41" t="s">
        <v>35</v>
      </c>
      <c r="E1173" s="42" t="s">
        <v>36</v>
      </c>
      <c r="F1173" s="42" t="s">
        <v>37</v>
      </c>
      <c r="G1173" s="42" t="s">
        <v>38</v>
      </c>
      <c r="H1173" s="43" t="s">
        <v>39</v>
      </c>
      <c r="I1173" s="44" t="s">
        <v>40</v>
      </c>
      <c r="J1173" s="44" t="s">
        <v>41</v>
      </c>
      <c r="K1173" s="42" t="s">
        <v>42</v>
      </c>
      <c r="L1173" s="44" t="s">
        <v>43</v>
      </c>
      <c r="M1173" s="44" t="s">
        <v>44</v>
      </c>
      <c r="N1173" s="45" t="s">
        <v>45</v>
      </c>
    </row>
    <row r="1174" spans="1:14" ht="15.75" x14ac:dyDescent="0.25">
      <c r="A1174" s="46" t="s">
        <v>533</v>
      </c>
      <c r="B1174" s="47" t="s">
        <v>57</v>
      </c>
      <c r="C1174" s="48">
        <v>0</v>
      </c>
      <c r="D1174" s="48">
        <v>556</v>
      </c>
      <c r="E1174" s="48">
        <v>0</v>
      </c>
      <c r="F1174" s="48">
        <v>0</v>
      </c>
      <c r="G1174" s="48">
        <v>0</v>
      </c>
      <c r="H1174" s="48">
        <v>556</v>
      </c>
      <c r="I1174" s="48">
        <v>-556</v>
      </c>
      <c r="J1174" s="48">
        <v>0</v>
      </c>
      <c r="K1174" s="48">
        <v>63727</v>
      </c>
      <c r="L1174" s="48">
        <v>-62836</v>
      </c>
      <c r="M1174" s="48">
        <v>891</v>
      </c>
      <c r="N1174" s="48">
        <v>-891</v>
      </c>
    </row>
    <row r="1175" spans="1:14" ht="15.75" x14ac:dyDescent="0.25">
      <c r="A1175" s="49" t="s">
        <v>533</v>
      </c>
      <c r="B1175" s="50" t="s">
        <v>58</v>
      </c>
      <c r="C1175" s="51">
        <v>10350103</v>
      </c>
      <c r="D1175" s="51">
        <v>-246013</v>
      </c>
      <c r="E1175" s="51">
        <v>0</v>
      </c>
      <c r="F1175" s="51">
        <v>0</v>
      </c>
      <c r="G1175" s="51">
        <v>0</v>
      </c>
      <c r="H1175" s="51">
        <v>10104090</v>
      </c>
      <c r="I1175" s="51">
        <v>-10093674</v>
      </c>
      <c r="J1175" s="51">
        <v>10416</v>
      </c>
      <c r="K1175" s="51">
        <v>124736</v>
      </c>
      <c r="L1175" s="51">
        <v>-119796</v>
      </c>
      <c r="M1175" s="51">
        <v>4940</v>
      </c>
      <c r="N1175" s="51">
        <v>5476</v>
      </c>
    </row>
    <row r="1176" spans="1:14" ht="15.75" x14ac:dyDescent="0.25">
      <c r="A1176" s="49" t="s">
        <v>533</v>
      </c>
      <c r="B1176" s="50" t="s">
        <v>59</v>
      </c>
      <c r="C1176" s="51">
        <v>8166744</v>
      </c>
      <c r="D1176" s="51">
        <v>-61578</v>
      </c>
      <c r="E1176" s="51">
        <v>0</v>
      </c>
      <c r="F1176" s="51">
        <v>0</v>
      </c>
      <c r="G1176" s="51">
        <v>0</v>
      </c>
      <c r="H1176" s="51">
        <v>8105166</v>
      </c>
      <c r="I1176" s="51">
        <v>-8105166</v>
      </c>
      <c r="J1176" s="51">
        <v>0</v>
      </c>
      <c r="K1176" s="51">
        <v>42697</v>
      </c>
      <c r="L1176" s="51">
        <v>-42697</v>
      </c>
      <c r="M1176" s="51">
        <v>0</v>
      </c>
      <c r="N1176" s="51">
        <v>0</v>
      </c>
    </row>
    <row r="1177" spans="1:14" ht="15.75" x14ac:dyDescent="0.25">
      <c r="A1177" s="49" t="s">
        <v>533</v>
      </c>
      <c r="B1177" s="50" t="s">
        <v>60</v>
      </c>
      <c r="C1177" s="51">
        <v>7629088</v>
      </c>
      <c r="D1177" s="51">
        <v>-2280019</v>
      </c>
      <c r="E1177" s="51">
        <v>0</v>
      </c>
      <c r="F1177" s="51">
        <v>0</v>
      </c>
      <c r="G1177" s="51">
        <v>0</v>
      </c>
      <c r="H1177" s="51">
        <v>5349069</v>
      </c>
      <c r="I1177" s="51">
        <v>-5349069</v>
      </c>
      <c r="J1177" s="51">
        <v>0</v>
      </c>
      <c r="K1177" s="51">
        <v>0</v>
      </c>
      <c r="L1177" s="51">
        <v>0</v>
      </c>
      <c r="M1177" s="51">
        <v>0</v>
      </c>
      <c r="N1177" s="51">
        <v>0</v>
      </c>
    </row>
    <row r="1178" spans="1:14" ht="15.75" x14ac:dyDescent="0.25">
      <c r="A1178" s="49" t="s">
        <v>533</v>
      </c>
      <c r="B1178" s="50" t="s">
        <v>61</v>
      </c>
      <c r="C1178" s="51">
        <v>7025232</v>
      </c>
      <c r="D1178" s="51">
        <v>-1816537</v>
      </c>
      <c r="E1178" s="51">
        <v>0</v>
      </c>
      <c r="F1178" s="51">
        <v>0</v>
      </c>
      <c r="G1178" s="51">
        <v>0</v>
      </c>
      <c r="H1178" s="51">
        <v>5208695</v>
      </c>
      <c r="I1178" s="51">
        <v>-5208695</v>
      </c>
      <c r="J1178" s="51">
        <v>0</v>
      </c>
      <c r="K1178" s="51">
        <v>0</v>
      </c>
      <c r="L1178" s="51">
        <v>0</v>
      </c>
      <c r="M1178" s="51">
        <v>0</v>
      </c>
      <c r="N1178" s="51">
        <v>0</v>
      </c>
    </row>
    <row r="1179" spans="1:14" ht="15.75" x14ac:dyDescent="0.25">
      <c r="A1179" s="52" t="s">
        <v>411</v>
      </c>
      <c r="B1179" s="53" t="s">
        <v>8</v>
      </c>
      <c r="C1179" s="19">
        <f>SUBTOTAL(109,Program201[(C)
Program
Costs])</f>
        <v>33171167</v>
      </c>
      <c r="D1179" s="19">
        <f>SUBTOTAL(109,Program201[(D)
Prior Period Adjustments])</f>
        <v>-4403591</v>
      </c>
      <c r="E1179" s="19">
        <f>SUBTOTAL(109,Program201[(E)
Current Period Desk 
Reviews])</f>
        <v>0</v>
      </c>
      <c r="F1179" s="19">
        <f>SUBTOTAL(109,Program201[(F)
Current Period 
Final 
Audits])</f>
        <v>0</v>
      </c>
      <c r="G1179" s="19">
        <f>SUBTOTAL(109,Program201[(G)
Current Period 
Other Adjustments])</f>
        <v>0</v>
      </c>
      <c r="H1179" s="19">
        <f>SUBTOTAL(109,Program201[(H)
Net Program Costs
Sum (C through G)])</f>
        <v>28767576</v>
      </c>
      <c r="I1179" s="19">
        <f>SUBTOTAL(109,Program201[(I)
Payments
 and Offsets])</f>
        <v>-28757160</v>
      </c>
      <c r="J1179" s="19">
        <f>SUBTOTAL(109,Program201[(J)
Accounts Payable Balance
(H + I)])</f>
        <v>10416</v>
      </c>
      <c r="K1179" s="19">
        <f>SUBTOTAL(109,Program201[(K)
Established 
Accounts Receivable])</f>
        <v>231160</v>
      </c>
      <c r="L1179" s="19">
        <f>SUBTOTAL(109,Program201[(L)
Recovered
 Accounts Receivable])</f>
        <v>-225329</v>
      </c>
      <c r="M1179" s="19">
        <f>SUBTOTAL(109,Program201[(M)
Accounts Receivable Balance
(K + L)])</f>
        <v>5831</v>
      </c>
      <c r="N1179" s="19">
        <f>SUBTOTAL(109,Program201[(N)
Net Balance
(J minus M)])</f>
        <v>4585</v>
      </c>
    </row>
    <row r="1180" spans="1:14" ht="15.75" x14ac:dyDescent="0.25">
      <c r="A1180" s="17" t="s">
        <v>13</v>
      </c>
      <c r="B1180" s="54"/>
      <c r="C1180" s="55"/>
      <c r="D1180" s="55"/>
      <c r="E1180" s="55"/>
      <c r="F1180" s="55"/>
      <c r="G1180" s="55"/>
      <c r="H1180" s="55"/>
      <c r="I1180" s="55"/>
      <c r="J1180" s="55"/>
      <c r="K1180" s="55"/>
      <c r="L1180" s="55"/>
      <c r="M1180" s="55"/>
      <c r="N1180" s="55"/>
    </row>
    <row r="1181" spans="1:14" ht="78.75" x14ac:dyDescent="0.25">
      <c r="A1181" s="39" t="s">
        <v>32</v>
      </c>
      <c r="B1181" s="40" t="s">
        <v>33</v>
      </c>
      <c r="C1181" s="41" t="s">
        <v>34</v>
      </c>
      <c r="D1181" s="41" t="s">
        <v>35</v>
      </c>
      <c r="E1181" s="42" t="s">
        <v>36</v>
      </c>
      <c r="F1181" s="42" t="s">
        <v>37</v>
      </c>
      <c r="G1181" s="42" t="s">
        <v>38</v>
      </c>
      <c r="H1181" s="43" t="s">
        <v>39</v>
      </c>
      <c r="I1181" s="44" t="s">
        <v>40</v>
      </c>
      <c r="J1181" s="44" t="s">
        <v>41</v>
      </c>
      <c r="K1181" s="42" t="s">
        <v>42</v>
      </c>
      <c r="L1181" s="44" t="s">
        <v>43</v>
      </c>
      <c r="M1181" s="44" t="s">
        <v>44</v>
      </c>
      <c r="N1181" s="45" t="s">
        <v>45</v>
      </c>
    </row>
    <row r="1182" spans="1:14" ht="15.75" x14ac:dyDescent="0.25">
      <c r="A1182" s="46" t="s">
        <v>532</v>
      </c>
      <c r="B1182" s="47" t="s">
        <v>81</v>
      </c>
      <c r="C1182" s="48">
        <v>1436685</v>
      </c>
      <c r="D1182" s="48">
        <v>-1436685</v>
      </c>
      <c r="E1182" s="48">
        <v>0</v>
      </c>
      <c r="F1182" s="48">
        <v>0</v>
      </c>
      <c r="G1182" s="48">
        <v>0</v>
      </c>
      <c r="H1182" s="48">
        <v>0</v>
      </c>
      <c r="I1182" s="48">
        <v>0</v>
      </c>
      <c r="J1182" s="48">
        <v>0</v>
      </c>
      <c r="K1182" s="48">
        <v>0</v>
      </c>
      <c r="L1182" s="48">
        <v>0</v>
      </c>
      <c r="M1182" s="48">
        <v>0</v>
      </c>
      <c r="N1182" s="48">
        <v>0</v>
      </c>
    </row>
    <row r="1183" spans="1:14" ht="15.75" x14ac:dyDescent="0.25">
      <c r="A1183" s="49" t="s">
        <v>532</v>
      </c>
      <c r="B1183" s="50" t="s">
        <v>82</v>
      </c>
      <c r="C1183" s="51">
        <v>433071</v>
      </c>
      <c r="D1183" s="51">
        <v>-220139</v>
      </c>
      <c r="E1183" s="51">
        <v>0</v>
      </c>
      <c r="F1183" s="51">
        <v>0</v>
      </c>
      <c r="G1183" s="51">
        <v>0</v>
      </c>
      <c r="H1183" s="51">
        <v>212932</v>
      </c>
      <c r="I1183" s="51">
        <v>-98885</v>
      </c>
      <c r="J1183" s="51">
        <v>114047</v>
      </c>
      <c r="K1183" s="51">
        <v>0</v>
      </c>
      <c r="L1183" s="51">
        <v>0</v>
      </c>
      <c r="M1183" s="51">
        <v>0</v>
      </c>
      <c r="N1183" s="51">
        <v>114047</v>
      </c>
    </row>
    <row r="1184" spans="1:14" ht="15.75" x14ac:dyDescent="0.25">
      <c r="A1184" s="49" t="s">
        <v>532</v>
      </c>
      <c r="B1184" s="50" t="s">
        <v>83</v>
      </c>
      <c r="C1184" s="51">
        <v>3262543</v>
      </c>
      <c r="D1184" s="51">
        <v>-10111</v>
      </c>
      <c r="E1184" s="51">
        <v>0</v>
      </c>
      <c r="F1184" s="51">
        <v>0</v>
      </c>
      <c r="G1184" s="51">
        <v>0</v>
      </c>
      <c r="H1184" s="51">
        <v>3252432</v>
      </c>
      <c r="I1184" s="51">
        <v>-2176378</v>
      </c>
      <c r="J1184" s="51">
        <v>1076054</v>
      </c>
      <c r="K1184" s="51">
        <v>0</v>
      </c>
      <c r="L1184" s="51">
        <v>0</v>
      </c>
      <c r="M1184" s="51">
        <v>0</v>
      </c>
      <c r="N1184" s="51">
        <v>1076054</v>
      </c>
    </row>
    <row r="1185" spans="1:14" ht="15.75" x14ac:dyDescent="0.25">
      <c r="A1185" s="49" t="s">
        <v>532</v>
      </c>
      <c r="B1185" s="50" t="s">
        <v>48</v>
      </c>
      <c r="C1185" s="51">
        <v>3597650</v>
      </c>
      <c r="D1185" s="51">
        <v>-16320</v>
      </c>
      <c r="E1185" s="51">
        <v>0</v>
      </c>
      <c r="F1185" s="51">
        <v>0</v>
      </c>
      <c r="G1185" s="51">
        <v>0</v>
      </c>
      <c r="H1185" s="51">
        <v>3581330</v>
      </c>
      <c r="I1185" s="51">
        <v>-2599910</v>
      </c>
      <c r="J1185" s="51">
        <v>981420</v>
      </c>
      <c r="K1185" s="51">
        <v>0</v>
      </c>
      <c r="L1185" s="51">
        <v>0</v>
      </c>
      <c r="M1185" s="51">
        <v>0</v>
      </c>
      <c r="N1185" s="51">
        <v>981420</v>
      </c>
    </row>
    <row r="1186" spans="1:14" ht="15.75" x14ac:dyDescent="0.25">
      <c r="A1186" s="49" t="s">
        <v>532</v>
      </c>
      <c r="B1186" s="50" t="s">
        <v>49</v>
      </c>
      <c r="C1186" s="51">
        <v>3764278</v>
      </c>
      <c r="D1186" s="51">
        <v>-35141</v>
      </c>
      <c r="E1186" s="51">
        <v>0</v>
      </c>
      <c r="F1186" s="51">
        <v>0</v>
      </c>
      <c r="G1186" s="51">
        <v>0</v>
      </c>
      <c r="H1186" s="51">
        <v>3729137</v>
      </c>
      <c r="I1186" s="51">
        <v>-2850496</v>
      </c>
      <c r="J1186" s="51">
        <v>878641</v>
      </c>
      <c r="K1186" s="51">
        <v>0</v>
      </c>
      <c r="L1186" s="51">
        <v>0</v>
      </c>
      <c r="M1186" s="51">
        <v>0</v>
      </c>
      <c r="N1186" s="51">
        <v>878641</v>
      </c>
    </row>
    <row r="1187" spans="1:14" ht="15.75" x14ac:dyDescent="0.25">
      <c r="A1187" s="49" t="s">
        <v>532</v>
      </c>
      <c r="B1187" s="50" t="s">
        <v>50</v>
      </c>
      <c r="C1187" s="51">
        <v>3844717</v>
      </c>
      <c r="D1187" s="51">
        <v>-35937</v>
      </c>
      <c r="E1187" s="51">
        <v>0</v>
      </c>
      <c r="F1187" s="51">
        <v>0</v>
      </c>
      <c r="G1187" s="51">
        <v>0</v>
      </c>
      <c r="H1187" s="51">
        <v>3808780</v>
      </c>
      <c r="I1187" s="51">
        <v>-3065621</v>
      </c>
      <c r="J1187" s="51">
        <v>743159</v>
      </c>
      <c r="K1187" s="51">
        <v>0</v>
      </c>
      <c r="L1187" s="51">
        <v>0</v>
      </c>
      <c r="M1187" s="51">
        <v>0</v>
      </c>
      <c r="N1187" s="51">
        <v>743159</v>
      </c>
    </row>
    <row r="1188" spans="1:14" ht="15.75" x14ac:dyDescent="0.25">
      <c r="A1188" s="49" t="s">
        <v>532</v>
      </c>
      <c r="B1188" s="50" t="s">
        <v>51</v>
      </c>
      <c r="C1188" s="51">
        <v>3854490</v>
      </c>
      <c r="D1188" s="51">
        <v>-35446</v>
      </c>
      <c r="E1188" s="51">
        <v>0</v>
      </c>
      <c r="F1188" s="51">
        <v>0</v>
      </c>
      <c r="G1188" s="51">
        <v>0</v>
      </c>
      <c r="H1188" s="51">
        <v>3819044</v>
      </c>
      <c r="I1188" s="51">
        <v>-3199438</v>
      </c>
      <c r="J1188" s="51">
        <v>619606</v>
      </c>
      <c r="K1188" s="51">
        <v>0</v>
      </c>
      <c r="L1188" s="51">
        <v>0</v>
      </c>
      <c r="M1188" s="51">
        <v>0</v>
      </c>
      <c r="N1188" s="51">
        <v>619606</v>
      </c>
    </row>
    <row r="1189" spans="1:14" ht="15.75" x14ac:dyDescent="0.25">
      <c r="A1189" s="49" t="s">
        <v>532</v>
      </c>
      <c r="B1189" s="50" t="s">
        <v>52</v>
      </c>
      <c r="C1189" s="51">
        <v>3754227</v>
      </c>
      <c r="D1189" s="51">
        <v>-39156</v>
      </c>
      <c r="E1189" s="51">
        <v>0</v>
      </c>
      <c r="F1189" s="51">
        <v>0</v>
      </c>
      <c r="G1189" s="51">
        <v>0</v>
      </c>
      <c r="H1189" s="51">
        <v>3715071</v>
      </c>
      <c r="I1189" s="51">
        <v>-3238954</v>
      </c>
      <c r="J1189" s="51">
        <v>476117</v>
      </c>
      <c r="K1189" s="51">
        <v>0</v>
      </c>
      <c r="L1189" s="51">
        <v>0</v>
      </c>
      <c r="M1189" s="51">
        <v>0</v>
      </c>
      <c r="N1189" s="51">
        <v>476117</v>
      </c>
    </row>
    <row r="1190" spans="1:14" ht="15.75" x14ac:dyDescent="0.25">
      <c r="A1190" s="49" t="s">
        <v>532</v>
      </c>
      <c r="B1190" s="50" t="s">
        <v>53</v>
      </c>
      <c r="C1190" s="51">
        <v>3325941</v>
      </c>
      <c r="D1190" s="51">
        <v>-42601</v>
      </c>
      <c r="E1190" s="51">
        <v>0</v>
      </c>
      <c r="F1190" s="51">
        <v>0</v>
      </c>
      <c r="G1190" s="51">
        <v>0</v>
      </c>
      <c r="H1190" s="51">
        <v>3283340</v>
      </c>
      <c r="I1190" s="51">
        <v>-3000113</v>
      </c>
      <c r="J1190" s="51">
        <v>283227</v>
      </c>
      <c r="K1190" s="51">
        <v>0</v>
      </c>
      <c r="L1190" s="51">
        <v>0</v>
      </c>
      <c r="M1190" s="51">
        <v>0</v>
      </c>
      <c r="N1190" s="51">
        <v>283227</v>
      </c>
    </row>
    <row r="1191" spans="1:14" ht="15.75" x14ac:dyDescent="0.25">
      <c r="A1191" s="49" t="s">
        <v>532</v>
      </c>
      <c r="B1191" s="50" t="s">
        <v>54</v>
      </c>
      <c r="C1191" s="51">
        <v>5715100</v>
      </c>
      <c r="D1191" s="51">
        <v>-133423</v>
      </c>
      <c r="E1191" s="51">
        <v>0</v>
      </c>
      <c r="F1191" s="51">
        <v>0</v>
      </c>
      <c r="G1191" s="51">
        <v>0</v>
      </c>
      <c r="H1191" s="51">
        <v>5581677</v>
      </c>
      <c r="I1191" s="51">
        <v>-5355504</v>
      </c>
      <c r="J1191" s="51">
        <v>226173</v>
      </c>
      <c r="K1191" s="51">
        <v>0</v>
      </c>
      <c r="L1191" s="51">
        <v>0</v>
      </c>
      <c r="M1191" s="51">
        <v>0</v>
      </c>
      <c r="N1191" s="51">
        <v>226173</v>
      </c>
    </row>
    <row r="1192" spans="1:14" ht="15.75" x14ac:dyDescent="0.25">
      <c r="A1192" s="49" t="s">
        <v>532</v>
      </c>
      <c r="B1192" s="50" t="s">
        <v>55</v>
      </c>
      <c r="C1192" s="51">
        <v>6313620</v>
      </c>
      <c r="D1192" s="51">
        <v>-134010</v>
      </c>
      <c r="E1192" s="51">
        <v>0</v>
      </c>
      <c r="F1192" s="51">
        <v>0</v>
      </c>
      <c r="G1192" s="51">
        <v>0</v>
      </c>
      <c r="H1192" s="51">
        <v>6179610</v>
      </c>
      <c r="I1192" s="51">
        <v>-6014690</v>
      </c>
      <c r="J1192" s="51">
        <v>164920</v>
      </c>
      <c r="K1192" s="51">
        <v>0</v>
      </c>
      <c r="L1192" s="51">
        <v>0</v>
      </c>
      <c r="M1192" s="51">
        <v>0</v>
      </c>
      <c r="N1192" s="51">
        <v>164920</v>
      </c>
    </row>
    <row r="1193" spans="1:14" ht="15.75" x14ac:dyDescent="0.25">
      <c r="A1193" s="49" t="s">
        <v>532</v>
      </c>
      <c r="B1193" s="50" t="s">
        <v>56</v>
      </c>
      <c r="C1193" s="51">
        <v>7237329</v>
      </c>
      <c r="D1193" s="51">
        <v>-117960</v>
      </c>
      <c r="E1193" s="51">
        <v>0</v>
      </c>
      <c r="F1193" s="51">
        <v>0</v>
      </c>
      <c r="G1193" s="51">
        <v>0</v>
      </c>
      <c r="H1193" s="51">
        <v>7119369</v>
      </c>
      <c r="I1193" s="51">
        <v>-7041267</v>
      </c>
      <c r="J1193" s="51">
        <v>78102</v>
      </c>
      <c r="K1193" s="51">
        <v>0</v>
      </c>
      <c r="L1193" s="51">
        <v>0</v>
      </c>
      <c r="M1193" s="51">
        <v>0</v>
      </c>
      <c r="N1193" s="51">
        <v>78102</v>
      </c>
    </row>
    <row r="1194" spans="1:14" ht="15.75" x14ac:dyDescent="0.25">
      <c r="A1194" s="49" t="s">
        <v>532</v>
      </c>
      <c r="B1194" s="50" t="s">
        <v>57</v>
      </c>
      <c r="C1194" s="51">
        <v>7527887</v>
      </c>
      <c r="D1194" s="51">
        <v>-222893</v>
      </c>
      <c r="E1194" s="51">
        <v>0</v>
      </c>
      <c r="F1194" s="51">
        <v>0</v>
      </c>
      <c r="G1194" s="51">
        <v>0</v>
      </c>
      <c r="H1194" s="51">
        <v>7304994</v>
      </c>
      <c r="I1194" s="51">
        <v>-7255320</v>
      </c>
      <c r="J1194" s="51">
        <v>49674</v>
      </c>
      <c r="K1194" s="51">
        <v>441775</v>
      </c>
      <c r="L1194" s="51">
        <v>-437972</v>
      </c>
      <c r="M1194" s="51">
        <v>3803</v>
      </c>
      <c r="N1194" s="51">
        <v>45871</v>
      </c>
    </row>
    <row r="1195" spans="1:14" ht="15.75" x14ac:dyDescent="0.25">
      <c r="A1195" s="49" t="s">
        <v>532</v>
      </c>
      <c r="B1195" s="50" t="s">
        <v>58</v>
      </c>
      <c r="C1195" s="51">
        <v>705650</v>
      </c>
      <c r="D1195" s="51">
        <v>-70179</v>
      </c>
      <c r="E1195" s="51">
        <v>0</v>
      </c>
      <c r="F1195" s="51">
        <v>0</v>
      </c>
      <c r="G1195" s="51">
        <v>0</v>
      </c>
      <c r="H1195" s="51">
        <v>635471</v>
      </c>
      <c r="I1195" s="51">
        <v>-629646</v>
      </c>
      <c r="J1195" s="51">
        <v>5825</v>
      </c>
      <c r="K1195" s="51">
        <v>0</v>
      </c>
      <c r="L1195" s="51">
        <v>0</v>
      </c>
      <c r="M1195" s="51">
        <v>0</v>
      </c>
      <c r="N1195" s="51">
        <v>5825</v>
      </c>
    </row>
    <row r="1196" spans="1:14" ht="15.75" x14ac:dyDescent="0.25">
      <c r="A1196" s="49" t="s">
        <v>532</v>
      </c>
      <c r="B1196" s="50" t="s">
        <v>59</v>
      </c>
      <c r="C1196" s="51">
        <v>256549</v>
      </c>
      <c r="D1196" s="51">
        <v>-34149</v>
      </c>
      <c r="E1196" s="51">
        <v>0</v>
      </c>
      <c r="F1196" s="51">
        <v>0</v>
      </c>
      <c r="G1196" s="51">
        <v>0</v>
      </c>
      <c r="H1196" s="51">
        <v>222400</v>
      </c>
      <c r="I1196" s="51">
        <v>-219969</v>
      </c>
      <c r="J1196" s="51">
        <v>2431</v>
      </c>
      <c r="K1196" s="51">
        <v>0</v>
      </c>
      <c r="L1196" s="51">
        <v>0</v>
      </c>
      <c r="M1196" s="51">
        <v>0</v>
      </c>
      <c r="N1196" s="51">
        <v>2431</v>
      </c>
    </row>
    <row r="1197" spans="1:14" ht="15.75" x14ac:dyDescent="0.25">
      <c r="A1197" s="49" t="s">
        <v>532</v>
      </c>
      <c r="B1197" s="50" t="s">
        <v>60</v>
      </c>
      <c r="C1197" s="51">
        <v>220887</v>
      </c>
      <c r="D1197" s="51">
        <v>-33645</v>
      </c>
      <c r="E1197" s="51">
        <v>0</v>
      </c>
      <c r="F1197" s="51">
        <v>0</v>
      </c>
      <c r="G1197" s="51">
        <v>0</v>
      </c>
      <c r="H1197" s="51">
        <v>187242</v>
      </c>
      <c r="I1197" s="51">
        <v>-187242</v>
      </c>
      <c r="J1197" s="51">
        <v>0</v>
      </c>
      <c r="K1197" s="51">
        <v>0</v>
      </c>
      <c r="L1197" s="51">
        <v>0</v>
      </c>
      <c r="M1197" s="51">
        <v>0</v>
      </c>
      <c r="N1197" s="51">
        <v>0</v>
      </c>
    </row>
    <row r="1198" spans="1:14" ht="15.75" x14ac:dyDescent="0.25">
      <c r="A1198" s="49" t="s">
        <v>532</v>
      </c>
      <c r="B1198" s="50" t="s">
        <v>61</v>
      </c>
      <c r="C1198" s="51">
        <v>212167</v>
      </c>
      <c r="D1198" s="51">
        <v>-31736</v>
      </c>
      <c r="E1198" s="51">
        <v>0</v>
      </c>
      <c r="F1198" s="51">
        <v>0</v>
      </c>
      <c r="G1198" s="51">
        <v>0</v>
      </c>
      <c r="H1198" s="51">
        <v>180431</v>
      </c>
      <c r="I1198" s="51">
        <v>-180431</v>
      </c>
      <c r="J1198" s="51">
        <v>0</v>
      </c>
      <c r="K1198" s="51">
        <v>0</v>
      </c>
      <c r="L1198" s="51">
        <v>0</v>
      </c>
      <c r="M1198" s="51">
        <v>0</v>
      </c>
      <c r="N1198" s="51">
        <v>0</v>
      </c>
    </row>
    <row r="1199" spans="1:14" ht="15.75" x14ac:dyDescent="0.25">
      <c r="A1199" s="49" t="s">
        <v>532</v>
      </c>
      <c r="B1199" s="50" t="s">
        <v>62</v>
      </c>
      <c r="C1199" s="51">
        <v>225757</v>
      </c>
      <c r="D1199" s="51">
        <v>-57872</v>
      </c>
      <c r="E1199" s="51">
        <v>0</v>
      </c>
      <c r="F1199" s="51">
        <v>0</v>
      </c>
      <c r="G1199" s="51">
        <v>0</v>
      </c>
      <c r="H1199" s="51">
        <v>167885</v>
      </c>
      <c r="I1199" s="51">
        <v>-167885</v>
      </c>
      <c r="J1199" s="51">
        <v>0</v>
      </c>
      <c r="K1199" s="51">
        <v>0</v>
      </c>
      <c r="L1199" s="51">
        <v>0</v>
      </c>
      <c r="M1199" s="51">
        <v>0</v>
      </c>
      <c r="N1199" s="51">
        <v>0</v>
      </c>
    </row>
    <row r="1200" spans="1:14" ht="15.75" x14ac:dyDescent="0.25">
      <c r="A1200" s="49" t="s">
        <v>532</v>
      </c>
      <c r="B1200" s="50" t="s">
        <v>63</v>
      </c>
      <c r="C1200" s="51">
        <v>210347</v>
      </c>
      <c r="D1200" s="51">
        <v>-51330</v>
      </c>
      <c r="E1200" s="51">
        <v>0</v>
      </c>
      <c r="F1200" s="51">
        <v>0</v>
      </c>
      <c r="G1200" s="51">
        <v>0</v>
      </c>
      <c r="H1200" s="51">
        <v>159017</v>
      </c>
      <c r="I1200" s="51">
        <v>-159017</v>
      </c>
      <c r="J1200" s="51">
        <v>0</v>
      </c>
      <c r="K1200" s="51">
        <v>0</v>
      </c>
      <c r="L1200" s="51">
        <v>0</v>
      </c>
      <c r="M1200" s="51">
        <v>0</v>
      </c>
      <c r="N1200" s="51">
        <v>0</v>
      </c>
    </row>
    <row r="1201" spans="1:14" ht="15.75" x14ac:dyDescent="0.25">
      <c r="A1201" s="49" t="s">
        <v>532</v>
      </c>
      <c r="B1201" s="50" t="s">
        <v>64</v>
      </c>
      <c r="C1201" s="51">
        <v>190402</v>
      </c>
      <c r="D1201" s="51">
        <v>-49698</v>
      </c>
      <c r="E1201" s="51">
        <v>0</v>
      </c>
      <c r="F1201" s="51">
        <v>0</v>
      </c>
      <c r="G1201" s="51">
        <v>0</v>
      </c>
      <c r="H1201" s="51">
        <v>140704</v>
      </c>
      <c r="I1201" s="51">
        <v>-140704</v>
      </c>
      <c r="J1201" s="51">
        <v>0</v>
      </c>
      <c r="K1201" s="51">
        <v>0</v>
      </c>
      <c r="L1201" s="51">
        <v>0</v>
      </c>
      <c r="M1201" s="51">
        <v>0</v>
      </c>
      <c r="N1201" s="51">
        <v>0</v>
      </c>
    </row>
    <row r="1202" spans="1:14" ht="15.75" x14ac:dyDescent="0.25">
      <c r="A1202" s="49" t="s">
        <v>532</v>
      </c>
      <c r="B1202" s="50" t="s">
        <v>65</v>
      </c>
      <c r="C1202" s="51">
        <v>95205</v>
      </c>
      <c r="D1202" s="51">
        <v>-51006</v>
      </c>
      <c r="E1202" s="51">
        <v>0</v>
      </c>
      <c r="F1202" s="51">
        <v>0</v>
      </c>
      <c r="G1202" s="51">
        <v>0</v>
      </c>
      <c r="H1202" s="51">
        <v>44199</v>
      </c>
      <c r="I1202" s="51">
        <v>-44199</v>
      </c>
      <c r="J1202" s="51">
        <v>0</v>
      </c>
      <c r="K1202" s="51">
        <v>0</v>
      </c>
      <c r="L1202" s="51">
        <v>0</v>
      </c>
      <c r="M1202" s="51">
        <v>0</v>
      </c>
      <c r="N1202" s="51">
        <v>0</v>
      </c>
    </row>
    <row r="1203" spans="1:14" ht="15.75" x14ac:dyDescent="0.25">
      <c r="A1203" s="52" t="s">
        <v>410</v>
      </c>
      <c r="B1203" s="53" t="s">
        <v>8</v>
      </c>
      <c r="C1203" s="19">
        <f>SUBTOTAL(109,Program218[(C)
Program
Costs])</f>
        <v>56184502</v>
      </c>
      <c r="D1203" s="19">
        <f>SUBTOTAL(109,Program218[(D)
Prior Period Adjustments])</f>
        <v>-2859437</v>
      </c>
      <c r="E1203" s="19">
        <f>SUBTOTAL(109,Program218[(E)
Current Period Desk 
Reviews])</f>
        <v>0</v>
      </c>
      <c r="F1203" s="19">
        <f>SUBTOTAL(109,Program218[(F)
Current Period 
Final 
Audits])</f>
        <v>0</v>
      </c>
      <c r="G1203" s="19">
        <f>SUBTOTAL(109,Program218[(G)
Current Period 
Other Adjustments])</f>
        <v>0</v>
      </c>
      <c r="H1203" s="19">
        <f>SUBTOTAL(109,Program218[(H)
Net Program Costs
Sum (C through G)])</f>
        <v>53325065</v>
      </c>
      <c r="I1203" s="19">
        <f>SUBTOTAL(109,Program218[(I)
Payments
 and Offsets])</f>
        <v>-47625669</v>
      </c>
      <c r="J1203" s="19">
        <f>SUBTOTAL(109,Program218[(J)
Accounts Payable Balance
(H + I)])</f>
        <v>5699396</v>
      </c>
      <c r="K1203" s="19">
        <f>SUBTOTAL(109,Program218[(K)
Established 
Accounts Receivable])</f>
        <v>441775</v>
      </c>
      <c r="L1203" s="19">
        <f>SUBTOTAL(109,Program218[(L)
Recovered
 Accounts Receivable])</f>
        <v>-437972</v>
      </c>
      <c r="M1203" s="19">
        <f>SUBTOTAL(109,Program218[(M)
Accounts Receivable Balance
(K + L)])</f>
        <v>3803</v>
      </c>
      <c r="N1203" s="19">
        <f>SUBTOTAL(109,Program218[(N)
Net Balance
(J minus M)])</f>
        <v>5695593</v>
      </c>
    </row>
    <row r="1204" spans="1:14" ht="15.75" x14ac:dyDescent="0.25">
      <c r="A1204" s="17" t="s">
        <v>13</v>
      </c>
      <c r="B1204" s="54"/>
      <c r="C1204" s="55"/>
      <c r="D1204" s="55"/>
      <c r="E1204" s="55"/>
      <c r="F1204" s="55"/>
      <c r="G1204" s="55"/>
      <c r="H1204" s="55"/>
      <c r="I1204" s="55"/>
      <c r="J1204" s="55"/>
      <c r="K1204" s="55"/>
      <c r="L1204" s="55"/>
      <c r="M1204" s="55"/>
      <c r="N1204" s="55"/>
    </row>
    <row r="1205" spans="1:14" ht="78.75" x14ac:dyDescent="0.25">
      <c r="A1205" s="39" t="s">
        <v>32</v>
      </c>
      <c r="B1205" s="40" t="s">
        <v>33</v>
      </c>
      <c r="C1205" s="41" t="s">
        <v>34</v>
      </c>
      <c r="D1205" s="41" t="s">
        <v>35</v>
      </c>
      <c r="E1205" s="42" t="s">
        <v>36</v>
      </c>
      <c r="F1205" s="42" t="s">
        <v>37</v>
      </c>
      <c r="G1205" s="42" t="s">
        <v>38</v>
      </c>
      <c r="H1205" s="43" t="s">
        <v>39</v>
      </c>
      <c r="I1205" s="44" t="s">
        <v>40</v>
      </c>
      <c r="J1205" s="44" t="s">
        <v>41</v>
      </c>
      <c r="K1205" s="42" t="s">
        <v>42</v>
      </c>
      <c r="L1205" s="44" t="s">
        <v>43</v>
      </c>
      <c r="M1205" s="44" t="s">
        <v>44</v>
      </c>
      <c r="N1205" s="45" t="s">
        <v>45</v>
      </c>
    </row>
    <row r="1206" spans="1:14" ht="15.75" x14ac:dyDescent="0.25">
      <c r="A1206" s="46" t="s">
        <v>531</v>
      </c>
      <c r="B1206" s="47" t="s">
        <v>52</v>
      </c>
      <c r="C1206" s="48">
        <v>19548</v>
      </c>
      <c r="D1206" s="48">
        <v>-19548</v>
      </c>
      <c r="E1206" s="48">
        <v>0</v>
      </c>
      <c r="F1206" s="48">
        <v>0</v>
      </c>
      <c r="G1206" s="48">
        <v>0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>
        <v>0</v>
      </c>
      <c r="N1206" s="48">
        <v>0</v>
      </c>
    </row>
    <row r="1207" spans="1:14" ht="15.75" x14ac:dyDescent="0.25">
      <c r="A1207" s="49" t="s">
        <v>531</v>
      </c>
      <c r="B1207" s="50" t="s">
        <v>53</v>
      </c>
      <c r="C1207" s="51">
        <v>26278</v>
      </c>
      <c r="D1207" s="51">
        <v>-26278</v>
      </c>
      <c r="E1207" s="51">
        <v>0</v>
      </c>
      <c r="F1207" s="51">
        <v>0</v>
      </c>
      <c r="G1207" s="51">
        <v>0</v>
      </c>
      <c r="H1207" s="51">
        <v>0</v>
      </c>
      <c r="I1207" s="51">
        <v>0</v>
      </c>
      <c r="J1207" s="51">
        <v>0</v>
      </c>
      <c r="K1207" s="51">
        <v>0</v>
      </c>
      <c r="L1207" s="51">
        <v>0</v>
      </c>
      <c r="M1207" s="51">
        <v>0</v>
      </c>
      <c r="N1207" s="51">
        <v>0</v>
      </c>
    </row>
    <row r="1208" spans="1:14" ht="15.75" x14ac:dyDescent="0.25">
      <c r="A1208" s="49" t="s">
        <v>531</v>
      </c>
      <c r="B1208" s="50" t="s">
        <v>54</v>
      </c>
      <c r="C1208" s="51">
        <v>129841</v>
      </c>
      <c r="D1208" s="51">
        <v>0</v>
      </c>
      <c r="E1208" s="51">
        <v>0</v>
      </c>
      <c r="F1208" s="51">
        <v>0</v>
      </c>
      <c r="G1208" s="51">
        <v>0</v>
      </c>
      <c r="H1208" s="51">
        <v>129841</v>
      </c>
      <c r="I1208" s="51">
        <v>-129841</v>
      </c>
      <c r="J1208" s="51">
        <v>0</v>
      </c>
      <c r="K1208" s="51">
        <v>0</v>
      </c>
      <c r="L1208" s="51">
        <v>0</v>
      </c>
      <c r="M1208" s="51">
        <v>0</v>
      </c>
      <c r="N1208" s="51">
        <v>0</v>
      </c>
    </row>
    <row r="1209" spans="1:14" ht="15.75" x14ac:dyDescent="0.25">
      <c r="A1209" s="49" t="s">
        <v>531</v>
      </c>
      <c r="B1209" s="50" t="s">
        <v>55</v>
      </c>
      <c r="C1209" s="51">
        <v>1407601</v>
      </c>
      <c r="D1209" s="51">
        <v>-367</v>
      </c>
      <c r="E1209" s="51">
        <v>0</v>
      </c>
      <c r="F1209" s="51">
        <v>0</v>
      </c>
      <c r="G1209" s="51">
        <v>0</v>
      </c>
      <c r="H1209" s="51">
        <v>1407234</v>
      </c>
      <c r="I1209" s="51">
        <v>-1407234</v>
      </c>
      <c r="J1209" s="51">
        <v>0</v>
      </c>
      <c r="K1209" s="51">
        <v>0</v>
      </c>
      <c r="L1209" s="51">
        <v>0</v>
      </c>
      <c r="M1209" s="51">
        <v>0</v>
      </c>
      <c r="N1209" s="51">
        <v>0</v>
      </c>
    </row>
    <row r="1210" spans="1:14" ht="15.75" x14ac:dyDescent="0.25">
      <c r="A1210" s="49" t="s">
        <v>531</v>
      </c>
      <c r="B1210" s="50" t="s">
        <v>56</v>
      </c>
      <c r="C1210" s="51">
        <v>615990</v>
      </c>
      <c r="D1210" s="51">
        <v>-1138</v>
      </c>
      <c r="E1210" s="51">
        <v>0</v>
      </c>
      <c r="F1210" s="51">
        <v>0</v>
      </c>
      <c r="G1210" s="51">
        <v>0</v>
      </c>
      <c r="H1210" s="51">
        <v>614852</v>
      </c>
      <c r="I1210" s="51">
        <v>-614852</v>
      </c>
      <c r="J1210" s="51">
        <v>0</v>
      </c>
      <c r="K1210" s="51">
        <v>0</v>
      </c>
      <c r="L1210" s="51">
        <v>0</v>
      </c>
      <c r="M1210" s="51">
        <v>0</v>
      </c>
      <c r="N1210" s="51">
        <v>0</v>
      </c>
    </row>
    <row r="1211" spans="1:14" ht="15.75" x14ac:dyDescent="0.25">
      <c r="A1211" s="49" t="s">
        <v>531</v>
      </c>
      <c r="B1211" s="50" t="s">
        <v>57</v>
      </c>
      <c r="C1211" s="51">
        <v>806929</v>
      </c>
      <c r="D1211" s="51">
        <v>-44677</v>
      </c>
      <c r="E1211" s="51">
        <v>0</v>
      </c>
      <c r="F1211" s="51">
        <v>0</v>
      </c>
      <c r="G1211" s="51">
        <v>0</v>
      </c>
      <c r="H1211" s="51">
        <v>762252</v>
      </c>
      <c r="I1211" s="51">
        <v>-762252</v>
      </c>
      <c r="J1211" s="51">
        <v>0</v>
      </c>
      <c r="K1211" s="51">
        <v>164347</v>
      </c>
      <c r="L1211" s="51">
        <v>-164347</v>
      </c>
      <c r="M1211" s="51">
        <v>0</v>
      </c>
      <c r="N1211" s="51">
        <v>0</v>
      </c>
    </row>
    <row r="1212" spans="1:14" ht="15.75" x14ac:dyDescent="0.25">
      <c r="A1212" s="49" t="s">
        <v>531</v>
      </c>
      <c r="B1212" s="50" t="s">
        <v>58</v>
      </c>
      <c r="C1212" s="51">
        <v>702553</v>
      </c>
      <c r="D1212" s="51">
        <v>-235055</v>
      </c>
      <c r="E1212" s="51">
        <v>0</v>
      </c>
      <c r="F1212" s="51">
        <v>0</v>
      </c>
      <c r="G1212" s="51">
        <v>0</v>
      </c>
      <c r="H1212" s="51">
        <v>467498</v>
      </c>
      <c r="I1212" s="51">
        <v>-467498</v>
      </c>
      <c r="J1212" s="51">
        <v>0</v>
      </c>
      <c r="K1212" s="51">
        <v>707011</v>
      </c>
      <c r="L1212" s="51">
        <v>-707011</v>
      </c>
      <c r="M1212" s="51">
        <v>0</v>
      </c>
      <c r="N1212" s="51">
        <v>0</v>
      </c>
    </row>
    <row r="1213" spans="1:14" ht="15.75" x14ac:dyDescent="0.25">
      <c r="A1213" s="49" t="s">
        <v>531</v>
      </c>
      <c r="B1213" s="50" t="s">
        <v>59</v>
      </c>
      <c r="C1213" s="51">
        <v>986805</v>
      </c>
      <c r="D1213" s="51">
        <v>-5423</v>
      </c>
      <c r="E1213" s="51">
        <v>0</v>
      </c>
      <c r="F1213" s="51">
        <v>0</v>
      </c>
      <c r="G1213" s="51">
        <v>0</v>
      </c>
      <c r="H1213" s="51">
        <v>981382</v>
      </c>
      <c r="I1213" s="51">
        <v>-981382</v>
      </c>
      <c r="J1213" s="51">
        <v>0</v>
      </c>
      <c r="K1213" s="51">
        <v>34327</v>
      </c>
      <c r="L1213" s="51">
        <v>-34327</v>
      </c>
      <c r="M1213" s="51">
        <v>0</v>
      </c>
      <c r="N1213" s="51">
        <v>0</v>
      </c>
    </row>
    <row r="1214" spans="1:14" ht="15.75" x14ac:dyDescent="0.25">
      <c r="A1214" s="49" t="s">
        <v>531</v>
      </c>
      <c r="B1214" s="50" t="s">
        <v>60</v>
      </c>
      <c r="C1214" s="51">
        <v>1012147</v>
      </c>
      <c r="D1214" s="51">
        <v>-4805</v>
      </c>
      <c r="E1214" s="51">
        <v>0</v>
      </c>
      <c r="F1214" s="51">
        <v>0</v>
      </c>
      <c r="G1214" s="51">
        <v>0</v>
      </c>
      <c r="H1214" s="51">
        <v>1007342</v>
      </c>
      <c r="I1214" s="51">
        <v>-1007342</v>
      </c>
      <c r="J1214" s="51">
        <v>0</v>
      </c>
      <c r="K1214" s="51">
        <v>329242</v>
      </c>
      <c r="L1214" s="51">
        <v>-329242</v>
      </c>
      <c r="M1214" s="51">
        <v>0</v>
      </c>
      <c r="N1214" s="51">
        <v>0</v>
      </c>
    </row>
    <row r="1215" spans="1:14" ht="15.75" x14ac:dyDescent="0.25">
      <c r="A1215" s="49" t="s">
        <v>531</v>
      </c>
      <c r="B1215" s="50" t="s">
        <v>61</v>
      </c>
      <c r="C1215" s="51">
        <v>969721</v>
      </c>
      <c r="D1215" s="51">
        <v>-3756</v>
      </c>
      <c r="E1215" s="51">
        <v>0</v>
      </c>
      <c r="F1215" s="51">
        <v>0</v>
      </c>
      <c r="G1215" s="51">
        <v>0</v>
      </c>
      <c r="H1215" s="51">
        <v>965965</v>
      </c>
      <c r="I1215" s="51">
        <v>-965965</v>
      </c>
      <c r="J1215" s="51">
        <v>0</v>
      </c>
      <c r="K1215" s="51">
        <v>48886</v>
      </c>
      <c r="L1215" s="51">
        <v>-48886</v>
      </c>
      <c r="M1215" s="51">
        <v>0</v>
      </c>
      <c r="N1215" s="51">
        <v>0</v>
      </c>
    </row>
    <row r="1216" spans="1:14" ht="15.75" x14ac:dyDescent="0.25">
      <c r="A1216" s="49" t="s">
        <v>531</v>
      </c>
      <c r="B1216" s="50" t="s">
        <v>62</v>
      </c>
      <c r="C1216" s="51">
        <v>670637</v>
      </c>
      <c r="D1216" s="51">
        <v>-92086</v>
      </c>
      <c r="E1216" s="51">
        <v>0</v>
      </c>
      <c r="F1216" s="51">
        <v>0</v>
      </c>
      <c r="G1216" s="51">
        <v>0</v>
      </c>
      <c r="H1216" s="51">
        <v>578551</v>
      </c>
      <c r="I1216" s="51">
        <v>-578551</v>
      </c>
      <c r="J1216" s="51">
        <v>0</v>
      </c>
      <c r="K1216" s="51">
        <v>15380</v>
      </c>
      <c r="L1216" s="51">
        <v>-15380</v>
      </c>
      <c r="M1216" s="51">
        <v>0</v>
      </c>
      <c r="N1216" s="51">
        <v>0</v>
      </c>
    </row>
    <row r="1217" spans="1:14" ht="15.75" x14ac:dyDescent="0.25">
      <c r="A1217" s="49" t="s">
        <v>531</v>
      </c>
      <c r="B1217" s="50" t="s">
        <v>63</v>
      </c>
      <c r="C1217" s="51">
        <v>528097</v>
      </c>
      <c r="D1217" s="51">
        <v>-71280</v>
      </c>
      <c r="E1217" s="51">
        <v>0</v>
      </c>
      <c r="F1217" s="51">
        <v>0</v>
      </c>
      <c r="G1217" s="51">
        <v>0</v>
      </c>
      <c r="H1217" s="51">
        <v>456817</v>
      </c>
      <c r="I1217" s="51">
        <v>-456817</v>
      </c>
      <c r="J1217" s="51">
        <v>0</v>
      </c>
      <c r="K1217" s="51">
        <v>6144</v>
      </c>
      <c r="L1217" s="51">
        <v>-6144</v>
      </c>
      <c r="M1217" s="51">
        <v>0</v>
      </c>
      <c r="N1217" s="51">
        <v>0</v>
      </c>
    </row>
    <row r="1218" spans="1:14" ht="15.75" x14ac:dyDescent="0.25">
      <c r="A1218" s="49" t="s">
        <v>531</v>
      </c>
      <c r="B1218" s="50" t="s">
        <v>64</v>
      </c>
      <c r="C1218" s="51">
        <v>441743</v>
      </c>
      <c r="D1218" s="51">
        <v>-56811</v>
      </c>
      <c r="E1218" s="51">
        <v>0</v>
      </c>
      <c r="F1218" s="51">
        <v>0</v>
      </c>
      <c r="G1218" s="51">
        <v>0</v>
      </c>
      <c r="H1218" s="51">
        <v>384932</v>
      </c>
      <c r="I1218" s="51">
        <v>-384932</v>
      </c>
      <c r="J1218" s="51">
        <v>0</v>
      </c>
      <c r="K1218" s="51">
        <v>3684</v>
      </c>
      <c r="L1218" s="51">
        <v>-3684</v>
      </c>
      <c r="M1218" s="51">
        <v>0</v>
      </c>
      <c r="N1218" s="51">
        <v>0</v>
      </c>
    </row>
    <row r="1219" spans="1:14" ht="15.75" x14ac:dyDescent="0.25">
      <c r="A1219" s="49" t="s">
        <v>531</v>
      </c>
      <c r="B1219" s="50" t="s">
        <v>65</v>
      </c>
      <c r="C1219" s="51">
        <v>318194</v>
      </c>
      <c r="D1219" s="51">
        <v>-2360</v>
      </c>
      <c r="E1219" s="51">
        <v>0</v>
      </c>
      <c r="F1219" s="51">
        <v>0</v>
      </c>
      <c r="G1219" s="51">
        <v>0</v>
      </c>
      <c r="H1219" s="51">
        <v>315834</v>
      </c>
      <c r="I1219" s="51">
        <v>-315834</v>
      </c>
      <c r="J1219" s="51">
        <v>0</v>
      </c>
      <c r="K1219" s="51">
        <v>1070</v>
      </c>
      <c r="L1219" s="51">
        <v>-1070</v>
      </c>
      <c r="M1219" s="51">
        <v>0</v>
      </c>
      <c r="N1219" s="51">
        <v>0</v>
      </c>
    </row>
    <row r="1220" spans="1:14" ht="15.75" x14ac:dyDescent="0.25">
      <c r="A1220" s="52" t="s">
        <v>409</v>
      </c>
      <c r="B1220" s="53" t="s">
        <v>8</v>
      </c>
      <c r="C1220" s="19">
        <f>SUBTOTAL(109,Program154[(C)
Program
Costs])</f>
        <v>8636084</v>
      </c>
      <c r="D1220" s="19">
        <f>SUBTOTAL(109,Program154[(D)
Prior Period Adjustments])</f>
        <v>-563584</v>
      </c>
      <c r="E1220" s="19">
        <f>SUBTOTAL(109,Program154[(E)
Current Period Desk 
Reviews])</f>
        <v>0</v>
      </c>
      <c r="F1220" s="19">
        <f>SUBTOTAL(109,Program154[(F)
Current Period 
Final 
Audits])</f>
        <v>0</v>
      </c>
      <c r="G1220" s="19">
        <f>SUBTOTAL(109,Program154[(G)
Current Period 
Other Adjustments])</f>
        <v>0</v>
      </c>
      <c r="H1220" s="19">
        <f>SUBTOTAL(109,Program154[(H)
Net Program Costs
Sum (C through G)])</f>
        <v>8072500</v>
      </c>
      <c r="I1220" s="19">
        <f>SUBTOTAL(109,Program154[(I)
Payments
 and Offsets])</f>
        <v>-8072500</v>
      </c>
      <c r="J1220" s="19">
        <f>SUBTOTAL(109,Program154[(J)
Accounts Payable Balance
(H + I)])</f>
        <v>0</v>
      </c>
      <c r="K1220" s="19">
        <f>SUBTOTAL(109,Program154[(K)
Established 
Accounts Receivable])</f>
        <v>1310091</v>
      </c>
      <c r="L1220" s="19">
        <f>SUBTOTAL(109,Program154[(L)
Recovered
 Accounts Receivable])</f>
        <v>-1310091</v>
      </c>
      <c r="M1220" s="19">
        <f>SUBTOTAL(109,Program154[(M)
Accounts Receivable Balance
(K + L)])</f>
        <v>0</v>
      </c>
      <c r="N1220" s="19">
        <f>SUBTOTAL(109,Program154[(N)
Net Balance
(J minus M)])</f>
        <v>0</v>
      </c>
    </row>
    <row r="1221" spans="1:14" ht="15.75" x14ac:dyDescent="0.25">
      <c r="A1221" s="17" t="s">
        <v>13</v>
      </c>
      <c r="B1221" s="54"/>
      <c r="C1221" s="55"/>
      <c r="D1221" s="55"/>
      <c r="E1221" s="55"/>
      <c r="F1221" s="55"/>
      <c r="G1221" s="55"/>
      <c r="H1221" s="55"/>
      <c r="I1221" s="55"/>
      <c r="J1221" s="55"/>
      <c r="K1221" s="55"/>
      <c r="L1221" s="55"/>
      <c r="M1221" s="55"/>
      <c r="N1221" s="55"/>
    </row>
    <row r="1222" spans="1:14" ht="78.75" x14ac:dyDescent="0.25">
      <c r="A1222" s="39" t="s">
        <v>32</v>
      </c>
      <c r="B1222" s="40" t="s">
        <v>33</v>
      </c>
      <c r="C1222" s="41" t="s">
        <v>34</v>
      </c>
      <c r="D1222" s="41" t="s">
        <v>35</v>
      </c>
      <c r="E1222" s="42" t="s">
        <v>36</v>
      </c>
      <c r="F1222" s="42" t="s">
        <v>37</v>
      </c>
      <c r="G1222" s="42" t="s">
        <v>38</v>
      </c>
      <c r="H1222" s="43" t="s">
        <v>39</v>
      </c>
      <c r="I1222" s="44" t="s">
        <v>40</v>
      </c>
      <c r="J1222" s="44" t="s">
        <v>41</v>
      </c>
      <c r="K1222" s="42" t="s">
        <v>42</v>
      </c>
      <c r="L1222" s="44" t="s">
        <v>43</v>
      </c>
      <c r="M1222" s="44" t="s">
        <v>44</v>
      </c>
      <c r="N1222" s="45" t="s">
        <v>45</v>
      </c>
    </row>
    <row r="1223" spans="1:14" ht="15.75" x14ac:dyDescent="0.25">
      <c r="A1223" s="46" t="s">
        <v>530</v>
      </c>
      <c r="B1223" s="47" t="s">
        <v>76</v>
      </c>
      <c r="C1223" s="48">
        <v>2007</v>
      </c>
      <c r="D1223" s="48">
        <v>0</v>
      </c>
      <c r="E1223" s="48">
        <v>0</v>
      </c>
      <c r="F1223" s="48">
        <v>0</v>
      </c>
      <c r="G1223" s="48">
        <v>0</v>
      </c>
      <c r="H1223" s="48">
        <v>2007</v>
      </c>
      <c r="I1223" s="48">
        <v>0</v>
      </c>
      <c r="J1223" s="48">
        <v>2007</v>
      </c>
      <c r="K1223" s="48">
        <v>0</v>
      </c>
      <c r="L1223" s="48">
        <v>0</v>
      </c>
      <c r="M1223" s="48">
        <v>0</v>
      </c>
      <c r="N1223" s="48">
        <v>2007</v>
      </c>
    </row>
    <row r="1224" spans="1:14" ht="15.75" x14ac:dyDescent="0.25">
      <c r="A1224" s="49" t="s">
        <v>530</v>
      </c>
      <c r="B1224" s="50" t="s">
        <v>77</v>
      </c>
      <c r="C1224" s="51">
        <v>3858</v>
      </c>
      <c r="D1224" s="51">
        <v>0</v>
      </c>
      <c r="E1224" s="51">
        <v>0</v>
      </c>
      <c r="F1224" s="51">
        <v>0</v>
      </c>
      <c r="G1224" s="51">
        <v>0</v>
      </c>
      <c r="H1224" s="51">
        <v>3858</v>
      </c>
      <c r="I1224" s="51">
        <v>-1000</v>
      </c>
      <c r="J1224" s="51">
        <v>2858</v>
      </c>
      <c r="K1224" s="51">
        <v>0</v>
      </c>
      <c r="L1224" s="51">
        <v>0</v>
      </c>
      <c r="M1224" s="51">
        <v>0</v>
      </c>
      <c r="N1224" s="51">
        <v>2858</v>
      </c>
    </row>
    <row r="1225" spans="1:14" ht="15.75" x14ac:dyDescent="0.25">
      <c r="A1225" s="49" t="s">
        <v>530</v>
      </c>
      <c r="B1225" s="50" t="s">
        <v>78</v>
      </c>
      <c r="C1225" s="51">
        <v>5051</v>
      </c>
      <c r="D1225" s="51">
        <v>0</v>
      </c>
      <c r="E1225" s="51">
        <v>0</v>
      </c>
      <c r="F1225" s="51">
        <v>0</v>
      </c>
      <c r="G1225" s="51">
        <v>0</v>
      </c>
      <c r="H1225" s="51">
        <v>5051</v>
      </c>
      <c r="I1225" s="51">
        <v>-1000</v>
      </c>
      <c r="J1225" s="51">
        <v>4051</v>
      </c>
      <c r="K1225" s="51">
        <v>0</v>
      </c>
      <c r="L1225" s="51">
        <v>0</v>
      </c>
      <c r="M1225" s="51">
        <v>0</v>
      </c>
      <c r="N1225" s="51">
        <v>4051</v>
      </c>
    </row>
    <row r="1226" spans="1:14" ht="15.75" x14ac:dyDescent="0.25">
      <c r="A1226" s="49" t="s">
        <v>530</v>
      </c>
      <c r="B1226" s="50" t="s">
        <v>47</v>
      </c>
      <c r="C1226" s="51">
        <v>5687</v>
      </c>
      <c r="D1226" s="51">
        <v>0</v>
      </c>
      <c r="E1226" s="51">
        <v>0</v>
      </c>
      <c r="F1226" s="51">
        <v>0</v>
      </c>
      <c r="G1226" s="51">
        <v>0</v>
      </c>
      <c r="H1226" s="51">
        <v>5687</v>
      </c>
      <c r="I1226" s="51">
        <v>-2260</v>
      </c>
      <c r="J1226" s="51">
        <v>3427</v>
      </c>
      <c r="K1226" s="51">
        <v>0</v>
      </c>
      <c r="L1226" s="51">
        <v>0</v>
      </c>
      <c r="M1226" s="51">
        <v>0</v>
      </c>
      <c r="N1226" s="51">
        <v>3427</v>
      </c>
    </row>
    <row r="1227" spans="1:14" ht="15.75" x14ac:dyDescent="0.25">
      <c r="A1227" s="49" t="s">
        <v>530</v>
      </c>
      <c r="B1227" s="50" t="s">
        <v>79</v>
      </c>
      <c r="C1227" s="51">
        <v>2499</v>
      </c>
      <c r="D1227" s="51">
        <v>-1128</v>
      </c>
      <c r="E1227" s="51">
        <v>0</v>
      </c>
      <c r="F1227" s="51">
        <v>0</v>
      </c>
      <c r="G1227" s="51">
        <v>0</v>
      </c>
      <c r="H1227" s="51">
        <v>1371</v>
      </c>
      <c r="I1227" s="51">
        <v>-1000</v>
      </c>
      <c r="J1227" s="51">
        <v>371</v>
      </c>
      <c r="K1227" s="51">
        <v>0</v>
      </c>
      <c r="L1227" s="51">
        <v>0</v>
      </c>
      <c r="M1227" s="51">
        <v>0</v>
      </c>
      <c r="N1227" s="51">
        <v>371</v>
      </c>
    </row>
    <row r="1228" spans="1:14" ht="15.75" x14ac:dyDescent="0.25">
      <c r="A1228" s="49" t="s">
        <v>530</v>
      </c>
      <c r="B1228" s="50" t="s">
        <v>80</v>
      </c>
      <c r="C1228" s="51">
        <v>34239</v>
      </c>
      <c r="D1228" s="51">
        <v>0</v>
      </c>
      <c r="E1228" s="51">
        <v>0</v>
      </c>
      <c r="F1228" s="51">
        <v>0</v>
      </c>
      <c r="G1228" s="51">
        <v>0</v>
      </c>
      <c r="H1228" s="51">
        <v>34239</v>
      </c>
      <c r="I1228" s="51">
        <v>-9495</v>
      </c>
      <c r="J1228" s="51">
        <v>24744</v>
      </c>
      <c r="K1228" s="51">
        <v>0</v>
      </c>
      <c r="L1228" s="51">
        <v>0</v>
      </c>
      <c r="M1228" s="51">
        <v>0</v>
      </c>
      <c r="N1228" s="51">
        <v>24744</v>
      </c>
    </row>
    <row r="1229" spans="1:14" ht="15.75" x14ac:dyDescent="0.25">
      <c r="A1229" s="49" t="s">
        <v>530</v>
      </c>
      <c r="B1229" s="50" t="s">
        <v>81</v>
      </c>
      <c r="C1229" s="51">
        <v>141602</v>
      </c>
      <c r="D1229" s="51">
        <v>-2465</v>
      </c>
      <c r="E1229" s="51">
        <v>0</v>
      </c>
      <c r="F1229" s="51">
        <v>0</v>
      </c>
      <c r="G1229" s="51">
        <v>0</v>
      </c>
      <c r="H1229" s="51">
        <v>139137</v>
      </c>
      <c r="I1229" s="51">
        <v>-54044</v>
      </c>
      <c r="J1229" s="51">
        <v>85093</v>
      </c>
      <c r="K1229" s="51">
        <v>0</v>
      </c>
      <c r="L1229" s="51">
        <v>0</v>
      </c>
      <c r="M1229" s="51">
        <v>0</v>
      </c>
      <c r="N1229" s="51">
        <v>85093</v>
      </c>
    </row>
    <row r="1230" spans="1:14" ht="15.75" x14ac:dyDescent="0.25">
      <c r="A1230" s="49" t="s">
        <v>530</v>
      </c>
      <c r="B1230" s="50" t="s">
        <v>82</v>
      </c>
      <c r="C1230" s="51">
        <v>263075</v>
      </c>
      <c r="D1230" s="51">
        <v>-58744</v>
      </c>
      <c r="E1230" s="51">
        <v>0</v>
      </c>
      <c r="F1230" s="51">
        <v>0</v>
      </c>
      <c r="G1230" s="51">
        <v>0</v>
      </c>
      <c r="H1230" s="51">
        <v>204331</v>
      </c>
      <c r="I1230" s="51">
        <v>-92283</v>
      </c>
      <c r="J1230" s="51">
        <v>112048</v>
      </c>
      <c r="K1230" s="51">
        <v>1000</v>
      </c>
      <c r="L1230" s="51">
        <v>-1000</v>
      </c>
      <c r="M1230" s="51">
        <v>0</v>
      </c>
      <c r="N1230" s="51">
        <v>112048</v>
      </c>
    </row>
    <row r="1231" spans="1:14" ht="15.75" x14ac:dyDescent="0.25">
      <c r="A1231" s="49" t="s">
        <v>530</v>
      </c>
      <c r="B1231" s="50" t="s">
        <v>83</v>
      </c>
      <c r="C1231" s="51">
        <v>143901</v>
      </c>
      <c r="D1231" s="51">
        <v>-66788</v>
      </c>
      <c r="E1231" s="51">
        <v>0</v>
      </c>
      <c r="F1231" s="51">
        <v>0</v>
      </c>
      <c r="G1231" s="51">
        <v>0</v>
      </c>
      <c r="H1231" s="51">
        <v>77113</v>
      </c>
      <c r="I1231" s="51">
        <v>-40229</v>
      </c>
      <c r="J1231" s="51">
        <v>36884</v>
      </c>
      <c r="K1231" s="51">
        <v>0</v>
      </c>
      <c r="L1231" s="51">
        <v>0</v>
      </c>
      <c r="M1231" s="51">
        <v>0</v>
      </c>
      <c r="N1231" s="51">
        <v>36884</v>
      </c>
    </row>
    <row r="1232" spans="1:14" ht="15.75" x14ac:dyDescent="0.25">
      <c r="A1232" s="49" t="s">
        <v>530</v>
      </c>
      <c r="B1232" s="50" t="s">
        <v>48</v>
      </c>
      <c r="C1232" s="51">
        <v>125252</v>
      </c>
      <c r="D1232" s="51">
        <v>-49669</v>
      </c>
      <c r="E1232" s="51">
        <v>0</v>
      </c>
      <c r="F1232" s="51">
        <v>0</v>
      </c>
      <c r="G1232" s="51">
        <v>0</v>
      </c>
      <c r="H1232" s="51">
        <v>75583</v>
      </c>
      <c r="I1232" s="51">
        <v>-67957</v>
      </c>
      <c r="J1232" s="51">
        <v>7626</v>
      </c>
      <c r="K1232" s="51">
        <v>0</v>
      </c>
      <c r="L1232" s="51">
        <v>0</v>
      </c>
      <c r="M1232" s="51">
        <v>0</v>
      </c>
      <c r="N1232" s="51">
        <v>7626</v>
      </c>
    </row>
    <row r="1233" spans="1:14" ht="15.75" x14ac:dyDescent="0.25">
      <c r="A1233" s="49" t="s">
        <v>530</v>
      </c>
      <c r="B1233" s="50" t="s">
        <v>49</v>
      </c>
      <c r="C1233" s="51">
        <v>106651</v>
      </c>
      <c r="D1233" s="51">
        <v>-40204</v>
      </c>
      <c r="E1233" s="51">
        <v>0</v>
      </c>
      <c r="F1233" s="51">
        <v>0</v>
      </c>
      <c r="G1233" s="51">
        <v>0</v>
      </c>
      <c r="H1233" s="51">
        <v>66447</v>
      </c>
      <c r="I1233" s="51">
        <v>-54751</v>
      </c>
      <c r="J1233" s="51">
        <v>11696</v>
      </c>
      <c r="K1233" s="51">
        <v>0</v>
      </c>
      <c r="L1233" s="51">
        <v>0</v>
      </c>
      <c r="M1233" s="51">
        <v>0</v>
      </c>
      <c r="N1233" s="51">
        <v>11696</v>
      </c>
    </row>
    <row r="1234" spans="1:14" ht="15.75" x14ac:dyDescent="0.25">
      <c r="A1234" s="49" t="s">
        <v>530</v>
      </c>
      <c r="B1234" s="50" t="s">
        <v>50</v>
      </c>
      <c r="C1234" s="51">
        <v>108967</v>
      </c>
      <c r="D1234" s="51">
        <v>-49405</v>
      </c>
      <c r="E1234" s="51">
        <v>0</v>
      </c>
      <c r="F1234" s="51">
        <v>0</v>
      </c>
      <c r="G1234" s="51">
        <v>0</v>
      </c>
      <c r="H1234" s="51">
        <v>59562</v>
      </c>
      <c r="I1234" s="51">
        <v>-51005</v>
      </c>
      <c r="J1234" s="51">
        <v>8557</v>
      </c>
      <c r="K1234" s="51">
        <v>0</v>
      </c>
      <c r="L1234" s="51">
        <v>0</v>
      </c>
      <c r="M1234" s="51">
        <v>0</v>
      </c>
      <c r="N1234" s="51">
        <v>8557</v>
      </c>
    </row>
    <row r="1235" spans="1:14" ht="15.75" x14ac:dyDescent="0.25">
      <c r="A1235" s="49" t="s">
        <v>530</v>
      </c>
      <c r="B1235" s="50" t="s">
        <v>51</v>
      </c>
      <c r="C1235" s="51">
        <v>51370</v>
      </c>
      <c r="D1235" s="51">
        <v>0</v>
      </c>
      <c r="E1235" s="51">
        <v>0</v>
      </c>
      <c r="F1235" s="51">
        <v>0</v>
      </c>
      <c r="G1235" s="51">
        <v>0</v>
      </c>
      <c r="H1235" s="51">
        <v>51370</v>
      </c>
      <c r="I1235" s="51">
        <v>-39338</v>
      </c>
      <c r="J1235" s="51">
        <v>12032</v>
      </c>
      <c r="K1235" s="51">
        <v>0</v>
      </c>
      <c r="L1235" s="51">
        <v>0</v>
      </c>
      <c r="M1235" s="51">
        <v>0</v>
      </c>
      <c r="N1235" s="51">
        <v>12032</v>
      </c>
    </row>
    <row r="1236" spans="1:14" ht="15.75" x14ac:dyDescent="0.25">
      <c r="A1236" s="49" t="s">
        <v>530</v>
      </c>
      <c r="B1236" s="50" t="s">
        <v>52</v>
      </c>
      <c r="C1236" s="51">
        <v>30310</v>
      </c>
      <c r="D1236" s="51">
        <v>0</v>
      </c>
      <c r="E1236" s="51">
        <v>0</v>
      </c>
      <c r="F1236" s="51">
        <v>0</v>
      </c>
      <c r="G1236" s="51">
        <v>0</v>
      </c>
      <c r="H1236" s="51">
        <v>30310</v>
      </c>
      <c r="I1236" s="51">
        <v>-30310</v>
      </c>
      <c r="J1236" s="51">
        <v>0</v>
      </c>
      <c r="K1236" s="51">
        <v>0</v>
      </c>
      <c r="L1236" s="51">
        <v>0</v>
      </c>
      <c r="M1236" s="51">
        <v>0</v>
      </c>
      <c r="N1236" s="51">
        <v>0</v>
      </c>
    </row>
    <row r="1237" spans="1:14" ht="15.75" x14ac:dyDescent="0.25">
      <c r="A1237" s="49" t="s">
        <v>530</v>
      </c>
      <c r="B1237" s="50" t="s">
        <v>53</v>
      </c>
      <c r="C1237" s="51">
        <v>13324</v>
      </c>
      <c r="D1237" s="51">
        <v>0</v>
      </c>
      <c r="E1237" s="51">
        <v>0</v>
      </c>
      <c r="F1237" s="51">
        <v>0</v>
      </c>
      <c r="G1237" s="51">
        <v>0</v>
      </c>
      <c r="H1237" s="51">
        <v>13324</v>
      </c>
      <c r="I1237" s="51">
        <v>-13324</v>
      </c>
      <c r="J1237" s="51">
        <v>0</v>
      </c>
      <c r="K1237" s="51">
        <v>0</v>
      </c>
      <c r="L1237" s="51">
        <v>0</v>
      </c>
      <c r="M1237" s="51">
        <v>0</v>
      </c>
      <c r="N1237" s="51">
        <v>0</v>
      </c>
    </row>
    <row r="1238" spans="1:14" ht="15.75" x14ac:dyDescent="0.25">
      <c r="A1238" s="49" t="s">
        <v>530</v>
      </c>
      <c r="B1238" s="50" t="s">
        <v>54</v>
      </c>
      <c r="C1238" s="51">
        <v>31751</v>
      </c>
      <c r="D1238" s="51">
        <v>-21486</v>
      </c>
      <c r="E1238" s="51">
        <v>0</v>
      </c>
      <c r="F1238" s="51">
        <v>0</v>
      </c>
      <c r="G1238" s="51">
        <v>0</v>
      </c>
      <c r="H1238" s="51">
        <v>10265</v>
      </c>
      <c r="I1238" s="51">
        <v>-10265</v>
      </c>
      <c r="J1238" s="51">
        <v>0</v>
      </c>
      <c r="K1238" s="51">
        <v>0</v>
      </c>
      <c r="L1238" s="51">
        <v>0</v>
      </c>
      <c r="M1238" s="51">
        <v>0</v>
      </c>
      <c r="N1238" s="51">
        <v>0</v>
      </c>
    </row>
    <row r="1239" spans="1:14" ht="15.75" x14ac:dyDescent="0.25">
      <c r="A1239" s="49" t="s">
        <v>530</v>
      </c>
      <c r="B1239" s="50" t="s">
        <v>55</v>
      </c>
      <c r="C1239" s="51">
        <v>8372</v>
      </c>
      <c r="D1239" s="51">
        <v>0</v>
      </c>
      <c r="E1239" s="51">
        <v>0</v>
      </c>
      <c r="F1239" s="51">
        <v>0</v>
      </c>
      <c r="G1239" s="51">
        <v>0</v>
      </c>
      <c r="H1239" s="51">
        <v>8372</v>
      </c>
      <c r="I1239" s="51">
        <v>-8372</v>
      </c>
      <c r="J1239" s="51">
        <v>0</v>
      </c>
      <c r="K1239" s="51">
        <v>0</v>
      </c>
      <c r="L1239" s="51">
        <v>0</v>
      </c>
      <c r="M1239" s="51">
        <v>0</v>
      </c>
      <c r="N1239" s="51">
        <v>0</v>
      </c>
    </row>
    <row r="1240" spans="1:14" ht="15.75" x14ac:dyDescent="0.25">
      <c r="A1240" s="49" t="s">
        <v>530</v>
      </c>
      <c r="B1240" s="50" t="s">
        <v>56</v>
      </c>
      <c r="C1240" s="51">
        <v>6277</v>
      </c>
      <c r="D1240" s="51">
        <v>0</v>
      </c>
      <c r="E1240" s="51">
        <v>0</v>
      </c>
      <c r="F1240" s="51">
        <v>0</v>
      </c>
      <c r="G1240" s="51">
        <v>0</v>
      </c>
      <c r="H1240" s="51">
        <v>6277</v>
      </c>
      <c r="I1240" s="51">
        <v>-6277</v>
      </c>
      <c r="J1240" s="51">
        <v>0</v>
      </c>
      <c r="K1240" s="51">
        <v>0</v>
      </c>
      <c r="L1240" s="51">
        <v>0</v>
      </c>
      <c r="M1240" s="51">
        <v>0</v>
      </c>
      <c r="N1240" s="51">
        <v>0</v>
      </c>
    </row>
    <row r="1241" spans="1:14" ht="15.75" x14ac:dyDescent="0.25">
      <c r="A1241" s="52" t="s">
        <v>408</v>
      </c>
      <c r="B1241" s="53" t="s">
        <v>8</v>
      </c>
      <c r="C1241" s="19">
        <f>SUBTOTAL(109,Program350[(C)
Program
Costs])</f>
        <v>1084193</v>
      </c>
      <c r="D1241" s="19">
        <f>SUBTOTAL(109,Program350[(D)
Prior Period Adjustments])</f>
        <v>-289889</v>
      </c>
      <c r="E1241" s="19">
        <f>SUBTOTAL(109,Program350[(E)
Current Period Desk 
Reviews])</f>
        <v>0</v>
      </c>
      <c r="F1241" s="19">
        <f>SUBTOTAL(109,Program350[(F)
Current Period 
Final 
Audits])</f>
        <v>0</v>
      </c>
      <c r="G1241" s="19">
        <f>SUBTOTAL(109,Program350[(G)
Current Period 
Other Adjustments])</f>
        <v>0</v>
      </c>
      <c r="H1241" s="19">
        <f>SUBTOTAL(109,Program350[(H)
Net Program Costs
Sum (C through G)])</f>
        <v>794304</v>
      </c>
      <c r="I1241" s="19">
        <f>SUBTOTAL(109,Program350[(I)
Payments
 and Offsets])</f>
        <v>-482910</v>
      </c>
      <c r="J1241" s="19">
        <f>SUBTOTAL(109,Program350[(J)
Accounts Payable Balance
(H + I)])</f>
        <v>311394</v>
      </c>
      <c r="K1241" s="19">
        <f>SUBTOTAL(109,Program350[(K)
Established 
Accounts Receivable])</f>
        <v>1000</v>
      </c>
      <c r="L1241" s="19">
        <f>SUBTOTAL(109,Program350[(L)
Recovered
 Accounts Receivable])</f>
        <v>-1000</v>
      </c>
      <c r="M1241" s="19">
        <f>SUBTOTAL(109,Program350[(M)
Accounts Receivable Balance
(K + L)])</f>
        <v>0</v>
      </c>
      <c r="N1241" s="19">
        <f>SUBTOTAL(109,Program350[(N)
Net Balance
(J minus M)])</f>
        <v>311394</v>
      </c>
    </row>
    <row r="1242" spans="1:14" ht="15.75" x14ac:dyDescent="0.25">
      <c r="A1242" s="17" t="s">
        <v>13</v>
      </c>
      <c r="B1242" s="54"/>
      <c r="C1242" s="55"/>
      <c r="D1242" s="55"/>
      <c r="E1242" s="55"/>
      <c r="F1242" s="55"/>
      <c r="G1242" s="55"/>
      <c r="H1242" s="55"/>
      <c r="I1242" s="55"/>
      <c r="J1242" s="55"/>
      <c r="K1242" s="55"/>
      <c r="L1242" s="55"/>
      <c r="M1242" s="55"/>
      <c r="N1242" s="55"/>
    </row>
    <row r="1243" spans="1:14" ht="78.75" x14ac:dyDescent="0.25">
      <c r="A1243" s="39" t="s">
        <v>32</v>
      </c>
      <c r="B1243" s="40" t="s">
        <v>33</v>
      </c>
      <c r="C1243" s="41" t="s">
        <v>34</v>
      </c>
      <c r="D1243" s="41" t="s">
        <v>35</v>
      </c>
      <c r="E1243" s="42" t="s">
        <v>36</v>
      </c>
      <c r="F1243" s="42" t="s">
        <v>37</v>
      </c>
      <c r="G1243" s="42" t="s">
        <v>38</v>
      </c>
      <c r="H1243" s="43" t="s">
        <v>39</v>
      </c>
      <c r="I1243" s="44" t="s">
        <v>40</v>
      </c>
      <c r="J1243" s="44" t="s">
        <v>41</v>
      </c>
      <c r="K1243" s="42" t="s">
        <v>42</v>
      </c>
      <c r="L1243" s="44" t="s">
        <v>43</v>
      </c>
      <c r="M1243" s="44" t="s">
        <v>44</v>
      </c>
      <c r="N1243" s="45" t="s">
        <v>45</v>
      </c>
    </row>
    <row r="1244" spans="1:14" ht="15.75" x14ac:dyDescent="0.25">
      <c r="A1244" s="46" t="s">
        <v>529</v>
      </c>
      <c r="B1244" s="47" t="s">
        <v>51</v>
      </c>
      <c r="C1244" s="48">
        <v>16942</v>
      </c>
      <c r="D1244" s="48">
        <v>-16942</v>
      </c>
      <c r="E1244" s="48">
        <v>0</v>
      </c>
      <c r="F1244" s="48">
        <v>0</v>
      </c>
      <c r="G1244" s="48">
        <v>0</v>
      </c>
      <c r="H1244" s="48">
        <v>0</v>
      </c>
      <c r="I1244" s="48">
        <v>0</v>
      </c>
      <c r="J1244" s="48">
        <v>0</v>
      </c>
      <c r="K1244" s="48">
        <v>0</v>
      </c>
      <c r="L1244" s="48">
        <v>0</v>
      </c>
      <c r="M1244" s="48">
        <v>0</v>
      </c>
      <c r="N1244" s="48">
        <v>0</v>
      </c>
    </row>
    <row r="1245" spans="1:14" ht="15.75" x14ac:dyDescent="0.25">
      <c r="A1245" s="49" t="s">
        <v>529</v>
      </c>
      <c r="B1245" s="50" t="s">
        <v>52</v>
      </c>
      <c r="C1245" s="51">
        <v>15050</v>
      </c>
      <c r="D1245" s="51">
        <v>-15050</v>
      </c>
      <c r="E1245" s="51">
        <v>0</v>
      </c>
      <c r="F1245" s="51">
        <v>0</v>
      </c>
      <c r="G1245" s="51">
        <v>0</v>
      </c>
      <c r="H1245" s="51">
        <v>0</v>
      </c>
      <c r="I1245" s="51">
        <v>0</v>
      </c>
      <c r="J1245" s="51">
        <v>0</v>
      </c>
      <c r="K1245" s="51">
        <v>0</v>
      </c>
      <c r="L1245" s="51">
        <v>0</v>
      </c>
      <c r="M1245" s="51">
        <v>0</v>
      </c>
      <c r="N1245" s="51">
        <v>0</v>
      </c>
    </row>
    <row r="1246" spans="1:14" ht="15.75" x14ac:dyDescent="0.25">
      <c r="A1246" s="49" t="s">
        <v>529</v>
      </c>
      <c r="B1246" s="50" t="s">
        <v>57</v>
      </c>
      <c r="C1246" s="51">
        <v>4600</v>
      </c>
      <c r="D1246" s="51">
        <v>0</v>
      </c>
      <c r="E1246" s="51">
        <v>0</v>
      </c>
      <c r="F1246" s="51">
        <v>0</v>
      </c>
      <c r="G1246" s="51">
        <v>0</v>
      </c>
      <c r="H1246" s="51">
        <v>4600</v>
      </c>
      <c r="I1246" s="51">
        <v>-4600</v>
      </c>
      <c r="J1246" s="51">
        <v>0</v>
      </c>
      <c r="K1246" s="51">
        <v>0</v>
      </c>
      <c r="L1246" s="51">
        <v>0</v>
      </c>
      <c r="M1246" s="51">
        <v>0</v>
      </c>
      <c r="N1246" s="51">
        <v>0</v>
      </c>
    </row>
    <row r="1247" spans="1:14" ht="15.75" x14ac:dyDescent="0.25">
      <c r="A1247" s="49" t="s">
        <v>529</v>
      </c>
      <c r="B1247" s="50" t="s">
        <v>58</v>
      </c>
      <c r="C1247" s="51">
        <v>9966</v>
      </c>
      <c r="D1247" s="51">
        <v>0</v>
      </c>
      <c r="E1247" s="51">
        <v>0</v>
      </c>
      <c r="F1247" s="51">
        <v>0</v>
      </c>
      <c r="G1247" s="51">
        <v>0</v>
      </c>
      <c r="H1247" s="51">
        <v>9966</v>
      </c>
      <c r="I1247" s="51">
        <v>-9966</v>
      </c>
      <c r="J1247" s="51">
        <v>0</v>
      </c>
      <c r="K1247" s="51">
        <v>0</v>
      </c>
      <c r="L1247" s="51">
        <v>0</v>
      </c>
      <c r="M1247" s="51">
        <v>0</v>
      </c>
      <c r="N1247" s="51">
        <v>0</v>
      </c>
    </row>
    <row r="1248" spans="1:14" ht="15.75" x14ac:dyDescent="0.25">
      <c r="A1248" s="49" t="s">
        <v>529</v>
      </c>
      <c r="B1248" s="50" t="s">
        <v>59</v>
      </c>
      <c r="C1248" s="51">
        <v>26382</v>
      </c>
      <c r="D1248" s="51">
        <v>-1000</v>
      </c>
      <c r="E1248" s="51">
        <v>0</v>
      </c>
      <c r="F1248" s="51">
        <v>0</v>
      </c>
      <c r="G1248" s="51">
        <v>0</v>
      </c>
      <c r="H1248" s="51">
        <v>25382</v>
      </c>
      <c r="I1248" s="51">
        <v>-25382</v>
      </c>
      <c r="J1248" s="51">
        <v>0</v>
      </c>
      <c r="K1248" s="51">
        <v>0</v>
      </c>
      <c r="L1248" s="51">
        <v>0</v>
      </c>
      <c r="M1248" s="51">
        <v>0</v>
      </c>
      <c r="N1248" s="51">
        <v>0</v>
      </c>
    </row>
    <row r="1249" spans="1:14" ht="15.75" x14ac:dyDescent="0.25">
      <c r="A1249" s="49" t="s">
        <v>529</v>
      </c>
      <c r="B1249" s="50" t="s">
        <v>60</v>
      </c>
      <c r="C1249" s="51">
        <v>7434</v>
      </c>
      <c r="D1249" s="51">
        <v>0</v>
      </c>
      <c r="E1249" s="51">
        <v>0</v>
      </c>
      <c r="F1249" s="51">
        <v>0</v>
      </c>
      <c r="G1249" s="51">
        <v>0</v>
      </c>
      <c r="H1249" s="51">
        <v>7434</v>
      </c>
      <c r="I1249" s="51">
        <v>-7434</v>
      </c>
      <c r="J1249" s="51">
        <v>0</v>
      </c>
      <c r="K1249" s="51">
        <v>0</v>
      </c>
      <c r="L1249" s="51">
        <v>0</v>
      </c>
      <c r="M1249" s="51">
        <v>0</v>
      </c>
      <c r="N1249" s="51">
        <v>0</v>
      </c>
    </row>
    <row r="1250" spans="1:14" ht="15.75" x14ac:dyDescent="0.25">
      <c r="A1250" s="49" t="s">
        <v>529</v>
      </c>
      <c r="B1250" s="50" t="s">
        <v>61</v>
      </c>
      <c r="C1250" s="51">
        <v>7045</v>
      </c>
      <c r="D1250" s="51">
        <v>0</v>
      </c>
      <c r="E1250" s="51">
        <v>0</v>
      </c>
      <c r="F1250" s="51">
        <v>0</v>
      </c>
      <c r="G1250" s="51">
        <v>0</v>
      </c>
      <c r="H1250" s="51">
        <v>7045</v>
      </c>
      <c r="I1250" s="51">
        <v>-7045</v>
      </c>
      <c r="J1250" s="51">
        <v>0</v>
      </c>
      <c r="K1250" s="51">
        <v>0</v>
      </c>
      <c r="L1250" s="51">
        <v>0</v>
      </c>
      <c r="M1250" s="51">
        <v>0</v>
      </c>
      <c r="N1250" s="51">
        <v>0</v>
      </c>
    </row>
    <row r="1251" spans="1:14" ht="15.75" x14ac:dyDescent="0.25">
      <c r="A1251" s="49" t="s">
        <v>529</v>
      </c>
      <c r="B1251" s="50" t="s">
        <v>62</v>
      </c>
      <c r="C1251" s="51">
        <v>7491</v>
      </c>
      <c r="D1251" s="51">
        <v>0</v>
      </c>
      <c r="E1251" s="51">
        <v>0</v>
      </c>
      <c r="F1251" s="51">
        <v>0</v>
      </c>
      <c r="G1251" s="51">
        <v>0</v>
      </c>
      <c r="H1251" s="51">
        <v>7491</v>
      </c>
      <c r="I1251" s="51">
        <v>-7491</v>
      </c>
      <c r="J1251" s="51">
        <v>0</v>
      </c>
      <c r="K1251" s="51">
        <v>0</v>
      </c>
      <c r="L1251" s="51">
        <v>0</v>
      </c>
      <c r="M1251" s="51">
        <v>0</v>
      </c>
      <c r="N1251" s="51">
        <v>0</v>
      </c>
    </row>
    <row r="1252" spans="1:14" ht="15.75" x14ac:dyDescent="0.25">
      <c r="A1252" s="49" t="s">
        <v>529</v>
      </c>
      <c r="B1252" s="50" t="s">
        <v>63</v>
      </c>
      <c r="C1252" s="51">
        <v>2601</v>
      </c>
      <c r="D1252" s="51">
        <v>0</v>
      </c>
      <c r="E1252" s="51">
        <v>0</v>
      </c>
      <c r="F1252" s="51">
        <v>0</v>
      </c>
      <c r="G1252" s="51">
        <v>0</v>
      </c>
      <c r="H1252" s="51">
        <v>2601</v>
      </c>
      <c r="I1252" s="51">
        <v>-2601</v>
      </c>
      <c r="J1252" s="51">
        <v>0</v>
      </c>
      <c r="K1252" s="51">
        <v>0</v>
      </c>
      <c r="L1252" s="51">
        <v>0</v>
      </c>
      <c r="M1252" s="51">
        <v>0</v>
      </c>
      <c r="N1252" s="51">
        <v>0</v>
      </c>
    </row>
    <row r="1253" spans="1:14" ht="15.75" x14ac:dyDescent="0.25">
      <c r="A1253" s="49" t="s">
        <v>529</v>
      </c>
      <c r="B1253" s="50" t="s">
        <v>64</v>
      </c>
      <c r="C1253" s="51">
        <v>13120</v>
      </c>
      <c r="D1253" s="51">
        <v>-521</v>
      </c>
      <c r="E1253" s="51">
        <v>0</v>
      </c>
      <c r="F1253" s="51">
        <v>0</v>
      </c>
      <c r="G1253" s="51">
        <v>0</v>
      </c>
      <c r="H1253" s="51">
        <v>12599</v>
      </c>
      <c r="I1253" s="51">
        <v>-12599</v>
      </c>
      <c r="J1253" s="51">
        <v>0</v>
      </c>
      <c r="K1253" s="51">
        <v>0</v>
      </c>
      <c r="L1253" s="51">
        <v>0</v>
      </c>
      <c r="M1253" s="51">
        <v>0</v>
      </c>
      <c r="N1253" s="51">
        <v>0</v>
      </c>
    </row>
    <row r="1254" spans="1:14" ht="15.75" x14ac:dyDescent="0.25">
      <c r="A1254" s="97" t="s">
        <v>407</v>
      </c>
      <c r="B1254" s="98" t="s">
        <v>8</v>
      </c>
      <c r="C1254" s="99">
        <f>SUBTOTAL(109,Program186[(C)
Program
Costs])</f>
        <v>110631</v>
      </c>
      <c r="D1254" s="99">
        <f>SUBTOTAL(109,Program186[(D)
Prior Period Adjustments])</f>
        <v>-33513</v>
      </c>
      <c r="E1254" s="99">
        <f>SUBTOTAL(109,Program186[(E)
Current Period Desk 
Reviews])</f>
        <v>0</v>
      </c>
      <c r="F1254" s="99">
        <f>SUBTOTAL(109,Program186[(F)
Current Period 
Final 
Audits])</f>
        <v>0</v>
      </c>
      <c r="G1254" s="99">
        <f>SUBTOTAL(109,Program186[(G)
Current Period 
Other Adjustments])</f>
        <v>0</v>
      </c>
      <c r="H1254" s="99">
        <f>SUBTOTAL(109,Program186[(H)
Net Program Costs
Sum (C through G)])</f>
        <v>77118</v>
      </c>
      <c r="I1254" s="99">
        <f>SUBTOTAL(109,Program186[(I)
Payments
 and Offsets])</f>
        <v>-77118</v>
      </c>
      <c r="J1254" s="99">
        <f>SUBTOTAL(109,Program186[(J)
Accounts Payable Balance
(H + I)])</f>
        <v>0</v>
      </c>
      <c r="K1254" s="99">
        <f>SUBTOTAL(109,Program186[(K)
Established 
Accounts Receivable])</f>
        <v>0</v>
      </c>
      <c r="L1254" s="99">
        <f>SUBTOTAL(109,Program186[(L)
Recovered
 Accounts Receivable])</f>
        <v>0</v>
      </c>
      <c r="M1254" s="99">
        <f>SUBTOTAL(109,Program186[(M)
Accounts Receivable Balance
(K + L)])</f>
        <v>0</v>
      </c>
      <c r="N1254" s="99">
        <f>SUBTOTAL(109,Program186[(N)
Net Balance
(J minus M)])</f>
        <v>0</v>
      </c>
    </row>
    <row r="1255" spans="1:14" ht="15.75" x14ac:dyDescent="0.25">
      <c r="A1255" s="17" t="s">
        <v>13</v>
      </c>
      <c r="B1255" s="54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78.75" x14ac:dyDescent="0.25">
      <c r="A1256" s="39" t="s">
        <v>32</v>
      </c>
      <c r="B1256" s="40" t="s">
        <v>33</v>
      </c>
      <c r="C1256" s="41" t="s">
        <v>34</v>
      </c>
      <c r="D1256" s="41" t="s">
        <v>35</v>
      </c>
      <c r="E1256" s="42" t="s">
        <v>36</v>
      </c>
      <c r="F1256" s="42" t="s">
        <v>37</v>
      </c>
      <c r="G1256" s="42" t="s">
        <v>38</v>
      </c>
      <c r="H1256" s="43" t="s">
        <v>39</v>
      </c>
      <c r="I1256" s="44" t="s">
        <v>40</v>
      </c>
      <c r="J1256" s="44" t="s">
        <v>41</v>
      </c>
      <c r="K1256" s="42" t="s">
        <v>42</v>
      </c>
      <c r="L1256" s="44" t="s">
        <v>43</v>
      </c>
      <c r="M1256" s="44" t="s">
        <v>44</v>
      </c>
      <c r="N1256" s="45" t="s">
        <v>45</v>
      </c>
    </row>
    <row r="1257" spans="1:14" ht="15.75" x14ac:dyDescent="0.25">
      <c r="A1257" s="46" t="s">
        <v>528</v>
      </c>
      <c r="B1257" s="47" t="s">
        <v>57</v>
      </c>
      <c r="C1257" s="48">
        <v>3180</v>
      </c>
      <c r="D1257" s="48">
        <v>0</v>
      </c>
      <c r="E1257" s="48">
        <v>0</v>
      </c>
      <c r="F1257" s="48">
        <v>0</v>
      </c>
      <c r="G1257" s="48">
        <v>0</v>
      </c>
      <c r="H1257" s="48">
        <v>3180</v>
      </c>
      <c r="I1257" s="48">
        <v>-3180</v>
      </c>
      <c r="J1257" s="48">
        <v>0</v>
      </c>
      <c r="K1257" s="48">
        <v>0</v>
      </c>
      <c r="L1257" s="48">
        <v>0</v>
      </c>
      <c r="M1257" s="48">
        <v>0</v>
      </c>
      <c r="N1257" s="48">
        <v>0</v>
      </c>
    </row>
    <row r="1258" spans="1:14" ht="15.75" x14ac:dyDescent="0.25">
      <c r="A1258" s="49" t="s">
        <v>528</v>
      </c>
      <c r="B1258" s="50" t="s">
        <v>58</v>
      </c>
      <c r="C1258" s="51">
        <v>29446</v>
      </c>
      <c r="D1258" s="51">
        <v>0</v>
      </c>
      <c r="E1258" s="51">
        <v>0</v>
      </c>
      <c r="F1258" s="51">
        <v>0</v>
      </c>
      <c r="G1258" s="51">
        <v>0</v>
      </c>
      <c r="H1258" s="51">
        <v>29446</v>
      </c>
      <c r="I1258" s="51">
        <v>-29446</v>
      </c>
      <c r="J1258" s="51">
        <v>0</v>
      </c>
      <c r="K1258" s="51">
        <v>0</v>
      </c>
      <c r="L1258" s="51">
        <v>0</v>
      </c>
      <c r="M1258" s="51">
        <v>0</v>
      </c>
      <c r="N1258" s="51">
        <v>0</v>
      </c>
    </row>
    <row r="1259" spans="1:14" ht="15.75" x14ac:dyDescent="0.25">
      <c r="A1259" s="49" t="s">
        <v>528</v>
      </c>
      <c r="B1259" s="50" t="s">
        <v>59</v>
      </c>
      <c r="C1259" s="51">
        <v>28856</v>
      </c>
      <c r="D1259" s="51">
        <v>0</v>
      </c>
      <c r="E1259" s="51">
        <v>0</v>
      </c>
      <c r="F1259" s="51">
        <v>0</v>
      </c>
      <c r="G1259" s="51">
        <v>0</v>
      </c>
      <c r="H1259" s="51">
        <v>28856</v>
      </c>
      <c r="I1259" s="51">
        <v>-28856</v>
      </c>
      <c r="J1259" s="51">
        <v>0</v>
      </c>
      <c r="K1259" s="51">
        <v>0</v>
      </c>
      <c r="L1259" s="51">
        <v>0</v>
      </c>
      <c r="M1259" s="51">
        <v>0</v>
      </c>
      <c r="N1259" s="51">
        <v>0</v>
      </c>
    </row>
    <row r="1260" spans="1:14" ht="15.75" x14ac:dyDescent="0.25">
      <c r="A1260" s="49" t="s">
        <v>528</v>
      </c>
      <c r="B1260" s="50" t="s">
        <v>60</v>
      </c>
      <c r="C1260" s="51">
        <v>31392</v>
      </c>
      <c r="D1260" s="51">
        <v>0</v>
      </c>
      <c r="E1260" s="51">
        <v>0</v>
      </c>
      <c r="F1260" s="51">
        <v>0</v>
      </c>
      <c r="G1260" s="51">
        <v>0</v>
      </c>
      <c r="H1260" s="51">
        <v>31392</v>
      </c>
      <c r="I1260" s="51">
        <v>-31392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</row>
    <row r="1261" spans="1:14" ht="15.75" x14ac:dyDescent="0.25">
      <c r="A1261" s="49" t="s">
        <v>528</v>
      </c>
      <c r="B1261" s="50" t="s">
        <v>61</v>
      </c>
      <c r="C1261" s="51">
        <v>28461</v>
      </c>
      <c r="D1261" s="51">
        <v>0</v>
      </c>
      <c r="E1261" s="51">
        <v>0</v>
      </c>
      <c r="F1261" s="51">
        <v>0</v>
      </c>
      <c r="G1261" s="51">
        <v>0</v>
      </c>
      <c r="H1261" s="51">
        <v>28461</v>
      </c>
      <c r="I1261" s="51">
        <v>-28461</v>
      </c>
      <c r="J1261" s="51">
        <v>0</v>
      </c>
      <c r="K1261" s="51">
        <v>0</v>
      </c>
      <c r="L1261" s="51">
        <v>0</v>
      </c>
      <c r="M1261" s="51">
        <v>0</v>
      </c>
      <c r="N1261" s="51">
        <v>0</v>
      </c>
    </row>
    <row r="1262" spans="1:14" ht="15.75" x14ac:dyDescent="0.25">
      <c r="A1262" s="52" t="s">
        <v>406</v>
      </c>
      <c r="B1262" s="53" t="s">
        <v>8</v>
      </c>
      <c r="C1262" s="19">
        <f>SUBTOTAL(109,Program214[(C)
Program
Costs])</f>
        <v>121335</v>
      </c>
      <c r="D1262" s="19">
        <f>SUBTOTAL(109,Program214[(D)
Prior Period Adjustments])</f>
        <v>0</v>
      </c>
      <c r="E1262" s="19">
        <f>SUBTOTAL(109,Program214[(E)
Current Period Desk 
Reviews])</f>
        <v>0</v>
      </c>
      <c r="F1262" s="19">
        <f>SUBTOTAL(109,Program214[(F)
Current Period 
Final 
Audits])</f>
        <v>0</v>
      </c>
      <c r="G1262" s="19">
        <f>SUBTOTAL(109,Program214[(G)
Current Period 
Other Adjustments])</f>
        <v>0</v>
      </c>
      <c r="H1262" s="19">
        <f>SUBTOTAL(109,Program214[(H)
Net Program Costs
Sum (C through G)])</f>
        <v>121335</v>
      </c>
      <c r="I1262" s="19">
        <f>SUBTOTAL(109,Program214[(I)
Payments
 and Offsets])</f>
        <v>-121335</v>
      </c>
      <c r="J1262" s="19">
        <f>SUBTOTAL(109,Program214[(J)
Accounts Payable Balance
(H + I)])</f>
        <v>0</v>
      </c>
      <c r="K1262" s="19">
        <f>SUBTOTAL(109,Program214[(K)
Established 
Accounts Receivable])</f>
        <v>0</v>
      </c>
      <c r="L1262" s="19">
        <f>SUBTOTAL(109,Program214[(L)
Recovered
 Accounts Receivable])</f>
        <v>0</v>
      </c>
      <c r="M1262" s="19">
        <f>SUBTOTAL(109,Program214[(M)
Accounts Receivable Balance
(K + L)])</f>
        <v>0</v>
      </c>
      <c r="N1262" s="19">
        <f>SUBTOTAL(109,Program214[(N)
Net Balance
(J minus M)])</f>
        <v>0</v>
      </c>
    </row>
    <row r="1263" spans="1:14" ht="15.75" x14ac:dyDescent="0.25">
      <c r="A1263" s="17" t="s">
        <v>13</v>
      </c>
      <c r="B1263" s="54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78.75" x14ac:dyDescent="0.25">
      <c r="A1264" s="39" t="s">
        <v>32</v>
      </c>
      <c r="B1264" s="40" t="s">
        <v>33</v>
      </c>
      <c r="C1264" s="41" t="s">
        <v>34</v>
      </c>
      <c r="D1264" s="41" t="s">
        <v>35</v>
      </c>
      <c r="E1264" s="42" t="s">
        <v>36</v>
      </c>
      <c r="F1264" s="42" t="s">
        <v>37</v>
      </c>
      <c r="G1264" s="42" t="s">
        <v>38</v>
      </c>
      <c r="H1264" s="43" t="s">
        <v>39</v>
      </c>
      <c r="I1264" s="44" t="s">
        <v>40</v>
      </c>
      <c r="J1264" s="44" t="s">
        <v>41</v>
      </c>
      <c r="K1264" s="42" t="s">
        <v>42</v>
      </c>
      <c r="L1264" s="44" t="s">
        <v>43</v>
      </c>
      <c r="M1264" s="44" t="s">
        <v>44</v>
      </c>
      <c r="N1264" s="45" t="s">
        <v>45</v>
      </c>
    </row>
    <row r="1265" spans="1:14" ht="15.75" x14ac:dyDescent="0.25">
      <c r="A1265" s="46" t="s">
        <v>527</v>
      </c>
      <c r="B1265" s="47" t="s">
        <v>48</v>
      </c>
      <c r="C1265" s="48">
        <v>9273</v>
      </c>
      <c r="D1265" s="48">
        <v>-273</v>
      </c>
      <c r="E1265" s="48">
        <v>0</v>
      </c>
      <c r="F1265" s="48">
        <v>0</v>
      </c>
      <c r="G1265" s="48">
        <v>0</v>
      </c>
      <c r="H1265" s="48">
        <v>9000</v>
      </c>
      <c r="I1265" s="48">
        <v>-4735</v>
      </c>
      <c r="J1265" s="48">
        <v>4265</v>
      </c>
      <c r="K1265" s="48">
        <v>0</v>
      </c>
      <c r="L1265" s="48">
        <v>0</v>
      </c>
      <c r="M1265" s="48">
        <v>0</v>
      </c>
      <c r="N1265" s="48">
        <v>4265</v>
      </c>
    </row>
    <row r="1266" spans="1:14" ht="15.75" x14ac:dyDescent="0.25">
      <c r="A1266" s="49" t="s">
        <v>527</v>
      </c>
      <c r="B1266" s="50" t="s">
        <v>49</v>
      </c>
      <c r="C1266" s="51">
        <v>10552</v>
      </c>
      <c r="D1266" s="51">
        <v>0</v>
      </c>
      <c r="E1266" s="51">
        <v>0</v>
      </c>
      <c r="F1266" s="51">
        <v>0</v>
      </c>
      <c r="G1266" s="51">
        <v>0</v>
      </c>
      <c r="H1266" s="51">
        <v>10552</v>
      </c>
      <c r="I1266" s="51">
        <v>-10552</v>
      </c>
      <c r="J1266" s="51">
        <v>0</v>
      </c>
      <c r="K1266" s="51">
        <v>0</v>
      </c>
      <c r="L1266" s="51">
        <v>0</v>
      </c>
      <c r="M1266" s="51">
        <v>0</v>
      </c>
      <c r="N1266" s="51">
        <v>0</v>
      </c>
    </row>
    <row r="1267" spans="1:14" ht="15.75" x14ac:dyDescent="0.25">
      <c r="A1267" s="49" t="s">
        <v>527</v>
      </c>
      <c r="B1267" s="50" t="s">
        <v>50</v>
      </c>
      <c r="C1267" s="51">
        <v>4262</v>
      </c>
      <c r="D1267" s="51">
        <v>0</v>
      </c>
      <c r="E1267" s="51">
        <v>0</v>
      </c>
      <c r="F1267" s="51">
        <v>0</v>
      </c>
      <c r="G1267" s="51">
        <v>0</v>
      </c>
      <c r="H1267" s="51">
        <v>4262</v>
      </c>
      <c r="I1267" s="51">
        <v>-4262</v>
      </c>
      <c r="J1267" s="51">
        <v>0</v>
      </c>
      <c r="K1267" s="51">
        <v>0</v>
      </c>
      <c r="L1267" s="51">
        <v>0</v>
      </c>
      <c r="M1267" s="51">
        <v>0</v>
      </c>
      <c r="N1267" s="51">
        <v>0</v>
      </c>
    </row>
    <row r="1268" spans="1:14" ht="15.75" x14ac:dyDescent="0.25">
      <c r="A1268" s="49" t="s">
        <v>527</v>
      </c>
      <c r="B1268" s="50" t="s">
        <v>51</v>
      </c>
      <c r="C1268" s="51">
        <v>9014</v>
      </c>
      <c r="D1268" s="51">
        <v>0</v>
      </c>
      <c r="E1268" s="51">
        <v>0</v>
      </c>
      <c r="F1268" s="51">
        <v>0</v>
      </c>
      <c r="G1268" s="51">
        <v>0</v>
      </c>
      <c r="H1268" s="51">
        <v>9014</v>
      </c>
      <c r="I1268" s="51">
        <v>-9014</v>
      </c>
      <c r="J1268" s="51">
        <v>0</v>
      </c>
      <c r="K1268" s="51">
        <v>0</v>
      </c>
      <c r="L1268" s="51">
        <v>0</v>
      </c>
      <c r="M1268" s="51">
        <v>0</v>
      </c>
      <c r="N1268" s="51">
        <v>0</v>
      </c>
    </row>
    <row r="1269" spans="1:14" ht="15.75" x14ac:dyDescent="0.25">
      <c r="A1269" s="49" t="s">
        <v>527</v>
      </c>
      <c r="B1269" s="50" t="s">
        <v>52</v>
      </c>
      <c r="C1269" s="51">
        <v>6689</v>
      </c>
      <c r="D1269" s="51">
        <v>0</v>
      </c>
      <c r="E1269" s="51">
        <v>0</v>
      </c>
      <c r="F1269" s="51">
        <v>0</v>
      </c>
      <c r="G1269" s="51">
        <v>0</v>
      </c>
      <c r="H1269" s="51">
        <v>6689</v>
      </c>
      <c r="I1269" s="51">
        <v>-6689</v>
      </c>
      <c r="J1269" s="51">
        <v>0</v>
      </c>
      <c r="K1269" s="51">
        <v>0</v>
      </c>
      <c r="L1269" s="51">
        <v>0</v>
      </c>
      <c r="M1269" s="51">
        <v>0</v>
      </c>
      <c r="N1269" s="51">
        <v>0</v>
      </c>
    </row>
    <row r="1270" spans="1:14" ht="15.75" x14ac:dyDescent="0.25">
      <c r="A1270" s="49" t="s">
        <v>527</v>
      </c>
      <c r="B1270" s="50" t="s">
        <v>53</v>
      </c>
      <c r="C1270" s="51">
        <v>1938</v>
      </c>
      <c r="D1270" s="51">
        <v>0</v>
      </c>
      <c r="E1270" s="51">
        <v>0</v>
      </c>
      <c r="F1270" s="51">
        <v>0</v>
      </c>
      <c r="G1270" s="51">
        <v>0</v>
      </c>
      <c r="H1270" s="51">
        <v>1938</v>
      </c>
      <c r="I1270" s="51">
        <v>-1938</v>
      </c>
      <c r="J1270" s="51">
        <v>0</v>
      </c>
      <c r="K1270" s="51">
        <v>0</v>
      </c>
      <c r="L1270" s="51">
        <v>0</v>
      </c>
      <c r="M1270" s="51">
        <v>0</v>
      </c>
      <c r="N1270" s="51">
        <v>0</v>
      </c>
    </row>
    <row r="1271" spans="1:14" ht="15.75" x14ac:dyDescent="0.25">
      <c r="A1271" s="49" t="s">
        <v>527</v>
      </c>
      <c r="B1271" s="50" t="s">
        <v>54</v>
      </c>
      <c r="C1271" s="51">
        <v>3125</v>
      </c>
      <c r="D1271" s="51">
        <v>0</v>
      </c>
      <c r="E1271" s="51">
        <v>0</v>
      </c>
      <c r="F1271" s="51">
        <v>0</v>
      </c>
      <c r="G1271" s="51">
        <v>0</v>
      </c>
      <c r="H1271" s="51">
        <v>3125</v>
      </c>
      <c r="I1271" s="51">
        <v>-3125</v>
      </c>
      <c r="J1271" s="51">
        <v>0</v>
      </c>
      <c r="K1271" s="51">
        <v>0</v>
      </c>
      <c r="L1271" s="51">
        <v>0</v>
      </c>
      <c r="M1271" s="51">
        <v>0</v>
      </c>
      <c r="N1271" s="51">
        <v>0</v>
      </c>
    </row>
    <row r="1272" spans="1:14" ht="15.75" x14ac:dyDescent="0.25">
      <c r="A1272" s="49" t="s">
        <v>527</v>
      </c>
      <c r="B1272" s="50" t="s">
        <v>55</v>
      </c>
      <c r="C1272" s="51">
        <v>3078</v>
      </c>
      <c r="D1272" s="51">
        <v>0</v>
      </c>
      <c r="E1272" s="51">
        <v>0</v>
      </c>
      <c r="F1272" s="51">
        <v>0</v>
      </c>
      <c r="G1272" s="51">
        <v>0</v>
      </c>
      <c r="H1272" s="51">
        <v>3078</v>
      </c>
      <c r="I1272" s="51">
        <v>-3078</v>
      </c>
      <c r="J1272" s="51">
        <v>0</v>
      </c>
      <c r="K1272" s="51">
        <v>0</v>
      </c>
      <c r="L1272" s="51">
        <v>0</v>
      </c>
      <c r="M1272" s="51">
        <v>0</v>
      </c>
      <c r="N1272" s="51">
        <v>0</v>
      </c>
    </row>
    <row r="1273" spans="1:14" ht="15.75" x14ac:dyDescent="0.25">
      <c r="A1273" s="49" t="s">
        <v>527</v>
      </c>
      <c r="B1273" s="50" t="s">
        <v>56</v>
      </c>
      <c r="C1273" s="51">
        <v>24423</v>
      </c>
      <c r="D1273" s="51">
        <v>0</v>
      </c>
      <c r="E1273" s="51">
        <v>0</v>
      </c>
      <c r="F1273" s="51">
        <v>0</v>
      </c>
      <c r="G1273" s="51">
        <v>0</v>
      </c>
      <c r="H1273" s="51">
        <v>24423</v>
      </c>
      <c r="I1273" s="51">
        <v>-24423</v>
      </c>
      <c r="J1273" s="51">
        <v>0</v>
      </c>
      <c r="K1273" s="51">
        <v>0</v>
      </c>
      <c r="L1273" s="51">
        <v>0</v>
      </c>
      <c r="M1273" s="51">
        <v>0</v>
      </c>
      <c r="N1273" s="51">
        <v>0</v>
      </c>
    </row>
    <row r="1274" spans="1:14" ht="15.75" x14ac:dyDescent="0.25">
      <c r="A1274" s="49" t="s">
        <v>527</v>
      </c>
      <c r="B1274" s="50" t="s">
        <v>57</v>
      </c>
      <c r="C1274" s="51">
        <v>13795</v>
      </c>
      <c r="D1274" s="51">
        <v>-1714</v>
      </c>
      <c r="E1274" s="51">
        <v>0</v>
      </c>
      <c r="F1274" s="51">
        <v>0</v>
      </c>
      <c r="G1274" s="51">
        <v>0</v>
      </c>
      <c r="H1274" s="51">
        <v>12081</v>
      </c>
      <c r="I1274" s="51">
        <v>-12081</v>
      </c>
      <c r="J1274" s="51">
        <v>0</v>
      </c>
      <c r="K1274" s="51">
        <v>0</v>
      </c>
      <c r="L1274" s="51">
        <v>0</v>
      </c>
      <c r="M1274" s="51">
        <v>0</v>
      </c>
      <c r="N1274" s="51">
        <v>0</v>
      </c>
    </row>
    <row r="1275" spans="1:14" ht="15.75" x14ac:dyDescent="0.25">
      <c r="A1275" s="49" t="s">
        <v>527</v>
      </c>
      <c r="B1275" s="50" t="s">
        <v>58</v>
      </c>
      <c r="C1275" s="51">
        <v>55555</v>
      </c>
      <c r="D1275" s="51">
        <v>-716</v>
      </c>
      <c r="E1275" s="51">
        <v>0</v>
      </c>
      <c r="F1275" s="51">
        <v>0</v>
      </c>
      <c r="G1275" s="51">
        <v>0</v>
      </c>
      <c r="H1275" s="51">
        <v>54839</v>
      </c>
      <c r="I1275" s="51">
        <v>-54839</v>
      </c>
      <c r="J1275" s="51">
        <v>0</v>
      </c>
      <c r="K1275" s="51">
        <v>0</v>
      </c>
      <c r="L1275" s="51">
        <v>0</v>
      </c>
      <c r="M1275" s="51">
        <v>0</v>
      </c>
      <c r="N1275" s="51">
        <v>0</v>
      </c>
    </row>
    <row r="1276" spans="1:14" ht="15.75" x14ac:dyDescent="0.25">
      <c r="A1276" s="49" t="s">
        <v>527</v>
      </c>
      <c r="B1276" s="50" t="s">
        <v>59</v>
      </c>
      <c r="C1276" s="51">
        <v>11452</v>
      </c>
      <c r="D1276" s="51">
        <v>0</v>
      </c>
      <c r="E1276" s="51">
        <v>0</v>
      </c>
      <c r="F1276" s="51">
        <v>0</v>
      </c>
      <c r="G1276" s="51">
        <v>0</v>
      </c>
      <c r="H1276" s="51">
        <v>11452</v>
      </c>
      <c r="I1276" s="51">
        <v>-11452</v>
      </c>
      <c r="J1276" s="51">
        <v>0</v>
      </c>
      <c r="K1276" s="51">
        <v>0</v>
      </c>
      <c r="L1276" s="51">
        <v>0</v>
      </c>
      <c r="M1276" s="51">
        <v>0</v>
      </c>
      <c r="N1276" s="51">
        <v>0</v>
      </c>
    </row>
    <row r="1277" spans="1:14" ht="15.75" x14ac:dyDescent="0.25">
      <c r="A1277" s="49" t="s">
        <v>527</v>
      </c>
      <c r="B1277" s="50" t="s">
        <v>60</v>
      </c>
      <c r="C1277" s="51">
        <v>12706</v>
      </c>
      <c r="D1277" s="51">
        <v>0</v>
      </c>
      <c r="E1277" s="51">
        <v>0</v>
      </c>
      <c r="F1277" s="51">
        <v>0</v>
      </c>
      <c r="G1277" s="51">
        <v>0</v>
      </c>
      <c r="H1277" s="51">
        <v>12706</v>
      </c>
      <c r="I1277" s="51">
        <v>-12706</v>
      </c>
      <c r="J1277" s="51">
        <v>0</v>
      </c>
      <c r="K1277" s="51">
        <v>0</v>
      </c>
      <c r="L1277" s="51">
        <v>0</v>
      </c>
      <c r="M1277" s="51">
        <v>0</v>
      </c>
      <c r="N1277" s="51">
        <v>0</v>
      </c>
    </row>
    <row r="1278" spans="1:14" ht="15.75" x14ac:dyDescent="0.25">
      <c r="A1278" s="49" t="s">
        <v>527</v>
      </c>
      <c r="B1278" s="50" t="s">
        <v>61</v>
      </c>
      <c r="C1278" s="51">
        <v>404</v>
      </c>
      <c r="D1278" s="51">
        <v>0</v>
      </c>
      <c r="E1278" s="51">
        <v>0</v>
      </c>
      <c r="F1278" s="51">
        <v>0</v>
      </c>
      <c r="G1278" s="51">
        <v>0</v>
      </c>
      <c r="H1278" s="51">
        <v>404</v>
      </c>
      <c r="I1278" s="51">
        <v>-404</v>
      </c>
      <c r="J1278" s="51">
        <v>0</v>
      </c>
      <c r="K1278" s="51">
        <v>0</v>
      </c>
      <c r="L1278" s="51">
        <v>0</v>
      </c>
      <c r="M1278" s="51">
        <v>0</v>
      </c>
      <c r="N1278" s="51">
        <v>0</v>
      </c>
    </row>
    <row r="1279" spans="1:14" ht="15.75" x14ac:dyDescent="0.25">
      <c r="A1279" s="52" t="s">
        <v>405</v>
      </c>
      <c r="B1279" s="53" t="s">
        <v>8</v>
      </c>
      <c r="C1279" s="19">
        <f>SUBTOTAL(109,Program195[(C)
Program
Costs])</f>
        <v>166266</v>
      </c>
      <c r="D1279" s="19">
        <f>SUBTOTAL(109,Program195[(D)
Prior Period Adjustments])</f>
        <v>-2703</v>
      </c>
      <c r="E1279" s="19">
        <f>SUBTOTAL(109,Program195[(E)
Current Period Desk 
Reviews])</f>
        <v>0</v>
      </c>
      <c r="F1279" s="19">
        <f>SUBTOTAL(109,Program195[(F)
Current Period 
Final 
Audits])</f>
        <v>0</v>
      </c>
      <c r="G1279" s="19">
        <f>SUBTOTAL(109,Program195[(G)
Current Period 
Other Adjustments])</f>
        <v>0</v>
      </c>
      <c r="H1279" s="19">
        <f>SUBTOTAL(109,Program195[(H)
Net Program Costs
Sum (C through G)])</f>
        <v>163563</v>
      </c>
      <c r="I1279" s="19">
        <f>SUBTOTAL(109,Program195[(I)
Payments
 and Offsets])</f>
        <v>-159298</v>
      </c>
      <c r="J1279" s="19">
        <f>SUBTOTAL(109,Program195[(J)
Accounts Payable Balance
(H + I)])</f>
        <v>4265</v>
      </c>
      <c r="K1279" s="19">
        <f>SUBTOTAL(109,Program195[(K)
Established 
Accounts Receivable])</f>
        <v>0</v>
      </c>
      <c r="L1279" s="19">
        <f>SUBTOTAL(109,Program195[(L)
Recovered
 Accounts Receivable])</f>
        <v>0</v>
      </c>
      <c r="M1279" s="19">
        <f>SUBTOTAL(109,Program195[(M)
Accounts Receivable Balance
(K + L)])</f>
        <v>0</v>
      </c>
      <c r="N1279" s="19">
        <f>SUBTOTAL(109,Program195[(N)
Net Balance
(J minus M)])</f>
        <v>4265</v>
      </c>
    </row>
    <row r="1280" spans="1:14" ht="15.75" x14ac:dyDescent="0.25">
      <c r="A1280" s="17" t="s">
        <v>13</v>
      </c>
      <c r="B1280" s="54"/>
      <c r="C1280" s="55"/>
      <c r="D1280" s="55"/>
      <c r="E1280" s="55"/>
      <c r="F1280" s="55"/>
      <c r="G1280" s="55"/>
      <c r="H1280" s="55"/>
      <c r="I1280" s="55"/>
      <c r="J1280" s="55"/>
      <c r="K1280" s="55"/>
      <c r="L1280" s="55"/>
      <c r="M1280" s="55"/>
      <c r="N1280" s="55"/>
    </row>
    <row r="1281" spans="1:14" ht="78.75" x14ac:dyDescent="0.25">
      <c r="A1281" s="39" t="s">
        <v>32</v>
      </c>
      <c r="B1281" s="40" t="s">
        <v>33</v>
      </c>
      <c r="C1281" s="41" t="s">
        <v>34</v>
      </c>
      <c r="D1281" s="41" t="s">
        <v>35</v>
      </c>
      <c r="E1281" s="42" t="s">
        <v>36</v>
      </c>
      <c r="F1281" s="42" t="s">
        <v>37</v>
      </c>
      <c r="G1281" s="42" t="s">
        <v>38</v>
      </c>
      <c r="H1281" s="43" t="s">
        <v>39</v>
      </c>
      <c r="I1281" s="44" t="s">
        <v>40</v>
      </c>
      <c r="J1281" s="44" t="s">
        <v>41</v>
      </c>
      <c r="K1281" s="42" t="s">
        <v>42</v>
      </c>
      <c r="L1281" s="44" t="s">
        <v>43</v>
      </c>
      <c r="M1281" s="44" t="s">
        <v>44</v>
      </c>
      <c r="N1281" s="45" t="s">
        <v>45</v>
      </c>
    </row>
    <row r="1282" spans="1:14" ht="15.75" x14ac:dyDescent="0.25">
      <c r="A1282" s="46" t="s">
        <v>526</v>
      </c>
      <c r="B1282" s="47" t="s">
        <v>77</v>
      </c>
      <c r="C1282" s="48">
        <v>7912</v>
      </c>
      <c r="D1282" s="48">
        <v>0</v>
      </c>
      <c r="E1282" s="48">
        <v>0</v>
      </c>
      <c r="F1282" s="48">
        <v>0</v>
      </c>
      <c r="G1282" s="48">
        <v>0</v>
      </c>
      <c r="H1282" s="48">
        <v>7912</v>
      </c>
      <c r="I1282" s="48">
        <v>-1000</v>
      </c>
      <c r="J1282" s="48">
        <v>6912</v>
      </c>
      <c r="K1282" s="48">
        <v>0</v>
      </c>
      <c r="L1282" s="48">
        <v>0</v>
      </c>
      <c r="M1282" s="48">
        <v>0</v>
      </c>
      <c r="N1282" s="48">
        <v>6912</v>
      </c>
    </row>
    <row r="1283" spans="1:14" ht="15.75" x14ac:dyDescent="0.25">
      <c r="A1283" s="49" t="s">
        <v>526</v>
      </c>
      <c r="B1283" s="50" t="s">
        <v>78</v>
      </c>
      <c r="C1283" s="51">
        <v>19997</v>
      </c>
      <c r="D1283" s="51">
        <v>0</v>
      </c>
      <c r="E1283" s="51">
        <v>0</v>
      </c>
      <c r="F1283" s="51">
        <v>0</v>
      </c>
      <c r="G1283" s="51">
        <v>0</v>
      </c>
      <c r="H1283" s="51">
        <v>19997</v>
      </c>
      <c r="I1283" s="51">
        <v>-1000</v>
      </c>
      <c r="J1283" s="51">
        <v>18997</v>
      </c>
      <c r="K1283" s="51">
        <v>0</v>
      </c>
      <c r="L1283" s="51">
        <v>0</v>
      </c>
      <c r="M1283" s="51">
        <v>0</v>
      </c>
      <c r="N1283" s="51">
        <v>18997</v>
      </c>
    </row>
    <row r="1284" spans="1:14" ht="15.75" x14ac:dyDescent="0.25">
      <c r="A1284" s="49" t="s">
        <v>526</v>
      </c>
      <c r="B1284" s="50" t="s">
        <v>47</v>
      </c>
      <c r="C1284" s="51">
        <v>21944</v>
      </c>
      <c r="D1284" s="51">
        <v>0</v>
      </c>
      <c r="E1284" s="51">
        <v>0</v>
      </c>
      <c r="F1284" s="51">
        <v>0</v>
      </c>
      <c r="G1284" s="51">
        <v>0</v>
      </c>
      <c r="H1284" s="51">
        <v>21944</v>
      </c>
      <c r="I1284" s="51">
        <v>-5333</v>
      </c>
      <c r="J1284" s="51">
        <v>16611</v>
      </c>
      <c r="K1284" s="51">
        <v>0</v>
      </c>
      <c r="L1284" s="51">
        <v>0</v>
      </c>
      <c r="M1284" s="51">
        <v>0</v>
      </c>
      <c r="N1284" s="51">
        <v>16611</v>
      </c>
    </row>
    <row r="1285" spans="1:14" ht="15.75" x14ac:dyDescent="0.25">
      <c r="A1285" s="49" t="s">
        <v>526</v>
      </c>
      <c r="B1285" s="50" t="s">
        <v>79</v>
      </c>
      <c r="C1285" s="51">
        <v>29638</v>
      </c>
      <c r="D1285" s="51">
        <v>-1208</v>
      </c>
      <c r="E1285" s="51">
        <v>0</v>
      </c>
      <c r="F1285" s="51">
        <v>0</v>
      </c>
      <c r="G1285" s="51">
        <v>0</v>
      </c>
      <c r="H1285" s="51">
        <v>28430</v>
      </c>
      <c r="I1285" s="51">
        <v>-6232</v>
      </c>
      <c r="J1285" s="51">
        <v>22198</v>
      </c>
      <c r="K1285" s="51">
        <v>0</v>
      </c>
      <c r="L1285" s="51">
        <v>0</v>
      </c>
      <c r="M1285" s="51">
        <v>0</v>
      </c>
      <c r="N1285" s="51">
        <v>22198</v>
      </c>
    </row>
    <row r="1286" spans="1:14" ht="15.75" x14ac:dyDescent="0.25">
      <c r="A1286" s="49" t="s">
        <v>526</v>
      </c>
      <c r="B1286" s="50" t="s">
        <v>80</v>
      </c>
      <c r="C1286" s="51">
        <v>63370</v>
      </c>
      <c r="D1286" s="51">
        <v>-145</v>
      </c>
      <c r="E1286" s="51">
        <v>0</v>
      </c>
      <c r="F1286" s="51">
        <v>0</v>
      </c>
      <c r="G1286" s="51">
        <v>0</v>
      </c>
      <c r="H1286" s="51">
        <v>63225</v>
      </c>
      <c r="I1286" s="51">
        <v>-18060</v>
      </c>
      <c r="J1286" s="51">
        <v>45165</v>
      </c>
      <c r="K1286" s="51">
        <v>0</v>
      </c>
      <c r="L1286" s="51">
        <v>0</v>
      </c>
      <c r="M1286" s="51">
        <v>0</v>
      </c>
      <c r="N1286" s="51">
        <v>45165</v>
      </c>
    </row>
    <row r="1287" spans="1:14" ht="15.75" x14ac:dyDescent="0.25">
      <c r="A1287" s="49" t="s">
        <v>526</v>
      </c>
      <c r="B1287" s="50" t="s">
        <v>81</v>
      </c>
      <c r="C1287" s="51">
        <v>76582</v>
      </c>
      <c r="D1287" s="51">
        <v>0</v>
      </c>
      <c r="E1287" s="51">
        <v>0</v>
      </c>
      <c r="F1287" s="51">
        <v>0</v>
      </c>
      <c r="G1287" s="51">
        <v>0</v>
      </c>
      <c r="H1287" s="51">
        <v>76582</v>
      </c>
      <c r="I1287" s="51">
        <v>-41508</v>
      </c>
      <c r="J1287" s="51">
        <v>35074</v>
      </c>
      <c r="K1287" s="51">
        <v>0</v>
      </c>
      <c r="L1287" s="51">
        <v>0</v>
      </c>
      <c r="M1287" s="51">
        <v>0</v>
      </c>
      <c r="N1287" s="51">
        <v>35074</v>
      </c>
    </row>
    <row r="1288" spans="1:14" ht="15.75" x14ac:dyDescent="0.25">
      <c r="A1288" s="49" t="s">
        <v>526</v>
      </c>
      <c r="B1288" s="50" t="s">
        <v>82</v>
      </c>
      <c r="C1288" s="51">
        <v>271059</v>
      </c>
      <c r="D1288" s="51">
        <v>-1499</v>
      </c>
      <c r="E1288" s="51">
        <v>0</v>
      </c>
      <c r="F1288" s="51">
        <v>0</v>
      </c>
      <c r="G1288" s="51">
        <v>0</v>
      </c>
      <c r="H1288" s="51">
        <v>269560</v>
      </c>
      <c r="I1288" s="51">
        <v>-180691</v>
      </c>
      <c r="J1288" s="51">
        <v>88869</v>
      </c>
      <c r="K1288" s="51">
        <v>0</v>
      </c>
      <c r="L1288" s="51">
        <v>0</v>
      </c>
      <c r="M1288" s="51">
        <v>0</v>
      </c>
      <c r="N1288" s="51">
        <v>88869</v>
      </c>
    </row>
    <row r="1289" spans="1:14" ht="15.75" x14ac:dyDescent="0.25">
      <c r="A1289" s="49" t="s">
        <v>526</v>
      </c>
      <c r="B1289" s="50" t="s">
        <v>83</v>
      </c>
      <c r="C1289" s="51">
        <v>1513302</v>
      </c>
      <c r="D1289" s="51">
        <v>-38212</v>
      </c>
      <c r="E1289" s="51">
        <v>0</v>
      </c>
      <c r="F1289" s="51">
        <v>0</v>
      </c>
      <c r="G1289" s="51">
        <v>0</v>
      </c>
      <c r="H1289" s="51">
        <v>1475090</v>
      </c>
      <c r="I1289" s="51">
        <v>-1254514</v>
      </c>
      <c r="J1289" s="51">
        <v>220576</v>
      </c>
      <c r="K1289" s="51">
        <v>0</v>
      </c>
      <c r="L1289" s="51">
        <v>0</v>
      </c>
      <c r="M1289" s="51">
        <v>0</v>
      </c>
      <c r="N1289" s="51">
        <v>220576</v>
      </c>
    </row>
    <row r="1290" spans="1:14" ht="15.75" x14ac:dyDescent="0.25">
      <c r="A1290" s="49" t="s">
        <v>526</v>
      </c>
      <c r="B1290" s="50" t="s">
        <v>48</v>
      </c>
      <c r="C1290" s="51">
        <v>1560438</v>
      </c>
      <c r="D1290" s="51">
        <v>-13115</v>
      </c>
      <c r="E1290" s="51">
        <v>0</v>
      </c>
      <c r="F1290" s="51">
        <v>0</v>
      </c>
      <c r="G1290" s="51">
        <v>0</v>
      </c>
      <c r="H1290" s="51">
        <v>1547323</v>
      </c>
      <c r="I1290" s="51">
        <v>-1294523</v>
      </c>
      <c r="J1290" s="51">
        <v>252800</v>
      </c>
      <c r="K1290" s="51">
        <v>0</v>
      </c>
      <c r="L1290" s="51">
        <v>0</v>
      </c>
      <c r="M1290" s="51">
        <v>0</v>
      </c>
      <c r="N1290" s="51">
        <v>252800</v>
      </c>
    </row>
    <row r="1291" spans="1:14" ht="15.75" x14ac:dyDescent="0.25">
      <c r="A1291" s="49" t="s">
        <v>526</v>
      </c>
      <c r="B1291" s="50" t="s">
        <v>49</v>
      </c>
      <c r="C1291" s="51">
        <v>1601988</v>
      </c>
      <c r="D1291" s="51">
        <v>-61593</v>
      </c>
      <c r="E1291" s="51">
        <v>0</v>
      </c>
      <c r="F1291" s="51">
        <v>0</v>
      </c>
      <c r="G1291" s="51">
        <v>0</v>
      </c>
      <c r="H1291" s="51">
        <v>1540395</v>
      </c>
      <c r="I1291" s="51">
        <v>-1540395</v>
      </c>
      <c r="J1291" s="51">
        <v>0</v>
      </c>
      <c r="K1291" s="51">
        <v>1826</v>
      </c>
      <c r="L1291" s="51">
        <v>-1826</v>
      </c>
      <c r="M1291" s="51">
        <v>0</v>
      </c>
      <c r="N1291" s="51">
        <v>0</v>
      </c>
    </row>
    <row r="1292" spans="1:14" ht="15.75" x14ac:dyDescent="0.25">
      <c r="A1292" s="49" t="s">
        <v>526</v>
      </c>
      <c r="B1292" s="50" t="s">
        <v>50</v>
      </c>
      <c r="C1292" s="51">
        <v>1817645</v>
      </c>
      <c r="D1292" s="51">
        <v>-653</v>
      </c>
      <c r="E1292" s="51">
        <v>0</v>
      </c>
      <c r="F1292" s="51">
        <v>0</v>
      </c>
      <c r="G1292" s="51">
        <v>0</v>
      </c>
      <c r="H1292" s="51">
        <v>1816992</v>
      </c>
      <c r="I1292" s="51">
        <v>-1816992</v>
      </c>
      <c r="J1292" s="51">
        <v>0</v>
      </c>
      <c r="K1292" s="51">
        <v>4260</v>
      </c>
      <c r="L1292" s="51">
        <v>-1109</v>
      </c>
      <c r="M1292" s="51">
        <v>3151</v>
      </c>
      <c r="N1292" s="51">
        <v>-3151</v>
      </c>
    </row>
    <row r="1293" spans="1:14" ht="15.75" x14ac:dyDescent="0.25">
      <c r="A1293" s="49" t="s">
        <v>526</v>
      </c>
      <c r="B1293" s="50" t="s">
        <v>51</v>
      </c>
      <c r="C1293" s="51">
        <v>1962647</v>
      </c>
      <c r="D1293" s="51">
        <v>-48082</v>
      </c>
      <c r="E1293" s="51">
        <v>0</v>
      </c>
      <c r="F1293" s="51">
        <v>0</v>
      </c>
      <c r="G1293" s="51">
        <v>0</v>
      </c>
      <c r="H1293" s="51">
        <v>1914565</v>
      </c>
      <c r="I1293" s="51">
        <v>-1846192</v>
      </c>
      <c r="J1293" s="51">
        <v>68373</v>
      </c>
      <c r="K1293" s="51">
        <v>2</v>
      </c>
      <c r="L1293" s="51">
        <v>0</v>
      </c>
      <c r="M1293" s="51">
        <v>2</v>
      </c>
      <c r="N1293" s="51">
        <v>68371</v>
      </c>
    </row>
    <row r="1294" spans="1:14" ht="15.75" x14ac:dyDescent="0.25">
      <c r="A1294" s="49" t="s">
        <v>526</v>
      </c>
      <c r="B1294" s="50" t="s">
        <v>52</v>
      </c>
      <c r="C1294" s="51">
        <v>1788132</v>
      </c>
      <c r="D1294" s="51">
        <v>-28402</v>
      </c>
      <c r="E1294" s="51">
        <v>0</v>
      </c>
      <c r="F1294" s="51">
        <v>0</v>
      </c>
      <c r="G1294" s="51">
        <v>0</v>
      </c>
      <c r="H1294" s="51">
        <v>1759730</v>
      </c>
      <c r="I1294" s="51">
        <v>-1759730</v>
      </c>
      <c r="J1294" s="51">
        <v>0</v>
      </c>
      <c r="K1294" s="51">
        <v>43451</v>
      </c>
      <c r="L1294" s="51">
        <v>-38616</v>
      </c>
      <c r="M1294" s="51">
        <v>4835</v>
      </c>
      <c r="N1294" s="51">
        <v>-4835</v>
      </c>
    </row>
    <row r="1295" spans="1:14" ht="15.75" x14ac:dyDescent="0.25">
      <c r="A1295" s="49" t="s">
        <v>526</v>
      </c>
      <c r="B1295" s="50" t="s">
        <v>53</v>
      </c>
      <c r="C1295" s="51">
        <v>1908356</v>
      </c>
      <c r="D1295" s="51">
        <v>-34311</v>
      </c>
      <c r="E1295" s="51">
        <v>0</v>
      </c>
      <c r="F1295" s="51">
        <v>0</v>
      </c>
      <c r="G1295" s="51">
        <v>0</v>
      </c>
      <c r="H1295" s="51">
        <v>1874045</v>
      </c>
      <c r="I1295" s="51">
        <v>-1874045</v>
      </c>
      <c r="J1295" s="51">
        <v>0</v>
      </c>
      <c r="K1295" s="51">
        <v>0</v>
      </c>
      <c r="L1295" s="51">
        <v>0</v>
      </c>
      <c r="M1295" s="51">
        <v>0</v>
      </c>
      <c r="N1295" s="51">
        <v>0</v>
      </c>
    </row>
    <row r="1296" spans="1:14" ht="15.75" x14ac:dyDescent="0.25">
      <c r="A1296" s="49" t="s">
        <v>526</v>
      </c>
      <c r="B1296" s="50" t="s">
        <v>54</v>
      </c>
      <c r="C1296" s="51">
        <v>1664891</v>
      </c>
      <c r="D1296" s="51">
        <v>-19808</v>
      </c>
      <c r="E1296" s="51">
        <v>0</v>
      </c>
      <c r="F1296" s="51">
        <v>0</v>
      </c>
      <c r="G1296" s="51">
        <v>0</v>
      </c>
      <c r="H1296" s="51">
        <v>1645083</v>
      </c>
      <c r="I1296" s="51">
        <v>-1645083</v>
      </c>
      <c r="J1296" s="51">
        <v>0</v>
      </c>
      <c r="K1296" s="51">
        <v>16194</v>
      </c>
      <c r="L1296" s="51">
        <v>-2044</v>
      </c>
      <c r="M1296" s="51">
        <v>14150</v>
      </c>
      <c r="N1296" s="51">
        <v>-14150</v>
      </c>
    </row>
    <row r="1297" spans="1:14" ht="15.75" x14ac:dyDescent="0.25">
      <c r="A1297" s="49" t="s">
        <v>526</v>
      </c>
      <c r="B1297" s="50" t="s">
        <v>55</v>
      </c>
      <c r="C1297" s="51">
        <v>2094550</v>
      </c>
      <c r="D1297" s="51">
        <v>-4563</v>
      </c>
      <c r="E1297" s="51">
        <v>0</v>
      </c>
      <c r="F1297" s="51">
        <v>0</v>
      </c>
      <c r="G1297" s="51">
        <v>0</v>
      </c>
      <c r="H1297" s="51">
        <v>2089987</v>
      </c>
      <c r="I1297" s="51">
        <v>-2089987</v>
      </c>
      <c r="J1297" s="51">
        <v>0</v>
      </c>
      <c r="K1297" s="51">
        <v>0</v>
      </c>
      <c r="L1297" s="51">
        <v>0</v>
      </c>
      <c r="M1297" s="51">
        <v>0</v>
      </c>
      <c r="N1297" s="51">
        <v>0</v>
      </c>
    </row>
    <row r="1298" spans="1:14" ht="15.75" x14ac:dyDescent="0.25">
      <c r="A1298" s="49" t="s">
        <v>526</v>
      </c>
      <c r="B1298" s="50" t="s">
        <v>56</v>
      </c>
      <c r="C1298" s="51">
        <v>2471041</v>
      </c>
      <c r="D1298" s="51">
        <v>-10696</v>
      </c>
      <c r="E1298" s="51">
        <v>0</v>
      </c>
      <c r="F1298" s="51">
        <v>0</v>
      </c>
      <c r="G1298" s="51">
        <v>0</v>
      </c>
      <c r="H1298" s="51">
        <v>2460345</v>
      </c>
      <c r="I1298" s="51">
        <v>-2460345</v>
      </c>
      <c r="J1298" s="51">
        <v>0</v>
      </c>
      <c r="K1298" s="51">
        <v>0</v>
      </c>
      <c r="L1298" s="51">
        <v>0</v>
      </c>
      <c r="M1298" s="51">
        <v>0</v>
      </c>
      <c r="N1298" s="51">
        <v>0</v>
      </c>
    </row>
    <row r="1299" spans="1:14" ht="15.75" x14ac:dyDescent="0.25">
      <c r="A1299" s="49" t="s">
        <v>526</v>
      </c>
      <c r="B1299" s="50" t="s">
        <v>57</v>
      </c>
      <c r="C1299" s="51">
        <v>2389222</v>
      </c>
      <c r="D1299" s="51">
        <v>-87746</v>
      </c>
      <c r="E1299" s="51">
        <v>0</v>
      </c>
      <c r="F1299" s="51">
        <v>0</v>
      </c>
      <c r="G1299" s="51">
        <v>0</v>
      </c>
      <c r="H1299" s="51">
        <v>2301476</v>
      </c>
      <c r="I1299" s="51">
        <v>-2301476</v>
      </c>
      <c r="J1299" s="51">
        <v>0</v>
      </c>
      <c r="K1299" s="51">
        <v>299866</v>
      </c>
      <c r="L1299" s="51">
        <v>-299485</v>
      </c>
      <c r="M1299" s="51">
        <v>381</v>
      </c>
      <c r="N1299" s="51">
        <v>-381</v>
      </c>
    </row>
    <row r="1300" spans="1:14" ht="15.75" x14ac:dyDescent="0.25">
      <c r="A1300" s="49" t="s">
        <v>526</v>
      </c>
      <c r="B1300" s="50" t="s">
        <v>58</v>
      </c>
      <c r="C1300" s="51">
        <v>2376410</v>
      </c>
      <c r="D1300" s="51">
        <v>-47786</v>
      </c>
      <c r="E1300" s="51">
        <v>0</v>
      </c>
      <c r="F1300" s="51">
        <v>0</v>
      </c>
      <c r="G1300" s="51">
        <v>0</v>
      </c>
      <c r="H1300" s="51">
        <v>2328624</v>
      </c>
      <c r="I1300" s="51">
        <v>-2328624</v>
      </c>
      <c r="J1300" s="51">
        <v>0</v>
      </c>
      <c r="K1300" s="51">
        <v>237134</v>
      </c>
      <c r="L1300" s="51">
        <v>-236756</v>
      </c>
      <c r="M1300" s="51">
        <v>378</v>
      </c>
      <c r="N1300" s="51">
        <v>-378</v>
      </c>
    </row>
    <row r="1301" spans="1:14" ht="15.75" x14ac:dyDescent="0.25">
      <c r="A1301" s="49" t="s">
        <v>526</v>
      </c>
      <c r="B1301" s="50" t="s">
        <v>59</v>
      </c>
      <c r="C1301" s="51">
        <v>1784616</v>
      </c>
      <c r="D1301" s="51">
        <v>43591</v>
      </c>
      <c r="E1301" s="51">
        <v>0</v>
      </c>
      <c r="F1301" s="51">
        <v>0</v>
      </c>
      <c r="G1301" s="51">
        <v>0</v>
      </c>
      <c r="H1301" s="51">
        <v>1828207</v>
      </c>
      <c r="I1301" s="51">
        <v>-1828207</v>
      </c>
      <c r="J1301" s="51">
        <v>0</v>
      </c>
      <c r="K1301" s="51">
        <v>296027</v>
      </c>
      <c r="L1301" s="51">
        <v>-296027</v>
      </c>
      <c r="M1301" s="51">
        <v>0</v>
      </c>
      <c r="N1301" s="51">
        <v>0</v>
      </c>
    </row>
    <row r="1302" spans="1:14" ht="15.75" x14ac:dyDescent="0.25">
      <c r="A1302" s="49" t="s">
        <v>526</v>
      </c>
      <c r="B1302" s="50" t="s">
        <v>60</v>
      </c>
      <c r="C1302" s="51">
        <v>1584472</v>
      </c>
      <c r="D1302" s="51">
        <v>-9674</v>
      </c>
      <c r="E1302" s="51">
        <v>0</v>
      </c>
      <c r="F1302" s="51">
        <v>0</v>
      </c>
      <c r="G1302" s="51">
        <v>0</v>
      </c>
      <c r="H1302" s="51">
        <v>1574798</v>
      </c>
      <c r="I1302" s="51">
        <v>-1574798</v>
      </c>
      <c r="J1302" s="51">
        <v>0</v>
      </c>
      <c r="K1302" s="51">
        <v>224135</v>
      </c>
      <c r="L1302" s="51">
        <v>-224135</v>
      </c>
      <c r="M1302" s="51">
        <v>0</v>
      </c>
      <c r="N1302" s="51">
        <v>0</v>
      </c>
    </row>
    <row r="1303" spans="1:14" ht="15.75" x14ac:dyDescent="0.25">
      <c r="A1303" s="49" t="s">
        <v>526</v>
      </c>
      <c r="B1303" s="50" t="s">
        <v>61</v>
      </c>
      <c r="C1303" s="51">
        <v>1217336</v>
      </c>
      <c r="D1303" s="51">
        <v>-1950</v>
      </c>
      <c r="E1303" s="51">
        <v>0</v>
      </c>
      <c r="F1303" s="51">
        <v>0</v>
      </c>
      <c r="G1303" s="51">
        <v>0</v>
      </c>
      <c r="H1303" s="51">
        <v>1215386</v>
      </c>
      <c r="I1303" s="51">
        <v>-1215386</v>
      </c>
      <c r="J1303" s="51">
        <v>0</v>
      </c>
      <c r="K1303" s="51">
        <v>4419</v>
      </c>
      <c r="L1303" s="51">
        <v>-4419</v>
      </c>
      <c r="M1303" s="51">
        <v>0</v>
      </c>
      <c r="N1303" s="51">
        <v>0</v>
      </c>
    </row>
    <row r="1304" spans="1:14" ht="15.75" x14ac:dyDescent="0.25">
      <c r="A1304" s="49" t="s">
        <v>526</v>
      </c>
      <c r="B1304" s="50" t="s">
        <v>62</v>
      </c>
      <c r="C1304" s="51">
        <v>1489775</v>
      </c>
      <c r="D1304" s="51">
        <v>-7851</v>
      </c>
      <c r="E1304" s="51">
        <v>0</v>
      </c>
      <c r="F1304" s="51">
        <v>0</v>
      </c>
      <c r="G1304" s="51">
        <v>0</v>
      </c>
      <c r="H1304" s="51">
        <v>1481924</v>
      </c>
      <c r="I1304" s="51">
        <v>-1481924</v>
      </c>
      <c r="J1304" s="51">
        <v>0</v>
      </c>
      <c r="K1304" s="51">
        <v>349147</v>
      </c>
      <c r="L1304" s="51">
        <v>-349147</v>
      </c>
      <c r="M1304" s="51">
        <v>0</v>
      </c>
      <c r="N1304" s="51">
        <v>0</v>
      </c>
    </row>
    <row r="1305" spans="1:14" ht="15.75" x14ac:dyDescent="0.25">
      <c r="A1305" s="49" t="s">
        <v>526</v>
      </c>
      <c r="B1305" s="50" t="s">
        <v>63</v>
      </c>
      <c r="C1305" s="51">
        <v>565781</v>
      </c>
      <c r="D1305" s="51">
        <v>-1055</v>
      </c>
      <c r="E1305" s="51">
        <v>0</v>
      </c>
      <c r="F1305" s="51">
        <v>0</v>
      </c>
      <c r="G1305" s="51">
        <v>0</v>
      </c>
      <c r="H1305" s="51">
        <v>564726</v>
      </c>
      <c r="I1305" s="51">
        <v>-564726</v>
      </c>
      <c r="J1305" s="51">
        <v>0</v>
      </c>
      <c r="K1305" s="51">
        <v>683</v>
      </c>
      <c r="L1305" s="51">
        <v>-683</v>
      </c>
      <c r="M1305" s="51">
        <v>0</v>
      </c>
      <c r="N1305" s="51">
        <v>0</v>
      </c>
    </row>
    <row r="1306" spans="1:14" ht="15.75" x14ac:dyDescent="0.25">
      <c r="A1306" s="52" t="s">
        <v>404</v>
      </c>
      <c r="B1306" s="53" t="s">
        <v>8</v>
      </c>
      <c r="C1306" s="19">
        <f>SUBTOTAL(109,Program173[(C)
Program
Costs])</f>
        <v>30281104</v>
      </c>
      <c r="D1306" s="19">
        <f>SUBTOTAL(109,Program173[(D)
Prior Period Adjustments])</f>
        <v>-374758</v>
      </c>
      <c r="E1306" s="19">
        <f>SUBTOTAL(109,Program173[(E)
Current Period Desk 
Reviews])</f>
        <v>0</v>
      </c>
      <c r="F1306" s="19">
        <f>SUBTOTAL(109,Program173[(F)
Current Period 
Final 
Audits])</f>
        <v>0</v>
      </c>
      <c r="G1306" s="19">
        <f>SUBTOTAL(109,Program173[(G)
Current Period 
Other Adjustments])</f>
        <v>0</v>
      </c>
      <c r="H1306" s="19">
        <f>SUBTOTAL(109,Program173[(H)
Net Program Costs
Sum (C through G)])</f>
        <v>29906346</v>
      </c>
      <c r="I1306" s="19">
        <f>SUBTOTAL(109,Program173[(I)
Payments
 and Offsets])</f>
        <v>-29130771</v>
      </c>
      <c r="J1306" s="19">
        <f>SUBTOTAL(109,Program173[(J)
Accounts Payable Balance
(H + I)])</f>
        <v>775575</v>
      </c>
      <c r="K1306" s="19">
        <f>SUBTOTAL(109,Program173[(K)
Established 
Accounts Receivable])</f>
        <v>1477144</v>
      </c>
      <c r="L1306" s="19">
        <f>SUBTOTAL(109,Program173[(L)
Recovered
 Accounts Receivable])</f>
        <v>-1454247</v>
      </c>
      <c r="M1306" s="19">
        <f>SUBTOTAL(109,Program173[(M)
Accounts Receivable Balance
(K + L)])</f>
        <v>22897</v>
      </c>
      <c r="N1306" s="19">
        <f>SUBTOTAL(109,Program173[(N)
Net Balance
(J minus M)])</f>
        <v>752678</v>
      </c>
    </row>
    <row r="1307" spans="1:14" ht="15.75" x14ac:dyDescent="0.25">
      <c r="A1307" s="17" t="s">
        <v>13</v>
      </c>
      <c r="B1307" s="54"/>
      <c r="C1307" s="55"/>
      <c r="D1307" s="55"/>
      <c r="E1307" s="55"/>
      <c r="F1307" s="55"/>
      <c r="G1307" s="55"/>
      <c r="H1307" s="55"/>
      <c r="I1307" s="55"/>
      <c r="J1307" s="55"/>
      <c r="K1307" s="55"/>
      <c r="L1307" s="55"/>
      <c r="M1307" s="55"/>
      <c r="N1307" s="55"/>
    </row>
    <row r="1308" spans="1:14" ht="78.75" x14ac:dyDescent="0.25">
      <c r="A1308" s="39" t="s">
        <v>32</v>
      </c>
      <c r="B1308" s="40" t="s">
        <v>33</v>
      </c>
      <c r="C1308" s="41" t="s">
        <v>34</v>
      </c>
      <c r="D1308" s="41" t="s">
        <v>35</v>
      </c>
      <c r="E1308" s="42" t="s">
        <v>36</v>
      </c>
      <c r="F1308" s="42" t="s">
        <v>37</v>
      </c>
      <c r="G1308" s="42" t="s">
        <v>38</v>
      </c>
      <c r="H1308" s="43" t="s">
        <v>39</v>
      </c>
      <c r="I1308" s="44" t="s">
        <v>40</v>
      </c>
      <c r="J1308" s="44" t="s">
        <v>41</v>
      </c>
      <c r="K1308" s="42" t="s">
        <v>42</v>
      </c>
      <c r="L1308" s="44" t="s">
        <v>43</v>
      </c>
      <c r="M1308" s="44" t="s">
        <v>44</v>
      </c>
      <c r="N1308" s="45" t="s">
        <v>45</v>
      </c>
    </row>
    <row r="1309" spans="1:14" ht="15.75" x14ac:dyDescent="0.25">
      <c r="A1309" s="46" t="s">
        <v>525</v>
      </c>
      <c r="B1309" s="47" t="s">
        <v>83</v>
      </c>
      <c r="C1309" s="48">
        <v>159665</v>
      </c>
      <c r="D1309" s="48">
        <v>0</v>
      </c>
      <c r="E1309" s="48">
        <v>0</v>
      </c>
      <c r="F1309" s="48">
        <v>0</v>
      </c>
      <c r="G1309" s="48">
        <v>0</v>
      </c>
      <c r="H1309" s="48">
        <v>159665</v>
      </c>
      <c r="I1309" s="48">
        <v>-26698</v>
      </c>
      <c r="J1309" s="48">
        <v>132967</v>
      </c>
      <c r="K1309" s="48">
        <v>0</v>
      </c>
      <c r="L1309" s="48">
        <v>0</v>
      </c>
      <c r="M1309" s="48">
        <v>0</v>
      </c>
      <c r="N1309" s="48">
        <v>132967</v>
      </c>
    </row>
    <row r="1310" spans="1:14" ht="15.75" x14ac:dyDescent="0.25">
      <c r="A1310" s="49" t="s">
        <v>525</v>
      </c>
      <c r="B1310" s="50" t="s">
        <v>48</v>
      </c>
      <c r="C1310" s="51">
        <v>201323</v>
      </c>
      <c r="D1310" s="51">
        <v>0</v>
      </c>
      <c r="E1310" s="51">
        <v>0</v>
      </c>
      <c r="F1310" s="51">
        <v>0</v>
      </c>
      <c r="G1310" s="51">
        <v>0</v>
      </c>
      <c r="H1310" s="51">
        <v>201323</v>
      </c>
      <c r="I1310" s="51">
        <v>-12323</v>
      </c>
      <c r="J1310" s="51">
        <v>189000</v>
      </c>
      <c r="K1310" s="51">
        <v>0</v>
      </c>
      <c r="L1310" s="51">
        <v>0</v>
      </c>
      <c r="M1310" s="51">
        <v>0</v>
      </c>
      <c r="N1310" s="51">
        <v>189000</v>
      </c>
    </row>
    <row r="1311" spans="1:14" ht="15.75" x14ac:dyDescent="0.25">
      <c r="A1311" s="49" t="s">
        <v>525</v>
      </c>
      <c r="B1311" s="50" t="s">
        <v>49</v>
      </c>
      <c r="C1311" s="51">
        <v>22338</v>
      </c>
      <c r="D1311" s="51">
        <v>-115</v>
      </c>
      <c r="E1311" s="51">
        <v>0</v>
      </c>
      <c r="F1311" s="51">
        <v>0</v>
      </c>
      <c r="G1311" s="51">
        <v>0</v>
      </c>
      <c r="H1311" s="51">
        <v>22223</v>
      </c>
      <c r="I1311" s="51">
        <v>-5219</v>
      </c>
      <c r="J1311" s="51">
        <v>17004</v>
      </c>
      <c r="K1311" s="51">
        <v>0</v>
      </c>
      <c r="L1311" s="51">
        <v>0</v>
      </c>
      <c r="M1311" s="51">
        <v>0</v>
      </c>
      <c r="N1311" s="51">
        <v>17004</v>
      </c>
    </row>
    <row r="1312" spans="1:14" ht="15.75" x14ac:dyDescent="0.25">
      <c r="A1312" s="49" t="s">
        <v>525</v>
      </c>
      <c r="B1312" s="50" t="s">
        <v>50</v>
      </c>
      <c r="C1312" s="51">
        <v>89256</v>
      </c>
      <c r="D1312" s="51">
        <v>0</v>
      </c>
      <c r="E1312" s="51">
        <v>0</v>
      </c>
      <c r="F1312" s="51">
        <v>0</v>
      </c>
      <c r="G1312" s="51">
        <v>0</v>
      </c>
      <c r="H1312" s="51">
        <v>89256</v>
      </c>
      <c r="I1312" s="51">
        <v>-89256</v>
      </c>
      <c r="J1312" s="51">
        <v>0</v>
      </c>
      <c r="K1312" s="51">
        <v>0</v>
      </c>
      <c r="L1312" s="51">
        <v>0</v>
      </c>
      <c r="M1312" s="51">
        <v>0</v>
      </c>
      <c r="N1312" s="51">
        <v>0</v>
      </c>
    </row>
    <row r="1313" spans="1:14" ht="15.75" x14ac:dyDescent="0.25">
      <c r="A1313" s="49" t="s">
        <v>525</v>
      </c>
      <c r="B1313" s="50" t="s">
        <v>51</v>
      </c>
      <c r="C1313" s="51">
        <v>150888</v>
      </c>
      <c r="D1313" s="51">
        <v>0</v>
      </c>
      <c r="E1313" s="51">
        <v>0</v>
      </c>
      <c r="F1313" s="51">
        <v>0</v>
      </c>
      <c r="G1313" s="51">
        <v>0</v>
      </c>
      <c r="H1313" s="51">
        <v>150888</v>
      </c>
      <c r="I1313" s="51">
        <v>-150888</v>
      </c>
      <c r="J1313" s="51">
        <v>0</v>
      </c>
      <c r="K1313" s="51">
        <v>0</v>
      </c>
      <c r="L1313" s="51">
        <v>0</v>
      </c>
      <c r="M1313" s="51">
        <v>0</v>
      </c>
      <c r="N1313" s="51">
        <v>0</v>
      </c>
    </row>
    <row r="1314" spans="1:14" ht="15.75" x14ac:dyDescent="0.25">
      <c r="A1314" s="49" t="s">
        <v>525</v>
      </c>
      <c r="B1314" s="50" t="s">
        <v>52</v>
      </c>
      <c r="C1314" s="51">
        <v>52810</v>
      </c>
      <c r="D1314" s="51">
        <v>0</v>
      </c>
      <c r="E1314" s="51">
        <v>0</v>
      </c>
      <c r="F1314" s="51">
        <v>0</v>
      </c>
      <c r="G1314" s="51">
        <v>0</v>
      </c>
      <c r="H1314" s="51">
        <v>52810</v>
      </c>
      <c r="I1314" s="51">
        <v>-52810</v>
      </c>
      <c r="J1314" s="51">
        <v>0</v>
      </c>
      <c r="K1314" s="51">
        <v>0</v>
      </c>
      <c r="L1314" s="51">
        <v>0</v>
      </c>
      <c r="M1314" s="51">
        <v>0</v>
      </c>
      <c r="N1314" s="51">
        <v>0</v>
      </c>
    </row>
    <row r="1315" spans="1:14" ht="15.75" x14ac:dyDescent="0.25">
      <c r="A1315" s="49" t="s">
        <v>525</v>
      </c>
      <c r="B1315" s="50" t="s">
        <v>53</v>
      </c>
      <c r="C1315" s="51">
        <v>6121</v>
      </c>
      <c r="D1315" s="51">
        <v>0</v>
      </c>
      <c r="E1315" s="51">
        <v>0</v>
      </c>
      <c r="F1315" s="51">
        <v>0</v>
      </c>
      <c r="G1315" s="51">
        <v>0</v>
      </c>
      <c r="H1315" s="51">
        <v>6121</v>
      </c>
      <c r="I1315" s="51">
        <v>-6121</v>
      </c>
      <c r="J1315" s="51">
        <v>0</v>
      </c>
      <c r="K1315" s="51">
        <v>0</v>
      </c>
      <c r="L1315" s="51">
        <v>0</v>
      </c>
      <c r="M1315" s="51">
        <v>0</v>
      </c>
      <c r="N1315" s="51">
        <v>0</v>
      </c>
    </row>
    <row r="1316" spans="1:14" ht="15.75" x14ac:dyDescent="0.25">
      <c r="A1316" s="49" t="s">
        <v>525</v>
      </c>
      <c r="B1316" s="50" t="s">
        <v>54</v>
      </c>
      <c r="C1316" s="51">
        <v>52254</v>
      </c>
      <c r="D1316" s="51">
        <v>0</v>
      </c>
      <c r="E1316" s="51">
        <v>0</v>
      </c>
      <c r="F1316" s="51">
        <v>0</v>
      </c>
      <c r="G1316" s="51">
        <v>0</v>
      </c>
      <c r="H1316" s="51">
        <v>52254</v>
      </c>
      <c r="I1316" s="51">
        <v>-52254</v>
      </c>
      <c r="J1316" s="51">
        <v>0</v>
      </c>
      <c r="K1316" s="51">
        <v>0</v>
      </c>
      <c r="L1316" s="51">
        <v>0</v>
      </c>
      <c r="M1316" s="51">
        <v>0</v>
      </c>
      <c r="N1316" s="51">
        <v>0</v>
      </c>
    </row>
    <row r="1317" spans="1:14" ht="15.75" x14ac:dyDescent="0.25">
      <c r="A1317" s="49" t="s">
        <v>525</v>
      </c>
      <c r="B1317" s="50" t="s">
        <v>55</v>
      </c>
      <c r="C1317" s="51">
        <v>117173</v>
      </c>
      <c r="D1317" s="51">
        <v>0</v>
      </c>
      <c r="E1317" s="51">
        <v>0</v>
      </c>
      <c r="F1317" s="51">
        <v>0</v>
      </c>
      <c r="G1317" s="51">
        <v>0</v>
      </c>
      <c r="H1317" s="51">
        <v>117173</v>
      </c>
      <c r="I1317" s="51">
        <v>-117173</v>
      </c>
      <c r="J1317" s="51">
        <v>0</v>
      </c>
      <c r="K1317" s="51">
        <v>0</v>
      </c>
      <c r="L1317" s="51">
        <v>0</v>
      </c>
      <c r="M1317" s="51">
        <v>0</v>
      </c>
      <c r="N1317" s="51">
        <v>0</v>
      </c>
    </row>
    <row r="1318" spans="1:14" ht="15.75" x14ac:dyDescent="0.25">
      <c r="A1318" s="52" t="s">
        <v>403</v>
      </c>
      <c r="B1318" s="53" t="s">
        <v>8</v>
      </c>
      <c r="C1318" s="19">
        <f>SUBTOTAL(109,Program304[(C)
Program
Costs])</f>
        <v>851828</v>
      </c>
      <c r="D1318" s="19">
        <f>SUBTOTAL(109,Program304[(D)
Prior Period Adjustments])</f>
        <v>-115</v>
      </c>
      <c r="E1318" s="19">
        <f>SUBTOTAL(109,Program304[(E)
Current Period Desk 
Reviews])</f>
        <v>0</v>
      </c>
      <c r="F1318" s="19">
        <f>SUBTOTAL(109,Program304[(F)
Current Period 
Final 
Audits])</f>
        <v>0</v>
      </c>
      <c r="G1318" s="19">
        <f>SUBTOTAL(109,Program304[(G)
Current Period 
Other Adjustments])</f>
        <v>0</v>
      </c>
      <c r="H1318" s="19">
        <f>SUBTOTAL(109,Program304[(H)
Net Program Costs
Sum (C through G)])</f>
        <v>851713</v>
      </c>
      <c r="I1318" s="19">
        <f>SUBTOTAL(109,Program304[(I)
Payments
 and Offsets])</f>
        <v>-512742</v>
      </c>
      <c r="J1318" s="19">
        <f>SUBTOTAL(109,Program304[(J)
Accounts Payable Balance
(H + I)])</f>
        <v>338971</v>
      </c>
      <c r="K1318" s="19">
        <f>SUBTOTAL(109,Program304[(K)
Established 
Accounts Receivable])</f>
        <v>0</v>
      </c>
      <c r="L1318" s="19">
        <f>SUBTOTAL(109,Program304[(L)
Recovered
 Accounts Receivable])</f>
        <v>0</v>
      </c>
      <c r="M1318" s="19">
        <f>SUBTOTAL(109,Program304[(M)
Accounts Receivable Balance
(K + L)])</f>
        <v>0</v>
      </c>
      <c r="N1318" s="19">
        <f>SUBTOTAL(109,Program304[(N)
Net Balance
(J minus M)])</f>
        <v>338971</v>
      </c>
    </row>
    <row r="1319" spans="1:14" ht="15.75" x14ac:dyDescent="0.25">
      <c r="A1319" s="17" t="s">
        <v>13</v>
      </c>
      <c r="B1319" s="54"/>
      <c r="C1319" s="55"/>
      <c r="D1319" s="55"/>
      <c r="E1319" s="55"/>
      <c r="F1319" s="55"/>
      <c r="G1319" s="55"/>
      <c r="H1319" s="55"/>
      <c r="I1319" s="55"/>
      <c r="J1319" s="55"/>
      <c r="K1319" s="55"/>
      <c r="L1319" s="55"/>
      <c r="M1319" s="55"/>
      <c r="N1319" s="55"/>
    </row>
    <row r="1320" spans="1:14" ht="78.75" x14ac:dyDescent="0.25">
      <c r="A1320" s="39" t="s">
        <v>32</v>
      </c>
      <c r="B1320" s="40" t="s">
        <v>33</v>
      </c>
      <c r="C1320" s="41" t="s">
        <v>34</v>
      </c>
      <c r="D1320" s="41" t="s">
        <v>35</v>
      </c>
      <c r="E1320" s="42" t="s">
        <v>36</v>
      </c>
      <c r="F1320" s="42" t="s">
        <v>37</v>
      </c>
      <c r="G1320" s="42" t="s">
        <v>38</v>
      </c>
      <c r="H1320" s="43" t="s">
        <v>39</v>
      </c>
      <c r="I1320" s="44" t="s">
        <v>40</v>
      </c>
      <c r="J1320" s="44" t="s">
        <v>41</v>
      </c>
      <c r="K1320" s="42" t="s">
        <v>42</v>
      </c>
      <c r="L1320" s="44" t="s">
        <v>43</v>
      </c>
      <c r="M1320" s="44" t="s">
        <v>44</v>
      </c>
      <c r="N1320" s="45" t="s">
        <v>45</v>
      </c>
    </row>
    <row r="1321" spans="1:14" ht="15.75" x14ac:dyDescent="0.25">
      <c r="A1321" s="46" t="s">
        <v>524</v>
      </c>
      <c r="B1321" s="47" t="s">
        <v>81</v>
      </c>
      <c r="C1321" s="48">
        <v>2455</v>
      </c>
      <c r="D1321" s="48">
        <v>0</v>
      </c>
      <c r="E1321" s="48">
        <v>0</v>
      </c>
      <c r="F1321" s="48">
        <v>0</v>
      </c>
      <c r="G1321" s="48">
        <v>0</v>
      </c>
      <c r="H1321" s="48">
        <v>2455</v>
      </c>
      <c r="I1321" s="48">
        <v>-2455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</row>
    <row r="1322" spans="1:14" ht="15.75" x14ac:dyDescent="0.25">
      <c r="A1322" s="49" t="s">
        <v>524</v>
      </c>
      <c r="B1322" s="50" t="s">
        <v>82</v>
      </c>
      <c r="C1322" s="51">
        <v>3331</v>
      </c>
      <c r="D1322" s="51">
        <v>0</v>
      </c>
      <c r="E1322" s="51">
        <v>0</v>
      </c>
      <c r="F1322" s="51">
        <v>0</v>
      </c>
      <c r="G1322" s="51">
        <v>0</v>
      </c>
      <c r="H1322" s="51">
        <v>3331</v>
      </c>
      <c r="I1322" s="51">
        <v>-1000</v>
      </c>
      <c r="J1322" s="51">
        <v>2331</v>
      </c>
      <c r="K1322" s="51">
        <v>0</v>
      </c>
      <c r="L1322" s="51">
        <v>0</v>
      </c>
      <c r="M1322" s="51">
        <v>0</v>
      </c>
      <c r="N1322" s="51">
        <v>2331</v>
      </c>
    </row>
    <row r="1323" spans="1:14" ht="15.75" x14ac:dyDescent="0.25">
      <c r="A1323" s="49" t="s">
        <v>524</v>
      </c>
      <c r="B1323" s="50" t="s">
        <v>83</v>
      </c>
      <c r="C1323" s="51">
        <v>30695</v>
      </c>
      <c r="D1323" s="51">
        <v>0</v>
      </c>
      <c r="E1323" s="51">
        <v>0</v>
      </c>
      <c r="F1323" s="51">
        <v>0</v>
      </c>
      <c r="G1323" s="51">
        <v>0</v>
      </c>
      <c r="H1323" s="51">
        <v>30695</v>
      </c>
      <c r="I1323" s="51">
        <v>-27192</v>
      </c>
      <c r="J1323" s="51">
        <v>3503</v>
      </c>
      <c r="K1323" s="51">
        <v>0</v>
      </c>
      <c r="L1323" s="51">
        <v>0</v>
      </c>
      <c r="M1323" s="51">
        <v>0</v>
      </c>
      <c r="N1323" s="51">
        <v>3503</v>
      </c>
    </row>
    <row r="1324" spans="1:14" ht="15.75" x14ac:dyDescent="0.25">
      <c r="A1324" s="49" t="s">
        <v>524</v>
      </c>
      <c r="B1324" s="50" t="s">
        <v>48</v>
      </c>
      <c r="C1324" s="51">
        <v>17779</v>
      </c>
      <c r="D1324" s="51">
        <v>0</v>
      </c>
      <c r="E1324" s="51">
        <v>0</v>
      </c>
      <c r="F1324" s="51">
        <v>0</v>
      </c>
      <c r="G1324" s="51">
        <v>0</v>
      </c>
      <c r="H1324" s="51">
        <v>17779</v>
      </c>
      <c r="I1324" s="51">
        <v>-17779</v>
      </c>
      <c r="J1324" s="51">
        <v>0</v>
      </c>
      <c r="K1324" s="51">
        <v>0</v>
      </c>
      <c r="L1324" s="51">
        <v>0</v>
      </c>
      <c r="M1324" s="51">
        <v>0</v>
      </c>
      <c r="N1324" s="51">
        <v>0</v>
      </c>
    </row>
    <row r="1325" spans="1:14" ht="15.75" x14ac:dyDescent="0.25">
      <c r="A1325" s="49" t="s">
        <v>524</v>
      </c>
      <c r="B1325" s="50" t="s">
        <v>49</v>
      </c>
      <c r="C1325" s="51">
        <v>17399</v>
      </c>
      <c r="D1325" s="51">
        <v>0</v>
      </c>
      <c r="E1325" s="51">
        <v>0</v>
      </c>
      <c r="F1325" s="51">
        <v>0</v>
      </c>
      <c r="G1325" s="51">
        <v>0</v>
      </c>
      <c r="H1325" s="51">
        <v>17399</v>
      </c>
      <c r="I1325" s="51">
        <v>-17399</v>
      </c>
      <c r="J1325" s="51">
        <v>0</v>
      </c>
      <c r="K1325" s="51">
        <v>0</v>
      </c>
      <c r="L1325" s="51">
        <v>0</v>
      </c>
      <c r="M1325" s="51">
        <v>0</v>
      </c>
      <c r="N1325" s="51">
        <v>0</v>
      </c>
    </row>
    <row r="1326" spans="1:14" ht="15.75" x14ac:dyDescent="0.25">
      <c r="A1326" s="49" t="s">
        <v>524</v>
      </c>
      <c r="B1326" s="50" t="s">
        <v>50</v>
      </c>
      <c r="C1326" s="51">
        <v>33394</v>
      </c>
      <c r="D1326" s="51">
        <v>0</v>
      </c>
      <c r="E1326" s="51">
        <v>0</v>
      </c>
      <c r="F1326" s="51">
        <v>0</v>
      </c>
      <c r="G1326" s="51">
        <v>0</v>
      </c>
      <c r="H1326" s="51">
        <v>33394</v>
      </c>
      <c r="I1326" s="51">
        <v>-32132</v>
      </c>
      <c r="J1326" s="51">
        <v>1262</v>
      </c>
      <c r="K1326" s="51">
        <v>0</v>
      </c>
      <c r="L1326" s="51">
        <v>0</v>
      </c>
      <c r="M1326" s="51">
        <v>0</v>
      </c>
      <c r="N1326" s="51">
        <v>1262</v>
      </c>
    </row>
    <row r="1327" spans="1:14" ht="15.75" x14ac:dyDescent="0.25">
      <c r="A1327" s="49" t="s">
        <v>524</v>
      </c>
      <c r="B1327" s="50" t="s">
        <v>51</v>
      </c>
      <c r="C1327" s="51">
        <v>52155</v>
      </c>
      <c r="D1327" s="51">
        <v>0</v>
      </c>
      <c r="E1327" s="51">
        <v>0</v>
      </c>
      <c r="F1327" s="51">
        <v>0</v>
      </c>
      <c r="G1327" s="51">
        <v>0</v>
      </c>
      <c r="H1327" s="51">
        <v>52155</v>
      </c>
      <c r="I1327" s="51">
        <v>-50686</v>
      </c>
      <c r="J1327" s="51">
        <v>1469</v>
      </c>
      <c r="K1327" s="51">
        <v>0</v>
      </c>
      <c r="L1327" s="51">
        <v>0</v>
      </c>
      <c r="M1327" s="51">
        <v>0</v>
      </c>
      <c r="N1327" s="51">
        <v>1469</v>
      </c>
    </row>
    <row r="1328" spans="1:14" ht="15.75" x14ac:dyDescent="0.25">
      <c r="A1328" s="49" t="s">
        <v>524</v>
      </c>
      <c r="B1328" s="50" t="s">
        <v>52</v>
      </c>
      <c r="C1328" s="51">
        <v>51925</v>
      </c>
      <c r="D1328" s="51">
        <v>0</v>
      </c>
      <c r="E1328" s="51">
        <v>0</v>
      </c>
      <c r="F1328" s="51">
        <v>0</v>
      </c>
      <c r="G1328" s="51">
        <v>0</v>
      </c>
      <c r="H1328" s="51">
        <v>51925</v>
      </c>
      <c r="I1328" s="51">
        <v>-51925</v>
      </c>
      <c r="J1328" s="51">
        <v>0</v>
      </c>
      <c r="K1328" s="51">
        <v>0</v>
      </c>
      <c r="L1328" s="51">
        <v>0</v>
      </c>
      <c r="M1328" s="51">
        <v>0</v>
      </c>
      <c r="N1328" s="51">
        <v>0</v>
      </c>
    </row>
    <row r="1329" spans="1:14" ht="15.75" x14ac:dyDescent="0.25">
      <c r="A1329" s="49" t="s">
        <v>524</v>
      </c>
      <c r="B1329" s="50" t="s">
        <v>53</v>
      </c>
      <c r="C1329" s="51">
        <v>43853</v>
      </c>
      <c r="D1329" s="51">
        <v>0</v>
      </c>
      <c r="E1329" s="51">
        <v>0</v>
      </c>
      <c r="F1329" s="51">
        <v>0</v>
      </c>
      <c r="G1329" s="51">
        <v>0</v>
      </c>
      <c r="H1329" s="51">
        <v>43853</v>
      </c>
      <c r="I1329" s="51">
        <v>-43853</v>
      </c>
      <c r="J1329" s="51">
        <v>0</v>
      </c>
      <c r="K1329" s="51">
        <v>0</v>
      </c>
      <c r="L1329" s="51">
        <v>0</v>
      </c>
      <c r="M1329" s="51">
        <v>0</v>
      </c>
      <c r="N1329" s="51">
        <v>0</v>
      </c>
    </row>
    <row r="1330" spans="1:14" ht="15.75" x14ac:dyDescent="0.25">
      <c r="A1330" s="49" t="s">
        <v>524</v>
      </c>
      <c r="B1330" s="50" t="s">
        <v>54</v>
      </c>
      <c r="C1330" s="51">
        <v>34552</v>
      </c>
      <c r="D1330" s="51">
        <v>0</v>
      </c>
      <c r="E1330" s="51">
        <v>0</v>
      </c>
      <c r="F1330" s="51">
        <v>0</v>
      </c>
      <c r="G1330" s="51">
        <v>0</v>
      </c>
      <c r="H1330" s="51">
        <v>34552</v>
      </c>
      <c r="I1330" s="51">
        <v>-32163</v>
      </c>
      <c r="J1330" s="51">
        <v>2389</v>
      </c>
      <c r="K1330" s="51">
        <v>0</v>
      </c>
      <c r="L1330" s="51">
        <v>0</v>
      </c>
      <c r="M1330" s="51">
        <v>0</v>
      </c>
      <c r="N1330" s="51">
        <v>2389</v>
      </c>
    </row>
    <row r="1331" spans="1:14" ht="15.75" x14ac:dyDescent="0.25">
      <c r="A1331" s="49" t="s">
        <v>524</v>
      </c>
      <c r="B1331" s="50" t="s">
        <v>55</v>
      </c>
      <c r="C1331" s="51">
        <v>25928</v>
      </c>
      <c r="D1331" s="51">
        <v>0</v>
      </c>
      <c r="E1331" s="51">
        <v>0</v>
      </c>
      <c r="F1331" s="51">
        <v>0</v>
      </c>
      <c r="G1331" s="51">
        <v>0</v>
      </c>
      <c r="H1331" s="51">
        <v>25928</v>
      </c>
      <c r="I1331" s="51">
        <v>-25928</v>
      </c>
      <c r="J1331" s="51">
        <v>0</v>
      </c>
      <c r="K1331" s="51">
        <v>0</v>
      </c>
      <c r="L1331" s="51">
        <v>0</v>
      </c>
      <c r="M1331" s="51">
        <v>0</v>
      </c>
      <c r="N1331" s="51">
        <v>0</v>
      </c>
    </row>
    <row r="1332" spans="1:14" ht="15.75" x14ac:dyDescent="0.25">
      <c r="A1332" s="49" t="s">
        <v>524</v>
      </c>
      <c r="B1332" s="50" t="s">
        <v>56</v>
      </c>
      <c r="C1332" s="51">
        <v>35450</v>
      </c>
      <c r="D1332" s="51">
        <v>0</v>
      </c>
      <c r="E1332" s="51">
        <v>0</v>
      </c>
      <c r="F1332" s="51">
        <v>0</v>
      </c>
      <c r="G1332" s="51">
        <v>0</v>
      </c>
      <c r="H1332" s="51">
        <v>35450</v>
      </c>
      <c r="I1332" s="51">
        <v>-35450</v>
      </c>
      <c r="J1332" s="51">
        <v>0</v>
      </c>
      <c r="K1332" s="51">
        <v>0</v>
      </c>
      <c r="L1332" s="51">
        <v>0</v>
      </c>
      <c r="M1332" s="51">
        <v>0</v>
      </c>
      <c r="N1332" s="51">
        <v>0</v>
      </c>
    </row>
    <row r="1333" spans="1:14" ht="15.75" x14ac:dyDescent="0.25">
      <c r="A1333" s="49" t="s">
        <v>524</v>
      </c>
      <c r="B1333" s="50" t="s">
        <v>57</v>
      </c>
      <c r="C1333" s="51">
        <v>19123</v>
      </c>
      <c r="D1333" s="51">
        <v>0</v>
      </c>
      <c r="E1333" s="51">
        <v>0</v>
      </c>
      <c r="F1333" s="51">
        <v>0</v>
      </c>
      <c r="G1333" s="51">
        <v>0</v>
      </c>
      <c r="H1333" s="51">
        <v>19123</v>
      </c>
      <c r="I1333" s="51">
        <v>-19123</v>
      </c>
      <c r="J1333" s="51">
        <v>0</v>
      </c>
      <c r="K1333" s="51">
        <v>0</v>
      </c>
      <c r="L1333" s="51">
        <v>0</v>
      </c>
      <c r="M1333" s="51">
        <v>0</v>
      </c>
      <c r="N1333" s="51">
        <v>0</v>
      </c>
    </row>
    <row r="1334" spans="1:14" ht="15.75" x14ac:dyDescent="0.25">
      <c r="A1334" s="52" t="s">
        <v>402</v>
      </c>
      <c r="B1334" s="53" t="s">
        <v>8</v>
      </c>
      <c r="C1334" s="19">
        <f>SUBTOTAL(109,Program335[(C)
Program
Costs])</f>
        <v>368039</v>
      </c>
      <c r="D1334" s="19">
        <f>SUBTOTAL(109,Program335[(D)
Prior Period Adjustments])</f>
        <v>0</v>
      </c>
      <c r="E1334" s="19">
        <f>SUBTOTAL(109,Program335[(E)
Current Period Desk 
Reviews])</f>
        <v>0</v>
      </c>
      <c r="F1334" s="19">
        <f>SUBTOTAL(109,Program335[(F)
Current Period 
Final 
Audits])</f>
        <v>0</v>
      </c>
      <c r="G1334" s="19">
        <f>SUBTOTAL(109,Program335[(G)
Current Period 
Other Adjustments])</f>
        <v>0</v>
      </c>
      <c r="H1334" s="19">
        <f>SUBTOTAL(109,Program335[(H)
Net Program Costs
Sum (C through G)])</f>
        <v>368039</v>
      </c>
      <c r="I1334" s="19">
        <f>SUBTOTAL(109,Program335[(I)
Payments
 and Offsets])</f>
        <v>-357085</v>
      </c>
      <c r="J1334" s="19">
        <f>SUBTOTAL(109,Program335[(J)
Accounts Payable Balance
(H + I)])</f>
        <v>10954</v>
      </c>
      <c r="K1334" s="19">
        <f>SUBTOTAL(109,Program335[(K)
Established 
Accounts Receivable])</f>
        <v>0</v>
      </c>
      <c r="L1334" s="19">
        <f>SUBTOTAL(109,Program335[(L)
Recovered
 Accounts Receivable])</f>
        <v>0</v>
      </c>
      <c r="M1334" s="19">
        <f>SUBTOTAL(109,Program335[(M)
Accounts Receivable Balance
(K + L)])</f>
        <v>0</v>
      </c>
      <c r="N1334" s="19">
        <f>SUBTOTAL(109,Program335[(N)
Net Balance
(J minus M)])</f>
        <v>10954</v>
      </c>
    </row>
    <row r="1335" spans="1:14" ht="15.75" x14ac:dyDescent="0.25">
      <c r="A1335" s="17" t="s">
        <v>13</v>
      </c>
      <c r="B1335" s="54"/>
      <c r="C1335" s="55"/>
      <c r="D1335" s="55"/>
      <c r="E1335" s="55"/>
      <c r="F1335" s="55"/>
      <c r="G1335" s="55"/>
      <c r="H1335" s="55"/>
      <c r="I1335" s="55"/>
      <c r="J1335" s="55"/>
      <c r="K1335" s="55"/>
      <c r="L1335" s="55"/>
      <c r="M1335" s="55"/>
      <c r="N1335" s="55"/>
    </row>
    <row r="1336" spans="1:14" ht="78.75" x14ac:dyDescent="0.25">
      <c r="A1336" s="39" t="s">
        <v>32</v>
      </c>
      <c r="B1336" s="40" t="s">
        <v>33</v>
      </c>
      <c r="C1336" s="41" t="s">
        <v>34</v>
      </c>
      <c r="D1336" s="41" t="s">
        <v>35</v>
      </c>
      <c r="E1336" s="42" t="s">
        <v>36</v>
      </c>
      <c r="F1336" s="42" t="s">
        <v>37</v>
      </c>
      <c r="G1336" s="42" t="s">
        <v>38</v>
      </c>
      <c r="H1336" s="43" t="s">
        <v>39</v>
      </c>
      <c r="I1336" s="44" t="s">
        <v>40</v>
      </c>
      <c r="J1336" s="44" t="s">
        <v>41</v>
      </c>
      <c r="K1336" s="42" t="s">
        <v>42</v>
      </c>
      <c r="L1336" s="44" t="s">
        <v>43</v>
      </c>
      <c r="M1336" s="44" t="s">
        <v>44</v>
      </c>
      <c r="N1336" s="45" t="s">
        <v>45</v>
      </c>
    </row>
    <row r="1337" spans="1:14" ht="30" x14ac:dyDescent="0.25">
      <c r="A1337" s="67" t="s">
        <v>523</v>
      </c>
      <c r="B1337" s="57" t="s">
        <v>76</v>
      </c>
      <c r="C1337" s="58">
        <v>253095</v>
      </c>
      <c r="D1337" s="58">
        <v>0</v>
      </c>
      <c r="E1337" s="58">
        <v>0</v>
      </c>
      <c r="F1337" s="58">
        <v>0</v>
      </c>
      <c r="G1337" s="58">
        <v>-401</v>
      </c>
      <c r="H1337" s="58">
        <v>252694</v>
      </c>
      <c r="I1337" s="58">
        <v>0</v>
      </c>
      <c r="J1337" s="58">
        <v>252694</v>
      </c>
      <c r="K1337" s="58">
        <v>0</v>
      </c>
      <c r="L1337" s="58">
        <v>0</v>
      </c>
      <c r="M1337" s="58">
        <v>0</v>
      </c>
      <c r="N1337" s="58">
        <v>252694</v>
      </c>
    </row>
    <row r="1338" spans="1:14" ht="30" x14ac:dyDescent="0.25">
      <c r="A1338" s="68" t="s">
        <v>523</v>
      </c>
      <c r="B1338" s="60" t="s">
        <v>77</v>
      </c>
      <c r="C1338" s="61">
        <v>635408</v>
      </c>
      <c r="D1338" s="61">
        <v>0</v>
      </c>
      <c r="E1338" s="61">
        <v>-12045</v>
      </c>
      <c r="F1338" s="61">
        <v>0</v>
      </c>
      <c r="G1338" s="61">
        <v>-292</v>
      </c>
      <c r="H1338" s="61">
        <v>623071</v>
      </c>
      <c r="I1338" s="61">
        <v>0</v>
      </c>
      <c r="J1338" s="61">
        <v>623071</v>
      </c>
      <c r="K1338" s="61">
        <v>0</v>
      </c>
      <c r="L1338" s="61">
        <v>0</v>
      </c>
      <c r="M1338" s="61">
        <v>0</v>
      </c>
      <c r="N1338" s="61">
        <v>623071</v>
      </c>
    </row>
    <row r="1339" spans="1:14" ht="30" x14ac:dyDescent="0.25">
      <c r="A1339" s="68" t="s">
        <v>523</v>
      </c>
      <c r="B1339" s="60" t="s">
        <v>78</v>
      </c>
      <c r="C1339" s="61">
        <v>930136</v>
      </c>
      <c r="D1339" s="61">
        <v>0</v>
      </c>
      <c r="E1339" s="61">
        <v>-1860</v>
      </c>
      <c r="F1339" s="61">
        <v>0</v>
      </c>
      <c r="G1339" s="61">
        <v>-523</v>
      </c>
      <c r="H1339" s="61">
        <v>927753</v>
      </c>
      <c r="I1339" s="61">
        <v>0</v>
      </c>
      <c r="J1339" s="61">
        <v>927753</v>
      </c>
      <c r="K1339" s="61">
        <v>0</v>
      </c>
      <c r="L1339" s="61">
        <v>0</v>
      </c>
      <c r="M1339" s="61">
        <v>0</v>
      </c>
      <c r="N1339" s="61">
        <v>927753</v>
      </c>
    </row>
    <row r="1340" spans="1:14" ht="15.75" x14ac:dyDescent="0.25">
      <c r="A1340" s="52" t="s">
        <v>401</v>
      </c>
      <c r="B1340" s="53" t="s">
        <v>8</v>
      </c>
      <c r="C1340" s="19">
        <f>SUBTOTAL(109,Program374[(C)
Program
Costs])</f>
        <v>1818639</v>
      </c>
      <c r="D1340" s="19">
        <f>SUBTOTAL(109,Program374[(D)
Prior Period Adjustments])</f>
        <v>0</v>
      </c>
      <c r="E1340" s="19">
        <f>SUBTOTAL(109,Program374[(E)
Current Period Desk 
Reviews])</f>
        <v>-13905</v>
      </c>
      <c r="F1340" s="19">
        <f>SUBTOTAL(109,Program374[(F)
Current Period 
Final 
Audits])</f>
        <v>0</v>
      </c>
      <c r="G1340" s="19">
        <f>SUBTOTAL(109,Program374[(G)
Current Period 
Other Adjustments])</f>
        <v>-1216</v>
      </c>
      <c r="H1340" s="19">
        <f>SUBTOTAL(109,Program374[(H)
Net Program Costs
Sum (C through G)])</f>
        <v>1803518</v>
      </c>
      <c r="I1340" s="19">
        <f>SUBTOTAL(109,Program374[(I)
Payments
 and Offsets])</f>
        <v>0</v>
      </c>
      <c r="J1340" s="19">
        <f>SUBTOTAL(109,Program374[(J)
Accounts Payable Balance
(H + I)])</f>
        <v>1803518</v>
      </c>
      <c r="K1340" s="19">
        <f>SUBTOTAL(109,Program374[(K)
Established 
Accounts Receivable])</f>
        <v>0</v>
      </c>
      <c r="L1340" s="19">
        <f>SUBTOTAL(109,Program374[(L)
Recovered
 Accounts Receivable])</f>
        <v>0</v>
      </c>
      <c r="M1340" s="19">
        <f>SUBTOTAL(109,Program374[(M)
Accounts Receivable Balance
(K + L)])</f>
        <v>0</v>
      </c>
      <c r="N1340" s="19">
        <f>SUBTOTAL(109,Program374[(N)
Net Balance
(J minus M)])</f>
        <v>1803518</v>
      </c>
    </row>
    <row r="1341" spans="1:14" ht="15.75" x14ac:dyDescent="0.25">
      <c r="A1341" s="17" t="s">
        <v>13</v>
      </c>
      <c r="B1341" s="54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</row>
    <row r="1342" spans="1:14" ht="78.75" x14ac:dyDescent="0.25">
      <c r="A1342" s="39" t="s">
        <v>32</v>
      </c>
      <c r="B1342" s="40" t="s">
        <v>33</v>
      </c>
      <c r="C1342" s="41" t="s">
        <v>34</v>
      </c>
      <c r="D1342" s="41" t="s">
        <v>35</v>
      </c>
      <c r="E1342" s="42" t="s">
        <v>36</v>
      </c>
      <c r="F1342" s="42" t="s">
        <v>37</v>
      </c>
      <c r="G1342" s="42" t="s">
        <v>38</v>
      </c>
      <c r="H1342" s="43" t="s">
        <v>39</v>
      </c>
      <c r="I1342" s="44" t="s">
        <v>40</v>
      </c>
      <c r="J1342" s="44" t="s">
        <v>41</v>
      </c>
      <c r="K1342" s="42" t="s">
        <v>42</v>
      </c>
      <c r="L1342" s="44" t="s">
        <v>43</v>
      </c>
      <c r="M1342" s="44" t="s">
        <v>44</v>
      </c>
      <c r="N1342" s="45" t="s">
        <v>45</v>
      </c>
    </row>
    <row r="1343" spans="1:14" ht="30" x14ac:dyDescent="0.25">
      <c r="A1343" s="67" t="s">
        <v>522</v>
      </c>
      <c r="B1343" s="57" t="s">
        <v>52</v>
      </c>
      <c r="C1343" s="58">
        <v>48961</v>
      </c>
      <c r="D1343" s="58">
        <v>-48961</v>
      </c>
      <c r="E1343" s="58">
        <v>0</v>
      </c>
      <c r="F1343" s="58">
        <v>0</v>
      </c>
      <c r="G1343" s="58">
        <v>0</v>
      </c>
      <c r="H1343" s="58">
        <v>0</v>
      </c>
      <c r="I1343" s="58">
        <v>0</v>
      </c>
      <c r="J1343" s="58">
        <v>0</v>
      </c>
      <c r="K1343" s="58">
        <v>0</v>
      </c>
      <c r="L1343" s="58">
        <v>0</v>
      </c>
      <c r="M1343" s="58">
        <v>0</v>
      </c>
      <c r="N1343" s="58">
        <v>0</v>
      </c>
    </row>
    <row r="1344" spans="1:14" ht="30" x14ac:dyDescent="0.25">
      <c r="A1344" s="68" t="s">
        <v>522</v>
      </c>
      <c r="B1344" s="60" t="s">
        <v>53</v>
      </c>
      <c r="C1344" s="61">
        <v>62338</v>
      </c>
      <c r="D1344" s="61">
        <v>-62338</v>
      </c>
      <c r="E1344" s="61">
        <v>0</v>
      </c>
      <c r="F1344" s="61">
        <v>0</v>
      </c>
      <c r="G1344" s="61">
        <v>0</v>
      </c>
      <c r="H1344" s="61">
        <v>0</v>
      </c>
      <c r="I1344" s="61">
        <v>0</v>
      </c>
      <c r="J1344" s="61">
        <v>0</v>
      </c>
      <c r="K1344" s="61">
        <v>154522</v>
      </c>
      <c r="L1344" s="61">
        <v>-150626</v>
      </c>
      <c r="M1344" s="61">
        <v>3896</v>
      </c>
      <c r="N1344" s="61">
        <v>-3896</v>
      </c>
    </row>
    <row r="1345" spans="1:14" ht="30" x14ac:dyDescent="0.25">
      <c r="A1345" s="68" t="s">
        <v>522</v>
      </c>
      <c r="B1345" s="60" t="s">
        <v>54</v>
      </c>
      <c r="C1345" s="61">
        <v>306984</v>
      </c>
      <c r="D1345" s="61">
        <v>-22770</v>
      </c>
      <c r="E1345" s="61">
        <v>0</v>
      </c>
      <c r="F1345" s="61">
        <v>0</v>
      </c>
      <c r="G1345" s="61">
        <v>0</v>
      </c>
      <c r="H1345" s="61">
        <v>284214</v>
      </c>
      <c r="I1345" s="61">
        <v>-284214</v>
      </c>
      <c r="J1345" s="61">
        <v>0</v>
      </c>
      <c r="K1345" s="61">
        <v>21795</v>
      </c>
      <c r="L1345" s="61">
        <v>0</v>
      </c>
      <c r="M1345" s="61">
        <v>21795</v>
      </c>
      <c r="N1345" s="61">
        <v>-21795</v>
      </c>
    </row>
    <row r="1346" spans="1:14" ht="30" x14ac:dyDescent="0.25">
      <c r="A1346" s="68" t="s">
        <v>522</v>
      </c>
      <c r="B1346" s="60" t="s">
        <v>55</v>
      </c>
      <c r="C1346" s="61">
        <v>1927515</v>
      </c>
      <c r="D1346" s="61">
        <v>-590</v>
      </c>
      <c r="E1346" s="61">
        <v>0</v>
      </c>
      <c r="F1346" s="61">
        <v>0</v>
      </c>
      <c r="G1346" s="61">
        <v>0</v>
      </c>
      <c r="H1346" s="61">
        <v>1926925</v>
      </c>
      <c r="I1346" s="61">
        <v>-1926925</v>
      </c>
      <c r="J1346" s="61">
        <v>0</v>
      </c>
      <c r="K1346" s="61">
        <v>0</v>
      </c>
      <c r="L1346" s="61">
        <v>0</v>
      </c>
      <c r="M1346" s="61">
        <v>0</v>
      </c>
      <c r="N1346" s="61">
        <v>0</v>
      </c>
    </row>
    <row r="1347" spans="1:14" ht="30" x14ac:dyDescent="0.25">
      <c r="A1347" s="68" t="s">
        <v>522</v>
      </c>
      <c r="B1347" s="60" t="s">
        <v>56</v>
      </c>
      <c r="C1347" s="61">
        <v>1878716</v>
      </c>
      <c r="D1347" s="61">
        <v>-330</v>
      </c>
      <c r="E1347" s="61">
        <v>0</v>
      </c>
      <c r="F1347" s="61">
        <v>0</v>
      </c>
      <c r="G1347" s="61">
        <v>0</v>
      </c>
      <c r="H1347" s="61">
        <v>1878386</v>
      </c>
      <c r="I1347" s="61">
        <v>-1878386</v>
      </c>
      <c r="J1347" s="61">
        <v>0</v>
      </c>
      <c r="K1347" s="61">
        <v>0</v>
      </c>
      <c r="L1347" s="61">
        <v>0</v>
      </c>
      <c r="M1347" s="61">
        <v>0</v>
      </c>
      <c r="N1347" s="61">
        <v>0</v>
      </c>
    </row>
    <row r="1348" spans="1:14" ht="30" x14ac:dyDescent="0.25">
      <c r="A1348" s="68" t="s">
        <v>522</v>
      </c>
      <c r="B1348" s="60" t="s">
        <v>57</v>
      </c>
      <c r="C1348" s="61">
        <v>2654526</v>
      </c>
      <c r="D1348" s="61">
        <v>-64602</v>
      </c>
      <c r="E1348" s="61">
        <v>0</v>
      </c>
      <c r="F1348" s="61">
        <v>0</v>
      </c>
      <c r="G1348" s="61">
        <v>0</v>
      </c>
      <c r="H1348" s="61">
        <v>2589924</v>
      </c>
      <c r="I1348" s="61">
        <v>-2589924</v>
      </c>
      <c r="J1348" s="61">
        <v>0</v>
      </c>
      <c r="K1348" s="61">
        <v>269837</v>
      </c>
      <c r="L1348" s="61">
        <v>-268611</v>
      </c>
      <c r="M1348" s="61">
        <v>1226</v>
      </c>
      <c r="N1348" s="61">
        <v>-1226</v>
      </c>
    </row>
    <row r="1349" spans="1:14" ht="30" x14ac:dyDescent="0.25">
      <c r="A1349" s="68" t="s">
        <v>522</v>
      </c>
      <c r="B1349" s="60" t="s">
        <v>58</v>
      </c>
      <c r="C1349" s="61">
        <v>2382405</v>
      </c>
      <c r="D1349" s="61">
        <v>-307675</v>
      </c>
      <c r="E1349" s="61">
        <v>0</v>
      </c>
      <c r="F1349" s="61">
        <v>0</v>
      </c>
      <c r="G1349" s="61">
        <v>0</v>
      </c>
      <c r="H1349" s="61">
        <v>2074730</v>
      </c>
      <c r="I1349" s="61">
        <v>-2074730</v>
      </c>
      <c r="J1349" s="61">
        <v>0</v>
      </c>
      <c r="K1349" s="61">
        <v>726603</v>
      </c>
      <c r="L1349" s="61">
        <v>-726603</v>
      </c>
      <c r="M1349" s="61">
        <v>0</v>
      </c>
      <c r="N1349" s="61">
        <v>0</v>
      </c>
    </row>
    <row r="1350" spans="1:14" ht="30" x14ac:dyDescent="0.25">
      <c r="A1350" s="68" t="s">
        <v>522</v>
      </c>
      <c r="B1350" s="60" t="s">
        <v>59</v>
      </c>
      <c r="C1350" s="61">
        <v>2653930</v>
      </c>
      <c r="D1350" s="61">
        <v>-3355</v>
      </c>
      <c r="E1350" s="61">
        <v>0</v>
      </c>
      <c r="F1350" s="61">
        <v>0</v>
      </c>
      <c r="G1350" s="61">
        <v>0</v>
      </c>
      <c r="H1350" s="61">
        <v>2650575</v>
      </c>
      <c r="I1350" s="61">
        <v>-2650575</v>
      </c>
      <c r="J1350" s="61">
        <v>0</v>
      </c>
      <c r="K1350" s="61">
        <v>276676</v>
      </c>
      <c r="L1350" s="61">
        <v>-276676</v>
      </c>
      <c r="M1350" s="61">
        <v>0</v>
      </c>
      <c r="N1350" s="61">
        <v>0</v>
      </c>
    </row>
    <row r="1351" spans="1:14" ht="30" x14ac:dyDescent="0.25">
      <c r="A1351" s="68" t="s">
        <v>522</v>
      </c>
      <c r="B1351" s="60" t="s">
        <v>60</v>
      </c>
      <c r="C1351" s="61">
        <v>1885941</v>
      </c>
      <c r="D1351" s="61">
        <v>-12981</v>
      </c>
      <c r="E1351" s="61">
        <v>0</v>
      </c>
      <c r="F1351" s="61">
        <v>0</v>
      </c>
      <c r="G1351" s="61">
        <v>0</v>
      </c>
      <c r="H1351" s="61">
        <v>1872960</v>
      </c>
      <c r="I1351" s="61">
        <v>-1872960</v>
      </c>
      <c r="J1351" s="61">
        <v>0</v>
      </c>
      <c r="K1351" s="61">
        <v>394754</v>
      </c>
      <c r="L1351" s="61">
        <v>-394754</v>
      </c>
      <c r="M1351" s="61">
        <v>0</v>
      </c>
      <c r="N1351" s="61">
        <v>0</v>
      </c>
    </row>
    <row r="1352" spans="1:14" ht="30" x14ac:dyDescent="0.25">
      <c r="A1352" s="68" t="s">
        <v>522</v>
      </c>
      <c r="B1352" s="60" t="s">
        <v>61</v>
      </c>
      <c r="C1352" s="61">
        <v>1668208</v>
      </c>
      <c r="D1352" s="61">
        <v>21635</v>
      </c>
      <c r="E1352" s="61">
        <v>0</v>
      </c>
      <c r="F1352" s="61">
        <v>0</v>
      </c>
      <c r="G1352" s="61">
        <v>0</v>
      </c>
      <c r="H1352" s="61">
        <v>1689843</v>
      </c>
      <c r="I1352" s="61">
        <v>-1689843</v>
      </c>
      <c r="J1352" s="61">
        <v>0</v>
      </c>
      <c r="K1352" s="61">
        <v>222807</v>
      </c>
      <c r="L1352" s="61">
        <v>-222807</v>
      </c>
      <c r="M1352" s="61">
        <v>0</v>
      </c>
      <c r="N1352" s="61">
        <v>0</v>
      </c>
    </row>
    <row r="1353" spans="1:14" ht="30" x14ac:dyDescent="0.25">
      <c r="A1353" s="68" t="s">
        <v>522</v>
      </c>
      <c r="B1353" s="60" t="s">
        <v>62</v>
      </c>
      <c r="C1353" s="61">
        <v>1048740</v>
      </c>
      <c r="D1353" s="61">
        <v>-16803</v>
      </c>
      <c r="E1353" s="61">
        <v>0</v>
      </c>
      <c r="F1353" s="61">
        <v>0</v>
      </c>
      <c r="G1353" s="61">
        <v>0</v>
      </c>
      <c r="H1353" s="61">
        <v>1031937</v>
      </c>
      <c r="I1353" s="61">
        <v>-1031937</v>
      </c>
      <c r="J1353" s="61">
        <v>0</v>
      </c>
      <c r="K1353" s="61">
        <v>65114</v>
      </c>
      <c r="L1353" s="61">
        <v>-65114</v>
      </c>
      <c r="M1353" s="61">
        <v>0</v>
      </c>
      <c r="N1353" s="61">
        <v>0</v>
      </c>
    </row>
    <row r="1354" spans="1:14" ht="30" x14ac:dyDescent="0.25">
      <c r="A1354" s="68" t="s">
        <v>522</v>
      </c>
      <c r="B1354" s="60" t="s">
        <v>63</v>
      </c>
      <c r="C1354" s="61">
        <v>726872</v>
      </c>
      <c r="D1354" s="61">
        <v>-8855</v>
      </c>
      <c r="E1354" s="61">
        <v>0</v>
      </c>
      <c r="F1354" s="61">
        <v>0</v>
      </c>
      <c r="G1354" s="61">
        <v>0</v>
      </c>
      <c r="H1354" s="61">
        <v>718017</v>
      </c>
      <c r="I1354" s="61">
        <v>-718017</v>
      </c>
      <c r="J1354" s="61">
        <v>0</v>
      </c>
      <c r="K1354" s="61">
        <v>30734</v>
      </c>
      <c r="L1354" s="61">
        <v>-30734</v>
      </c>
      <c r="M1354" s="61">
        <v>0</v>
      </c>
      <c r="N1354" s="61">
        <v>0</v>
      </c>
    </row>
    <row r="1355" spans="1:14" ht="30" x14ac:dyDescent="0.25">
      <c r="A1355" s="68" t="s">
        <v>522</v>
      </c>
      <c r="B1355" s="60" t="s">
        <v>64</v>
      </c>
      <c r="C1355" s="61">
        <v>552947</v>
      </c>
      <c r="D1355" s="61">
        <v>-8316</v>
      </c>
      <c r="E1355" s="61">
        <v>0</v>
      </c>
      <c r="F1355" s="61">
        <v>0</v>
      </c>
      <c r="G1355" s="61">
        <v>0</v>
      </c>
      <c r="H1355" s="61">
        <v>544631</v>
      </c>
      <c r="I1355" s="61">
        <v>-544631</v>
      </c>
      <c r="J1355" s="61">
        <v>0</v>
      </c>
      <c r="K1355" s="61">
        <v>3055</v>
      </c>
      <c r="L1355" s="61">
        <v>-2643</v>
      </c>
      <c r="M1355" s="61">
        <v>412</v>
      </c>
      <c r="N1355" s="61">
        <v>-412</v>
      </c>
    </row>
    <row r="1356" spans="1:14" ht="30" x14ac:dyDescent="0.25">
      <c r="A1356" s="68" t="s">
        <v>522</v>
      </c>
      <c r="B1356" s="60" t="s">
        <v>65</v>
      </c>
      <c r="C1356" s="61">
        <v>484037</v>
      </c>
      <c r="D1356" s="61">
        <v>-6604</v>
      </c>
      <c r="E1356" s="61">
        <v>0</v>
      </c>
      <c r="F1356" s="61">
        <v>0</v>
      </c>
      <c r="G1356" s="61">
        <v>0</v>
      </c>
      <c r="H1356" s="61">
        <v>477433</v>
      </c>
      <c r="I1356" s="61">
        <v>-477433</v>
      </c>
      <c r="J1356" s="61">
        <v>0</v>
      </c>
      <c r="K1356" s="61">
        <v>7960</v>
      </c>
      <c r="L1356" s="61">
        <v>-7960</v>
      </c>
      <c r="M1356" s="61">
        <v>0</v>
      </c>
      <c r="N1356" s="61">
        <v>0</v>
      </c>
    </row>
    <row r="1357" spans="1:14" ht="15.75" x14ac:dyDescent="0.25">
      <c r="A1357" s="52" t="s">
        <v>400</v>
      </c>
      <c r="B1357" s="53" t="s">
        <v>8</v>
      </c>
      <c r="C1357" s="19">
        <f>SUBTOTAL(109,Program151[(C)
Program
Costs])</f>
        <v>18282120</v>
      </c>
      <c r="D1357" s="19">
        <f>SUBTOTAL(109,Program151[(D)
Prior Period Adjustments])</f>
        <v>-542545</v>
      </c>
      <c r="E1357" s="19">
        <f>SUBTOTAL(109,Program151[(E)
Current Period Desk 
Reviews])</f>
        <v>0</v>
      </c>
      <c r="F1357" s="19">
        <f>SUBTOTAL(109,Program151[(F)
Current Period 
Final 
Audits])</f>
        <v>0</v>
      </c>
      <c r="G1357" s="19">
        <f>SUBTOTAL(109,Program151[(G)
Current Period 
Other Adjustments])</f>
        <v>0</v>
      </c>
      <c r="H1357" s="19">
        <f>SUBTOTAL(109,Program151[(H)
Net Program Costs
Sum (C through G)])</f>
        <v>17739575</v>
      </c>
      <c r="I1357" s="19">
        <f>SUBTOTAL(109,Program151[(I)
Payments
 and Offsets])</f>
        <v>-17739575</v>
      </c>
      <c r="J1357" s="19">
        <f>SUBTOTAL(109,Program151[(J)
Accounts Payable Balance
(H + I)])</f>
        <v>0</v>
      </c>
      <c r="K1357" s="19">
        <f>SUBTOTAL(109,Program151[(K)
Established 
Accounts Receivable])</f>
        <v>2173857</v>
      </c>
      <c r="L1357" s="19">
        <f>SUBTOTAL(109,Program151[(L)
Recovered
 Accounts Receivable])</f>
        <v>-2146528</v>
      </c>
      <c r="M1357" s="19">
        <f>SUBTOTAL(109,Program151[(M)
Accounts Receivable Balance
(K + L)])</f>
        <v>27329</v>
      </c>
      <c r="N1357" s="19">
        <f>SUBTOTAL(109,Program151[(N)
Net Balance
(J minus M)])</f>
        <v>-27329</v>
      </c>
    </row>
    <row r="1358" spans="1:14" ht="15.75" x14ac:dyDescent="0.25">
      <c r="A1358" s="17" t="s">
        <v>13</v>
      </c>
      <c r="B1358" s="54"/>
      <c r="C1358" s="55"/>
      <c r="D1358" s="55"/>
      <c r="E1358" s="55"/>
      <c r="F1358" s="55"/>
      <c r="G1358" s="55"/>
      <c r="H1358" s="55"/>
      <c r="I1358" s="55"/>
      <c r="J1358" s="55"/>
      <c r="K1358" s="55"/>
      <c r="L1358" s="55"/>
      <c r="M1358" s="55"/>
      <c r="N1358" s="55"/>
    </row>
    <row r="1359" spans="1:14" ht="78.75" x14ac:dyDescent="0.25">
      <c r="A1359" s="39" t="s">
        <v>32</v>
      </c>
      <c r="B1359" s="40" t="s">
        <v>33</v>
      </c>
      <c r="C1359" s="41" t="s">
        <v>34</v>
      </c>
      <c r="D1359" s="41" t="s">
        <v>35</v>
      </c>
      <c r="E1359" s="42" t="s">
        <v>36</v>
      </c>
      <c r="F1359" s="42" t="s">
        <v>37</v>
      </c>
      <c r="G1359" s="42" t="s">
        <v>38</v>
      </c>
      <c r="H1359" s="43" t="s">
        <v>39</v>
      </c>
      <c r="I1359" s="44" t="s">
        <v>40</v>
      </c>
      <c r="J1359" s="44" t="s">
        <v>41</v>
      </c>
      <c r="K1359" s="42" t="s">
        <v>42</v>
      </c>
      <c r="L1359" s="44" t="s">
        <v>43</v>
      </c>
      <c r="M1359" s="44" t="s">
        <v>44</v>
      </c>
      <c r="N1359" s="45" t="s">
        <v>45</v>
      </c>
    </row>
    <row r="1360" spans="1:14" ht="30" x14ac:dyDescent="0.25">
      <c r="A1360" s="67" t="s">
        <v>521</v>
      </c>
      <c r="B1360" s="57" t="s">
        <v>60</v>
      </c>
      <c r="C1360" s="58">
        <v>0</v>
      </c>
      <c r="D1360" s="58">
        <v>0</v>
      </c>
      <c r="E1360" s="58">
        <v>0</v>
      </c>
      <c r="F1360" s="58">
        <v>0</v>
      </c>
      <c r="G1360" s="58">
        <v>0</v>
      </c>
      <c r="H1360" s="58">
        <v>0</v>
      </c>
      <c r="I1360" s="58">
        <v>0</v>
      </c>
      <c r="J1360" s="58">
        <v>0</v>
      </c>
      <c r="K1360" s="58">
        <v>120605</v>
      </c>
      <c r="L1360" s="58">
        <v>-120605</v>
      </c>
      <c r="M1360" s="58">
        <v>0</v>
      </c>
      <c r="N1360" s="58">
        <v>0</v>
      </c>
    </row>
    <row r="1361" spans="1:14" ht="30" x14ac:dyDescent="0.25">
      <c r="A1361" s="68" t="s">
        <v>521</v>
      </c>
      <c r="B1361" s="60" t="s">
        <v>61</v>
      </c>
      <c r="C1361" s="61">
        <v>377740</v>
      </c>
      <c r="D1361" s="61">
        <v>4373</v>
      </c>
      <c r="E1361" s="61">
        <v>0</v>
      </c>
      <c r="F1361" s="61">
        <v>0</v>
      </c>
      <c r="G1361" s="61">
        <v>0</v>
      </c>
      <c r="H1361" s="61">
        <v>382113</v>
      </c>
      <c r="I1361" s="61">
        <v>-382113</v>
      </c>
      <c r="J1361" s="61">
        <v>0</v>
      </c>
      <c r="K1361" s="61">
        <v>219</v>
      </c>
      <c r="L1361" s="61">
        <v>-219</v>
      </c>
      <c r="M1361" s="61">
        <v>0</v>
      </c>
      <c r="N1361" s="61">
        <v>0</v>
      </c>
    </row>
    <row r="1362" spans="1:14" ht="30" x14ac:dyDescent="0.25">
      <c r="A1362" s="68" t="s">
        <v>521</v>
      </c>
      <c r="B1362" s="60" t="s">
        <v>62</v>
      </c>
      <c r="C1362" s="61">
        <v>464972</v>
      </c>
      <c r="D1362" s="61">
        <v>0</v>
      </c>
      <c r="E1362" s="61">
        <v>0</v>
      </c>
      <c r="F1362" s="61">
        <v>0</v>
      </c>
      <c r="G1362" s="61">
        <v>0</v>
      </c>
      <c r="H1362" s="61">
        <v>464972</v>
      </c>
      <c r="I1362" s="61">
        <v>-464972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</row>
    <row r="1363" spans="1:14" ht="30" x14ac:dyDescent="0.25">
      <c r="A1363" s="68" t="s">
        <v>521</v>
      </c>
      <c r="B1363" s="60" t="s">
        <v>63</v>
      </c>
      <c r="C1363" s="61">
        <v>461867</v>
      </c>
      <c r="D1363" s="61">
        <v>0</v>
      </c>
      <c r="E1363" s="61">
        <v>0</v>
      </c>
      <c r="F1363" s="61">
        <v>0</v>
      </c>
      <c r="G1363" s="61">
        <v>0</v>
      </c>
      <c r="H1363" s="61">
        <v>461867</v>
      </c>
      <c r="I1363" s="61">
        <v>-461867</v>
      </c>
      <c r="J1363" s="61">
        <v>0</v>
      </c>
      <c r="K1363" s="61">
        <v>0</v>
      </c>
      <c r="L1363" s="61">
        <v>0</v>
      </c>
      <c r="M1363" s="61">
        <v>0</v>
      </c>
      <c r="N1363" s="61">
        <v>0</v>
      </c>
    </row>
    <row r="1364" spans="1:14" ht="30" x14ac:dyDescent="0.25">
      <c r="A1364" s="68" t="s">
        <v>521</v>
      </c>
      <c r="B1364" s="60" t="s">
        <v>64</v>
      </c>
      <c r="C1364" s="61">
        <v>453791</v>
      </c>
      <c r="D1364" s="61">
        <v>0</v>
      </c>
      <c r="E1364" s="61">
        <v>0</v>
      </c>
      <c r="F1364" s="61">
        <v>0</v>
      </c>
      <c r="G1364" s="61">
        <v>0</v>
      </c>
      <c r="H1364" s="61">
        <v>453791</v>
      </c>
      <c r="I1364" s="61">
        <v>-453791</v>
      </c>
      <c r="J1364" s="61">
        <v>0</v>
      </c>
      <c r="K1364" s="61">
        <v>0</v>
      </c>
      <c r="L1364" s="61">
        <v>0</v>
      </c>
      <c r="M1364" s="61">
        <v>0</v>
      </c>
      <c r="N1364" s="61">
        <v>0</v>
      </c>
    </row>
    <row r="1365" spans="1:14" ht="30" x14ac:dyDescent="0.25">
      <c r="A1365" s="68" t="s">
        <v>521</v>
      </c>
      <c r="B1365" s="60" t="s">
        <v>65</v>
      </c>
      <c r="C1365" s="61">
        <v>431833</v>
      </c>
      <c r="D1365" s="61">
        <v>0</v>
      </c>
      <c r="E1365" s="61">
        <v>0</v>
      </c>
      <c r="F1365" s="61">
        <v>0</v>
      </c>
      <c r="G1365" s="61">
        <v>0</v>
      </c>
      <c r="H1365" s="61">
        <v>431833</v>
      </c>
      <c r="I1365" s="61">
        <v>-431833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</row>
    <row r="1366" spans="1:14" ht="15.75" x14ac:dyDescent="0.25">
      <c r="A1366" s="52" t="s">
        <v>399</v>
      </c>
      <c r="B1366" s="53" t="s">
        <v>8</v>
      </c>
      <c r="C1366" s="19">
        <f>SUBTOTAL(109,Program160[(C)
Program
Costs])</f>
        <v>2190203</v>
      </c>
      <c r="D1366" s="19">
        <f>SUBTOTAL(109,Program160[(D)
Prior Period Adjustments])</f>
        <v>4373</v>
      </c>
      <c r="E1366" s="19">
        <f>SUBTOTAL(109,Program160[(E)
Current Period Desk 
Reviews])</f>
        <v>0</v>
      </c>
      <c r="F1366" s="19">
        <f>SUBTOTAL(109,Program160[(F)
Current Period 
Final 
Audits])</f>
        <v>0</v>
      </c>
      <c r="G1366" s="19">
        <f>SUBTOTAL(109,Program160[(G)
Current Period 
Other Adjustments])</f>
        <v>0</v>
      </c>
      <c r="H1366" s="19">
        <f>SUBTOTAL(109,Program160[(H)
Net Program Costs
Sum (C through G)])</f>
        <v>2194576</v>
      </c>
      <c r="I1366" s="19">
        <f>SUBTOTAL(109,Program160[(I)
Payments
 and Offsets])</f>
        <v>-2194576</v>
      </c>
      <c r="J1366" s="19">
        <f>SUBTOTAL(109,Program160[(J)
Accounts Payable Balance
(H + I)])</f>
        <v>0</v>
      </c>
      <c r="K1366" s="19">
        <f>SUBTOTAL(109,Program160[(K)
Established 
Accounts Receivable])</f>
        <v>120824</v>
      </c>
      <c r="L1366" s="19">
        <f>SUBTOTAL(109,Program160[(L)
Recovered
 Accounts Receivable])</f>
        <v>-120824</v>
      </c>
      <c r="M1366" s="19">
        <f>SUBTOTAL(109,Program160[(M)
Accounts Receivable Balance
(K + L)])</f>
        <v>0</v>
      </c>
      <c r="N1366" s="19">
        <f>SUBTOTAL(109,Program160[(N)
Net Balance
(J minus M)])</f>
        <v>0</v>
      </c>
    </row>
    <row r="1367" spans="1:14" ht="15.75" x14ac:dyDescent="0.25">
      <c r="A1367" s="17" t="s">
        <v>13</v>
      </c>
      <c r="B1367" s="54"/>
      <c r="C1367" s="55"/>
      <c r="D1367" s="55"/>
      <c r="E1367" s="55"/>
      <c r="F1367" s="55"/>
      <c r="G1367" s="55"/>
      <c r="H1367" s="55"/>
      <c r="I1367" s="55"/>
      <c r="J1367" s="55"/>
      <c r="K1367" s="55"/>
      <c r="L1367" s="55"/>
      <c r="M1367" s="55"/>
      <c r="N1367" s="55"/>
    </row>
    <row r="1368" spans="1:14" ht="78.75" x14ac:dyDescent="0.25">
      <c r="A1368" s="39" t="s">
        <v>32</v>
      </c>
      <c r="B1368" s="40" t="s">
        <v>33</v>
      </c>
      <c r="C1368" s="41" t="s">
        <v>34</v>
      </c>
      <c r="D1368" s="41" t="s">
        <v>35</v>
      </c>
      <c r="E1368" s="42" t="s">
        <v>36</v>
      </c>
      <c r="F1368" s="42" t="s">
        <v>37</v>
      </c>
      <c r="G1368" s="42" t="s">
        <v>38</v>
      </c>
      <c r="H1368" s="43" t="s">
        <v>39</v>
      </c>
      <c r="I1368" s="44" t="s">
        <v>40</v>
      </c>
      <c r="J1368" s="44" t="s">
        <v>41</v>
      </c>
      <c r="K1368" s="42" t="s">
        <v>42</v>
      </c>
      <c r="L1368" s="44" t="s">
        <v>43</v>
      </c>
      <c r="M1368" s="44" t="s">
        <v>44</v>
      </c>
      <c r="N1368" s="45" t="s">
        <v>45</v>
      </c>
    </row>
    <row r="1369" spans="1:14" ht="15.75" x14ac:dyDescent="0.25">
      <c r="A1369" s="46" t="s">
        <v>520</v>
      </c>
      <c r="B1369" s="47" t="s">
        <v>51</v>
      </c>
      <c r="C1369" s="48">
        <v>60233</v>
      </c>
      <c r="D1369" s="48">
        <v>-60233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</row>
    <row r="1370" spans="1:14" ht="15.75" x14ac:dyDescent="0.25">
      <c r="A1370" s="49" t="s">
        <v>520</v>
      </c>
      <c r="B1370" s="50" t="s">
        <v>52</v>
      </c>
      <c r="C1370" s="51">
        <v>77882</v>
      </c>
      <c r="D1370" s="51">
        <v>-77882</v>
      </c>
      <c r="E1370" s="51">
        <v>0</v>
      </c>
      <c r="F1370" s="51">
        <v>0</v>
      </c>
      <c r="G1370" s="51">
        <v>0</v>
      </c>
      <c r="H1370" s="51">
        <v>0</v>
      </c>
      <c r="I1370" s="51">
        <v>0</v>
      </c>
      <c r="J1370" s="51">
        <v>0</v>
      </c>
      <c r="K1370" s="51">
        <v>0</v>
      </c>
      <c r="L1370" s="51">
        <v>0</v>
      </c>
      <c r="M1370" s="51">
        <v>0</v>
      </c>
      <c r="N1370" s="51">
        <v>0</v>
      </c>
    </row>
    <row r="1371" spans="1:14" ht="15.75" x14ac:dyDescent="0.25">
      <c r="A1371" s="49" t="s">
        <v>520</v>
      </c>
      <c r="B1371" s="50" t="s">
        <v>53</v>
      </c>
      <c r="C1371" s="51">
        <v>862618</v>
      </c>
      <c r="D1371" s="51">
        <v>-4080</v>
      </c>
      <c r="E1371" s="51">
        <v>0</v>
      </c>
      <c r="F1371" s="51">
        <v>0</v>
      </c>
      <c r="G1371" s="51">
        <v>0</v>
      </c>
      <c r="H1371" s="51">
        <v>858538</v>
      </c>
      <c r="I1371" s="51">
        <v>-858538</v>
      </c>
      <c r="J1371" s="51">
        <v>0</v>
      </c>
      <c r="K1371" s="51">
        <v>0</v>
      </c>
      <c r="L1371" s="51">
        <v>0</v>
      </c>
      <c r="M1371" s="51">
        <v>0</v>
      </c>
      <c r="N1371" s="51">
        <v>0</v>
      </c>
    </row>
    <row r="1372" spans="1:14" ht="15.75" x14ac:dyDescent="0.25">
      <c r="A1372" s="49" t="s">
        <v>520</v>
      </c>
      <c r="B1372" s="50" t="s">
        <v>54</v>
      </c>
      <c r="C1372" s="51">
        <v>2733453</v>
      </c>
      <c r="D1372" s="51">
        <v>-3850</v>
      </c>
      <c r="E1372" s="51">
        <v>0</v>
      </c>
      <c r="F1372" s="51">
        <v>0</v>
      </c>
      <c r="G1372" s="51">
        <v>0</v>
      </c>
      <c r="H1372" s="51">
        <v>2729603</v>
      </c>
      <c r="I1372" s="51">
        <v>-2729603</v>
      </c>
      <c r="J1372" s="51">
        <v>0</v>
      </c>
      <c r="K1372" s="51">
        <v>3259</v>
      </c>
      <c r="L1372" s="51">
        <v>0</v>
      </c>
      <c r="M1372" s="51">
        <v>3259</v>
      </c>
      <c r="N1372" s="51">
        <v>-3259</v>
      </c>
    </row>
    <row r="1373" spans="1:14" ht="15.75" x14ac:dyDescent="0.25">
      <c r="A1373" s="49" t="s">
        <v>520</v>
      </c>
      <c r="B1373" s="50" t="s">
        <v>55</v>
      </c>
      <c r="C1373" s="51">
        <v>531446</v>
      </c>
      <c r="D1373" s="51">
        <v>-4052</v>
      </c>
      <c r="E1373" s="51">
        <v>0</v>
      </c>
      <c r="F1373" s="51">
        <v>0</v>
      </c>
      <c r="G1373" s="51">
        <v>0</v>
      </c>
      <c r="H1373" s="51">
        <v>527394</v>
      </c>
      <c r="I1373" s="51">
        <v>-527394</v>
      </c>
      <c r="J1373" s="51">
        <v>0</v>
      </c>
      <c r="K1373" s="51">
        <v>0</v>
      </c>
      <c r="L1373" s="51">
        <v>0</v>
      </c>
      <c r="M1373" s="51">
        <v>0</v>
      </c>
      <c r="N1373" s="51">
        <v>0</v>
      </c>
    </row>
    <row r="1374" spans="1:14" ht="15.75" x14ac:dyDescent="0.25">
      <c r="A1374" s="49" t="s">
        <v>520</v>
      </c>
      <c r="B1374" s="50" t="s">
        <v>56</v>
      </c>
      <c r="C1374" s="51">
        <v>537404</v>
      </c>
      <c r="D1374" s="51">
        <v>-601</v>
      </c>
      <c r="E1374" s="51">
        <v>0</v>
      </c>
      <c r="F1374" s="51">
        <v>0</v>
      </c>
      <c r="G1374" s="51">
        <v>0</v>
      </c>
      <c r="H1374" s="51">
        <v>536803</v>
      </c>
      <c r="I1374" s="51">
        <v>-536803</v>
      </c>
      <c r="J1374" s="51">
        <v>0</v>
      </c>
      <c r="K1374" s="51">
        <v>0</v>
      </c>
      <c r="L1374" s="51">
        <v>0</v>
      </c>
      <c r="M1374" s="51">
        <v>0</v>
      </c>
      <c r="N1374" s="51">
        <v>0</v>
      </c>
    </row>
    <row r="1375" spans="1:14" ht="15.75" x14ac:dyDescent="0.25">
      <c r="A1375" s="49" t="s">
        <v>520</v>
      </c>
      <c r="B1375" s="50" t="s">
        <v>57</v>
      </c>
      <c r="C1375" s="51">
        <v>1378219</v>
      </c>
      <c r="D1375" s="51">
        <v>-7600</v>
      </c>
      <c r="E1375" s="51">
        <v>0</v>
      </c>
      <c r="F1375" s="51">
        <v>0</v>
      </c>
      <c r="G1375" s="51">
        <v>0</v>
      </c>
      <c r="H1375" s="51">
        <v>1370619</v>
      </c>
      <c r="I1375" s="51">
        <v>-1370619</v>
      </c>
      <c r="J1375" s="51">
        <v>0</v>
      </c>
      <c r="K1375" s="51">
        <v>30647</v>
      </c>
      <c r="L1375" s="51">
        <v>-30647</v>
      </c>
      <c r="M1375" s="51">
        <v>0</v>
      </c>
      <c r="N1375" s="51">
        <v>0</v>
      </c>
    </row>
    <row r="1376" spans="1:14" ht="15.75" x14ac:dyDescent="0.25">
      <c r="A1376" s="49" t="s">
        <v>520</v>
      </c>
      <c r="B1376" s="50" t="s">
        <v>58</v>
      </c>
      <c r="C1376" s="51">
        <v>1332026</v>
      </c>
      <c r="D1376" s="51">
        <v>-519714</v>
      </c>
      <c r="E1376" s="51">
        <v>0</v>
      </c>
      <c r="F1376" s="51">
        <v>0</v>
      </c>
      <c r="G1376" s="51">
        <v>0</v>
      </c>
      <c r="H1376" s="51">
        <v>812312</v>
      </c>
      <c r="I1376" s="51">
        <v>-812312</v>
      </c>
      <c r="J1376" s="51">
        <v>0</v>
      </c>
      <c r="K1376" s="51">
        <v>1646971</v>
      </c>
      <c r="L1376" s="51">
        <v>-1646971</v>
      </c>
      <c r="M1376" s="51">
        <v>0</v>
      </c>
      <c r="N1376" s="51">
        <v>0</v>
      </c>
    </row>
    <row r="1377" spans="1:14" ht="15.75" x14ac:dyDescent="0.25">
      <c r="A1377" s="49" t="s">
        <v>520</v>
      </c>
      <c r="B1377" s="50" t="s">
        <v>59</v>
      </c>
      <c r="C1377" s="51">
        <v>1933929</v>
      </c>
      <c r="D1377" s="51">
        <v>-1134838</v>
      </c>
      <c r="E1377" s="51">
        <v>0</v>
      </c>
      <c r="F1377" s="51">
        <v>0</v>
      </c>
      <c r="G1377" s="51">
        <v>0</v>
      </c>
      <c r="H1377" s="51">
        <v>799091</v>
      </c>
      <c r="I1377" s="51">
        <v>-799091</v>
      </c>
      <c r="J1377" s="51">
        <v>0</v>
      </c>
      <c r="K1377" s="51">
        <v>1181772</v>
      </c>
      <c r="L1377" s="51">
        <v>-1181772</v>
      </c>
      <c r="M1377" s="51">
        <v>0</v>
      </c>
      <c r="N1377" s="51">
        <v>0</v>
      </c>
    </row>
    <row r="1378" spans="1:14" ht="15.75" x14ac:dyDescent="0.25">
      <c r="A1378" s="49" t="s">
        <v>520</v>
      </c>
      <c r="B1378" s="50" t="s">
        <v>60</v>
      </c>
      <c r="C1378" s="51">
        <v>2040650</v>
      </c>
      <c r="D1378" s="51">
        <v>-2543</v>
      </c>
      <c r="E1378" s="51">
        <v>0</v>
      </c>
      <c r="F1378" s="51">
        <v>0</v>
      </c>
      <c r="G1378" s="51">
        <v>0</v>
      </c>
      <c r="H1378" s="51">
        <v>2038107</v>
      </c>
      <c r="I1378" s="51">
        <v>-2038107</v>
      </c>
      <c r="J1378" s="51">
        <v>0</v>
      </c>
      <c r="K1378" s="51">
        <v>1443695</v>
      </c>
      <c r="L1378" s="51">
        <v>-1443695</v>
      </c>
      <c r="M1378" s="51">
        <v>0</v>
      </c>
      <c r="N1378" s="51">
        <v>0</v>
      </c>
    </row>
    <row r="1379" spans="1:14" ht="15.75" x14ac:dyDescent="0.25">
      <c r="A1379" s="49" t="s">
        <v>520</v>
      </c>
      <c r="B1379" s="50" t="s">
        <v>61</v>
      </c>
      <c r="C1379" s="51">
        <v>1780757</v>
      </c>
      <c r="D1379" s="51">
        <v>-41764</v>
      </c>
      <c r="E1379" s="51">
        <v>0</v>
      </c>
      <c r="F1379" s="51">
        <v>0</v>
      </c>
      <c r="G1379" s="51">
        <v>0</v>
      </c>
      <c r="H1379" s="51">
        <v>1738993</v>
      </c>
      <c r="I1379" s="51">
        <v>-1738993</v>
      </c>
      <c r="J1379" s="51">
        <v>0</v>
      </c>
      <c r="K1379" s="51">
        <v>12755</v>
      </c>
      <c r="L1379" s="51">
        <v>-12755</v>
      </c>
      <c r="M1379" s="51">
        <v>0</v>
      </c>
      <c r="N1379" s="51">
        <v>0</v>
      </c>
    </row>
    <row r="1380" spans="1:14" ht="15.75" x14ac:dyDescent="0.25">
      <c r="A1380" s="49" t="s">
        <v>520</v>
      </c>
      <c r="B1380" s="50" t="s">
        <v>62</v>
      </c>
      <c r="C1380" s="51">
        <v>395421</v>
      </c>
      <c r="D1380" s="51">
        <v>-83657</v>
      </c>
      <c r="E1380" s="51">
        <v>0</v>
      </c>
      <c r="F1380" s="51">
        <v>0</v>
      </c>
      <c r="G1380" s="51">
        <v>0</v>
      </c>
      <c r="H1380" s="51">
        <v>311764</v>
      </c>
      <c r="I1380" s="51">
        <v>-311764</v>
      </c>
      <c r="J1380" s="51">
        <v>0</v>
      </c>
      <c r="K1380" s="51">
        <v>0</v>
      </c>
      <c r="L1380" s="51">
        <v>0</v>
      </c>
      <c r="M1380" s="51">
        <v>0</v>
      </c>
      <c r="N1380" s="51">
        <v>0</v>
      </c>
    </row>
    <row r="1381" spans="1:14" ht="15.75" x14ac:dyDescent="0.25">
      <c r="A1381" s="49" t="s">
        <v>520</v>
      </c>
      <c r="B1381" s="50" t="s">
        <v>63</v>
      </c>
      <c r="C1381" s="51">
        <v>378327</v>
      </c>
      <c r="D1381" s="51">
        <v>-102353</v>
      </c>
      <c r="E1381" s="51">
        <v>0</v>
      </c>
      <c r="F1381" s="51">
        <v>0</v>
      </c>
      <c r="G1381" s="51">
        <v>0</v>
      </c>
      <c r="H1381" s="51">
        <v>275974</v>
      </c>
      <c r="I1381" s="51">
        <v>-275974</v>
      </c>
      <c r="J1381" s="51">
        <v>0</v>
      </c>
      <c r="K1381" s="51">
        <v>0</v>
      </c>
      <c r="L1381" s="51">
        <v>0</v>
      </c>
      <c r="M1381" s="51">
        <v>0</v>
      </c>
      <c r="N1381" s="51">
        <v>0</v>
      </c>
    </row>
    <row r="1382" spans="1:14" ht="15.75" x14ac:dyDescent="0.25">
      <c r="A1382" s="49" t="s">
        <v>520</v>
      </c>
      <c r="B1382" s="50" t="s">
        <v>64</v>
      </c>
      <c r="C1382" s="51">
        <v>352084</v>
      </c>
      <c r="D1382" s="51">
        <v>-97369</v>
      </c>
      <c r="E1382" s="51">
        <v>0</v>
      </c>
      <c r="F1382" s="51">
        <v>0</v>
      </c>
      <c r="G1382" s="51">
        <v>0</v>
      </c>
      <c r="H1382" s="51">
        <v>254715</v>
      </c>
      <c r="I1382" s="51">
        <v>-254715</v>
      </c>
      <c r="J1382" s="51">
        <v>0</v>
      </c>
      <c r="K1382" s="51">
        <v>0</v>
      </c>
      <c r="L1382" s="51">
        <v>0</v>
      </c>
      <c r="M1382" s="51">
        <v>0</v>
      </c>
      <c r="N1382" s="51">
        <v>0</v>
      </c>
    </row>
    <row r="1383" spans="1:14" ht="15.75" x14ac:dyDescent="0.25">
      <c r="A1383" s="49" t="s">
        <v>520</v>
      </c>
      <c r="B1383" s="50" t="s">
        <v>65</v>
      </c>
      <c r="C1383" s="51">
        <v>334777</v>
      </c>
      <c r="D1383" s="51">
        <v>-88069</v>
      </c>
      <c r="E1383" s="51">
        <v>0</v>
      </c>
      <c r="F1383" s="51">
        <v>0</v>
      </c>
      <c r="G1383" s="51">
        <v>0</v>
      </c>
      <c r="H1383" s="51">
        <v>246708</v>
      </c>
      <c r="I1383" s="51">
        <v>-246708</v>
      </c>
      <c r="J1383" s="51">
        <v>0</v>
      </c>
      <c r="K1383" s="51">
        <v>0</v>
      </c>
      <c r="L1383" s="51">
        <v>0</v>
      </c>
      <c r="M1383" s="51">
        <v>0</v>
      </c>
      <c r="N1383" s="51">
        <v>0</v>
      </c>
    </row>
    <row r="1384" spans="1:14" ht="15.75" x14ac:dyDescent="0.25">
      <c r="A1384" s="52" t="s">
        <v>398</v>
      </c>
      <c r="B1384" s="53" t="s">
        <v>8</v>
      </c>
      <c r="C1384" s="19">
        <f>SUBTOTAL(109,Program165[(C)
Program
Costs])</f>
        <v>14729226</v>
      </c>
      <c r="D1384" s="19">
        <f>SUBTOTAL(109,Program165[(D)
Prior Period Adjustments])</f>
        <v>-2228605</v>
      </c>
      <c r="E1384" s="19">
        <f>SUBTOTAL(109,Program165[(E)
Current Period Desk 
Reviews])</f>
        <v>0</v>
      </c>
      <c r="F1384" s="19">
        <f>SUBTOTAL(109,Program165[(F)
Current Period 
Final 
Audits])</f>
        <v>0</v>
      </c>
      <c r="G1384" s="19">
        <f>SUBTOTAL(109,Program165[(G)
Current Period 
Other Adjustments])</f>
        <v>0</v>
      </c>
      <c r="H1384" s="19">
        <f>SUBTOTAL(109,Program165[(H)
Net Program Costs
Sum (C through G)])</f>
        <v>12500621</v>
      </c>
      <c r="I1384" s="19">
        <f>SUBTOTAL(109,Program165[(I)
Payments
 and Offsets])</f>
        <v>-12500621</v>
      </c>
      <c r="J1384" s="19">
        <f>SUBTOTAL(109,Program165[(J)
Accounts Payable Balance
(H + I)])</f>
        <v>0</v>
      </c>
      <c r="K1384" s="19">
        <f>SUBTOTAL(109,Program165[(K)
Established 
Accounts Receivable])</f>
        <v>4319099</v>
      </c>
      <c r="L1384" s="19">
        <f>SUBTOTAL(109,Program165[(L)
Recovered
 Accounts Receivable])</f>
        <v>-4315840</v>
      </c>
      <c r="M1384" s="19">
        <f>SUBTOTAL(109,Program165[(M)
Accounts Receivable Balance
(K + L)])</f>
        <v>3259</v>
      </c>
      <c r="N1384" s="19">
        <f>SUBTOTAL(109,Program165[(N)
Net Balance
(J minus M)])</f>
        <v>-3259</v>
      </c>
    </row>
    <row r="1385" spans="1:14" ht="15.75" x14ac:dyDescent="0.25">
      <c r="A1385" s="17" t="s">
        <v>13</v>
      </c>
      <c r="B1385" s="54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</row>
    <row r="1386" spans="1:14" ht="78.75" x14ac:dyDescent="0.25">
      <c r="A1386" s="39" t="s">
        <v>32</v>
      </c>
      <c r="B1386" s="40" t="s">
        <v>33</v>
      </c>
      <c r="C1386" s="41" t="s">
        <v>34</v>
      </c>
      <c r="D1386" s="41" t="s">
        <v>35</v>
      </c>
      <c r="E1386" s="42" t="s">
        <v>36</v>
      </c>
      <c r="F1386" s="42" t="s">
        <v>37</v>
      </c>
      <c r="G1386" s="42" t="s">
        <v>38</v>
      </c>
      <c r="H1386" s="43" t="s">
        <v>39</v>
      </c>
      <c r="I1386" s="44" t="s">
        <v>40</v>
      </c>
      <c r="J1386" s="44" t="s">
        <v>41</v>
      </c>
      <c r="K1386" s="42" t="s">
        <v>42</v>
      </c>
      <c r="L1386" s="44" t="s">
        <v>43</v>
      </c>
      <c r="M1386" s="44" t="s">
        <v>44</v>
      </c>
      <c r="N1386" s="45" t="s">
        <v>45</v>
      </c>
    </row>
    <row r="1387" spans="1:14" ht="45" x14ac:dyDescent="0.25">
      <c r="A1387" s="67" t="s">
        <v>519</v>
      </c>
      <c r="B1387" s="57" t="s">
        <v>51</v>
      </c>
      <c r="C1387" s="58">
        <v>2467</v>
      </c>
      <c r="D1387" s="58">
        <v>-2467</v>
      </c>
      <c r="E1387" s="58">
        <v>0</v>
      </c>
      <c r="F1387" s="58">
        <v>0</v>
      </c>
      <c r="G1387" s="58">
        <v>0</v>
      </c>
      <c r="H1387" s="58">
        <v>0</v>
      </c>
      <c r="I1387" s="58">
        <v>0</v>
      </c>
      <c r="J1387" s="58">
        <v>0</v>
      </c>
      <c r="K1387" s="58">
        <v>0</v>
      </c>
      <c r="L1387" s="58">
        <v>0</v>
      </c>
      <c r="M1387" s="58">
        <v>0</v>
      </c>
      <c r="N1387" s="58">
        <v>0</v>
      </c>
    </row>
    <row r="1388" spans="1:14" ht="45" x14ac:dyDescent="0.25">
      <c r="A1388" s="68" t="s">
        <v>519</v>
      </c>
      <c r="B1388" s="60" t="s">
        <v>52</v>
      </c>
      <c r="C1388" s="61">
        <v>152334</v>
      </c>
      <c r="D1388" s="61">
        <v>-152334</v>
      </c>
      <c r="E1388" s="61">
        <v>0</v>
      </c>
      <c r="F1388" s="61">
        <v>0</v>
      </c>
      <c r="G1388" s="61">
        <v>0</v>
      </c>
      <c r="H1388" s="61">
        <v>0</v>
      </c>
      <c r="I1388" s="61">
        <v>0</v>
      </c>
      <c r="J1388" s="61">
        <v>0</v>
      </c>
      <c r="K1388" s="61">
        <v>0</v>
      </c>
      <c r="L1388" s="61">
        <v>0</v>
      </c>
      <c r="M1388" s="61">
        <v>0</v>
      </c>
      <c r="N1388" s="61">
        <v>0</v>
      </c>
    </row>
    <row r="1389" spans="1:14" ht="45" x14ac:dyDescent="0.25">
      <c r="A1389" s="68" t="s">
        <v>519</v>
      </c>
      <c r="B1389" s="60" t="s">
        <v>53</v>
      </c>
      <c r="C1389" s="61">
        <v>4330766</v>
      </c>
      <c r="D1389" s="61">
        <v>-19985</v>
      </c>
      <c r="E1389" s="61">
        <v>0</v>
      </c>
      <c r="F1389" s="61">
        <v>0</v>
      </c>
      <c r="G1389" s="61">
        <v>0</v>
      </c>
      <c r="H1389" s="61">
        <v>4310781</v>
      </c>
      <c r="I1389" s="61">
        <v>-3965770</v>
      </c>
      <c r="J1389" s="61">
        <v>345011</v>
      </c>
      <c r="K1389" s="61">
        <v>0</v>
      </c>
      <c r="L1389" s="61">
        <v>0</v>
      </c>
      <c r="M1389" s="61">
        <v>0</v>
      </c>
      <c r="N1389" s="61">
        <v>345011</v>
      </c>
    </row>
    <row r="1390" spans="1:14" ht="45" x14ac:dyDescent="0.25">
      <c r="A1390" s="68" t="s">
        <v>519</v>
      </c>
      <c r="B1390" s="60" t="s">
        <v>54</v>
      </c>
      <c r="C1390" s="61">
        <v>3877309</v>
      </c>
      <c r="D1390" s="61">
        <v>-15203</v>
      </c>
      <c r="E1390" s="61">
        <v>0</v>
      </c>
      <c r="F1390" s="61">
        <v>0</v>
      </c>
      <c r="G1390" s="61">
        <v>0</v>
      </c>
      <c r="H1390" s="61">
        <v>3862106</v>
      </c>
      <c r="I1390" s="61">
        <v>-3774564</v>
      </c>
      <c r="J1390" s="61">
        <v>87542</v>
      </c>
      <c r="K1390" s="61">
        <v>0</v>
      </c>
      <c r="L1390" s="61">
        <v>0</v>
      </c>
      <c r="M1390" s="61">
        <v>0</v>
      </c>
      <c r="N1390" s="61">
        <v>87542</v>
      </c>
    </row>
    <row r="1391" spans="1:14" ht="45" x14ac:dyDescent="0.25">
      <c r="A1391" s="68" t="s">
        <v>519</v>
      </c>
      <c r="B1391" s="60" t="s">
        <v>55</v>
      </c>
      <c r="C1391" s="61">
        <v>3548094</v>
      </c>
      <c r="D1391" s="61">
        <v>-3412</v>
      </c>
      <c r="E1391" s="61">
        <v>0</v>
      </c>
      <c r="F1391" s="61">
        <v>0</v>
      </c>
      <c r="G1391" s="61">
        <v>0</v>
      </c>
      <c r="H1391" s="61">
        <v>3544682</v>
      </c>
      <c r="I1391" s="61">
        <v>-3484857</v>
      </c>
      <c r="J1391" s="61">
        <v>59825</v>
      </c>
      <c r="K1391" s="61">
        <v>0</v>
      </c>
      <c r="L1391" s="61">
        <v>0</v>
      </c>
      <c r="M1391" s="61">
        <v>0</v>
      </c>
      <c r="N1391" s="61">
        <v>59825</v>
      </c>
    </row>
    <row r="1392" spans="1:14" ht="45" x14ac:dyDescent="0.25">
      <c r="A1392" s="68" t="s">
        <v>519</v>
      </c>
      <c r="B1392" s="60" t="s">
        <v>56</v>
      </c>
      <c r="C1392" s="61">
        <v>2713730</v>
      </c>
      <c r="D1392" s="61">
        <v>-2425</v>
      </c>
      <c r="E1392" s="61">
        <v>0</v>
      </c>
      <c r="F1392" s="61">
        <v>0</v>
      </c>
      <c r="G1392" s="61">
        <v>0</v>
      </c>
      <c r="H1392" s="61">
        <v>2711305</v>
      </c>
      <c r="I1392" s="61">
        <v>-2687237</v>
      </c>
      <c r="J1392" s="61">
        <v>24068</v>
      </c>
      <c r="K1392" s="61">
        <v>0</v>
      </c>
      <c r="L1392" s="61">
        <v>0</v>
      </c>
      <c r="M1392" s="61">
        <v>0</v>
      </c>
      <c r="N1392" s="61">
        <v>24068</v>
      </c>
    </row>
    <row r="1393" spans="1:14" ht="45" x14ac:dyDescent="0.25">
      <c r="A1393" s="68" t="s">
        <v>519</v>
      </c>
      <c r="B1393" s="60" t="s">
        <v>57</v>
      </c>
      <c r="C1393" s="61">
        <v>2443332</v>
      </c>
      <c r="D1393" s="61">
        <v>-2280</v>
      </c>
      <c r="E1393" s="61">
        <v>0</v>
      </c>
      <c r="F1393" s="61">
        <v>0</v>
      </c>
      <c r="G1393" s="61">
        <v>0</v>
      </c>
      <c r="H1393" s="61">
        <v>2441052</v>
      </c>
      <c r="I1393" s="61">
        <v>-2438012</v>
      </c>
      <c r="J1393" s="61">
        <v>3040</v>
      </c>
      <c r="K1393" s="61">
        <v>0</v>
      </c>
      <c r="L1393" s="61">
        <v>0</v>
      </c>
      <c r="M1393" s="61">
        <v>0</v>
      </c>
      <c r="N1393" s="61">
        <v>3040</v>
      </c>
    </row>
    <row r="1394" spans="1:14" ht="45" x14ac:dyDescent="0.25">
      <c r="A1394" s="68" t="s">
        <v>519</v>
      </c>
      <c r="B1394" s="60" t="s">
        <v>58</v>
      </c>
      <c r="C1394" s="61">
        <v>2332017</v>
      </c>
      <c r="D1394" s="61">
        <v>-3149</v>
      </c>
      <c r="E1394" s="61">
        <v>0</v>
      </c>
      <c r="F1394" s="61">
        <v>0</v>
      </c>
      <c r="G1394" s="61">
        <v>0</v>
      </c>
      <c r="H1394" s="61">
        <v>2328868</v>
      </c>
      <c r="I1394" s="61">
        <v>-2328868</v>
      </c>
      <c r="J1394" s="61">
        <v>0</v>
      </c>
      <c r="K1394" s="61">
        <v>0</v>
      </c>
      <c r="L1394" s="61">
        <v>0</v>
      </c>
      <c r="M1394" s="61">
        <v>0</v>
      </c>
      <c r="N1394" s="61">
        <v>0</v>
      </c>
    </row>
    <row r="1395" spans="1:14" ht="45" x14ac:dyDescent="0.25">
      <c r="A1395" s="68" t="s">
        <v>519</v>
      </c>
      <c r="B1395" s="60" t="s">
        <v>59</v>
      </c>
      <c r="C1395" s="61">
        <v>1766818</v>
      </c>
      <c r="D1395" s="61">
        <v>-2189</v>
      </c>
      <c r="E1395" s="61">
        <v>0</v>
      </c>
      <c r="F1395" s="61">
        <v>0</v>
      </c>
      <c r="G1395" s="61">
        <v>0</v>
      </c>
      <c r="H1395" s="61">
        <v>1764629</v>
      </c>
      <c r="I1395" s="61">
        <v>-1764629</v>
      </c>
      <c r="J1395" s="61">
        <v>0</v>
      </c>
      <c r="K1395" s="61">
        <v>0</v>
      </c>
      <c r="L1395" s="61">
        <v>0</v>
      </c>
      <c r="M1395" s="61">
        <v>0</v>
      </c>
      <c r="N1395" s="61">
        <v>0</v>
      </c>
    </row>
    <row r="1396" spans="1:14" ht="45" x14ac:dyDescent="0.25">
      <c r="A1396" s="68" t="s">
        <v>519</v>
      </c>
      <c r="B1396" s="60" t="s">
        <v>60</v>
      </c>
      <c r="C1396" s="61">
        <v>1998310</v>
      </c>
      <c r="D1396" s="61">
        <v>-1825</v>
      </c>
      <c r="E1396" s="61">
        <v>0</v>
      </c>
      <c r="F1396" s="61">
        <v>0</v>
      </c>
      <c r="G1396" s="61">
        <v>0</v>
      </c>
      <c r="H1396" s="61">
        <v>1996485</v>
      </c>
      <c r="I1396" s="61">
        <v>-1996485</v>
      </c>
      <c r="J1396" s="61">
        <v>0</v>
      </c>
      <c r="K1396" s="61">
        <v>0</v>
      </c>
      <c r="L1396" s="61">
        <v>0</v>
      </c>
      <c r="M1396" s="61">
        <v>0</v>
      </c>
      <c r="N1396" s="61">
        <v>0</v>
      </c>
    </row>
    <row r="1397" spans="1:14" ht="45" x14ac:dyDescent="0.25">
      <c r="A1397" s="68" t="s">
        <v>519</v>
      </c>
      <c r="B1397" s="60" t="s">
        <v>61</v>
      </c>
      <c r="C1397" s="61">
        <v>1556226</v>
      </c>
      <c r="D1397" s="61">
        <v>-1808</v>
      </c>
      <c r="E1397" s="61">
        <v>0</v>
      </c>
      <c r="F1397" s="61">
        <v>0</v>
      </c>
      <c r="G1397" s="61">
        <v>0</v>
      </c>
      <c r="H1397" s="61">
        <v>1554418</v>
      </c>
      <c r="I1397" s="61">
        <v>-1554418</v>
      </c>
      <c r="J1397" s="61">
        <v>0</v>
      </c>
      <c r="K1397" s="61">
        <v>0</v>
      </c>
      <c r="L1397" s="61">
        <v>0</v>
      </c>
      <c r="M1397" s="61">
        <v>0</v>
      </c>
      <c r="N1397" s="61">
        <v>0</v>
      </c>
    </row>
    <row r="1398" spans="1:14" ht="45" x14ac:dyDescent="0.25">
      <c r="A1398" s="68" t="s">
        <v>519</v>
      </c>
      <c r="B1398" s="60" t="s">
        <v>62</v>
      </c>
      <c r="C1398" s="61">
        <v>1474991</v>
      </c>
      <c r="D1398" s="61">
        <v>-851</v>
      </c>
      <c r="E1398" s="61">
        <v>0</v>
      </c>
      <c r="F1398" s="61">
        <v>0</v>
      </c>
      <c r="G1398" s="61">
        <v>0</v>
      </c>
      <c r="H1398" s="61">
        <v>1474140</v>
      </c>
      <c r="I1398" s="61">
        <v>-1474140</v>
      </c>
      <c r="J1398" s="61">
        <v>0</v>
      </c>
      <c r="K1398" s="61">
        <v>0</v>
      </c>
      <c r="L1398" s="61">
        <v>0</v>
      </c>
      <c r="M1398" s="61">
        <v>0</v>
      </c>
      <c r="N1398" s="61">
        <v>0</v>
      </c>
    </row>
    <row r="1399" spans="1:14" ht="45" x14ac:dyDescent="0.25">
      <c r="A1399" s="68" t="s">
        <v>519</v>
      </c>
      <c r="B1399" s="60" t="s">
        <v>63</v>
      </c>
      <c r="C1399" s="61">
        <v>1507123</v>
      </c>
      <c r="D1399" s="61">
        <v>-2069</v>
      </c>
      <c r="E1399" s="61">
        <v>0</v>
      </c>
      <c r="F1399" s="61">
        <v>0</v>
      </c>
      <c r="G1399" s="61">
        <v>0</v>
      </c>
      <c r="H1399" s="61">
        <v>1505054</v>
      </c>
      <c r="I1399" s="61">
        <v>-1505054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</row>
    <row r="1400" spans="1:14" ht="45" x14ac:dyDescent="0.25">
      <c r="A1400" s="68" t="s">
        <v>519</v>
      </c>
      <c r="B1400" s="60" t="s">
        <v>64</v>
      </c>
      <c r="C1400" s="61">
        <v>1396950</v>
      </c>
      <c r="D1400" s="61">
        <v>-2233</v>
      </c>
      <c r="E1400" s="61">
        <v>0</v>
      </c>
      <c r="F1400" s="61">
        <v>0</v>
      </c>
      <c r="G1400" s="61">
        <v>0</v>
      </c>
      <c r="H1400" s="61">
        <v>1394717</v>
      </c>
      <c r="I1400" s="61">
        <v>-1394717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</row>
    <row r="1401" spans="1:14" ht="45" x14ac:dyDescent="0.25">
      <c r="A1401" s="68" t="s">
        <v>519</v>
      </c>
      <c r="B1401" s="60" t="s">
        <v>65</v>
      </c>
      <c r="C1401" s="61">
        <v>1217335</v>
      </c>
      <c r="D1401" s="61">
        <v>-968</v>
      </c>
      <c r="E1401" s="61">
        <v>0</v>
      </c>
      <c r="F1401" s="61">
        <v>0</v>
      </c>
      <c r="G1401" s="61">
        <v>0</v>
      </c>
      <c r="H1401" s="61">
        <v>1216367</v>
      </c>
      <c r="I1401" s="61">
        <v>-1216367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</row>
    <row r="1402" spans="1:14" ht="15.75" x14ac:dyDescent="0.25">
      <c r="A1402" s="52" t="s">
        <v>397</v>
      </c>
      <c r="B1402" s="53" t="s">
        <v>8</v>
      </c>
      <c r="C1402" s="19">
        <f>SUBTOTAL(109,Program271[(C)
Program
Costs])</f>
        <v>30317802</v>
      </c>
      <c r="D1402" s="19">
        <f>SUBTOTAL(109,Program271[(D)
Prior Period Adjustments])</f>
        <v>-213198</v>
      </c>
      <c r="E1402" s="19">
        <f>SUBTOTAL(109,Program271[(E)
Current Period Desk 
Reviews])</f>
        <v>0</v>
      </c>
      <c r="F1402" s="19">
        <f>SUBTOTAL(109,Program271[(F)
Current Period 
Final 
Audits])</f>
        <v>0</v>
      </c>
      <c r="G1402" s="19">
        <f>SUBTOTAL(109,Program271[(G)
Current Period 
Other Adjustments])</f>
        <v>0</v>
      </c>
      <c r="H1402" s="19">
        <f>SUBTOTAL(109,Program271[(H)
Net Program Costs
Sum (C through G)])</f>
        <v>30104604</v>
      </c>
      <c r="I1402" s="19">
        <f>SUBTOTAL(109,Program271[(I)
Payments
 and Offsets])</f>
        <v>-29585118</v>
      </c>
      <c r="J1402" s="19">
        <f>SUBTOTAL(109,Program271[(J)
Accounts Payable Balance
(H + I)])</f>
        <v>519486</v>
      </c>
      <c r="K1402" s="19">
        <f>SUBTOTAL(109,Program271[(K)
Established 
Accounts Receivable])</f>
        <v>0</v>
      </c>
      <c r="L1402" s="19">
        <f>SUBTOTAL(109,Program271[(L)
Recovered
 Accounts Receivable])</f>
        <v>0</v>
      </c>
      <c r="M1402" s="19">
        <f>SUBTOTAL(109,Program271[(M)
Accounts Receivable Balance
(K + L)])</f>
        <v>0</v>
      </c>
      <c r="N1402" s="19">
        <f>SUBTOTAL(109,Program271[(N)
Net Balance
(J minus M)])</f>
        <v>519486</v>
      </c>
    </row>
    <row r="1403" spans="1:14" ht="15.75" x14ac:dyDescent="0.25">
      <c r="A1403" s="17" t="s">
        <v>13</v>
      </c>
      <c r="B1403" s="54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</row>
    <row r="1404" spans="1:14" ht="78.75" x14ac:dyDescent="0.25">
      <c r="A1404" s="39" t="s">
        <v>32</v>
      </c>
      <c r="B1404" s="40" t="s">
        <v>33</v>
      </c>
      <c r="C1404" s="41" t="s">
        <v>34</v>
      </c>
      <c r="D1404" s="41" t="s">
        <v>35</v>
      </c>
      <c r="E1404" s="42" t="s">
        <v>36</v>
      </c>
      <c r="F1404" s="42" t="s">
        <v>37</v>
      </c>
      <c r="G1404" s="42" t="s">
        <v>38</v>
      </c>
      <c r="H1404" s="43" t="s">
        <v>39</v>
      </c>
      <c r="I1404" s="44" t="s">
        <v>40</v>
      </c>
      <c r="J1404" s="44" t="s">
        <v>41</v>
      </c>
      <c r="K1404" s="42" t="s">
        <v>42</v>
      </c>
      <c r="L1404" s="44" t="s">
        <v>43</v>
      </c>
      <c r="M1404" s="44" t="s">
        <v>44</v>
      </c>
      <c r="N1404" s="45" t="s">
        <v>45</v>
      </c>
    </row>
    <row r="1405" spans="1:14" ht="45" x14ac:dyDescent="0.25">
      <c r="A1405" s="67" t="s">
        <v>518</v>
      </c>
      <c r="B1405" s="57" t="s">
        <v>63</v>
      </c>
      <c r="C1405" s="58">
        <v>256620</v>
      </c>
      <c r="D1405" s="58">
        <v>0</v>
      </c>
      <c r="E1405" s="58">
        <v>0</v>
      </c>
      <c r="F1405" s="58">
        <v>0</v>
      </c>
      <c r="G1405" s="58">
        <v>0</v>
      </c>
      <c r="H1405" s="58">
        <v>256620</v>
      </c>
      <c r="I1405" s="58">
        <v>-256620</v>
      </c>
      <c r="J1405" s="58">
        <v>0</v>
      </c>
      <c r="K1405" s="58">
        <v>0</v>
      </c>
      <c r="L1405" s="58">
        <v>0</v>
      </c>
      <c r="M1405" s="58">
        <v>0</v>
      </c>
      <c r="N1405" s="58">
        <v>0</v>
      </c>
    </row>
    <row r="1406" spans="1:14" ht="15.75" x14ac:dyDescent="0.25">
      <c r="A1406" s="52" t="s">
        <v>396</v>
      </c>
      <c r="B1406" s="53" t="s">
        <v>8</v>
      </c>
      <c r="C1406" s="19">
        <f>SUBTOTAL(109,Program325[(C)
Program
Costs])</f>
        <v>256620</v>
      </c>
      <c r="D1406" s="19">
        <f>SUBTOTAL(109,Program325[(D)
Prior Period Adjustments])</f>
        <v>0</v>
      </c>
      <c r="E1406" s="19">
        <f>SUBTOTAL(109,Program325[(E)
Current Period Desk 
Reviews])</f>
        <v>0</v>
      </c>
      <c r="F1406" s="19">
        <f>SUBTOTAL(109,Program325[(F)
Current Period 
Final 
Audits])</f>
        <v>0</v>
      </c>
      <c r="G1406" s="19">
        <f>SUBTOTAL(109,Program325[(G)
Current Period 
Other Adjustments])</f>
        <v>0</v>
      </c>
      <c r="H1406" s="19">
        <f>SUBTOTAL(109,Program325[(H)
Net Program Costs
Sum (C through G)])</f>
        <v>256620</v>
      </c>
      <c r="I1406" s="19">
        <f>SUBTOTAL(109,Program325[(I)
Payments
 and Offsets])</f>
        <v>-256620</v>
      </c>
      <c r="J1406" s="19">
        <f>SUBTOTAL(109,Program325[(J)
Accounts Payable Balance
(H + I)])</f>
        <v>0</v>
      </c>
      <c r="K1406" s="19">
        <f>SUBTOTAL(109,Program325[(K)
Established 
Accounts Receivable])</f>
        <v>0</v>
      </c>
      <c r="L1406" s="19">
        <f>SUBTOTAL(109,Program325[(L)
Recovered
 Accounts Receivable])</f>
        <v>0</v>
      </c>
      <c r="M1406" s="19">
        <f>SUBTOTAL(109,Program325[(M)
Accounts Receivable Balance
(K + L)])</f>
        <v>0</v>
      </c>
      <c r="N1406" s="19">
        <f>SUBTOTAL(109,Program325[(N)
Net Balance
(J minus M)])</f>
        <v>0</v>
      </c>
    </row>
    <row r="1407" spans="1:14" ht="15.75" x14ac:dyDescent="0.25">
      <c r="A1407" s="17" t="s">
        <v>13</v>
      </c>
      <c r="B1407" s="54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78.75" x14ac:dyDescent="0.25">
      <c r="A1408" s="39" t="s">
        <v>32</v>
      </c>
      <c r="B1408" s="40" t="s">
        <v>33</v>
      </c>
      <c r="C1408" s="41" t="s">
        <v>34</v>
      </c>
      <c r="D1408" s="41" t="s">
        <v>35</v>
      </c>
      <c r="E1408" s="42" t="s">
        <v>36</v>
      </c>
      <c r="F1408" s="42" t="s">
        <v>37</v>
      </c>
      <c r="G1408" s="42" t="s">
        <v>38</v>
      </c>
      <c r="H1408" s="43" t="s">
        <v>39</v>
      </c>
      <c r="I1408" s="44" t="s">
        <v>40</v>
      </c>
      <c r="J1408" s="44" t="s">
        <v>41</v>
      </c>
      <c r="K1408" s="42" t="s">
        <v>42</v>
      </c>
      <c r="L1408" s="44" t="s">
        <v>43</v>
      </c>
      <c r="M1408" s="44" t="s">
        <v>44</v>
      </c>
      <c r="N1408" s="45" t="s">
        <v>45</v>
      </c>
    </row>
    <row r="1409" spans="1:14" ht="45" x14ac:dyDescent="0.25">
      <c r="A1409" s="67" t="s">
        <v>517</v>
      </c>
      <c r="B1409" s="57" t="s">
        <v>62</v>
      </c>
      <c r="C1409" s="58">
        <v>349636</v>
      </c>
      <c r="D1409" s="58">
        <v>-134</v>
      </c>
      <c r="E1409" s="58">
        <v>0</v>
      </c>
      <c r="F1409" s="58">
        <v>0</v>
      </c>
      <c r="G1409" s="58">
        <v>0</v>
      </c>
      <c r="H1409" s="58">
        <v>349502</v>
      </c>
      <c r="I1409" s="58">
        <v>-349502</v>
      </c>
      <c r="J1409" s="58">
        <v>0</v>
      </c>
      <c r="K1409" s="58">
        <v>0</v>
      </c>
      <c r="L1409" s="58">
        <v>0</v>
      </c>
      <c r="M1409" s="58">
        <v>0</v>
      </c>
      <c r="N1409" s="58">
        <v>0</v>
      </c>
    </row>
    <row r="1410" spans="1:14" ht="15.75" x14ac:dyDescent="0.25">
      <c r="A1410" s="52" t="s">
        <v>395</v>
      </c>
      <c r="B1410" s="53" t="s">
        <v>8</v>
      </c>
      <c r="C1410" s="19">
        <f>SUBTOTAL(109,Program326[(C)
Program
Costs])</f>
        <v>349636</v>
      </c>
      <c r="D1410" s="19">
        <f>SUBTOTAL(109,Program326[(D)
Prior Period Adjustments])</f>
        <v>-134</v>
      </c>
      <c r="E1410" s="19">
        <f>SUBTOTAL(109,Program326[(E)
Current Period Desk 
Reviews])</f>
        <v>0</v>
      </c>
      <c r="F1410" s="19">
        <f>SUBTOTAL(109,Program326[(F)
Current Period 
Final 
Audits])</f>
        <v>0</v>
      </c>
      <c r="G1410" s="19">
        <f>SUBTOTAL(109,Program326[(G)
Current Period 
Other Adjustments])</f>
        <v>0</v>
      </c>
      <c r="H1410" s="19">
        <f>SUBTOTAL(109,Program326[(H)
Net Program Costs
Sum (C through G)])</f>
        <v>349502</v>
      </c>
      <c r="I1410" s="19">
        <f>SUBTOTAL(109,Program326[(I)
Payments
 and Offsets])</f>
        <v>-349502</v>
      </c>
      <c r="J1410" s="19">
        <f>SUBTOTAL(109,Program326[(J)
Accounts Payable Balance
(H + I)])</f>
        <v>0</v>
      </c>
      <c r="K1410" s="19">
        <f>SUBTOTAL(109,Program326[(K)
Established 
Accounts Receivable])</f>
        <v>0</v>
      </c>
      <c r="L1410" s="19">
        <f>SUBTOTAL(109,Program326[(L)
Recovered
 Accounts Receivable])</f>
        <v>0</v>
      </c>
      <c r="M1410" s="19">
        <f>SUBTOTAL(109,Program326[(M)
Accounts Receivable Balance
(K + L)])</f>
        <v>0</v>
      </c>
      <c r="N1410" s="19">
        <f>SUBTOTAL(109,Program326[(N)
Net Balance
(J minus M)])</f>
        <v>0</v>
      </c>
    </row>
    <row r="1411" spans="1:14" ht="15.75" x14ac:dyDescent="0.25">
      <c r="A1411" s="17" t="s">
        <v>13</v>
      </c>
      <c r="B1411" s="54"/>
      <c r="C1411" s="55"/>
      <c r="D1411" s="55"/>
      <c r="E1411" s="55"/>
      <c r="F1411" s="55"/>
      <c r="G1411" s="55"/>
      <c r="H1411" s="55"/>
      <c r="I1411" s="55"/>
      <c r="J1411" s="55"/>
      <c r="K1411" s="55"/>
      <c r="L1411" s="55"/>
      <c r="M1411" s="55"/>
      <c r="N1411" s="55"/>
    </row>
    <row r="1412" spans="1:14" ht="78.75" x14ac:dyDescent="0.25">
      <c r="A1412" s="39" t="s">
        <v>32</v>
      </c>
      <c r="B1412" s="40" t="s">
        <v>33</v>
      </c>
      <c r="C1412" s="41" t="s">
        <v>34</v>
      </c>
      <c r="D1412" s="41" t="s">
        <v>35</v>
      </c>
      <c r="E1412" s="42" t="s">
        <v>36</v>
      </c>
      <c r="F1412" s="42" t="s">
        <v>37</v>
      </c>
      <c r="G1412" s="42" t="s">
        <v>38</v>
      </c>
      <c r="H1412" s="43" t="s">
        <v>39</v>
      </c>
      <c r="I1412" s="44" t="s">
        <v>40</v>
      </c>
      <c r="J1412" s="44" t="s">
        <v>41</v>
      </c>
      <c r="K1412" s="42" t="s">
        <v>42</v>
      </c>
      <c r="L1412" s="44" t="s">
        <v>43</v>
      </c>
      <c r="M1412" s="44" t="s">
        <v>44</v>
      </c>
      <c r="N1412" s="45" t="s">
        <v>45</v>
      </c>
    </row>
    <row r="1413" spans="1:14" ht="45" x14ac:dyDescent="0.25">
      <c r="A1413" s="67" t="s">
        <v>516</v>
      </c>
      <c r="B1413" s="57" t="s">
        <v>60</v>
      </c>
      <c r="C1413" s="58">
        <v>385979</v>
      </c>
      <c r="D1413" s="58">
        <v>-120</v>
      </c>
      <c r="E1413" s="58">
        <v>0</v>
      </c>
      <c r="F1413" s="58">
        <v>0</v>
      </c>
      <c r="G1413" s="58">
        <v>0</v>
      </c>
      <c r="H1413" s="58">
        <v>385859</v>
      </c>
      <c r="I1413" s="58">
        <v>-385859</v>
      </c>
      <c r="J1413" s="58">
        <v>0</v>
      </c>
      <c r="K1413" s="58">
        <v>0</v>
      </c>
      <c r="L1413" s="58">
        <v>0</v>
      </c>
      <c r="M1413" s="58">
        <v>0</v>
      </c>
      <c r="N1413" s="58">
        <v>0</v>
      </c>
    </row>
    <row r="1414" spans="1:14" ht="45" x14ac:dyDescent="0.25">
      <c r="A1414" s="68" t="s">
        <v>516</v>
      </c>
      <c r="B1414" s="60" t="s">
        <v>61</v>
      </c>
      <c r="C1414" s="61">
        <v>357943</v>
      </c>
      <c r="D1414" s="61">
        <v>-117</v>
      </c>
      <c r="E1414" s="61">
        <v>0</v>
      </c>
      <c r="F1414" s="61">
        <v>0</v>
      </c>
      <c r="G1414" s="61">
        <v>0</v>
      </c>
      <c r="H1414" s="61">
        <v>357826</v>
      </c>
      <c r="I1414" s="61">
        <v>-357826</v>
      </c>
      <c r="J1414" s="61">
        <v>0</v>
      </c>
      <c r="K1414" s="61">
        <v>0</v>
      </c>
      <c r="L1414" s="61">
        <v>0</v>
      </c>
      <c r="M1414" s="61">
        <v>0</v>
      </c>
      <c r="N1414" s="61">
        <v>0</v>
      </c>
    </row>
    <row r="1415" spans="1:14" ht="15.75" x14ac:dyDescent="0.25">
      <c r="A1415" s="52" t="s">
        <v>394</v>
      </c>
      <c r="B1415" s="53" t="s">
        <v>8</v>
      </c>
      <c r="C1415" s="19">
        <f>SUBTOTAL(109,Program327[(C)
Program
Costs])</f>
        <v>743922</v>
      </c>
      <c r="D1415" s="19">
        <f>SUBTOTAL(109,Program327[(D)
Prior Period Adjustments])</f>
        <v>-237</v>
      </c>
      <c r="E1415" s="19">
        <f>SUBTOTAL(109,Program327[(E)
Current Period Desk 
Reviews])</f>
        <v>0</v>
      </c>
      <c r="F1415" s="19">
        <f>SUBTOTAL(109,Program327[(F)
Current Period 
Final 
Audits])</f>
        <v>0</v>
      </c>
      <c r="G1415" s="19">
        <f>SUBTOTAL(109,Program327[(G)
Current Period 
Other Adjustments])</f>
        <v>0</v>
      </c>
      <c r="H1415" s="19">
        <f>SUBTOTAL(109,Program327[(H)
Net Program Costs
Sum (C through G)])</f>
        <v>743685</v>
      </c>
      <c r="I1415" s="19">
        <f>SUBTOTAL(109,Program327[(I)
Payments
 and Offsets])</f>
        <v>-743685</v>
      </c>
      <c r="J1415" s="19">
        <f>SUBTOTAL(109,Program327[(J)
Accounts Payable Balance
(H + I)])</f>
        <v>0</v>
      </c>
      <c r="K1415" s="19">
        <f>SUBTOTAL(109,Program327[(K)
Established 
Accounts Receivable])</f>
        <v>0</v>
      </c>
      <c r="L1415" s="19">
        <f>SUBTOTAL(109,Program327[(L)
Recovered
 Accounts Receivable])</f>
        <v>0</v>
      </c>
      <c r="M1415" s="19">
        <f>SUBTOTAL(109,Program327[(M)
Accounts Receivable Balance
(K + L)])</f>
        <v>0</v>
      </c>
      <c r="N1415" s="19">
        <f>SUBTOTAL(109,Program327[(N)
Net Balance
(J minus M)])</f>
        <v>0</v>
      </c>
    </row>
    <row r="1416" spans="1:14" ht="15.75" x14ac:dyDescent="0.25">
      <c r="A1416" s="17" t="s">
        <v>13</v>
      </c>
      <c r="B1416" s="54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78.75" x14ac:dyDescent="0.25">
      <c r="A1417" s="39" t="s">
        <v>32</v>
      </c>
      <c r="B1417" s="40" t="s">
        <v>33</v>
      </c>
      <c r="C1417" s="41" t="s">
        <v>34</v>
      </c>
      <c r="D1417" s="41" t="s">
        <v>35</v>
      </c>
      <c r="E1417" s="42" t="s">
        <v>36</v>
      </c>
      <c r="F1417" s="42" t="s">
        <v>37</v>
      </c>
      <c r="G1417" s="42" t="s">
        <v>38</v>
      </c>
      <c r="H1417" s="43" t="s">
        <v>39</v>
      </c>
      <c r="I1417" s="44" t="s">
        <v>40</v>
      </c>
      <c r="J1417" s="44" t="s">
        <v>41</v>
      </c>
      <c r="K1417" s="42" t="s">
        <v>42</v>
      </c>
      <c r="L1417" s="44" t="s">
        <v>43</v>
      </c>
      <c r="M1417" s="44" t="s">
        <v>44</v>
      </c>
      <c r="N1417" s="45" t="s">
        <v>45</v>
      </c>
    </row>
    <row r="1418" spans="1:14" ht="45" x14ac:dyDescent="0.25">
      <c r="A1418" s="67" t="s">
        <v>515</v>
      </c>
      <c r="B1418" s="57" t="s">
        <v>58</v>
      </c>
      <c r="C1418" s="58">
        <v>368804</v>
      </c>
      <c r="D1418" s="58">
        <v>-1147</v>
      </c>
      <c r="E1418" s="58">
        <v>0</v>
      </c>
      <c r="F1418" s="58">
        <v>0</v>
      </c>
      <c r="G1418" s="58">
        <v>0</v>
      </c>
      <c r="H1418" s="58">
        <v>367657</v>
      </c>
      <c r="I1418" s="58">
        <v>-366383</v>
      </c>
      <c r="J1418" s="58">
        <v>1274</v>
      </c>
      <c r="K1418" s="58">
        <v>0</v>
      </c>
      <c r="L1418" s="58">
        <v>0</v>
      </c>
      <c r="M1418" s="58">
        <v>0</v>
      </c>
      <c r="N1418" s="58">
        <v>1274</v>
      </c>
    </row>
    <row r="1419" spans="1:14" ht="45" x14ac:dyDescent="0.25">
      <c r="A1419" s="68" t="s">
        <v>515</v>
      </c>
      <c r="B1419" s="60" t="s">
        <v>59</v>
      </c>
      <c r="C1419" s="61">
        <v>394091</v>
      </c>
      <c r="D1419" s="61">
        <v>0</v>
      </c>
      <c r="E1419" s="61">
        <v>0</v>
      </c>
      <c r="F1419" s="61">
        <v>0</v>
      </c>
      <c r="G1419" s="61">
        <v>0</v>
      </c>
      <c r="H1419" s="61">
        <v>394091</v>
      </c>
      <c r="I1419" s="61">
        <v>-394091</v>
      </c>
      <c r="J1419" s="61">
        <v>0</v>
      </c>
      <c r="K1419" s="61">
        <v>0</v>
      </c>
      <c r="L1419" s="61">
        <v>0</v>
      </c>
      <c r="M1419" s="61">
        <v>0</v>
      </c>
      <c r="N1419" s="61">
        <v>0</v>
      </c>
    </row>
    <row r="1420" spans="1:14" ht="15.75" x14ac:dyDescent="0.25">
      <c r="A1420" s="52" t="s">
        <v>393</v>
      </c>
      <c r="B1420" s="53" t="s">
        <v>8</v>
      </c>
      <c r="C1420" s="19">
        <f>SUBTOTAL(109,Program328[(C)
Program
Costs])</f>
        <v>762895</v>
      </c>
      <c r="D1420" s="19">
        <f>SUBTOTAL(109,Program328[(D)
Prior Period Adjustments])</f>
        <v>-1147</v>
      </c>
      <c r="E1420" s="19">
        <f>SUBTOTAL(109,Program328[(E)
Current Period Desk 
Reviews])</f>
        <v>0</v>
      </c>
      <c r="F1420" s="19">
        <f>SUBTOTAL(109,Program328[(F)
Current Period 
Final 
Audits])</f>
        <v>0</v>
      </c>
      <c r="G1420" s="19">
        <f>SUBTOTAL(109,Program328[(G)
Current Period 
Other Adjustments])</f>
        <v>0</v>
      </c>
      <c r="H1420" s="19">
        <f>SUBTOTAL(109,Program328[(H)
Net Program Costs
Sum (C through G)])</f>
        <v>761748</v>
      </c>
      <c r="I1420" s="19">
        <f>SUBTOTAL(109,Program328[(I)
Payments
 and Offsets])</f>
        <v>-760474</v>
      </c>
      <c r="J1420" s="19">
        <f>SUBTOTAL(109,Program328[(J)
Accounts Payable Balance
(H + I)])</f>
        <v>1274</v>
      </c>
      <c r="K1420" s="19">
        <f>SUBTOTAL(109,Program328[(K)
Established 
Accounts Receivable])</f>
        <v>0</v>
      </c>
      <c r="L1420" s="19">
        <f>SUBTOTAL(109,Program328[(L)
Recovered
 Accounts Receivable])</f>
        <v>0</v>
      </c>
      <c r="M1420" s="19">
        <f>SUBTOTAL(109,Program328[(M)
Accounts Receivable Balance
(K + L)])</f>
        <v>0</v>
      </c>
      <c r="N1420" s="19">
        <f>SUBTOTAL(109,Program328[(N)
Net Balance
(J minus M)])</f>
        <v>1274</v>
      </c>
    </row>
    <row r="1421" spans="1:14" ht="15.75" x14ac:dyDescent="0.25">
      <c r="A1421" s="17" t="s">
        <v>13</v>
      </c>
      <c r="B1421" s="54"/>
      <c r="C1421" s="55"/>
      <c r="D1421" s="55"/>
      <c r="E1421" s="55"/>
      <c r="F1421" s="55"/>
      <c r="G1421" s="55"/>
      <c r="H1421" s="55"/>
      <c r="I1421" s="55"/>
      <c r="J1421" s="55"/>
      <c r="K1421" s="55"/>
      <c r="L1421" s="55"/>
      <c r="M1421" s="55"/>
      <c r="N1421" s="55"/>
    </row>
    <row r="1422" spans="1:14" ht="78.75" x14ac:dyDescent="0.25">
      <c r="A1422" s="39" t="s">
        <v>32</v>
      </c>
      <c r="B1422" s="40" t="s">
        <v>33</v>
      </c>
      <c r="C1422" s="41" t="s">
        <v>34</v>
      </c>
      <c r="D1422" s="41" t="s">
        <v>35</v>
      </c>
      <c r="E1422" s="42" t="s">
        <v>36</v>
      </c>
      <c r="F1422" s="42" t="s">
        <v>37</v>
      </c>
      <c r="G1422" s="42" t="s">
        <v>38</v>
      </c>
      <c r="H1422" s="43" t="s">
        <v>39</v>
      </c>
      <c r="I1422" s="44" t="s">
        <v>40</v>
      </c>
      <c r="J1422" s="44" t="s">
        <v>41</v>
      </c>
      <c r="K1422" s="42" t="s">
        <v>42</v>
      </c>
      <c r="L1422" s="44" t="s">
        <v>43</v>
      </c>
      <c r="M1422" s="44" t="s">
        <v>44</v>
      </c>
      <c r="N1422" s="45" t="s">
        <v>45</v>
      </c>
    </row>
    <row r="1423" spans="1:14" ht="45" x14ac:dyDescent="0.25">
      <c r="A1423" s="67" t="s">
        <v>514</v>
      </c>
      <c r="B1423" s="57" t="s">
        <v>83</v>
      </c>
      <c r="C1423" s="58">
        <v>1401896</v>
      </c>
      <c r="D1423" s="58">
        <v>-10396</v>
      </c>
      <c r="E1423" s="58">
        <v>0</v>
      </c>
      <c r="F1423" s="58">
        <v>0</v>
      </c>
      <c r="G1423" s="58">
        <v>0</v>
      </c>
      <c r="H1423" s="58">
        <v>1391500</v>
      </c>
      <c r="I1423" s="58">
        <v>-1019340</v>
      </c>
      <c r="J1423" s="58">
        <v>372160</v>
      </c>
      <c r="K1423" s="58">
        <v>0</v>
      </c>
      <c r="L1423" s="58">
        <v>0</v>
      </c>
      <c r="M1423" s="58">
        <v>0</v>
      </c>
      <c r="N1423" s="58">
        <v>372160</v>
      </c>
    </row>
    <row r="1424" spans="1:14" ht="45" x14ac:dyDescent="0.25">
      <c r="A1424" s="68" t="s">
        <v>514</v>
      </c>
      <c r="B1424" s="60" t="s">
        <v>48</v>
      </c>
      <c r="C1424" s="61">
        <v>1512377</v>
      </c>
      <c r="D1424" s="61">
        <v>-26518</v>
      </c>
      <c r="E1424" s="61">
        <v>0</v>
      </c>
      <c r="F1424" s="61">
        <v>0</v>
      </c>
      <c r="G1424" s="61">
        <v>0</v>
      </c>
      <c r="H1424" s="61">
        <v>1485859</v>
      </c>
      <c r="I1424" s="61">
        <v>-1185110</v>
      </c>
      <c r="J1424" s="61">
        <v>300749</v>
      </c>
      <c r="K1424" s="61">
        <v>0</v>
      </c>
      <c r="L1424" s="61">
        <v>0</v>
      </c>
      <c r="M1424" s="61">
        <v>0</v>
      </c>
      <c r="N1424" s="61">
        <v>300749</v>
      </c>
    </row>
    <row r="1425" spans="1:14" ht="45" x14ac:dyDescent="0.25">
      <c r="A1425" s="68" t="s">
        <v>514</v>
      </c>
      <c r="B1425" s="60" t="s">
        <v>49</v>
      </c>
      <c r="C1425" s="61">
        <v>1467143</v>
      </c>
      <c r="D1425" s="61">
        <v>-20929</v>
      </c>
      <c r="E1425" s="61">
        <v>0</v>
      </c>
      <c r="F1425" s="61">
        <v>0</v>
      </c>
      <c r="G1425" s="61">
        <v>0</v>
      </c>
      <c r="H1425" s="61">
        <v>1446214</v>
      </c>
      <c r="I1425" s="61">
        <v>-1118940</v>
      </c>
      <c r="J1425" s="61">
        <v>327274</v>
      </c>
      <c r="K1425" s="61">
        <v>0</v>
      </c>
      <c r="L1425" s="61">
        <v>0</v>
      </c>
      <c r="M1425" s="61">
        <v>0</v>
      </c>
      <c r="N1425" s="61">
        <v>327274</v>
      </c>
    </row>
    <row r="1426" spans="1:14" ht="45" x14ac:dyDescent="0.25">
      <c r="A1426" s="68" t="s">
        <v>514</v>
      </c>
      <c r="B1426" s="60" t="s">
        <v>50</v>
      </c>
      <c r="C1426" s="61">
        <v>1451148</v>
      </c>
      <c r="D1426" s="61">
        <v>-20790</v>
      </c>
      <c r="E1426" s="61">
        <v>0</v>
      </c>
      <c r="F1426" s="61">
        <v>0</v>
      </c>
      <c r="G1426" s="61">
        <v>0</v>
      </c>
      <c r="H1426" s="61">
        <v>1430358</v>
      </c>
      <c r="I1426" s="61">
        <v>-1149030</v>
      </c>
      <c r="J1426" s="61">
        <v>281328</v>
      </c>
      <c r="K1426" s="61">
        <v>0</v>
      </c>
      <c r="L1426" s="61">
        <v>0</v>
      </c>
      <c r="M1426" s="61">
        <v>0</v>
      </c>
      <c r="N1426" s="61">
        <v>281328</v>
      </c>
    </row>
    <row r="1427" spans="1:14" ht="45" x14ac:dyDescent="0.25">
      <c r="A1427" s="68" t="s">
        <v>514</v>
      </c>
      <c r="B1427" s="60" t="s">
        <v>51</v>
      </c>
      <c r="C1427" s="61">
        <v>1143400</v>
      </c>
      <c r="D1427" s="61">
        <v>-13074</v>
      </c>
      <c r="E1427" s="61">
        <v>0</v>
      </c>
      <c r="F1427" s="61">
        <v>0</v>
      </c>
      <c r="G1427" s="61">
        <v>0</v>
      </c>
      <c r="H1427" s="61">
        <v>1130326</v>
      </c>
      <c r="I1427" s="61">
        <v>-964197</v>
      </c>
      <c r="J1427" s="61">
        <v>166129</v>
      </c>
      <c r="K1427" s="61">
        <v>0</v>
      </c>
      <c r="L1427" s="61">
        <v>0</v>
      </c>
      <c r="M1427" s="61">
        <v>0</v>
      </c>
      <c r="N1427" s="61">
        <v>166129</v>
      </c>
    </row>
    <row r="1428" spans="1:14" ht="45" x14ac:dyDescent="0.25">
      <c r="A1428" s="68" t="s">
        <v>514</v>
      </c>
      <c r="B1428" s="60" t="s">
        <v>52</v>
      </c>
      <c r="C1428" s="61">
        <v>937965</v>
      </c>
      <c r="D1428" s="61">
        <v>-7105</v>
      </c>
      <c r="E1428" s="61">
        <v>0</v>
      </c>
      <c r="F1428" s="61">
        <v>0</v>
      </c>
      <c r="G1428" s="61">
        <v>0</v>
      </c>
      <c r="H1428" s="61">
        <v>930860</v>
      </c>
      <c r="I1428" s="61">
        <v>-831450</v>
      </c>
      <c r="J1428" s="61">
        <v>99410</v>
      </c>
      <c r="K1428" s="61">
        <v>0</v>
      </c>
      <c r="L1428" s="61">
        <v>0</v>
      </c>
      <c r="M1428" s="61">
        <v>0</v>
      </c>
      <c r="N1428" s="61">
        <v>99410</v>
      </c>
    </row>
    <row r="1429" spans="1:14" ht="45" x14ac:dyDescent="0.25">
      <c r="A1429" s="68" t="s">
        <v>514</v>
      </c>
      <c r="B1429" s="60" t="s">
        <v>53</v>
      </c>
      <c r="C1429" s="61">
        <v>832271</v>
      </c>
      <c r="D1429" s="61">
        <v>-7430</v>
      </c>
      <c r="E1429" s="61">
        <v>0</v>
      </c>
      <c r="F1429" s="61">
        <v>0</v>
      </c>
      <c r="G1429" s="61">
        <v>0</v>
      </c>
      <c r="H1429" s="61">
        <v>824841</v>
      </c>
      <c r="I1429" s="61">
        <v>-761992</v>
      </c>
      <c r="J1429" s="61">
        <v>62849</v>
      </c>
      <c r="K1429" s="61">
        <v>0</v>
      </c>
      <c r="L1429" s="61">
        <v>0</v>
      </c>
      <c r="M1429" s="61">
        <v>0</v>
      </c>
      <c r="N1429" s="61">
        <v>62849</v>
      </c>
    </row>
    <row r="1430" spans="1:14" ht="45" x14ac:dyDescent="0.25">
      <c r="A1430" s="68" t="s">
        <v>514</v>
      </c>
      <c r="B1430" s="60" t="s">
        <v>54</v>
      </c>
      <c r="C1430" s="61">
        <v>805962</v>
      </c>
      <c r="D1430" s="61">
        <v>-8334</v>
      </c>
      <c r="E1430" s="61">
        <v>0</v>
      </c>
      <c r="F1430" s="61">
        <v>0</v>
      </c>
      <c r="G1430" s="61">
        <v>0</v>
      </c>
      <c r="H1430" s="61">
        <v>797628</v>
      </c>
      <c r="I1430" s="61">
        <v>-728354</v>
      </c>
      <c r="J1430" s="61">
        <v>69274</v>
      </c>
      <c r="K1430" s="61">
        <v>0</v>
      </c>
      <c r="L1430" s="61">
        <v>0</v>
      </c>
      <c r="M1430" s="61">
        <v>0</v>
      </c>
      <c r="N1430" s="61">
        <v>69274</v>
      </c>
    </row>
    <row r="1431" spans="1:14" ht="45" x14ac:dyDescent="0.25">
      <c r="A1431" s="68" t="s">
        <v>514</v>
      </c>
      <c r="B1431" s="60" t="s">
        <v>55</v>
      </c>
      <c r="C1431" s="61">
        <v>863881</v>
      </c>
      <c r="D1431" s="61">
        <v>-1581</v>
      </c>
      <c r="E1431" s="61">
        <v>0</v>
      </c>
      <c r="F1431" s="61">
        <v>0</v>
      </c>
      <c r="G1431" s="61">
        <v>0</v>
      </c>
      <c r="H1431" s="61">
        <v>862300</v>
      </c>
      <c r="I1431" s="61">
        <v>-782015</v>
      </c>
      <c r="J1431" s="61">
        <v>80285</v>
      </c>
      <c r="K1431" s="61">
        <v>0</v>
      </c>
      <c r="L1431" s="61">
        <v>0</v>
      </c>
      <c r="M1431" s="61">
        <v>0</v>
      </c>
      <c r="N1431" s="61">
        <v>80285</v>
      </c>
    </row>
    <row r="1432" spans="1:14" ht="45" x14ac:dyDescent="0.25">
      <c r="A1432" s="68" t="s">
        <v>514</v>
      </c>
      <c r="B1432" s="60" t="s">
        <v>56</v>
      </c>
      <c r="C1432" s="61">
        <v>724659</v>
      </c>
      <c r="D1432" s="61">
        <v>-1984</v>
      </c>
      <c r="E1432" s="61">
        <v>0</v>
      </c>
      <c r="F1432" s="61">
        <v>0</v>
      </c>
      <c r="G1432" s="61">
        <v>0</v>
      </c>
      <c r="H1432" s="61">
        <v>722675</v>
      </c>
      <c r="I1432" s="61">
        <v>-710144</v>
      </c>
      <c r="J1432" s="61">
        <v>12531</v>
      </c>
      <c r="K1432" s="61">
        <v>0</v>
      </c>
      <c r="L1432" s="61">
        <v>0</v>
      </c>
      <c r="M1432" s="61">
        <v>0</v>
      </c>
      <c r="N1432" s="61">
        <v>12531</v>
      </c>
    </row>
    <row r="1433" spans="1:14" ht="45" x14ac:dyDescent="0.25">
      <c r="A1433" s="68" t="s">
        <v>514</v>
      </c>
      <c r="B1433" s="60" t="s">
        <v>57</v>
      </c>
      <c r="C1433" s="61">
        <v>457731</v>
      </c>
      <c r="D1433" s="61">
        <v>-1694</v>
      </c>
      <c r="E1433" s="61">
        <v>0</v>
      </c>
      <c r="F1433" s="61">
        <v>0</v>
      </c>
      <c r="G1433" s="61">
        <v>0</v>
      </c>
      <c r="H1433" s="61">
        <v>456037</v>
      </c>
      <c r="I1433" s="61">
        <v>-450655</v>
      </c>
      <c r="J1433" s="61">
        <v>5382</v>
      </c>
      <c r="K1433" s="61">
        <v>0</v>
      </c>
      <c r="L1433" s="61">
        <v>0</v>
      </c>
      <c r="M1433" s="61">
        <v>0</v>
      </c>
      <c r="N1433" s="61">
        <v>5382</v>
      </c>
    </row>
    <row r="1434" spans="1:14" ht="15.75" x14ac:dyDescent="0.25">
      <c r="A1434" s="52" t="s">
        <v>392</v>
      </c>
      <c r="B1434" s="53" t="s">
        <v>8</v>
      </c>
      <c r="C1434" s="19">
        <f>SUBTOTAL(109,Program329[(C)
Program
Costs])</f>
        <v>11598433</v>
      </c>
      <c r="D1434" s="19">
        <f>SUBTOTAL(109,Program329[(D)
Prior Period Adjustments])</f>
        <v>-119835</v>
      </c>
      <c r="E1434" s="19">
        <f>SUBTOTAL(109,Program329[(E)
Current Period Desk 
Reviews])</f>
        <v>0</v>
      </c>
      <c r="F1434" s="19">
        <f>SUBTOTAL(109,Program329[(F)
Current Period 
Final 
Audits])</f>
        <v>0</v>
      </c>
      <c r="G1434" s="19">
        <f>SUBTOTAL(109,Program329[(G)
Current Period 
Other Adjustments])</f>
        <v>0</v>
      </c>
      <c r="H1434" s="19">
        <f>SUBTOTAL(109,Program329[(H)
Net Program Costs
Sum (C through G)])</f>
        <v>11478598</v>
      </c>
      <c r="I1434" s="19">
        <f>SUBTOTAL(109,Program329[(I)
Payments
 and Offsets])</f>
        <v>-9701227</v>
      </c>
      <c r="J1434" s="19">
        <f>SUBTOTAL(109,Program329[(J)
Accounts Payable Balance
(H + I)])</f>
        <v>1777371</v>
      </c>
      <c r="K1434" s="19">
        <f>SUBTOTAL(109,Program329[(K)
Established 
Accounts Receivable])</f>
        <v>0</v>
      </c>
      <c r="L1434" s="19">
        <f>SUBTOTAL(109,Program329[(L)
Recovered
 Accounts Receivable])</f>
        <v>0</v>
      </c>
      <c r="M1434" s="19">
        <f>SUBTOTAL(109,Program329[(M)
Accounts Receivable Balance
(K + L)])</f>
        <v>0</v>
      </c>
      <c r="N1434" s="19">
        <f>SUBTOTAL(109,Program329[(N)
Net Balance
(J minus M)])</f>
        <v>1777371</v>
      </c>
    </row>
    <row r="1435" spans="1:14" ht="15.75" x14ac:dyDescent="0.25">
      <c r="A1435" s="17" t="s">
        <v>13</v>
      </c>
      <c r="B1435" s="54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78.75" x14ac:dyDescent="0.25">
      <c r="A1436" s="39" t="s">
        <v>32</v>
      </c>
      <c r="B1436" s="40" t="s">
        <v>33</v>
      </c>
      <c r="C1436" s="41" t="s">
        <v>34</v>
      </c>
      <c r="D1436" s="41" t="s">
        <v>35</v>
      </c>
      <c r="E1436" s="42" t="s">
        <v>36</v>
      </c>
      <c r="F1436" s="42" t="s">
        <v>37</v>
      </c>
      <c r="G1436" s="42" t="s">
        <v>38</v>
      </c>
      <c r="H1436" s="43" t="s">
        <v>39</v>
      </c>
      <c r="I1436" s="44" t="s">
        <v>40</v>
      </c>
      <c r="J1436" s="44" t="s">
        <v>41</v>
      </c>
      <c r="K1436" s="42" t="s">
        <v>42</v>
      </c>
      <c r="L1436" s="44" t="s">
        <v>43</v>
      </c>
      <c r="M1436" s="44" t="s">
        <v>44</v>
      </c>
      <c r="N1436" s="45" t="s">
        <v>45</v>
      </c>
    </row>
    <row r="1437" spans="1:14" ht="15.75" x14ac:dyDescent="0.25">
      <c r="A1437" s="46" t="s">
        <v>513</v>
      </c>
      <c r="B1437" s="47" t="s">
        <v>54</v>
      </c>
      <c r="C1437" s="48">
        <v>517712</v>
      </c>
      <c r="D1437" s="48">
        <v>-160350</v>
      </c>
      <c r="E1437" s="48">
        <v>0</v>
      </c>
      <c r="F1437" s="48">
        <v>0</v>
      </c>
      <c r="G1437" s="48">
        <v>0</v>
      </c>
      <c r="H1437" s="48">
        <v>357362</v>
      </c>
      <c r="I1437" s="48">
        <v>-357362</v>
      </c>
      <c r="J1437" s="48">
        <v>0</v>
      </c>
      <c r="K1437" s="48">
        <v>160350</v>
      </c>
      <c r="L1437" s="48">
        <v>-1165</v>
      </c>
      <c r="M1437" s="48">
        <v>159185</v>
      </c>
      <c r="N1437" s="48">
        <v>-159185</v>
      </c>
    </row>
    <row r="1438" spans="1:14" ht="15.75" x14ac:dyDescent="0.25">
      <c r="A1438" s="49" t="s">
        <v>513</v>
      </c>
      <c r="B1438" s="50" t="s">
        <v>55</v>
      </c>
      <c r="C1438" s="51">
        <v>4211227</v>
      </c>
      <c r="D1438" s="51">
        <v>-977809</v>
      </c>
      <c r="E1438" s="51">
        <v>0</v>
      </c>
      <c r="F1438" s="51">
        <v>0</v>
      </c>
      <c r="G1438" s="51">
        <v>0</v>
      </c>
      <c r="H1438" s="51">
        <v>3233418</v>
      </c>
      <c r="I1438" s="51">
        <v>-3233418</v>
      </c>
      <c r="J1438" s="51">
        <v>0</v>
      </c>
      <c r="K1438" s="51">
        <v>966463</v>
      </c>
      <c r="L1438" s="51">
        <v>0</v>
      </c>
      <c r="M1438" s="51">
        <v>966463</v>
      </c>
      <c r="N1438" s="51">
        <v>-966463</v>
      </c>
    </row>
    <row r="1439" spans="1:14" ht="15.75" x14ac:dyDescent="0.25">
      <c r="A1439" s="49" t="s">
        <v>513</v>
      </c>
      <c r="B1439" s="50" t="s">
        <v>56</v>
      </c>
      <c r="C1439" s="51">
        <v>5893587</v>
      </c>
      <c r="D1439" s="51">
        <v>-2401619</v>
      </c>
      <c r="E1439" s="51">
        <v>0</v>
      </c>
      <c r="F1439" s="51">
        <v>0</v>
      </c>
      <c r="G1439" s="51">
        <v>0</v>
      </c>
      <c r="H1439" s="51">
        <v>3491968</v>
      </c>
      <c r="I1439" s="51">
        <v>-3491968</v>
      </c>
      <c r="J1439" s="51">
        <v>0</v>
      </c>
      <c r="K1439" s="51">
        <v>2397890</v>
      </c>
      <c r="L1439" s="51">
        <v>0</v>
      </c>
      <c r="M1439" s="51">
        <v>2397890</v>
      </c>
      <c r="N1439" s="51">
        <v>-2397890</v>
      </c>
    </row>
    <row r="1440" spans="1:14" ht="15.75" x14ac:dyDescent="0.25">
      <c r="A1440" s="49" t="s">
        <v>513</v>
      </c>
      <c r="B1440" s="50" t="s">
        <v>57</v>
      </c>
      <c r="C1440" s="51">
        <v>5065628</v>
      </c>
      <c r="D1440" s="51">
        <v>-147630</v>
      </c>
      <c r="E1440" s="51">
        <v>0</v>
      </c>
      <c r="F1440" s="51">
        <v>0</v>
      </c>
      <c r="G1440" s="51">
        <v>0</v>
      </c>
      <c r="H1440" s="51">
        <v>4917998</v>
      </c>
      <c r="I1440" s="51">
        <v>-4917998</v>
      </c>
      <c r="J1440" s="51">
        <v>0</v>
      </c>
      <c r="K1440" s="51">
        <v>647814</v>
      </c>
      <c r="L1440" s="51">
        <v>-646501</v>
      </c>
      <c r="M1440" s="51">
        <v>1313</v>
      </c>
      <c r="N1440" s="51">
        <v>-1313</v>
      </c>
    </row>
    <row r="1441" spans="1:14" ht="15.75" x14ac:dyDescent="0.25">
      <c r="A1441" s="49" t="s">
        <v>513</v>
      </c>
      <c r="B1441" s="50" t="s">
        <v>58</v>
      </c>
      <c r="C1441" s="51">
        <v>5261190</v>
      </c>
      <c r="D1441" s="51">
        <v>-35141</v>
      </c>
      <c r="E1441" s="51">
        <v>0</v>
      </c>
      <c r="F1441" s="51">
        <v>0</v>
      </c>
      <c r="G1441" s="51">
        <v>0</v>
      </c>
      <c r="H1441" s="51">
        <v>5226049</v>
      </c>
      <c r="I1441" s="51">
        <v>-5226049</v>
      </c>
      <c r="J1441" s="51">
        <v>0</v>
      </c>
      <c r="K1441" s="51">
        <v>301477</v>
      </c>
      <c r="L1441" s="51">
        <v>-300847</v>
      </c>
      <c r="M1441" s="51">
        <v>630</v>
      </c>
      <c r="N1441" s="51">
        <v>-630</v>
      </c>
    </row>
    <row r="1442" spans="1:14" ht="15.75" x14ac:dyDescent="0.25">
      <c r="A1442" s="49" t="s">
        <v>513</v>
      </c>
      <c r="B1442" s="50" t="s">
        <v>59</v>
      </c>
      <c r="C1442" s="51">
        <v>4768143</v>
      </c>
      <c r="D1442" s="51">
        <v>-4705</v>
      </c>
      <c r="E1442" s="51">
        <v>0</v>
      </c>
      <c r="F1442" s="51">
        <v>0</v>
      </c>
      <c r="G1442" s="51">
        <v>0</v>
      </c>
      <c r="H1442" s="51">
        <v>4763438</v>
      </c>
      <c r="I1442" s="51">
        <v>-4763438</v>
      </c>
      <c r="J1442" s="51">
        <v>0</v>
      </c>
      <c r="K1442" s="51">
        <v>135800</v>
      </c>
      <c r="L1442" s="51">
        <v>-135800</v>
      </c>
      <c r="M1442" s="51">
        <v>0</v>
      </c>
      <c r="N1442" s="51">
        <v>0</v>
      </c>
    </row>
    <row r="1443" spans="1:14" ht="15.75" x14ac:dyDescent="0.25">
      <c r="A1443" s="49" t="s">
        <v>513</v>
      </c>
      <c r="B1443" s="50" t="s">
        <v>60</v>
      </c>
      <c r="C1443" s="51">
        <v>4697159</v>
      </c>
      <c r="D1443" s="51">
        <v>1007679</v>
      </c>
      <c r="E1443" s="51">
        <v>0</v>
      </c>
      <c r="F1443" s="51">
        <v>0</v>
      </c>
      <c r="G1443" s="51">
        <v>0</v>
      </c>
      <c r="H1443" s="51">
        <v>5704838</v>
      </c>
      <c r="I1443" s="51">
        <v>-5704838</v>
      </c>
      <c r="J1443" s="51">
        <v>0</v>
      </c>
      <c r="K1443" s="51">
        <v>1341585</v>
      </c>
      <c r="L1443" s="51">
        <v>-1341585</v>
      </c>
      <c r="M1443" s="51">
        <v>0</v>
      </c>
      <c r="N1443" s="51">
        <v>0</v>
      </c>
    </row>
    <row r="1444" spans="1:14" ht="15.75" x14ac:dyDescent="0.25">
      <c r="A1444" s="49" t="s">
        <v>513</v>
      </c>
      <c r="B1444" s="50" t="s">
        <v>61</v>
      </c>
      <c r="C1444" s="51">
        <v>4142164</v>
      </c>
      <c r="D1444" s="51">
        <v>1052279</v>
      </c>
      <c r="E1444" s="51">
        <v>0</v>
      </c>
      <c r="F1444" s="51">
        <v>0</v>
      </c>
      <c r="G1444" s="51">
        <v>0</v>
      </c>
      <c r="H1444" s="51">
        <v>5194443</v>
      </c>
      <c r="I1444" s="51">
        <v>-5194443</v>
      </c>
      <c r="J1444" s="51">
        <v>0</v>
      </c>
      <c r="K1444" s="51">
        <v>1511189</v>
      </c>
      <c r="L1444" s="51">
        <v>-1511189</v>
      </c>
      <c r="M1444" s="51">
        <v>0</v>
      </c>
      <c r="N1444" s="51">
        <v>0</v>
      </c>
    </row>
    <row r="1445" spans="1:14" ht="15.75" x14ac:dyDescent="0.25">
      <c r="A1445" s="49" t="s">
        <v>513</v>
      </c>
      <c r="B1445" s="50" t="s">
        <v>62</v>
      </c>
      <c r="C1445" s="51">
        <v>2635823</v>
      </c>
      <c r="D1445" s="51">
        <v>-56262</v>
      </c>
      <c r="E1445" s="51">
        <v>0</v>
      </c>
      <c r="F1445" s="51">
        <v>0</v>
      </c>
      <c r="G1445" s="51">
        <v>0</v>
      </c>
      <c r="H1445" s="51">
        <v>2579561</v>
      </c>
      <c r="I1445" s="51">
        <v>-2579561</v>
      </c>
      <c r="J1445" s="51">
        <v>0</v>
      </c>
      <c r="K1445" s="51">
        <v>522123</v>
      </c>
      <c r="L1445" s="51">
        <v>-522123</v>
      </c>
      <c r="M1445" s="51">
        <v>0</v>
      </c>
      <c r="N1445" s="51">
        <v>0</v>
      </c>
    </row>
    <row r="1446" spans="1:14" ht="15.75" x14ac:dyDescent="0.25">
      <c r="A1446" s="49" t="s">
        <v>513</v>
      </c>
      <c r="B1446" s="50" t="s">
        <v>63</v>
      </c>
      <c r="C1446" s="51">
        <v>2334271</v>
      </c>
      <c r="D1446" s="51">
        <v>-183355</v>
      </c>
      <c r="E1446" s="51">
        <v>0</v>
      </c>
      <c r="F1446" s="51">
        <v>0</v>
      </c>
      <c r="G1446" s="51">
        <v>0</v>
      </c>
      <c r="H1446" s="51">
        <v>2150916</v>
      </c>
      <c r="I1446" s="51">
        <v>-2150916</v>
      </c>
      <c r="J1446" s="51">
        <v>0</v>
      </c>
      <c r="K1446" s="51">
        <v>200986</v>
      </c>
      <c r="L1446" s="51">
        <v>-200986</v>
      </c>
      <c r="M1446" s="51">
        <v>0</v>
      </c>
      <c r="N1446" s="51">
        <v>0</v>
      </c>
    </row>
    <row r="1447" spans="1:14" ht="15.75" x14ac:dyDescent="0.25">
      <c r="A1447" s="49" t="s">
        <v>513</v>
      </c>
      <c r="B1447" s="50" t="s">
        <v>64</v>
      </c>
      <c r="C1447" s="51">
        <v>1979247</v>
      </c>
      <c r="D1447" s="51">
        <v>-95597</v>
      </c>
      <c r="E1447" s="51">
        <v>0</v>
      </c>
      <c r="F1447" s="51">
        <v>0</v>
      </c>
      <c r="G1447" s="51">
        <v>0</v>
      </c>
      <c r="H1447" s="51">
        <v>1883650</v>
      </c>
      <c r="I1447" s="51">
        <v>-1883650</v>
      </c>
      <c r="J1447" s="51">
        <v>0</v>
      </c>
      <c r="K1447" s="51">
        <v>36157</v>
      </c>
      <c r="L1447" s="51">
        <v>-36157</v>
      </c>
      <c r="M1447" s="51">
        <v>0</v>
      </c>
      <c r="N1447" s="51">
        <v>0</v>
      </c>
    </row>
    <row r="1448" spans="1:14" ht="15.75" x14ac:dyDescent="0.25">
      <c r="A1448" s="49" t="s">
        <v>513</v>
      </c>
      <c r="B1448" s="50" t="s">
        <v>65</v>
      </c>
      <c r="C1448" s="51">
        <v>1842694</v>
      </c>
      <c r="D1448" s="51">
        <v>-59884</v>
      </c>
      <c r="E1448" s="51">
        <v>0</v>
      </c>
      <c r="F1448" s="51">
        <v>0</v>
      </c>
      <c r="G1448" s="51">
        <v>0</v>
      </c>
      <c r="H1448" s="51">
        <v>1782810</v>
      </c>
      <c r="I1448" s="51">
        <v>-1782810</v>
      </c>
      <c r="J1448" s="51">
        <v>0</v>
      </c>
      <c r="K1448" s="51">
        <v>8544</v>
      </c>
      <c r="L1448" s="51">
        <v>-8544</v>
      </c>
      <c r="M1448" s="51">
        <v>0</v>
      </c>
      <c r="N1448" s="51">
        <v>0</v>
      </c>
    </row>
    <row r="1449" spans="1:14" ht="15.75" x14ac:dyDescent="0.25">
      <c r="A1449" s="49" t="s">
        <v>513</v>
      </c>
      <c r="B1449" s="50" t="s">
        <v>66</v>
      </c>
      <c r="C1449" s="51">
        <v>1774169</v>
      </c>
      <c r="D1449" s="51">
        <v>-60031</v>
      </c>
      <c r="E1449" s="51">
        <v>0</v>
      </c>
      <c r="F1449" s="51">
        <v>0</v>
      </c>
      <c r="G1449" s="51">
        <v>0</v>
      </c>
      <c r="H1449" s="51">
        <v>1714138</v>
      </c>
      <c r="I1449" s="51">
        <v>-1714138</v>
      </c>
      <c r="J1449" s="51">
        <v>0</v>
      </c>
      <c r="K1449" s="51">
        <v>8624</v>
      </c>
      <c r="L1449" s="51">
        <v>-8624</v>
      </c>
      <c r="M1449" s="51">
        <v>0</v>
      </c>
      <c r="N1449" s="51">
        <v>0</v>
      </c>
    </row>
    <row r="1450" spans="1:14" ht="15.75" x14ac:dyDescent="0.25">
      <c r="A1450" s="52" t="s">
        <v>391</v>
      </c>
      <c r="B1450" s="53" t="s">
        <v>8</v>
      </c>
      <c r="C1450" s="19">
        <f>SUBTOTAL(109,Program139[(C)
Program
Costs])</f>
        <v>45123014</v>
      </c>
      <c r="D1450" s="19">
        <f>SUBTOTAL(109,Program139[(D)
Prior Period Adjustments])</f>
        <v>-2122425</v>
      </c>
      <c r="E1450" s="19">
        <f>SUBTOTAL(109,Program139[(E)
Current Period Desk 
Reviews])</f>
        <v>0</v>
      </c>
      <c r="F1450" s="19">
        <f>SUBTOTAL(109,Program139[(F)
Current Period 
Final 
Audits])</f>
        <v>0</v>
      </c>
      <c r="G1450" s="19">
        <f>SUBTOTAL(109,Program139[(G)
Current Period 
Other Adjustments])</f>
        <v>0</v>
      </c>
      <c r="H1450" s="19">
        <f>SUBTOTAL(109,Program139[(H)
Net Program Costs
Sum (C through G)])</f>
        <v>43000589</v>
      </c>
      <c r="I1450" s="19">
        <f>SUBTOTAL(109,Program139[(I)
Payments
 and Offsets])</f>
        <v>-43000589</v>
      </c>
      <c r="J1450" s="19">
        <f>SUBTOTAL(109,Program139[(J)
Accounts Payable Balance
(H + I)])</f>
        <v>0</v>
      </c>
      <c r="K1450" s="19">
        <f>SUBTOTAL(109,Program139[(K)
Established 
Accounts Receivable])</f>
        <v>8239002</v>
      </c>
      <c r="L1450" s="19">
        <f>SUBTOTAL(109,Program139[(L)
Recovered
 Accounts Receivable])</f>
        <v>-4713521</v>
      </c>
      <c r="M1450" s="19">
        <f>SUBTOTAL(109,Program139[(M)
Accounts Receivable Balance
(K + L)])</f>
        <v>3525481</v>
      </c>
      <c r="N1450" s="19">
        <f>SUBTOTAL(109,Program139[(N)
Net Balance
(J minus M)])</f>
        <v>-3525481</v>
      </c>
    </row>
    <row r="1451" spans="1:14" ht="15.75" x14ac:dyDescent="0.25">
      <c r="A1451" s="17" t="s">
        <v>13</v>
      </c>
      <c r="B1451" s="54"/>
      <c r="C1451" s="55"/>
      <c r="D1451" s="55"/>
      <c r="E1451" s="55"/>
      <c r="F1451" s="55"/>
      <c r="G1451" s="55"/>
      <c r="H1451" s="55"/>
      <c r="I1451" s="55"/>
      <c r="J1451" s="55"/>
      <c r="K1451" s="55"/>
      <c r="L1451" s="55"/>
      <c r="M1451" s="55"/>
      <c r="N1451" s="55"/>
    </row>
    <row r="1452" spans="1:14" ht="78.75" x14ac:dyDescent="0.25">
      <c r="A1452" s="39" t="s">
        <v>32</v>
      </c>
      <c r="B1452" s="40" t="s">
        <v>33</v>
      </c>
      <c r="C1452" s="41" t="s">
        <v>34</v>
      </c>
      <c r="D1452" s="41" t="s">
        <v>35</v>
      </c>
      <c r="E1452" s="42" t="s">
        <v>36</v>
      </c>
      <c r="F1452" s="42" t="s">
        <v>37</v>
      </c>
      <c r="G1452" s="42" t="s">
        <v>38</v>
      </c>
      <c r="H1452" s="43" t="s">
        <v>39</v>
      </c>
      <c r="I1452" s="44" t="s">
        <v>40</v>
      </c>
      <c r="J1452" s="44" t="s">
        <v>41</v>
      </c>
      <c r="K1452" s="42" t="s">
        <v>42</v>
      </c>
      <c r="L1452" s="44" t="s">
        <v>43</v>
      </c>
      <c r="M1452" s="44" t="s">
        <v>44</v>
      </c>
      <c r="N1452" s="45" t="s">
        <v>45</v>
      </c>
    </row>
    <row r="1453" spans="1:14" ht="15.75" x14ac:dyDescent="0.25">
      <c r="A1453" s="46" t="s">
        <v>512</v>
      </c>
      <c r="B1453" s="47" t="s">
        <v>78</v>
      </c>
      <c r="C1453" s="48">
        <v>4052</v>
      </c>
      <c r="D1453" s="48">
        <v>0</v>
      </c>
      <c r="E1453" s="48">
        <v>0</v>
      </c>
      <c r="F1453" s="48">
        <v>0</v>
      </c>
      <c r="G1453" s="48">
        <v>0</v>
      </c>
      <c r="H1453" s="48">
        <v>4052</v>
      </c>
      <c r="I1453" s="48">
        <v>-1000</v>
      </c>
      <c r="J1453" s="48">
        <v>3052</v>
      </c>
      <c r="K1453" s="48">
        <v>0</v>
      </c>
      <c r="L1453" s="48">
        <v>0</v>
      </c>
      <c r="M1453" s="48">
        <v>0</v>
      </c>
      <c r="N1453" s="48">
        <v>3052</v>
      </c>
    </row>
    <row r="1454" spans="1:14" ht="15.75" x14ac:dyDescent="0.25">
      <c r="A1454" s="49" t="s">
        <v>512</v>
      </c>
      <c r="B1454" s="50" t="s">
        <v>47</v>
      </c>
      <c r="C1454" s="51">
        <v>2385</v>
      </c>
      <c r="D1454" s="51">
        <v>0</v>
      </c>
      <c r="E1454" s="51">
        <v>0</v>
      </c>
      <c r="F1454" s="51">
        <v>0</v>
      </c>
      <c r="G1454" s="51">
        <v>0</v>
      </c>
      <c r="H1454" s="51">
        <v>2385</v>
      </c>
      <c r="I1454" s="51">
        <v>-1000</v>
      </c>
      <c r="J1454" s="51">
        <v>1385</v>
      </c>
      <c r="K1454" s="51">
        <v>0</v>
      </c>
      <c r="L1454" s="51">
        <v>0</v>
      </c>
      <c r="M1454" s="51">
        <v>0</v>
      </c>
      <c r="N1454" s="51">
        <v>1385</v>
      </c>
    </row>
    <row r="1455" spans="1:14" ht="15.75" x14ac:dyDescent="0.25">
      <c r="A1455" s="49" t="s">
        <v>512</v>
      </c>
      <c r="B1455" s="50" t="s">
        <v>79</v>
      </c>
      <c r="C1455" s="51">
        <v>4837</v>
      </c>
      <c r="D1455" s="51">
        <v>-1109</v>
      </c>
      <c r="E1455" s="51">
        <v>0</v>
      </c>
      <c r="F1455" s="51">
        <v>0</v>
      </c>
      <c r="G1455" s="51">
        <v>0</v>
      </c>
      <c r="H1455" s="51">
        <v>3728</v>
      </c>
      <c r="I1455" s="51">
        <v>-2385</v>
      </c>
      <c r="J1455" s="51">
        <v>1343</v>
      </c>
      <c r="K1455" s="51">
        <v>0</v>
      </c>
      <c r="L1455" s="51">
        <v>0</v>
      </c>
      <c r="M1455" s="51">
        <v>0</v>
      </c>
      <c r="N1455" s="51">
        <v>1343</v>
      </c>
    </row>
    <row r="1456" spans="1:14" ht="15.75" x14ac:dyDescent="0.25">
      <c r="A1456" s="49" t="s">
        <v>512</v>
      </c>
      <c r="B1456" s="50" t="s">
        <v>80</v>
      </c>
      <c r="C1456" s="51">
        <v>42331</v>
      </c>
      <c r="D1456" s="51">
        <v>0</v>
      </c>
      <c r="E1456" s="51">
        <v>0</v>
      </c>
      <c r="F1456" s="51">
        <v>0</v>
      </c>
      <c r="G1456" s="51">
        <v>0</v>
      </c>
      <c r="H1456" s="51">
        <v>42331</v>
      </c>
      <c r="I1456" s="51">
        <v>-15186</v>
      </c>
      <c r="J1456" s="51">
        <v>27145</v>
      </c>
      <c r="K1456" s="51">
        <v>0</v>
      </c>
      <c r="L1456" s="51">
        <v>0</v>
      </c>
      <c r="M1456" s="51">
        <v>0</v>
      </c>
      <c r="N1456" s="51">
        <v>27145</v>
      </c>
    </row>
    <row r="1457" spans="1:14" ht="15.75" x14ac:dyDescent="0.25">
      <c r="A1457" s="49" t="s">
        <v>512</v>
      </c>
      <c r="B1457" s="50" t="s">
        <v>81</v>
      </c>
      <c r="C1457" s="51">
        <v>44962</v>
      </c>
      <c r="D1457" s="51">
        <v>0</v>
      </c>
      <c r="E1457" s="51">
        <v>0</v>
      </c>
      <c r="F1457" s="51">
        <v>0</v>
      </c>
      <c r="G1457" s="51">
        <v>0</v>
      </c>
      <c r="H1457" s="51">
        <v>44962</v>
      </c>
      <c r="I1457" s="51">
        <v>-22564</v>
      </c>
      <c r="J1457" s="51">
        <v>22398</v>
      </c>
      <c r="K1457" s="51">
        <v>0</v>
      </c>
      <c r="L1457" s="51">
        <v>0</v>
      </c>
      <c r="M1457" s="51">
        <v>0</v>
      </c>
      <c r="N1457" s="51">
        <v>22398</v>
      </c>
    </row>
    <row r="1458" spans="1:14" ht="15.75" x14ac:dyDescent="0.25">
      <c r="A1458" s="49" t="s">
        <v>512</v>
      </c>
      <c r="B1458" s="50" t="s">
        <v>82</v>
      </c>
      <c r="C1458" s="51">
        <v>120614</v>
      </c>
      <c r="D1458" s="51">
        <v>-142</v>
      </c>
      <c r="E1458" s="51">
        <v>0</v>
      </c>
      <c r="F1458" s="51">
        <v>0</v>
      </c>
      <c r="G1458" s="51">
        <v>0</v>
      </c>
      <c r="H1458" s="51">
        <v>120472</v>
      </c>
      <c r="I1458" s="51">
        <v>-88845</v>
      </c>
      <c r="J1458" s="51">
        <v>31627</v>
      </c>
      <c r="K1458" s="51">
        <v>0</v>
      </c>
      <c r="L1458" s="51">
        <v>0</v>
      </c>
      <c r="M1458" s="51">
        <v>0</v>
      </c>
      <c r="N1458" s="51">
        <v>31627</v>
      </c>
    </row>
    <row r="1459" spans="1:14" ht="15.75" x14ac:dyDescent="0.25">
      <c r="A1459" s="49" t="s">
        <v>512</v>
      </c>
      <c r="B1459" s="50" t="s">
        <v>83</v>
      </c>
      <c r="C1459" s="51">
        <v>914438</v>
      </c>
      <c r="D1459" s="51">
        <v>-8682</v>
      </c>
      <c r="E1459" s="51">
        <v>0</v>
      </c>
      <c r="F1459" s="51">
        <v>0</v>
      </c>
      <c r="G1459" s="51">
        <v>0</v>
      </c>
      <c r="H1459" s="51">
        <v>905756</v>
      </c>
      <c r="I1459" s="51">
        <v>-827559</v>
      </c>
      <c r="J1459" s="51">
        <v>78197</v>
      </c>
      <c r="K1459" s="51">
        <v>0</v>
      </c>
      <c r="L1459" s="51">
        <v>0</v>
      </c>
      <c r="M1459" s="51">
        <v>0</v>
      </c>
      <c r="N1459" s="51">
        <v>78197</v>
      </c>
    </row>
    <row r="1460" spans="1:14" ht="15.75" x14ac:dyDescent="0.25">
      <c r="A1460" s="49" t="s">
        <v>512</v>
      </c>
      <c r="B1460" s="50" t="s">
        <v>48</v>
      </c>
      <c r="C1460" s="51">
        <v>792029</v>
      </c>
      <c r="D1460" s="51">
        <v>-1206</v>
      </c>
      <c r="E1460" s="51">
        <v>0</v>
      </c>
      <c r="F1460" s="51">
        <v>0</v>
      </c>
      <c r="G1460" s="51">
        <v>0</v>
      </c>
      <c r="H1460" s="51">
        <v>790823</v>
      </c>
      <c r="I1460" s="51">
        <v>-738103</v>
      </c>
      <c r="J1460" s="51">
        <v>52720</v>
      </c>
      <c r="K1460" s="51">
        <v>0</v>
      </c>
      <c r="L1460" s="51">
        <v>0</v>
      </c>
      <c r="M1460" s="51">
        <v>0</v>
      </c>
      <c r="N1460" s="51">
        <v>52720</v>
      </c>
    </row>
    <row r="1461" spans="1:14" ht="15.75" x14ac:dyDescent="0.25">
      <c r="A1461" s="49" t="s">
        <v>512</v>
      </c>
      <c r="B1461" s="50" t="s">
        <v>49</v>
      </c>
      <c r="C1461" s="51">
        <v>913305</v>
      </c>
      <c r="D1461" s="51">
        <v>-6701</v>
      </c>
      <c r="E1461" s="51">
        <v>0</v>
      </c>
      <c r="F1461" s="51">
        <v>0</v>
      </c>
      <c r="G1461" s="51">
        <v>0</v>
      </c>
      <c r="H1461" s="51">
        <v>906604</v>
      </c>
      <c r="I1461" s="51">
        <v>-899722</v>
      </c>
      <c r="J1461" s="51">
        <v>6882</v>
      </c>
      <c r="K1461" s="51">
        <v>0</v>
      </c>
      <c r="L1461" s="51">
        <v>0</v>
      </c>
      <c r="M1461" s="51">
        <v>0</v>
      </c>
      <c r="N1461" s="51">
        <v>6882</v>
      </c>
    </row>
    <row r="1462" spans="1:14" ht="15.75" x14ac:dyDescent="0.25">
      <c r="A1462" s="49" t="s">
        <v>512</v>
      </c>
      <c r="B1462" s="50" t="s">
        <v>50</v>
      </c>
      <c r="C1462" s="51">
        <v>928882</v>
      </c>
      <c r="D1462" s="51">
        <v>-1235</v>
      </c>
      <c r="E1462" s="51">
        <v>0</v>
      </c>
      <c r="F1462" s="51">
        <v>0</v>
      </c>
      <c r="G1462" s="51">
        <v>0</v>
      </c>
      <c r="H1462" s="51">
        <v>927647</v>
      </c>
      <c r="I1462" s="51">
        <v>-917209</v>
      </c>
      <c r="J1462" s="51">
        <v>10438</v>
      </c>
      <c r="K1462" s="51">
        <v>12411</v>
      </c>
      <c r="L1462" s="51">
        <v>-10089</v>
      </c>
      <c r="M1462" s="51">
        <v>2322</v>
      </c>
      <c r="N1462" s="51">
        <v>8116</v>
      </c>
    </row>
    <row r="1463" spans="1:14" ht="15.75" x14ac:dyDescent="0.25">
      <c r="A1463" s="49" t="s">
        <v>512</v>
      </c>
      <c r="B1463" s="50" t="s">
        <v>51</v>
      </c>
      <c r="C1463" s="51">
        <v>848621</v>
      </c>
      <c r="D1463" s="51">
        <v>-7853</v>
      </c>
      <c r="E1463" s="51">
        <v>0</v>
      </c>
      <c r="F1463" s="51">
        <v>0</v>
      </c>
      <c r="G1463" s="51">
        <v>0</v>
      </c>
      <c r="H1463" s="51">
        <v>840768</v>
      </c>
      <c r="I1463" s="51">
        <v>-814684</v>
      </c>
      <c r="J1463" s="51">
        <v>26084</v>
      </c>
      <c r="K1463" s="51">
        <v>2</v>
      </c>
      <c r="L1463" s="51">
        <v>0</v>
      </c>
      <c r="M1463" s="51">
        <v>2</v>
      </c>
      <c r="N1463" s="51">
        <v>26082</v>
      </c>
    </row>
    <row r="1464" spans="1:14" ht="15.75" x14ac:dyDescent="0.25">
      <c r="A1464" s="49" t="s">
        <v>512</v>
      </c>
      <c r="B1464" s="50" t="s">
        <v>52</v>
      </c>
      <c r="C1464" s="51">
        <v>822436</v>
      </c>
      <c r="D1464" s="51">
        <v>-8350</v>
      </c>
      <c r="E1464" s="51">
        <v>0</v>
      </c>
      <c r="F1464" s="51">
        <v>0</v>
      </c>
      <c r="G1464" s="51">
        <v>0</v>
      </c>
      <c r="H1464" s="51">
        <v>814086</v>
      </c>
      <c r="I1464" s="51">
        <v>-797084</v>
      </c>
      <c r="J1464" s="51">
        <v>17002</v>
      </c>
      <c r="K1464" s="51">
        <v>72250</v>
      </c>
      <c r="L1464" s="51">
        <v>-29296</v>
      </c>
      <c r="M1464" s="51">
        <v>42954</v>
      </c>
      <c r="N1464" s="51">
        <v>-25952</v>
      </c>
    </row>
    <row r="1465" spans="1:14" ht="15.75" x14ac:dyDescent="0.25">
      <c r="A1465" s="49" t="s">
        <v>512</v>
      </c>
      <c r="B1465" s="50" t="s">
        <v>53</v>
      </c>
      <c r="C1465" s="51">
        <v>1289098</v>
      </c>
      <c r="D1465" s="51">
        <v>-6074</v>
      </c>
      <c r="E1465" s="51">
        <v>0</v>
      </c>
      <c r="F1465" s="51">
        <v>0</v>
      </c>
      <c r="G1465" s="51">
        <v>0</v>
      </c>
      <c r="H1465" s="51">
        <v>1283024</v>
      </c>
      <c r="I1465" s="51">
        <v>-1278443</v>
      </c>
      <c r="J1465" s="51">
        <v>4581</v>
      </c>
      <c r="K1465" s="51">
        <v>0</v>
      </c>
      <c r="L1465" s="51">
        <v>0</v>
      </c>
      <c r="M1465" s="51">
        <v>0</v>
      </c>
      <c r="N1465" s="51">
        <v>4581</v>
      </c>
    </row>
    <row r="1466" spans="1:14" ht="15.75" x14ac:dyDescent="0.25">
      <c r="A1466" s="49" t="s">
        <v>512</v>
      </c>
      <c r="B1466" s="50" t="s">
        <v>54</v>
      </c>
      <c r="C1466" s="51">
        <v>449893</v>
      </c>
      <c r="D1466" s="51">
        <v>-1493</v>
      </c>
      <c r="E1466" s="51">
        <v>0</v>
      </c>
      <c r="F1466" s="51">
        <v>0</v>
      </c>
      <c r="G1466" s="51">
        <v>0</v>
      </c>
      <c r="H1466" s="51">
        <v>448400</v>
      </c>
      <c r="I1466" s="51">
        <v>-448400</v>
      </c>
      <c r="J1466" s="51">
        <v>0</v>
      </c>
      <c r="K1466" s="51">
        <v>0</v>
      </c>
      <c r="L1466" s="51">
        <v>0</v>
      </c>
      <c r="M1466" s="51">
        <v>0</v>
      </c>
      <c r="N1466" s="51">
        <v>0</v>
      </c>
    </row>
    <row r="1467" spans="1:14" ht="15.75" x14ac:dyDescent="0.25">
      <c r="A1467" s="52" t="s">
        <v>390</v>
      </c>
      <c r="B1467" s="53" t="s">
        <v>8</v>
      </c>
      <c r="C1467" s="19">
        <f>SUBTOTAL(109,Program261[(C)
Program
Costs])</f>
        <v>7177883</v>
      </c>
      <c r="D1467" s="19">
        <f>SUBTOTAL(109,Program261[(D)
Prior Period Adjustments])</f>
        <v>-42845</v>
      </c>
      <c r="E1467" s="19">
        <f>SUBTOTAL(109,Program261[(E)
Current Period Desk 
Reviews])</f>
        <v>0</v>
      </c>
      <c r="F1467" s="19">
        <f>SUBTOTAL(109,Program261[(F)
Current Period 
Final 
Audits])</f>
        <v>0</v>
      </c>
      <c r="G1467" s="19">
        <f>SUBTOTAL(109,Program261[(G)
Current Period 
Other Adjustments])</f>
        <v>0</v>
      </c>
      <c r="H1467" s="19">
        <f>SUBTOTAL(109,Program261[(H)
Net Program Costs
Sum (C through G)])</f>
        <v>7135038</v>
      </c>
      <c r="I1467" s="19">
        <f>SUBTOTAL(109,Program261[(I)
Payments
 and Offsets])</f>
        <v>-6852184</v>
      </c>
      <c r="J1467" s="19">
        <f>SUBTOTAL(109,Program261[(J)
Accounts Payable Balance
(H + I)])</f>
        <v>282854</v>
      </c>
      <c r="K1467" s="19">
        <f>SUBTOTAL(109,Program261[(K)
Established 
Accounts Receivable])</f>
        <v>84663</v>
      </c>
      <c r="L1467" s="19">
        <f>SUBTOTAL(109,Program261[(L)
Recovered
 Accounts Receivable])</f>
        <v>-39385</v>
      </c>
      <c r="M1467" s="19">
        <f>SUBTOTAL(109,Program261[(M)
Accounts Receivable Balance
(K + L)])</f>
        <v>45278</v>
      </c>
      <c r="N1467" s="19">
        <f>SUBTOTAL(109,Program261[(N)
Net Balance
(J minus M)])</f>
        <v>237576</v>
      </c>
    </row>
    <row r="1468" spans="1:14" ht="15.75" x14ac:dyDescent="0.25">
      <c r="A1468" s="17" t="s">
        <v>13</v>
      </c>
      <c r="B1468" s="54"/>
      <c r="C1468" s="55"/>
      <c r="D1468" s="55"/>
      <c r="E1468" s="55"/>
      <c r="F1468" s="55"/>
      <c r="G1468" s="55"/>
      <c r="H1468" s="55"/>
      <c r="I1468" s="55"/>
      <c r="J1468" s="55"/>
      <c r="K1468" s="55"/>
      <c r="L1468" s="55"/>
      <c r="M1468" s="55"/>
      <c r="N1468" s="55"/>
    </row>
    <row r="1469" spans="1:14" ht="78.75" x14ac:dyDescent="0.25">
      <c r="A1469" s="39" t="s">
        <v>32</v>
      </c>
      <c r="B1469" s="40" t="s">
        <v>33</v>
      </c>
      <c r="C1469" s="41" t="s">
        <v>34</v>
      </c>
      <c r="D1469" s="41" t="s">
        <v>35</v>
      </c>
      <c r="E1469" s="42" t="s">
        <v>36</v>
      </c>
      <c r="F1469" s="42" t="s">
        <v>37</v>
      </c>
      <c r="G1469" s="42" t="s">
        <v>38</v>
      </c>
      <c r="H1469" s="43" t="s">
        <v>39</v>
      </c>
      <c r="I1469" s="44" t="s">
        <v>40</v>
      </c>
      <c r="J1469" s="44" t="s">
        <v>41</v>
      </c>
      <c r="K1469" s="42" t="s">
        <v>42</v>
      </c>
      <c r="L1469" s="44" t="s">
        <v>43</v>
      </c>
      <c r="M1469" s="44" t="s">
        <v>44</v>
      </c>
      <c r="N1469" s="45" t="s">
        <v>45</v>
      </c>
    </row>
    <row r="1470" spans="1:14" ht="15.75" x14ac:dyDescent="0.25">
      <c r="A1470" s="46" t="s">
        <v>511</v>
      </c>
      <c r="B1470" s="47" t="s">
        <v>77</v>
      </c>
      <c r="C1470" s="48">
        <v>3097</v>
      </c>
      <c r="D1470" s="48">
        <v>0</v>
      </c>
      <c r="E1470" s="48">
        <v>0</v>
      </c>
      <c r="F1470" s="48">
        <v>0</v>
      </c>
      <c r="G1470" s="48">
        <v>0</v>
      </c>
      <c r="H1470" s="48">
        <v>3097</v>
      </c>
      <c r="I1470" s="48">
        <v>-1000</v>
      </c>
      <c r="J1470" s="48">
        <v>2097</v>
      </c>
      <c r="K1470" s="48">
        <v>0</v>
      </c>
      <c r="L1470" s="48">
        <v>0</v>
      </c>
      <c r="M1470" s="48">
        <v>0</v>
      </c>
      <c r="N1470" s="48">
        <v>2097</v>
      </c>
    </row>
    <row r="1471" spans="1:14" ht="15.75" x14ac:dyDescent="0.25">
      <c r="A1471" s="49" t="s">
        <v>511</v>
      </c>
      <c r="B1471" s="50" t="s">
        <v>78</v>
      </c>
      <c r="C1471" s="51">
        <v>16313</v>
      </c>
      <c r="D1471" s="51">
        <v>0</v>
      </c>
      <c r="E1471" s="51">
        <v>0</v>
      </c>
      <c r="F1471" s="51">
        <v>0</v>
      </c>
      <c r="G1471" s="51">
        <v>0</v>
      </c>
      <c r="H1471" s="51">
        <v>16313</v>
      </c>
      <c r="I1471" s="51">
        <v>-1000</v>
      </c>
      <c r="J1471" s="51">
        <v>15313</v>
      </c>
      <c r="K1471" s="51">
        <v>0</v>
      </c>
      <c r="L1471" s="51">
        <v>0</v>
      </c>
      <c r="M1471" s="51">
        <v>0</v>
      </c>
      <c r="N1471" s="51">
        <v>15313</v>
      </c>
    </row>
    <row r="1472" spans="1:14" ht="15.75" x14ac:dyDescent="0.25">
      <c r="A1472" s="49" t="s">
        <v>511</v>
      </c>
      <c r="B1472" s="50" t="s">
        <v>47</v>
      </c>
      <c r="C1472" s="51">
        <v>19767</v>
      </c>
      <c r="D1472" s="51">
        <v>-1712</v>
      </c>
      <c r="E1472" s="51">
        <v>0</v>
      </c>
      <c r="F1472" s="51">
        <v>0</v>
      </c>
      <c r="G1472" s="51">
        <v>0</v>
      </c>
      <c r="H1472" s="51">
        <v>18055</v>
      </c>
      <c r="I1472" s="51">
        <v>-2017</v>
      </c>
      <c r="J1472" s="51">
        <v>16038</v>
      </c>
      <c r="K1472" s="51">
        <v>0</v>
      </c>
      <c r="L1472" s="51">
        <v>0</v>
      </c>
      <c r="M1472" s="51">
        <v>0</v>
      </c>
      <c r="N1472" s="51">
        <v>16038</v>
      </c>
    </row>
    <row r="1473" spans="1:14" ht="15.75" x14ac:dyDescent="0.25">
      <c r="A1473" s="49" t="s">
        <v>511</v>
      </c>
      <c r="B1473" s="50" t="s">
        <v>79</v>
      </c>
      <c r="C1473" s="51">
        <v>22373</v>
      </c>
      <c r="D1473" s="51">
        <v>-1021</v>
      </c>
      <c r="E1473" s="51">
        <v>0</v>
      </c>
      <c r="F1473" s="51">
        <v>0</v>
      </c>
      <c r="G1473" s="51">
        <v>0</v>
      </c>
      <c r="H1473" s="51">
        <v>21352</v>
      </c>
      <c r="I1473" s="51">
        <v>-2021</v>
      </c>
      <c r="J1473" s="51">
        <v>19331</v>
      </c>
      <c r="K1473" s="51">
        <v>0</v>
      </c>
      <c r="L1473" s="51">
        <v>0</v>
      </c>
      <c r="M1473" s="51">
        <v>0</v>
      </c>
      <c r="N1473" s="51">
        <v>19331</v>
      </c>
    </row>
    <row r="1474" spans="1:14" ht="15.75" x14ac:dyDescent="0.25">
      <c r="A1474" s="49" t="s">
        <v>511</v>
      </c>
      <c r="B1474" s="50" t="s">
        <v>80</v>
      </c>
      <c r="C1474" s="51">
        <v>99722</v>
      </c>
      <c r="D1474" s="51">
        <v>0</v>
      </c>
      <c r="E1474" s="51">
        <v>0</v>
      </c>
      <c r="F1474" s="51">
        <v>0</v>
      </c>
      <c r="G1474" s="51">
        <v>0</v>
      </c>
      <c r="H1474" s="51">
        <v>99722</v>
      </c>
      <c r="I1474" s="51">
        <v>-34676</v>
      </c>
      <c r="J1474" s="51">
        <v>65046</v>
      </c>
      <c r="K1474" s="51">
        <v>0</v>
      </c>
      <c r="L1474" s="51">
        <v>0</v>
      </c>
      <c r="M1474" s="51">
        <v>0</v>
      </c>
      <c r="N1474" s="51">
        <v>65046</v>
      </c>
    </row>
    <row r="1475" spans="1:14" ht="15.75" x14ac:dyDescent="0.25">
      <c r="A1475" s="49" t="s">
        <v>511</v>
      </c>
      <c r="B1475" s="50" t="s">
        <v>81</v>
      </c>
      <c r="C1475" s="51">
        <v>133776</v>
      </c>
      <c r="D1475" s="51">
        <v>-268</v>
      </c>
      <c r="E1475" s="51">
        <v>0</v>
      </c>
      <c r="F1475" s="51">
        <v>0</v>
      </c>
      <c r="G1475" s="51">
        <v>0</v>
      </c>
      <c r="H1475" s="51">
        <v>133508</v>
      </c>
      <c r="I1475" s="51">
        <v>-74816</v>
      </c>
      <c r="J1475" s="51">
        <v>58692</v>
      </c>
      <c r="K1475" s="51">
        <v>0</v>
      </c>
      <c r="L1475" s="51">
        <v>0</v>
      </c>
      <c r="M1475" s="51">
        <v>0</v>
      </c>
      <c r="N1475" s="51">
        <v>58692</v>
      </c>
    </row>
    <row r="1476" spans="1:14" ht="15.75" x14ac:dyDescent="0.25">
      <c r="A1476" s="49" t="s">
        <v>511</v>
      </c>
      <c r="B1476" s="50" t="s">
        <v>82</v>
      </c>
      <c r="C1476" s="51">
        <v>314614</v>
      </c>
      <c r="D1476" s="51">
        <v>-11860</v>
      </c>
      <c r="E1476" s="51">
        <v>0</v>
      </c>
      <c r="F1476" s="51">
        <v>0</v>
      </c>
      <c r="G1476" s="51">
        <v>0</v>
      </c>
      <c r="H1476" s="51">
        <v>302754</v>
      </c>
      <c r="I1476" s="51">
        <v>-210002</v>
      </c>
      <c r="J1476" s="51">
        <v>92752</v>
      </c>
      <c r="K1476" s="51">
        <v>0</v>
      </c>
      <c r="L1476" s="51">
        <v>0</v>
      </c>
      <c r="M1476" s="51">
        <v>0</v>
      </c>
      <c r="N1476" s="51">
        <v>92752</v>
      </c>
    </row>
    <row r="1477" spans="1:14" ht="15.75" x14ac:dyDescent="0.25">
      <c r="A1477" s="49" t="s">
        <v>511</v>
      </c>
      <c r="B1477" s="50" t="s">
        <v>83</v>
      </c>
      <c r="C1477" s="51">
        <v>1935093</v>
      </c>
      <c r="D1477" s="51">
        <v>-54766</v>
      </c>
      <c r="E1477" s="51">
        <v>0</v>
      </c>
      <c r="F1477" s="51">
        <v>0</v>
      </c>
      <c r="G1477" s="51">
        <v>0</v>
      </c>
      <c r="H1477" s="51">
        <v>1880327</v>
      </c>
      <c r="I1477" s="51">
        <v>-1751540</v>
      </c>
      <c r="J1477" s="51">
        <v>128787</v>
      </c>
      <c r="K1477" s="51">
        <v>0</v>
      </c>
      <c r="L1477" s="51">
        <v>0</v>
      </c>
      <c r="M1477" s="51">
        <v>0</v>
      </c>
      <c r="N1477" s="51">
        <v>128787</v>
      </c>
    </row>
    <row r="1478" spans="1:14" ht="15.75" x14ac:dyDescent="0.25">
      <c r="A1478" s="49" t="s">
        <v>511</v>
      </c>
      <c r="B1478" s="50" t="s">
        <v>48</v>
      </c>
      <c r="C1478" s="51">
        <v>2033103</v>
      </c>
      <c r="D1478" s="51">
        <v>-144267</v>
      </c>
      <c r="E1478" s="51">
        <v>0</v>
      </c>
      <c r="F1478" s="51">
        <v>0</v>
      </c>
      <c r="G1478" s="51">
        <v>0</v>
      </c>
      <c r="H1478" s="51">
        <v>1888836</v>
      </c>
      <c r="I1478" s="51">
        <v>-1773230</v>
      </c>
      <c r="J1478" s="51">
        <v>115606</v>
      </c>
      <c r="K1478" s="51">
        <v>0</v>
      </c>
      <c r="L1478" s="51">
        <v>0</v>
      </c>
      <c r="M1478" s="51">
        <v>0</v>
      </c>
      <c r="N1478" s="51">
        <v>115606</v>
      </c>
    </row>
    <row r="1479" spans="1:14" ht="15.75" x14ac:dyDescent="0.25">
      <c r="A1479" s="49" t="s">
        <v>511</v>
      </c>
      <c r="B1479" s="50" t="s">
        <v>49</v>
      </c>
      <c r="C1479" s="51">
        <v>2780542</v>
      </c>
      <c r="D1479" s="51">
        <v>-16039</v>
      </c>
      <c r="E1479" s="51">
        <v>0</v>
      </c>
      <c r="F1479" s="51">
        <v>0</v>
      </c>
      <c r="G1479" s="51">
        <v>0</v>
      </c>
      <c r="H1479" s="51">
        <v>2764503</v>
      </c>
      <c r="I1479" s="51">
        <v>-2710687</v>
      </c>
      <c r="J1479" s="51">
        <v>53816</v>
      </c>
      <c r="K1479" s="51">
        <v>0</v>
      </c>
      <c r="L1479" s="51">
        <v>0</v>
      </c>
      <c r="M1479" s="51">
        <v>0</v>
      </c>
      <c r="N1479" s="51">
        <v>53816</v>
      </c>
    </row>
    <row r="1480" spans="1:14" ht="15.75" x14ac:dyDescent="0.25">
      <c r="A1480" s="49" t="s">
        <v>511</v>
      </c>
      <c r="B1480" s="50" t="s">
        <v>50</v>
      </c>
      <c r="C1480" s="51">
        <v>3175150</v>
      </c>
      <c r="D1480" s="51">
        <v>-10504</v>
      </c>
      <c r="E1480" s="51">
        <v>0</v>
      </c>
      <c r="F1480" s="51">
        <v>0</v>
      </c>
      <c r="G1480" s="51">
        <v>0</v>
      </c>
      <c r="H1480" s="51">
        <v>3164646</v>
      </c>
      <c r="I1480" s="51">
        <v>-3131852</v>
      </c>
      <c r="J1480" s="51">
        <v>32794</v>
      </c>
      <c r="K1480" s="51">
        <v>471</v>
      </c>
      <c r="L1480" s="51">
        <v>-471</v>
      </c>
      <c r="M1480" s="51">
        <v>0</v>
      </c>
      <c r="N1480" s="51">
        <v>32794</v>
      </c>
    </row>
    <row r="1481" spans="1:14" ht="15.75" x14ac:dyDescent="0.25">
      <c r="A1481" s="49" t="s">
        <v>511</v>
      </c>
      <c r="B1481" s="50" t="s">
        <v>51</v>
      </c>
      <c r="C1481" s="51">
        <v>2866997</v>
      </c>
      <c r="D1481" s="51">
        <v>-75376</v>
      </c>
      <c r="E1481" s="51">
        <v>0</v>
      </c>
      <c r="F1481" s="51">
        <v>0</v>
      </c>
      <c r="G1481" s="51">
        <v>0</v>
      </c>
      <c r="H1481" s="51">
        <v>2791621</v>
      </c>
      <c r="I1481" s="51">
        <v>-2744445</v>
      </c>
      <c r="J1481" s="51">
        <v>47176</v>
      </c>
      <c r="K1481" s="51">
        <v>0</v>
      </c>
      <c r="L1481" s="51">
        <v>0</v>
      </c>
      <c r="M1481" s="51">
        <v>0</v>
      </c>
      <c r="N1481" s="51">
        <v>47176</v>
      </c>
    </row>
    <row r="1482" spans="1:14" ht="15.75" x14ac:dyDescent="0.25">
      <c r="A1482" s="49" t="s">
        <v>511</v>
      </c>
      <c r="B1482" s="50" t="s">
        <v>52</v>
      </c>
      <c r="C1482" s="51">
        <v>3410022</v>
      </c>
      <c r="D1482" s="51">
        <v>-170181</v>
      </c>
      <c r="E1482" s="51">
        <v>0</v>
      </c>
      <c r="F1482" s="51">
        <v>0</v>
      </c>
      <c r="G1482" s="51">
        <v>0</v>
      </c>
      <c r="H1482" s="51">
        <v>3239841</v>
      </c>
      <c r="I1482" s="51">
        <v>-3209138</v>
      </c>
      <c r="J1482" s="51">
        <v>30703</v>
      </c>
      <c r="K1482" s="51">
        <v>73306</v>
      </c>
      <c r="L1482" s="51">
        <v>-50579</v>
      </c>
      <c r="M1482" s="51">
        <v>22727</v>
      </c>
      <c r="N1482" s="51">
        <v>7976</v>
      </c>
    </row>
    <row r="1483" spans="1:14" ht="15.75" x14ac:dyDescent="0.25">
      <c r="A1483" s="49" t="s">
        <v>511</v>
      </c>
      <c r="B1483" s="50" t="s">
        <v>53</v>
      </c>
      <c r="C1483" s="51">
        <v>3146710</v>
      </c>
      <c r="D1483" s="51">
        <v>-143041</v>
      </c>
      <c r="E1483" s="51">
        <v>0</v>
      </c>
      <c r="F1483" s="51">
        <v>0</v>
      </c>
      <c r="G1483" s="51">
        <v>0</v>
      </c>
      <c r="H1483" s="51">
        <v>3003669</v>
      </c>
      <c r="I1483" s="51">
        <v>-2979014</v>
      </c>
      <c r="J1483" s="51">
        <v>24655</v>
      </c>
      <c r="K1483" s="51">
        <v>0</v>
      </c>
      <c r="L1483" s="51">
        <v>0</v>
      </c>
      <c r="M1483" s="51">
        <v>0</v>
      </c>
      <c r="N1483" s="51">
        <v>24655</v>
      </c>
    </row>
    <row r="1484" spans="1:14" ht="15.75" x14ac:dyDescent="0.25">
      <c r="A1484" s="49" t="s">
        <v>511</v>
      </c>
      <c r="B1484" s="50" t="s">
        <v>54</v>
      </c>
      <c r="C1484" s="51">
        <v>2551504</v>
      </c>
      <c r="D1484" s="51">
        <v>-148012</v>
      </c>
      <c r="E1484" s="51">
        <v>0</v>
      </c>
      <c r="F1484" s="51">
        <v>0</v>
      </c>
      <c r="G1484" s="51">
        <v>0</v>
      </c>
      <c r="H1484" s="51">
        <v>2403492</v>
      </c>
      <c r="I1484" s="51">
        <v>-2403492</v>
      </c>
      <c r="J1484" s="51">
        <v>0</v>
      </c>
      <c r="K1484" s="51">
        <v>141792</v>
      </c>
      <c r="L1484" s="51">
        <v>-135246</v>
      </c>
      <c r="M1484" s="51">
        <v>6546</v>
      </c>
      <c r="N1484" s="51">
        <v>-6546</v>
      </c>
    </row>
    <row r="1485" spans="1:14" ht="15.75" x14ac:dyDescent="0.25">
      <c r="A1485" s="49" t="s">
        <v>511</v>
      </c>
      <c r="B1485" s="50" t="s">
        <v>55</v>
      </c>
      <c r="C1485" s="51">
        <v>3095296</v>
      </c>
      <c r="D1485" s="51">
        <v>-3498</v>
      </c>
      <c r="E1485" s="51">
        <v>0</v>
      </c>
      <c r="F1485" s="51">
        <v>0</v>
      </c>
      <c r="G1485" s="51">
        <v>0</v>
      </c>
      <c r="H1485" s="51">
        <v>3091798</v>
      </c>
      <c r="I1485" s="51">
        <v>-3091798</v>
      </c>
      <c r="J1485" s="51">
        <v>0</v>
      </c>
      <c r="K1485" s="51">
        <v>0</v>
      </c>
      <c r="L1485" s="51">
        <v>0</v>
      </c>
      <c r="M1485" s="51">
        <v>0</v>
      </c>
      <c r="N1485" s="51">
        <v>0</v>
      </c>
    </row>
    <row r="1486" spans="1:14" ht="15.75" x14ac:dyDescent="0.25">
      <c r="A1486" s="49" t="s">
        <v>511</v>
      </c>
      <c r="B1486" s="50" t="s">
        <v>56</v>
      </c>
      <c r="C1486" s="51">
        <v>27282522</v>
      </c>
      <c r="D1486" s="51">
        <v>-25338584</v>
      </c>
      <c r="E1486" s="51">
        <v>0</v>
      </c>
      <c r="F1486" s="51">
        <v>0</v>
      </c>
      <c r="G1486" s="51">
        <v>0</v>
      </c>
      <c r="H1486" s="51">
        <v>1943938</v>
      </c>
      <c r="I1486" s="51">
        <v>-1943938</v>
      </c>
      <c r="J1486" s="51">
        <v>0</v>
      </c>
      <c r="K1486" s="51">
        <v>25317281</v>
      </c>
      <c r="L1486" s="51">
        <v>-2721523</v>
      </c>
      <c r="M1486" s="51">
        <v>22595758</v>
      </c>
      <c r="N1486" s="51">
        <v>-22595758</v>
      </c>
    </row>
    <row r="1487" spans="1:14" ht="15.75" x14ac:dyDescent="0.25">
      <c r="A1487" s="49" t="s">
        <v>511</v>
      </c>
      <c r="B1487" s="50" t="s">
        <v>57</v>
      </c>
      <c r="C1487" s="51">
        <v>16016067</v>
      </c>
      <c r="D1487" s="51">
        <v>-13853862</v>
      </c>
      <c r="E1487" s="51">
        <v>0</v>
      </c>
      <c r="F1487" s="51">
        <v>0</v>
      </c>
      <c r="G1487" s="51">
        <v>0</v>
      </c>
      <c r="H1487" s="51">
        <v>2162205</v>
      </c>
      <c r="I1487" s="51">
        <v>-2162205</v>
      </c>
      <c r="J1487" s="51">
        <v>0</v>
      </c>
      <c r="K1487" s="51">
        <v>13814130</v>
      </c>
      <c r="L1487" s="51">
        <v>-654358</v>
      </c>
      <c r="M1487" s="51">
        <v>13159772</v>
      </c>
      <c r="N1487" s="51">
        <v>-13159772</v>
      </c>
    </row>
    <row r="1488" spans="1:14" ht="15.75" x14ac:dyDescent="0.25">
      <c r="A1488" s="49" t="s">
        <v>511</v>
      </c>
      <c r="B1488" s="50" t="s">
        <v>58</v>
      </c>
      <c r="C1488" s="51">
        <v>1627351</v>
      </c>
      <c r="D1488" s="51">
        <v>-30374</v>
      </c>
      <c r="E1488" s="51">
        <v>0</v>
      </c>
      <c r="F1488" s="51">
        <v>0</v>
      </c>
      <c r="G1488" s="51">
        <v>0</v>
      </c>
      <c r="H1488" s="51">
        <v>1596977</v>
      </c>
      <c r="I1488" s="51">
        <v>-1596977</v>
      </c>
      <c r="J1488" s="51">
        <v>0</v>
      </c>
      <c r="K1488" s="51">
        <v>0</v>
      </c>
      <c r="L1488" s="51">
        <v>0</v>
      </c>
      <c r="M1488" s="51">
        <v>0</v>
      </c>
      <c r="N1488" s="51">
        <v>0</v>
      </c>
    </row>
    <row r="1489" spans="1:14" ht="15.75" x14ac:dyDescent="0.25">
      <c r="A1489" s="49" t="s">
        <v>511</v>
      </c>
      <c r="B1489" s="50" t="s">
        <v>59</v>
      </c>
      <c r="C1489" s="51">
        <v>1512677</v>
      </c>
      <c r="D1489" s="51">
        <v>-29185</v>
      </c>
      <c r="E1489" s="51">
        <v>0</v>
      </c>
      <c r="F1489" s="51">
        <v>0</v>
      </c>
      <c r="G1489" s="51">
        <v>0</v>
      </c>
      <c r="H1489" s="51">
        <v>1483492</v>
      </c>
      <c r="I1489" s="51">
        <v>-1483492</v>
      </c>
      <c r="J1489" s="51">
        <v>0</v>
      </c>
      <c r="K1489" s="51">
        <v>0</v>
      </c>
      <c r="L1489" s="51">
        <v>0</v>
      </c>
      <c r="M1489" s="51">
        <v>0</v>
      </c>
      <c r="N1489" s="51">
        <v>0</v>
      </c>
    </row>
    <row r="1490" spans="1:14" ht="15.75" x14ac:dyDescent="0.25">
      <c r="A1490" s="49" t="s">
        <v>511</v>
      </c>
      <c r="B1490" s="50" t="s">
        <v>60</v>
      </c>
      <c r="C1490" s="51">
        <v>4056744</v>
      </c>
      <c r="D1490" s="51">
        <v>-3196336</v>
      </c>
      <c r="E1490" s="51">
        <v>0</v>
      </c>
      <c r="F1490" s="51">
        <v>0</v>
      </c>
      <c r="G1490" s="51">
        <v>0</v>
      </c>
      <c r="H1490" s="51">
        <v>860408</v>
      </c>
      <c r="I1490" s="51">
        <v>-860408</v>
      </c>
      <c r="J1490" s="51">
        <v>0</v>
      </c>
      <c r="K1490" s="51">
        <v>3186168</v>
      </c>
      <c r="L1490" s="51">
        <v>-1861377</v>
      </c>
      <c r="M1490" s="51">
        <v>1324791</v>
      </c>
      <c r="N1490" s="51">
        <v>-1324791</v>
      </c>
    </row>
    <row r="1491" spans="1:14" ht="15.75" x14ac:dyDescent="0.25">
      <c r="A1491" s="49" t="s">
        <v>511</v>
      </c>
      <c r="B1491" s="50" t="s">
        <v>61</v>
      </c>
      <c r="C1491" s="51">
        <v>4730891</v>
      </c>
      <c r="D1491" s="51">
        <v>-3130626</v>
      </c>
      <c r="E1491" s="51">
        <v>0</v>
      </c>
      <c r="F1491" s="51">
        <v>0</v>
      </c>
      <c r="G1491" s="51">
        <v>0</v>
      </c>
      <c r="H1491" s="51">
        <v>1600265</v>
      </c>
      <c r="I1491" s="51">
        <v>-1600265</v>
      </c>
      <c r="J1491" s="51">
        <v>0</v>
      </c>
      <c r="K1491" s="51">
        <v>3129362</v>
      </c>
      <c r="L1491" s="51">
        <v>-3129362</v>
      </c>
      <c r="M1491" s="51">
        <v>0</v>
      </c>
      <c r="N1491" s="51">
        <v>0</v>
      </c>
    </row>
    <row r="1492" spans="1:14" ht="15.75" x14ac:dyDescent="0.25">
      <c r="A1492" s="52" t="s">
        <v>389</v>
      </c>
      <c r="B1492" s="53" t="s">
        <v>8</v>
      </c>
      <c r="C1492" s="19">
        <f>SUBTOTAL(109,Program244[(C)
Program
Costs])</f>
        <v>80830331</v>
      </c>
      <c r="D1492" s="19">
        <f>SUBTOTAL(109,Program244[(D)
Prior Period Adjustments])</f>
        <v>-46359512</v>
      </c>
      <c r="E1492" s="19">
        <f>SUBTOTAL(109,Program244[(E)
Current Period Desk 
Reviews])</f>
        <v>0</v>
      </c>
      <c r="F1492" s="19">
        <f>SUBTOTAL(109,Program244[(F)
Current Period 
Final 
Audits])</f>
        <v>0</v>
      </c>
      <c r="G1492" s="19">
        <f>SUBTOTAL(109,Program244[(G)
Current Period 
Other Adjustments])</f>
        <v>0</v>
      </c>
      <c r="H1492" s="19">
        <f>SUBTOTAL(109,Program244[(H)
Net Program Costs
Sum (C through G)])</f>
        <v>34470819</v>
      </c>
      <c r="I1492" s="19">
        <f>SUBTOTAL(109,Program244[(I)
Payments
 and Offsets])</f>
        <v>-33768013</v>
      </c>
      <c r="J1492" s="19">
        <f>SUBTOTAL(109,Program244[(J)
Accounts Payable Balance
(H + I)])</f>
        <v>702806</v>
      </c>
      <c r="K1492" s="19">
        <f>SUBTOTAL(109,Program244[(K)
Established 
Accounts Receivable])</f>
        <v>45662510</v>
      </c>
      <c r="L1492" s="19">
        <f>SUBTOTAL(109,Program244[(L)
Recovered
 Accounts Receivable])</f>
        <v>-8552916</v>
      </c>
      <c r="M1492" s="19">
        <f>SUBTOTAL(109,Program244[(M)
Accounts Receivable Balance
(K + L)])</f>
        <v>37109594</v>
      </c>
      <c r="N1492" s="19">
        <f>SUBTOTAL(109,Program244[(N)
Net Balance
(J minus M)])</f>
        <v>-36406788</v>
      </c>
    </row>
    <row r="1493" spans="1:14" ht="15.75" x14ac:dyDescent="0.25">
      <c r="A1493" s="17" t="s">
        <v>13</v>
      </c>
      <c r="B1493" s="54"/>
      <c r="C1493" s="55"/>
      <c r="D1493" s="55"/>
      <c r="E1493" s="55"/>
      <c r="F1493" s="55"/>
      <c r="G1493" s="55"/>
      <c r="H1493" s="55"/>
      <c r="I1493" s="55"/>
      <c r="J1493" s="55"/>
      <c r="K1493" s="55"/>
      <c r="L1493" s="55"/>
      <c r="M1493" s="55"/>
      <c r="N1493" s="55"/>
    </row>
    <row r="1494" spans="1:14" ht="78.75" x14ac:dyDescent="0.25">
      <c r="A1494" s="39" t="s">
        <v>32</v>
      </c>
      <c r="B1494" s="40" t="s">
        <v>33</v>
      </c>
      <c r="C1494" s="41" t="s">
        <v>34</v>
      </c>
      <c r="D1494" s="41" t="s">
        <v>35</v>
      </c>
      <c r="E1494" s="42" t="s">
        <v>36</v>
      </c>
      <c r="F1494" s="42" t="s">
        <v>37</v>
      </c>
      <c r="G1494" s="42" t="s">
        <v>38</v>
      </c>
      <c r="H1494" s="43" t="s">
        <v>39</v>
      </c>
      <c r="I1494" s="44" t="s">
        <v>40</v>
      </c>
      <c r="J1494" s="44" t="s">
        <v>41</v>
      </c>
      <c r="K1494" s="42" t="s">
        <v>42</v>
      </c>
      <c r="L1494" s="44" t="s">
        <v>43</v>
      </c>
      <c r="M1494" s="44" t="s">
        <v>44</v>
      </c>
      <c r="N1494" s="45" t="s">
        <v>45</v>
      </c>
    </row>
    <row r="1495" spans="1:14" ht="30" x14ac:dyDescent="0.25">
      <c r="A1495" s="67" t="s">
        <v>510</v>
      </c>
      <c r="B1495" s="57" t="s">
        <v>48</v>
      </c>
      <c r="C1495" s="58">
        <v>11725</v>
      </c>
      <c r="D1495" s="58">
        <v>-1442</v>
      </c>
      <c r="E1495" s="58">
        <v>0</v>
      </c>
      <c r="F1495" s="58">
        <v>0</v>
      </c>
      <c r="G1495" s="58">
        <v>0</v>
      </c>
      <c r="H1495" s="58">
        <v>10283</v>
      </c>
      <c r="I1495" s="58">
        <v>-10283</v>
      </c>
      <c r="J1495" s="58">
        <v>0</v>
      </c>
      <c r="K1495" s="58">
        <v>0</v>
      </c>
      <c r="L1495" s="58">
        <v>0</v>
      </c>
      <c r="M1495" s="58">
        <v>0</v>
      </c>
      <c r="N1495" s="58">
        <v>0</v>
      </c>
    </row>
    <row r="1496" spans="1:14" ht="30" x14ac:dyDescent="0.25">
      <c r="A1496" s="68" t="s">
        <v>510</v>
      </c>
      <c r="B1496" s="60" t="s">
        <v>49</v>
      </c>
      <c r="C1496" s="61">
        <v>118061</v>
      </c>
      <c r="D1496" s="61">
        <v>-4151</v>
      </c>
      <c r="E1496" s="61">
        <v>0</v>
      </c>
      <c r="F1496" s="61">
        <v>0</v>
      </c>
      <c r="G1496" s="61">
        <v>0</v>
      </c>
      <c r="H1496" s="61">
        <v>113910</v>
      </c>
      <c r="I1496" s="61">
        <v>-97651</v>
      </c>
      <c r="J1496" s="61">
        <v>16259</v>
      </c>
      <c r="K1496" s="61">
        <v>19</v>
      </c>
      <c r="L1496" s="61">
        <v>-19</v>
      </c>
      <c r="M1496" s="61">
        <v>0</v>
      </c>
      <c r="N1496" s="61">
        <v>16259</v>
      </c>
    </row>
    <row r="1497" spans="1:14" ht="30" x14ac:dyDescent="0.25">
      <c r="A1497" s="68" t="s">
        <v>510</v>
      </c>
      <c r="B1497" s="60" t="s">
        <v>50</v>
      </c>
      <c r="C1497" s="61">
        <v>111663</v>
      </c>
      <c r="D1497" s="61">
        <v>-2146</v>
      </c>
      <c r="E1497" s="61">
        <v>0</v>
      </c>
      <c r="F1497" s="61">
        <v>0</v>
      </c>
      <c r="G1497" s="61">
        <v>0</v>
      </c>
      <c r="H1497" s="61">
        <v>109517</v>
      </c>
      <c r="I1497" s="61">
        <v>-107006</v>
      </c>
      <c r="J1497" s="61">
        <v>2511</v>
      </c>
      <c r="K1497" s="61">
        <v>0</v>
      </c>
      <c r="L1497" s="61">
        <v>0</v>
      </c>
      <c r="M1497" s="61">
        <v>0</v>
      </c>
      <c r="N1497" s="61">
        <v>2511</v>
      </c>
    </row>
    <row r="1498" spans="1:14" ht="30" x14ac:dyDescent="0.25">
      <c r="A1498" s="68" t="s">
        <v>510</v>
      </c>
      <c r="B1498" s="60" t="s">
        <v>51</v>
      </c>
      <c r="C1498" s="61">
        <v>97513</v>
      </c>
      <c r="D1498" s="61">
        <v>-6520</v>
      </c>
      <c r="E1498" s="61">
        <v>0</v>
      </c>
      <c r="F1498" s="61">
        <v>0</v>
      </c>
      <c r="G1498" s="61">
        <v>0</v>
      </c>
      <c r="H1498" s="61">
        <v>90993</v>
      </c>
      <c r="I1498" s="61">
        <v>-85092</v>
      </c>
      <c r="J1498" s="61">
        <v>5901</v>
      </c>
      <c r="K1498" s="61">
        <v>0</v>
      </c>
      <c r="L1498" s="61">
        <v>0</v>
      </c>
      <c r="M1498" s="61">
        <v>0</v>
      </c>
      <c r="N1498" s="61">
        <v>5901</v>
      </c>
    </row>
    <row r="1499" spans="1:14" ht="30" x14ac:dyDescent="0.25">
      <c r="A1499" s="68" t="s">
        <v>510</v>
      </c>
      <c r="B1499" s="60" t="s">
        <v>52</v>
      </c>
      <c r="C1499" s="61">
        <v>68265</v>
      </c>
      <c r="D1499" s="61">
        <v>0</v>
      </c>
      <c r="E1499" s="61">
        <v>0</v>
      </c>
      <c r="F1499" s="61">
        <v>0</v>
      </c>
      <c r="G1499" s="61">
        <v>0</v>
      </c>
      <c r="H1499" s="61">
        <v>68265</v>
      </c>
      <c r="I1499" s="61">
        <v>-55179</v>
      </c>
      <c r="J1499" s="61">
        <v>13086</v>
      </c>
      <c r="K1499" s="61">
        <v>1388</v>
      </c>
      <c r="L1499" s="61">
        <v>-1388</v>
      </c>
      <c r="M1499" s="61">
        <v>0</v>
      </c>
      <c r="N1499" s="61">
        <v>13086</v>
      </c>
    </row>
    <row r="1500" spans="1:14" ht="30" x14ac:dyDescent="0.25">
      <c r="A1500" s="68" t="s">
        <v>510</v>
      </c>
      <c r="B1500" s="60" t="s">
        <v>53</v>
      </c>
      <c r="C1500" s="61">
        <v>285107</v>
      </c>
      <c r="D1500" s="61">
        <v>-1318</v>
      </c>
      <c r="E1500" s="61">
        <v>0</v>
      </c>
      <c r="F1500" s="61">
        <v>0</v>
      </c>
      <c r="G1500" s="61">
        <v>0</v>
      </c>
      <c r="H1500" s="61">
        <v>283789</v>
      </c>
      <c r="I1500" s="61">
        <v>-7758</v>
      </c>
      <c r="J1500" s="61">
        <v>276031</v>
      </c>
      <c r="K1500" s="61">
        <v>0</v>
      </c>
      <c r="L1500" s="61">
        <v>0</v>
      </c>
      <c r="M1500" s="61">
        <v>0</v>
      </c>
      <c r="N1500" s="61">
        <v>276031</v>
      </c>
    </row>
    <row r="1501" spans="1:14" ht="30" x14ac:dyDescent="0.25">
      <c r="A1501" s="68" t="s">
        <v>510</v>
      </c>
      <c r="B1501" s="60" t="s">
        <v>54</v>
      </c>
      <c r="C1501" s="61">
        <v>229020</v>
      </c>
      <c r="D1501" s="61">
        <v>0</v>
      </c>
      <c r="E1501" s="61">
        <v>0</v>
      </c>
      <c r="F1501" s="61">
        <v>0</v>
      </c>
      <c r="G1501" s="61">
        <v>0</v>
      </c>
      <c r="H1501" s="61">
        <v>229020</v>
      </c>
      <c r="I1501" s="61">
        <v>-229020</v>
      </c>
      <c r="J1501" s="61">
        <v>0</v>
      </c>
      <c r="K1501" s="61">
        <v>0</v>
      </c>
      <c r="L1501" s="61">
        <v>0</v>
      </c>
      <c r="M1501" s="61">
        <v>0</v>
      </c>
      <c r="N1501" s="61">
        <v>0</v>
      </c>
    </row>
    <row r="1502" spans="1:14" ht="30" x14ac:dyDescent="0.25">
      <c r="A1502" s="68" t="s">
        <v>510</v>
      </c>
      <c r="B1502" s="60" t="s">
        <v>55</v>
      </c>
      <c r="C1502" s="61">
        <v>154242</v>
      </c>
      <c r="D1502" s="61">
        <v>-411</v>
      </c>
      <c r="E1502" s="61">
        <v>0</v>
      </c>
      <c r="F1502" s="61">
        <v>0</v>
      </c>
      <c r="G1502" s="61">
        <v>0</v>
      </c>
      <c r="H1502" s="61">
        <v>153831</v>
      </c>
      <c r="I1502" s="61">
        <v>-153831</v>
      </c>
      <c r="J1502" s="61">
        <v>0</v>
      </c>
      <c r="K1502" s="61">
        <v>0</v>
      </c>
      <c r="L1502" s="61">
        <v>0</v>
      </c>
      <c r="M1502" s="61">
        <v>0</v>
      </c>
      <c r="N1502" s="61">
        <v>0</v>
      </c>
    </row>
    <row r="1503" spans="1:14" ht="30" x14ac:dyDescent="0.25">
      <c r="A1503" s="68" t="s">
        <v>510</v>
      </c>
      <c r="B1503" s="60" t="s">
        <v>56</v>
      </c>
      <c r="C1503" s="61">
        <v>162225</v>
      </c>
      <c r="D1503" s="61">
        <v>0</v>
      </c>
      <c r="E1503" s="61">
        <v>0</v>
      </c>
      <c r="F1503" s="61">
        <v>0</v>
      </c>
      <c r="G1503" s="61">
        <v>0</v>
      </c>
      <c r="H1503" s="61">
        <v>162225</v>
      </c>
      <c r="I1503" s="61">
        <v>-162225</v>
      </c>
      <c r="J1503" s="61">
        <v>0</v>
      </c>
      <c r="K1503" s="61">
        <v>0</v>
      </c>
      <c r="L1503" s="61">
        <v>0</v>
      </c>
      <c r="M1503" s="61">
        <v>0</v>
      </c>
      <c r="N1503" s="61">
        <v>0</v>
      </c>
    </row>
    <row r="1504" spans="1:14" ht="30" x14ac:dyDescent="0.25">
      <c r="A1504" s="68" t="s">
        <v>510</v>
      </c>
      <c r="B1504" s="60" t="s">
        <v>57</v>
      </c>
      <c r="C1504" s="61">
        <v>190275</v>
      </c>
      <c r="D1504" s="61">
        <v>-173</v>
      </c>
      <c r="E1504" s="61">
        <v>0</v>
      </c>
      <c r="F1504" s="61">
        <v>0</v>
      </c>
      <c r="G1504" s="61">
        <v>0</v>
      </c>
      <c r="H1504" s="61">
        <v>190102</v>
      </c>
      <c r="I1504" s="61">
        <v>-190102</v>
      </c>
      <c r="J1504" s="61">
        <v>0</v>
      </c>
      <c r="K1504" s="61">
        <v>247725</v>
      </c>
      <c r="L1504" s="61">
        <v>-247725</v>
      </c>
      <c r="M1504" s="61">
        <v>0</v>
      </c>
      <c r="N1504" s="61">
        <v>0</v>
      </c>
    </row>
    <row r="1505" spans="1:14" ht="30" x14ac:dyDescent="0.25">
      <c r="A1505" s="68" t="s">
        <v>510</v>
      </c>
      <c r="B1505" s="60" t="s">
        <v>58</v>
      </c>
      <c r="C1505" s="61">
        <v>232338</v>
      </c>
      <c r="D1505" s="61">
        <v>-8927</v>
      </c>
      <c r="E1505" s="61">
        <v>0</v>
      </c>
      <c r="F1505" s="61">
        <v>0</v>
      </c>
      <c r="G1505" s="61">
        <v>0</v>
      </c>
      <c r="H1505" s="61">
        <v>223411</v>
      </c>
      <c r="I1505" s="61">
        <v>-223411</v>
      </c>
      <c r="J1505" s="61">
        <v>0</v>
      </c>
      <c r="K1505" s="61">
        <v>319726</v>
      </c>
      <c r="L1505" s="61">
        <v>-319726</v>
      </c>
      <c r="M1505" s="61">
        <v>0</v>
      </c>
      <c r="N1505" s="61">
        <v>0</v>
      </c>
    </row>
    <row r="1506" spans="1:14" ht="30" x14ac:dyDescent="0.25">
      <c r="A1506" s="68" t="s">
        <v>510</v>
      </c>
      <c r="B1506" s="60" t="s">
        <v>59</v>
      </c>
      <c r="C1506" s="61">
        <v>289402</v>
      </c>
      <c r="D1506" s="61">
        <v>-2776</v>
      </c>
      <c r="E1506" s="61">
        <v>0</v>
      </c>
      <c r="F1506" s="61">
        <v>0</v>
      </c>
      <c r="G1506" s="61">
        <v>0</v>
      </c>
      <c r="H1506" s="61">
        <v>286626</v>
      </c>
      <c r="I1506" s="61">
        <v>-286626</v>
      </c>
      <c r="J1506" s="61">
        <v>0</v>
      </c>
      <c r="K1506" s="61">
        <v>0</v>
      </c>
      <c r="L1506" s="61">
        <v>0</v>
      </c>
      <c r="M1506" s="61">
        <v>0</v>
      </c>
      <c r="N1506" s="61">
        <v>0</v>
      </c>
    </row>
    <row r="1507" spans="1:14" ht="30" x14ac:dyDescent="0.25">
      <c r="A1507" s="68" t="s">
        <v>510</v>
      </c>
      <c r="B1507" s="60" t="s">
        <v>60</v>
      </c>
      <c r="C1507" s="61">
        <v>217453</v>
      </c>
      <c r="D1507" s="61">
        <v>-12241</v>
      </c>
      <c r="E1507" s="61">
        <v>0</v>
      </c>
      <c r="F1507" s="61">
        <v>0</v>
      </c>
      <c r="G1507" s="61">
        <v>0</v>
      </c>
      <c r="H1507" s="61">
        <v>205212</v>
      </c>
      <c r="I1507" s="61">
        <v>-205212</v>
      </c>
      <c r="J1507" s="61">
        <v>0</v>
      </c>
      <c r="K1507" s="61">
        <v>0</v>
      </c>
      <c r="L1507" s="61">
        <v>0</v>
      </c>
      <c r="M1507" s="61">
        <v>0</v>
      </c>
      <c r="N1507" s="61">
        <v>0</v>
      </c>
    </row>
    <row r="1508" spans="1:14" ht="30" x14ac:dyDescent="0.25">
      <c r="A1508" s="68" t="s">
        <v>510</v>
      </c>
      <c r="B1508" s="60" t="s">
        <v>61</v>
      </c>
      <c r="C1508" s="61">
        <v>284110</v>
      </c>
      <c r="D1508" s="61">
        <v>-11012</v>
      </c>
      <c r="E1508" s="61">
        <v>0</v>
      </c>
      <c r="F1508" s="61">
        <v>0</v>
      </c>
      <c r="G1508" s="61">
        <v>0</v>
      </c>
      <c r="H1508" s="61">
        <v>273098</v>
      </c>
      <c r="I1508" s="61">
        <v>-273098</v>
      </c>
      <c r="J1508" s="61">
        <v>0</v>
      </c>
      <c r="K1508" s="61">
        <v>0</v>
      </c>
      <c r="L1508" s="61">
        <v>0</v>
      </c>
      <c r="M1508" s="61">
        <v>0</v>
      </c>
      <c r="N1508" s="61">
        <v>0</v>
      </c>
    </row>
    <row r="1509" spans="1:14" ht="30" x14ac:dyDescent="0.25">
      <c r="A1509" s="68" t="s">
        <v>510</v>
      </c>
      <c r="B1509" s="60" t="s">
        <v>62</v>
      </c>
      <c r="C1509" s="61">
        <v>202709</v>
      </c>
      <c r="D1509" s="61">
        <v>-11167</v>
      </c>
      <c r="E1509" s="61">
        <v>0</v>
      </c>
      <c r="F1509" s="61">
        <v>0</v>
      </c>
      <c r="G1509" s="61">
        <v>0</v>
      </c>
      <c r="H1509" s="61">
        <v>191542</v>
      </c>
      <c r="I1509" s="61">
        <v>-191542</v>
      </c>
      <c r="J1509" s="61">
        <v>0</v>
      </c>
      <c r="K1509" s="61">
        <v>0</v>
      </c>
      <c r="L1509" s="61">
        <v>0</v>
      </c>
      <c r="M1509" s="61">
        <v>0</v>
      </c>
      <c r="N1509" s="61">
        <v>0</v>
      </c>
    </row>
    <row r="1510" spans="1:14" ht="30" x14ac:dyDescent="0.25">
      <c r="A1510" s="68" t="s">
        <v>510</v>
      </c>
      <c r="B1510" s="60" t="s">
        <v>63</v>
      </c>
      <c r="C1510" s="61">
        <v>204780</v>
      </c>
      <c r="D1510" s="61">
        <v>-14038</v>
      </c>
      <c r="E1510" s="61">
        <v>0</v>
      </c>
      <c r="F1510" s="61">
        <v>0</v>
      </c>
      <c r="G1510" s="61">
        <v>0</v>
      </c>
      <c r="H1510" s="61">
        <v>190742</v>
      </c>
      <c r="I1510" s="61">
        <v>-190742</v>
      </c>
      <c r="J1510" s="61">
        <v>0</v>
      </c>
      <c r="K1510" s="61">
        <v>0</v>
      </c>
      <c r="L1510" s="61">
        <v>0</v>
      </c>
      <c r="M1510" s="61">
        <v>0</v>
      </c>
      <c r="N1510" s="61">
        <v>0</v>
      </c>
    </row>
    <row r="1511" spans="1:14" ht="15.75" x14ac:dyDescent="0.25">
      <c r="A1511" s="52" t="s">
        <v>388</v>
      </c>
      <c r="B1511" s="53" t="s">
        <v>8</v>
      </c>
      <c r="C1511" s="19">
        <f>SUBTOTAL(109,Program182[(C)
Program
Costs])</f>
        <v>2858888</v>
      </c>
      <c r="D1511" s="19">
        <f>SUBTOTAL(109,Program182[(D)
Prior Period Adjustments])</f>
        <v>-76322</v>
      </c>
      <c r="E1511" s="19">
        <f>SUBTOTAL(109,Program182[(E)
Current Period Desk 
Reviews])</f>
        <v>0</v>
      </c>
      <c r="F1511" s="19">
        <f>SUBTOTAL(109,Program182[(F)
Current Period 
Final 
Audits])</f>
        <v>0</v>
      </c>
      <c r="G1511" s="19">
        <f>SUBTOTAL(109,Program182[(G)
Current Period 
Other Adjustments])</f>
        <v>0</v>
      </c>
      <c r="H1511" s="19">
        <f>SUBTOTAL(109,Program182[(H)
Net Program Costs
Sum (C through G)])</f>
        <v>2782566</v>
      </c>
      <c r="I1511" s="19">
        <f>SUBTOTAL(109,Program182[(I)
Payments
 and Offsets])</f>
        <v>-2468778</v>
      </c>
      <c r="J1511" s="19">
        <f>SUBTOTAL(109,Program182[(J)
Accounts Payable Balance
(H + I)])</f>
        <v>313788</v>
      </c>
      <c r="K1511" s="19">
        <f>SUBTOTAL(109,Program182[(K)
Established 
Accounts Receivable])</f>
        <v>568858</v>
      </c>
      <c r="L1511" s="19">
        <f>SUBTOTAL(109,Program182[(L)
Recovered
 Accounts Receivable])</f>
        <v>-568858</v>
      </c>
      <c r="M1511" s="19">
        <f>SUBTOTAL(109,Program182[(M)
Accounts Receivable Balance
(K + L)])</f>
        <v>0</v>
      </c>
      <c r="N1511" s="19">
        <f>SUBTOTAL(109,Program182[(N)
Net Balance
(J minus M)])</f>
        <v>313788</v>
      </c>
    </row>
    <row r="1512" spans="1:14" ht="15.75" x14ac:dyDescent="0.25">
      <c r="A1512" s="17" t="s">
        <v>13</v>
      </c>
      <c r="B1512" s="54"/>
      <c r="C1512" s="55"/>
      <c r="D1512" s="55"/>
      <c r="E1512" s="55"/>
      <c r="F1512" s="55"/>
      <c r="G1512" s="55"/>
      <c r="H1512" s="55"/>
      <c r="I1512" s="55"/>
      <c r="J1512" s="55"/>
      <c r="K1512" s="55"/>
      <c r="L1512" s="55"/>
      <c r="M1512" s="55"/>
      <c r="N1512" s="55"/>
    </row>
    <row r="1513" spans="1:14" ht="78.75" x14ac:dyDescent="0.25">
      <c r="A1513" s="39" t="s">
        <v>32</v>
      </c>
      <c r="B1513" s="40" t="s">
        <v>33</v>
      </c>
      <c r="C1513" s="41" t="s">
        <v>34</v>
      </c>
      <c r="D1513" s="41" t="s">
        <v>35</v>
      </c>
      <c r="E1513" s="42" t="s">
        <v>36</v>
      </c>
      <c r="F1513" s="42" t="s">
        <v>37</v>
      </c>
      <c r="G1513" s="42" t="s">
        <v>38</v>
      </c>
      <c r="H1513" s="43" t="s">
        <v>39</v>
      </c>
      <c r="I1513" s="44" t="s">
        <v>40</v>
      </c>
      <c r="J1513" s="44" t="s">
        <v>41</v>
      </c>
      <c r="K1513" s="42" t="s">
        <v>42</v>
      </c>
      <c r="L1513" s="44" t="s">
        <v>43</v>
      </c>
      <c r="M1513" s="44" t="s">
        <v>44</v>
      </c>
      <c r="N1513" s="45" t="s">
        <v>45</v>
      </c>
    </row>
    <row r="1514" spans="1:14" ht="15.75" x14ac:dyDescent="0.25">
      <c r="A1514" s="46" t="s">
        <v>509</v>
      </c>
      <c r="B1514" s="47" t="s">
        <v>80</v>
      </c>
      <c r="C1514" s="48">
        <v>6219</v>
      </c>
      <c r="D1514" s="48">
        <v>0</v>
      </c>
      <c r="E1514" s="48">
        <v>0</v>
      </c>
      <c r="F1514" s="48">
        <v>0</v>
      </c>
      <c r="G1514" s="48">
        <v>0</v>
      </c>
      <c r="H1514" s="48">
        <v>6219</v>
      </c>
      <c r="I1514" s="48">
        <v>-1000</v>
      </c>
      <c r="J1514" s="48">
        <v>5219</v>
      </c>
      <c r="K1514" s="48">
        <v>0</v>
      </c>
      <c r="L1514" s="48">
        <v>0</v>
      </c>
      <c r="M1514" s="48">
        <v>0</v>
      </c>
      <c r="N1514" s="48">
        <v>5219</v>
      </c>
    </row>
    <row r="1515" spans="1:14" ht="15.75" x14ac:dyDescent="0.25">
      <c r="A1515" s="49" t="s">
        <v>509</v>
      </c>
      <c r="B1515" s="50" t="s">
        <v>81</v>
      </c>
      <c r="C1515" s="51">
        <v>7615</v>
      </c>
      <c r="D1515" s="51">
        <v>0</v>
      </c>
      <c r="E1515" s="51">
        <v>0</v>
      </c>
      <c r="F1515" s="51">
        <v>0</v>
      </c>
      <c r="G1515" s="51">
        <v>0</v>
      </c>
      <c r="H1515" s="51">
        <v>7615</v>
      </c>
      <c r="I1515" s="51">
        <v>-1000</v>
      </c>
      <c r="J1515" s="51">
        <v>6615</v>
      </c>
      <c r="K1515" s="51">
        <v>0</v>
      </c>
      <c r="L1515" s="51">
        <v>0</v>
      </c>
      <c r="M1515" s="51">
        <v>0</v>
      </c>
      <c r="N1515" s="51">
        <v>6615</v>
      </c>
    </row>
    <row r="1516" spans="1:14" ht="15.75" x14ac:dyDescent="0.25">
      <c r="A1516" s="49" t="s">
        <v>509</v>
      </c>
      <c r="B1516" s="50" t="s">
        <v>82</v>
      </c>
      <c r="C1516" s="51">
        <v>11550</v>
      </c>
      <c r="D1516" s="51">
        <v>0</v>
      </c>
      <c r="E1516" s="51">
        <v>0</v>
      </c>
      <c r="F1516" s="51">
        <v>0</v>
      </c>
      <c r="G1516" s="51">
        <v>0</v>
      </c>
      <c r="H1516" s="51">
        <v>11550</v>
      </c>
      <c r="I1516" s="51">
        <v>-1000</v>
      </c>
      <c r="J1516" s="51">
        <v>10550</v>
      </c>
      <c r="K1516" s="51">
        <v>0</v>
      </c>
      <c r="L1516" s="51">
        <v>0</v>
      </c>
      <c r="M1516" s="51">
        <v>0</v>
      </c>
      <c r="N1516" s="51">
        <v>10550</v>
      </c>
    </row>
    <row r="1517" spans="1:14" ht="15.75" x14ac:dyDescent="0.25">
      <c r="A1517" s="49" t="s">
        <v>509</v>
      </c>
      <c r="B1517" s="50" t="s">
        <v>83</v>
      </c>
      <c r="C1517" s="51">
        <v>88241</v>
      </c>
      <c r="D1517" s="51">
        <v>0</v>
      </c>
      <c r="E1517" s="51">
        <v>0</v>
      </c>
      <c r="F1517" s="51">
        <v>0</v>
      </c>
      <c r="G1517" s="51">
        <v>0</v>
      </c>
      <c r="H1517" s="51">
        <v>88241</v>
      </c>
      <c r="I1517" s="51">
        <v>-32642</v>
      </c>
      <c r="J1517" s="51">
        <v>55599</v>
      </c>
      <c r="K1517" s="51">
        <v>0</v>
      </c>
      <c r="L1517" s="51">
        <v>0</v>
      </c>
      <c r="M1517" s="51">
        <v>0</v>
      </c>
      <c r="N1517" s="51">
        <v>55599</v>
      </c>
    </row>
    <row r="1518" spans="1:14" ht="15.75" x14ac:dyDescent="0.25">
      <c r="A1518" s="49" t="s">
        <v>509</v>
      </c>
      <c r="B1518" s="50" t="s">
        <v>48</v>
      </c>
      <c r="C1518" s="51">
        <v>119811</v>
      </c>
      <c r="D1518" s="51">
        <v>0</v>
      </c>
      <c r="E1518" s="51">
        <v>0</v>
      </c>
      <c r="F1518" s="51">
        <v>0</v>
      </c>
      <c r="G1518" s="51">
        <v>0</v>
      </c>
      <c r="H1518" s="51">
        <v>119811</v>
      </c>
      <c r="I1518" s="51">
        <v>-29250</v>
      </c>
      <c r="J1518" s="51">
        <v>90561</v>
      </c>
      <c r="K1518" s="51">
        <v>0</v>
      </c>
      <c r="L1518" s="51">
        <v>0</v>
      </c>
      <c r="M1518" s="51">
        <v>0</v>
      </c>
      <c r="N1518" s="51">
        <v>90561</v>
      </c>
    </row>
    <row r="1519" spans="1:14" ht="15.75" x14ac:dyDescent="0.25">
      <c r="A1519" s="49" t="s">
        <v>509</v>
      </c>
      <c r="B1519" s="50" t="s">
        <v>49</v>
      </c>
      <c r="C1519" s="51">
        <v>118719</v>
      </c>
      <c r="D1519" s="51">
        <v>0</v>
      </c>
      <c r="E1519" s="51">
        <v>0</v>
      </c>
      <c r="F1519" s="51">
        <v>0</v>
      </c>
      <c r="G1519" s="51">
        <v>0</v>
      </c>
      <c r="H1519" s="51">
        <v>118719</v>
      </c>
      <c r="I1519" s="51">
        <v>-82734</v>
      </c>
      <c r="J1519" s="51">
        <v>35985</v>
      </c>
      <c r="K1519" s="51">
        <v>0</v>
      </c>
      <c r="L1519" s="51">
        <v>0</v>
      </c>
      <c r="M1519" s="51">
        <v>0</v>
      </c>
      <c r="N1519" s="51">
        <v>35985</v>
      </c>
    </row>
    <row r="1520" spans="1:14" ht="15.75" x14ac:dyDescent="0.25">
      <c r="A1520" s="49" t="s">
        <v>509</v>
      </c>
      <c r="B1520" s="50" t="s">
        <v>50</v>
      </c>
      <c r="C1520" s="51">
        <v>87954</v>
      </c>
      <c r="D1520" s="51">
        <v>0</v>
      </c>
      <c r="E1520" s="51">
        <v>0</v>
      </c>
      <c r="F1520" s="51">
        <v>0</v>
      </c>
      <c r="G1520" s="51">
        <v>0</v>
      </c>
      <c r="H1520" s="51">
        <v>87954</v>
      </c>
      <c r="I1520" s="51">
        <v>-82480</v>
      </c>
      <c r="J1520" s="51">
        <v>5474</v>
      </c>
      <c r="K1520" s="51">
        <v>0</v>
      </c>
      <c r="L1520" s="51">
        <v>0</v>
      </c>
      <c r="M1520" s="51">
        <v>0</v>
      </c>
      <c r="N1520" s="51">
        <v>5474</v>
      </c>
    </row>
    <row r="1521" spans="1:14" ht="15.75" x14ac:dyDescent="0.25">
      <c r="A1521" s="49" t="s">
        <v>509</v>
      </c>
      <c r="B1521" s="50" t="s">
        <v>51</v>
      </c>
      <c r="C1521" s="51">
        <v>23080</v>
      </c>
      <c r="D1521" s="51">
        <v>0</v>
      </c>
      <c r="E1521" s="51">
        <v>0</v>
      </c>
      <c r="F1521" s="51">
        <v>0</v>
      </c>
      <c r="G1521" s="51">
        <v>0</v>
      </c>
      <c r="H1521" s="51">
        <v>23080</v>
      </c>
      <c r="I1521" s="51">
        <v>-9194</v>
      </c>
      <c r="J1521" s="51">
        <v>13886</v>
      </c>
      <c r="K1521" s="51">
        <v>0</v>
      </c>
      <c r="L1521" s="51">
        <v>0</v>
      </c>
      <c r="M1521" s="51">
        <v>0</v>
      </c>
      <c r="N1521" s="51">
        <v>13886</v>
      </c>
    </row>
    <row r="1522" spans="1:14" ht="15.75" x14ac:dyDescent="0.25">
      <c r="A1522" s="49" t="s">
        <v>509</v>
      </c>
      <c r="B1522" s="50" t="s">
        <v>52</v>
      </c>
      <c r="C1522" s="51">
        <v>15412</v>
      </c>
      <c r="D1522" s="51">
        <v>-747</v>
      </c>
      <c r="E1522" s="51">
        <v>0</v>
      </c>
      <c r="F1522" s="51">
        <v>0</v>
      </c>
      <c r="G1522" s="51">
        <v>0</v>
      </c>
      <c r="H1522" s="51">
        <v>14665</v>
      </c>
      <c r="I1522" s="51">
        <v>-11241</v>
      </c>
      <c r="J1522" s="51">
        <v>3424</v>
      </c>
      <c r="K1522" s="51">
        <v>0</v>
      </c>
      <c r="L1522" s="51">
        <v>0</v>
      </c>
      <c r="M1522" s="51">
        <v>0</v>
      </c>
      <c r="N1522" s="51">
        <v>3424</v>
      </c>
    </row>
    <row r="1523" spans="1:14" ht="15.75" x14ac:dyDescent="0.25">
      <c r="A1523" s="49" t="s">
        <v>509</v>
      </c>
      <c r="B1523" s="50" t="s">
        <v>53</v>
      </c>
      <c r="C1523" s="51">
        <v>10240</v>
      </c>
      <c r="D1523" s="51">
        <v>-159</v>
      </c>
      <c r="E1523" s="51">
        <v>0</v>
      </c>
      <c r="F1523" s="51">
        <v>0</v>
      </c>
      <c r="G1523" s="51">
        <v>0</v>
      </c>
      <c r="H1523" s="51">
        <v>10081</v>
      </c>
      <c r="I1523" s="51">
        <v>-8652</v>
      </c>
      <c r="J1523" s="51">
        <v>1429</v>
      </c>
      <c r="K1523" s="51">
        <v>0</v>
      </c>
      <c r="L1523" s="51">
        <v>0</v>
      </c>
      <c r="M1523" s="51">
        <v>0</v>
      </c>
      <c r="N1523" s="51">
        <v>1429</v>
      </c>
    </row>
    <row r="1524" spans="1:14" ht="15.75" x14ac:dyDescent="0.25">
      <c r="A1524" s="49" t="s">
        <v>509</v>
      </c>
      <c r="B1524" s="50" t="s">
        <v>54</v>
      </c>
      <c r="C1524" s="51">
        <v>6763</v>
      </c>
      <c r="D1524" s="51">
        <v>-118</v>
      </c>
      <c r="E1524" s="51">
        <v>0</v>
      </c>
      <c r="F1524" s="51">
        <v>0</v>
      </c>
      <c r="G1524" s="51">
        <v>0</v>
      </c>
      <c r="H1524" s="51">
        <v>6645</v>
      </c>
      <c r="I1524" s="51">
        <v>-5582</v>
      </c>
      <c r="J1524" s="51">
        <v>1063</v>
      </c>
      <c r="K1524" s="51">
        <v>0</v>
      </c>
      <c r="L1524" s="51">
        <v>0</v>
      </c>
      <c r="M1524" s="51">
        <v>0</v>
      </c>
      <c r="N1524" s="51">
        <v>1063</v>
      </c>
    </row>
    <row r="1525" spans="1:14" ht="15.75" x14ac:dyDescent="0.25">
      <c r="A1525" s="49" t="s">
        <v>509</v>
      </c>
      <c r="B1525" s="50" t="s">
        <v>55</v>
      </c>
      <c r="C1525" s="51">
        <v>6746</v>
      </c>
      <c r="D1525" s="51">
        <v>-112</v>
      </c>
      <c r="E1525" s="51">
        <v>0</v>
      </c>
      <c r="F1525" s="51">
        <v>0</v>
      </c>
      <c r="G1525" s="51">
        <v>0</v>
      </c>
      <c r="H1525" s="51">
        <v>6634</v>
      </c>
      <c r="I1525" s="51">
        <v>-5624</v>
      </c>
      <c r="J1525" s="51">
        <v>1010</v>
      </c>
      <c r="K1525" s="51">
        <v>0</v>
      </c>
      <c r="L1525" s="51">
        <v>0</v>
      </c>
      <c r="M1525" s="51">
        <v>0</v>
      </c>
      <c r="N1525" s="51">
        <v>1010</v>
      </c>
    </row>
    <row r="1526" spans="1:14" ht="15.75" x14ac:dyDescent="0.25">
      <c r="A1526" s="49" t="s">
        <v>509</v>
      </c>
      <c r="B1526" s="50" t="s">
        <v>56</v>
      </c>
      <c r="C1526" s="51">
        <v>5996</v>
      </c>
      <c r="D1526" s="51">
        <v>-122</v>
      </c>
      <c r="E1526" s="51">
        <v>0</v>
      </c>
      <c r="F1526" s="51">
        <v>0</v>
      </c>
      <c r="G1526" s="51">
        <v>0</v>
      </c>
      <c r="H1526" s="51">
        <v>5874</v>
      </c>
      <c r="I1526" s="51">
        <v>-5874</v>
      </c>
      <c r="J1526" s="51">
        <v>0</v>
      </c>
      <c r="K1526" s="51">
        <v>0</v>
      </c>
      <c r="L1526" s="51">
        <v>0</v>
      </c>
      <c r="M1526" s="51">
        <v>0</v>
      </c>
      <c r="N1526" s="51">
        <v>0</v>
      </c>
    </row>
    <row r="1527" spans="1:14" ht="15.75" x14ac:dyDescent="0.25">
      <c r="A1527" s="49" t="s">
        <v>509</v>
      </c>
      <c r="B1527" s="50" t="s">
        <v>57</v>
      </c>
      <c r="C1527" s="51">
        <v>5799</v>
      </c>
      <c r="D1527" s="51">
        <v>-107</v>
      </c>
      <c r="E1527" s="51">
        <v>0</v>
      </c>
      <c r="F1527" s="51">
        <v>0</v>
      </c>
      <c r="G1527" s="51">
        <v>0</v>
      </c>
      <c r="H1527" s="51">
        <v>5692</v>
      </c>
      <c r="I1527" s="51">
        <v>-5692</v>
      </c>
      <c r="J1527" s="51">
        <v>0</v>
      </c>
      <c r="K1527" s="51">
        <v>0</v>
      </c>
      <c r="L1527" s="51">
        <v>0</v>
      </c>
      <c r="M1527" s="51">
        <v>0</v>
      </c>
      <c r="N1527" s="51">
        <v>0</v>
      </c>
    </row>
    <row r="1528" spans="1:14" ht="15.75" x14ac:dyDescent="0.25">
      <c r="A1528" s="52" t="s">
        <v>387</v>
      </c>
      <c r="B1528" s="53" t="s">
        <v>8</v>
      </c>
      <c r="C1528" s="19">
        <f>SUBTOTAL(109,Program280[(C)
Program
Costs])</f>
        <v>514145</v>
      </c>
      <c r="D1528" s="19">
        <f>SUBTOTAL(109,Program280[(D)
Prior Period Adjustments])</f>
        <v>-1365</v>
      </c>
      <c r="E1528" s="19">
        <f>SUBTOTAL(109,Program280[(E)
Current Period Desk 
Reviews])</f>
        <v>0</v>
      </c>
      <c r="F1528" s="19">
        <f>SUBTOTAL(109,Program280[(F)
Current Period 
Final 
Audits])</f>
        <v>0</v>
      </c>
      <c r="G1528" s="19">
        <f>SUBTOTAL(109,Program280[(G)
Current Period 
Other Adjustments])</f>
        <v>0</v>
      </c>
      <c r="H1528" s="19">
        <f>SUBTOTAL(109,Program280[(H)
Net Program Costs
Sum (C through G)])</f>
        <v>512780</v>
      </c>
      <c r="I1528" s="19">
        <f>SUBTOTAL(109,Program280[(I)
Payments
 and Offsets])</f>
        <v>-281965</v>
      </c>
      <c r="J1528" s="19">
        <f>SUBTOTAL(109,Program280[(J)
Accounts Payable Balance
(H + I)])</f>
        <v>230815</v>
      </c>
      <c r="K1528" s="19">
        <f>SUBTOTAL(109,Program280[(K)
Established 
Accounts Receivable])</f>
        <v>0</v>
      </c>
      <c r="L1528" s="19">
        <f>SUBTOTAL(109,Program280[(L)
Recovered
 Accounts Receivable])</f>
        <v>0</v>
      </c>
      <c r="M1528" s="19">
        <f>SUBTOTAL(109,Program280[(M)
Accounts Receivable Balance
(K + L)])</f>
        <v>0</v>
      </c>
      <c r="N1528" s="19">
        <f>SUBTOTAL(109,Program280[(N)
Net Balance
(J minus M)])</f>
        <v>230815</v>
      </c>
    </row>
    <row r="1529" spans="1:14" ht="15.75" x14ac:dyDescent="0.25">
      <c r="A1529" s="17" t="s">
        <v>13</v>
      </c>
      <c r="B1529" s="54"/>
      <c r="C1529" s="55"/>
      <c r="D1529" s="55"/>
      <c r="E1529" s="55"/>
      <c r="F1529" s="55"/>
      <c r="G1529" s="55"/>
      <c r="H1529" s="55"/>
      <c r="I1529" s="55"/>
      <c r="J1529" s="55"/>
      <c r="K1529" s="55"/>
      <c r="L1529" s="55"/>
      <c r="M1529" s="55"/>
      <c r="N1529" s="55"/>
    </row>
    <row r="1530" spans="1:14" ht="78.75" x14ac:dyDescent="0.25">
      <c r="A1530" s="39" t="s">
        <v>32</v>
      </c>
      <c r="B1530" s="40" t="s">
        <v>33</v>
      </c>
      <c r="C1530" s="41" t="s">
        <v>34</v>
      </c>
      <c r="D1530" s="41" t="s">
        <v>35</v>
      </c>
      <c r="E1530" s="42" t="s">
        <v>36</v>
      </c>
      <c r="F1530" s="42" t="s">
        <v>37</v>
      </c>
      <c r="G1530" s="42" t="s">
        <v>38</v>
      </c>
      <c r="H1530" s="43" t="s">
        <v>39</v>
      </c>
      <c r="I1530" s="44" t="s">
        <v>40</v>
      </c>
      <c r="J1530" s="44" t="s">
        <v>41</v>
      </c>
      <c r="K1530" s="42" t="s">
        <v>42</v>
      </c>
      <c r="L1530" s="44" t="s">
        <v>43</v>
      </c>
      <c r="M1530" s="44" t="s">
        <v>44</v>
      </c>
      <c r="N1530" s="45" t="s">
        <v>45</v>
      </c>
    </row>
    <row r="1531" spans="1:14" ht="30" x14ac:dyDescent="0.25">
      <c r="A1531" s="67" t="s">
        <v>508</v>
      </c>
      <c r="B1531" s="57" t="s">
        <v>83</v>
      </c>
      <c r="C1531" s="58">
        <v>3656883</v>
      </c>
      <c r="D1531" s="58">
        <v>-15912</v>
      </c>
      <c r="E1531" s="58">
        <v>0</v>
      </c>
      <c r="F1531" s="58">
        <v>0</v>
      </c>
      <c r="G1531" s="58">
        <v>0</v>
      </c>
      <c r="H1531" s="58">
        <v>3640971</v>
      </c>
      <c r="I1531" s="58">
        <v>-2824667</v>
      </c>
      <c r="J1531" s="58">
        <v>816304</v>
      </c>
      <c r="K1531" s="58">
        <v>0</v>
      </c>
      <c r="L1531" s="58">
        <v>0</v>
      </c>
      <c r="M1531" s="58">
        <v>0</v>
      </c>
      <c r="N1531" s="58">
        <v>816304</v>
      </c>
    </row>
    <row r="1532" spans="1:14" ht="30" x14ac:dyDescent="0.25">
      <c r="A1532" s="68" t="s">
        <v>508</v>
      </c>
      <c r="B1532" s="60" t="s">
        <v>48</v>
      </c>
      <c r="C1532" s="61">
        <v>4842166</v>
      </c>
      <c r="D1532" s="61">
        <v>-4018</v>
      </c>
      <c r="E1532" s="61">
        <v>0</v>
      </c>
      <c r="F1532" s="61">
        <v>0</v>
      </c>
      <c r="G1532" s="61">
        <v>0</v>
      </c>
      <c r="H1532" s="61">
        <v>4838148</v>
      </c>
      <c r="I1532" s="61">
        <v>-3627093</v>
      </c>
      <c r="J1532" s="61">
        <v>1211055</v>
      </c>
      <c r="K1532" s="61">
        <v>0</v>
      </c>
      <c r="L1532" s="61">
        <v>0</v>
      </c>
      <c r="M1532" s="61">
        <v>0</v>
      </c>
      <c r="N1532" s="61">
        <v>1211055</v>
      </c>
    </row>
    <row r="1533" spans="1:14" ht="30" x14ac:dyDescent="0.25">
      <c r="A1533" s="68" t="s">
        <v>508</v>
      </c>
      <c r="B1533" s="60" t="s">
        <v>49</v>
      </c>
      <c r="C1533" s="61">
        <v>5620062</v>
      </c>
      <c r="D1533" s="61">
        <v>-28123</v>
      </c>
      <c r="E1533" s="61">
        <v>0</v>
      </c>
      <c r="F1533" s="61">
        <v>0</v>
      </c>
      <c r="G1533" s="61">
        <v>0</v>
      </c>
      <c r="H1533" s="61">
        <v>5591939</v>
      </c>
      <c r="I1533" s="61">
        <v>-5576654</v>
      </c>
      <c r="J1533" s="61">
        <v>15285</v>
      </c>
      <c r="K1533" s="61">
        <v>30395</v>
      </c>
      <c r="L1533" s="61">
        <v>0</v>
      </c>
      <c r="M1533" s="61">
        <v>30395</v>
      </c>
      <c r="N1533" s="61">
        <v>-15110</v>
      </c>
    </row>
    <row r="1534" spans="1:14" ht="30" x14ac:dyDescent="0.25">
      <c r="A1534" s="68" t="s">
        <v>508</v>
      </c>
      <c r="B1534" s="60" t="s">
        <v>50</v>
      </c>
      <c r="C1534" s="61">
        <v>6374088</v>
      </c>
      <c r="D1534" s="61">
        <v>-11846</v>
      </c>
      <c r="E1534" s="61">
        <v>0</v>
      </c>
      <c r="F1534" s="61">
        <v>0</v>
      </c>
      <c r="G1534" s="61">
        <v>0</v>
      </c>
      <c r="H1534" s="61">
        <v>6362242</v>
      </c>
      <c r="I1534" s="61">
        <v>-6209882</v>
      </c>
      <c r="J1534" s="61">
        <v>152360</v>
      </c>
      <c r="K1534" s="61">
        <v>203356</v>
      </c>
      <c r="L1534" s="61">
        <v>-203356</v>
      </c>
      <c r="M1534" s="61">
        <v>0</v>
      </c>
      <c r="N1534" s="61">
        <v>152360</v>
      </c>
    </row>
    <row r="1535" spans="1:14" ht="30" x14ac:dyDescent="0.25">
      <c r="A1535" s="68" t="s">
        <v>508</v>
      </c>
      <c r="B1535" s="60" t="s">
        <v>51</v>
      </c>
      <c r="C1535" s="61">
        <v>7139320</v>
      </c>
      <c r="D1535" s="61">
        <v>-57234</v>
      </c>
      <c r="E1535" s="61">
        <v>0</v>
      </c>
      <c r="F1535" s="61">
        <v>0</v>
      </c>
      <c r="G1535" s="61">
        <v>0</v>
      </c>
      <c r="H1535" s="61">
        <v>7082086</v>
      </c>
      <c r="I1535" s="61">
        <v>-6048055</v>
      </c>
      <c r="J1535" s="61">
        <v>1034031</v>
      </c>
      <c r="K1535" s="61">
        <v>22</v>
      </c>
      <c r="L1535" s="61">
        <v>-21</v>
      </c>
      <c r="M1535" s="61">
        <v>1</v>
      </c>
      <c r="N1535" s="61">
        <v>1034030</v>
      </c>
    </row>
    <row r="1536" spans="1:14" ht="30" x14ac:dyDescent="0.25">
      <c r="A1536" s="68" t="s">
        <v>508</v>
      </c>
      <c r="B1536" s="60" t="s">
        <v>52</v>
      </c>
      <c r="C1536" s="61">
        <v>7349056</v>
      </c>
      <c r="D1536" s="61">
        <v>-119042</v>
      </c>
      <c r="E1536" s="61">
        <v>0</v>
      </c>
      <c r="F1536" s="61">
        <v>0</v>
      </c>
      <c r="G1536" s="61">
        <v>0</v>
      </c>
      <c r="H1536" s="61">
        <v>7230014</v>
      </c>
      <c r="I1536" s="61">
        <v>-6313475</v>
      </c>
      <c r="J1536" s="61">
        <v>916539</v>
      </c>
      <c r="K1536" s="61">
        <v>35024</v>
      </c>
      <c r="L1536" s="61">
        <v>-25955</v>
      </c>
      <c r="M1536" s="61">
        <v>9069</v>
      </c>
      <c r="N1536" s="61">
        <v>907470</v>
      </c>
    </row>
    <row r="1537" spans="1:14" ht="30" x14ac:dyDescent="0.25">
      <c r="A1537" s="68" t="s">
        <v>508</v>
      </c>
      <c r="B1537" s="60" t="s">
        <v>53</v>
      </c>
      <c r="C1537" s="61">
        <v>3241474</v>
      </c>
      <c r="D1537" s="61">
        <v>-63368</v>
      </c>
      <c r="E1537" s="61">
        <v>0</v>
      </c>
      <c r="F1537" s="61">
        <v>0</v>
      </c>
      <c r="G1537" s="61">
        <v>0</v>
      </c>
      <c r="H1537" s="61">
        <v>3178106</v>
      </c>
      <c r="I1537" s="61">
        <v>-2910951</v>
      </c>
      <c r="J1537" s="61">
        <v>267155</v>
      </c>
      <c r="K1537" s="61">
        <v>337</v>
      </c>
      <c r="L1537" s="61">
        <v>0</v>
      </c>
      <c r="M1537" s="61">
        <v>337</v>
      </c>
      <c r="N1537" s="61">
        <v>266818</v>
      </c>
    </row>
    <row r="1538" spans="1:14" ht="30" x14ac:dyDescent="0.25">
      <c r="A1538" s="68" t="s">
        <v>508</v>
      </c>
      <c r="B1538" s="60" t="s">
        <v>54</v>
      </c>
      <c r="C1538" s="61">
        <v>2368664</v>
      </c>
      <c r="D1538" s="61">
        <v>-19886</v>
      </c>
      <c r="E1538" s="61">
        <v>0</v>
      </c>
      <c r="F1538" s="61">
        <v>0</v>
      </c>
      <c r="G1538" s="61">
        <v>0</v>
      </c>
      <c r="H1538" s="61">
        <v>2348778</v>
      </c>
      <c r="I1538" s="61">
        <v>-2348778</v>
      </c>
      <c r="J1538" s="61">
        <v>0</v>
      </c>
      <c r="K1538" s="61">
        <v>14847</v>
      </c>
      <c r="L1538" s="61">
        <v>-6905</v>
      </c>
      <c r="M1538" s="61">
        <v>7942</v>
      </c>
      <c r="N1538" s="61">
        <v>-7942</v>
      </c>
    </row>
    <row r="1539" spans="1:14" ht="30" x14ac:dyDescent="0.25">
      <c r="A1539" s="68" t="s">
        <v>508</v>
      </c>
      <c r="B1539" s="60" t="s">
        <v>55</v>
      </c>
      <c r="C1539" s="61">
        <v>4119873</v>
      </c>
      <c r="D1539" s="61">
        <v>-7227</v>
      </c>
      <c r="E1539" s="61">
        <v>0</v>
      </c>
      <c r="F1539" s="61">
        <v>0</v>
      </c>
      <c r="G1539" s="61">
        <v>0</v>
      </c>
      <c r="H1539" s="61">
        <v>4112646</v>
      </c>
      <c r="I1539" s="61">
        <v>-4112646</v>
      </c>
      <c r="J1539" s="61">
        <v>0</v>
      </c>
      <c r="K1539" s="61">
        <v>0</v>
      </c>
      <c r="L1539" s="61">
        <v>0</v>
      </c>
      <c r="M1539" s="61">
        <v>0</v>
      </c>
      <c r="N1539" s="61">
        <v>0</v>
      </c>
    </row>
    <row r="1540" spans="1:14" ht="30" x14ac:dyDescent="0.25">
      <c r="A1540" s="68" t="s">
        <v>508</v>
      </c>
      <c r="B1540" s="60" t="s">
        <v>56</v>
      </c>
      <c r="C1540" s="61">
        <v>3916296</v>
      </c>
      <c r="D1540" s="61">
        <v>-4313</v>
      </c>
      <c r="E1540" s="61">
        <v>0</v>
      </c>
      <c r="F1540" s="61">
        <v>0</v>
      </c>
      <c r="G1540" s="61">
        <v>0</v>
      </c>
      <c r="H1540" s="61">
        <v>3911983</v>
      </c>
      <c r="I1540" s="61">
        <v>-3911983</v>
      </c>
      <c r="J1540" s="61">
        <v>0</v>
      </c>
      <c r="K1540" s="61">
        <v>0</v>
      </c>
      <c r="L1540" s="61">
        <v>0</v>
      </c>
      <c r="M1540" s="61">
        <v>0</v>
      </c>
      <c r="N1540" s="61">
        <v>0</v>
      </c>
    </row>
    <row r="1541" spans="1:14" ht="30" x14ac:dyDescent="0.25">
      <c r="A1541" s="68" t="s">
        <v>508</v>
      </c>
      <c r="B1541" s="60" t="s">
        <v>57</v>
      </c>
      <c r="C1541" s="61">
        <v>4130452</v>
      </c>
      <c r="D1541" s="61">
        <v>-630552</v>
      </c>
      <c r="E1541" s="61">
        <v>0</v>
      </c>
      <c r="F1541" s="61">
        <v>0</v>
      </c>
      <c r="G1541" s="61">
        <v>0</v>
      </c>
      <c r="H1541" s="61">
        <v>3499900</v>
      </c>
      <c r="I1541" s="61">
        <v>-3499900</v>
      </c>
      <c r="J1541" s="61">
        <v>0</v>
      </c>
      <c r="K1541" s="61">
        <v>1707693</v>
      </c>
      <c r="L1541" s="61">
        <v>-1706945</v>
      </c>
      <c r="M1541" s="61">
        <v>748</v>
      </c>
      <c r="N1541" s="61">
        <v>-748</v>
      </c>
    </row>
    <row r="1542" spans="1:14" ht="30" x14ac:dyDescent="0.25">
      <c r="A1542" s="68" t="s">
        <v>508</v>
      </c>
      <c r="B1542" s="60" t="s">
        <v>58</v>
      </c>
      <c r="C1542" s="61">
        <v>4802353</v>
      </c>
      <c r="D1542" s="61">
        <v>-159594</v>
      </c>
      <c r="E1542" s="61">
        <v>0</v>
      </c>
      <c r="F1542" s="61">
        <v>0</v>
      </c>
      <c r="G1542" s="61">
        <v>0</v>
      </c>
      <c r="H1542" s="61">
        <v>4642759</v>
      </c>
      <c r="I1542" s="61">
        <v>-4642759</v>
      </c>
      <c r="J1542" s="61">
        <v>0</v>
      </c>
      <c r="K1542" s="61">
        <v>452267</v>
      </c>
      <c r="L1542" s="61">
        <v>-452267</v>
      </c>
      <c r="M1542" s="61">
        <v>0</v>
      </c>
      <c r="N1542" s="61">
        <v>0</v>
      </c>
    </row>
    <row r="1543" spans="1:14" ht="30" x14ac:dyDescent="0.25">
      <c r="A1543" s="68" t="s">
        <v>508</v>
      </c>
      <c r="B1543" s="60" t="s">
        <v>59</v>
      </c>
      <c r="C1543" s="61">
        <v>4379739</v>
      </c>
      <c r="D1543" s="61">
        <v>-7338</v>
      </c>
      <c r="E1543" s="61">
        <v>0</v>
      </c>
      <c r="F1543" s="61">
        <v>0</v>
      </c>
      <c r="G1543" s="61">
        <v>0</v>
      </c>
      <c r="H1543" s="61">
        <v>4372401</v>
      </c>
      <c r="I1543" s="61">
        <v>-4372401</v>
      </c>
      <c r="J1543" s="61">
        <v>0</v>
      </c>
      <c r="K1543" s="61">
        <v>569139</v>
      </c>
      <c r="L1543" s="61">
        <v>-569139</v>
      </c>
      <c r="M1543" s="61">
        <v>0</v>
      </c>
      <c r="N1543" s="61">
        <v>0</v>
      </c>
    </row>
    <row r="1544" spans="1:14" ht="30" x14ac:dyDescent="0.25">
      <c r="A1544" s="68" t="s">
        <v>508</v>
      </c>
      <c r="B1544" s="60" t="s">
        <v>60</v>
      </c>
      <c r="C1544" s="61">
        <v>4056175</v>
      </c>
      <c r="D1544" s="61">
        <v>-14859</v>
      </c>
      <c r="E1544" s="61">
        <v>0</v>
      </c>
      <c r="F1544" s="61">
        <v>0</v>
      </c>
      <c r="G1544" s="61">
        <v>0</v>
      </c>
      <c r="H1544" s="61">
        <v>4041316</v>
      </c>
      <c r="I1544" s="61">
        <v>-4041316</v>
      </c>
      <c r="J1544" s="61">
        <v>0</v>
      </c>
      <c r="K1544" s="61">
        <v>508007</v>
      </c>
      <c r="L1544" s="61">
        <v>-508007</v>
      </c>
      <c r="M1544" s="61">
        <v>0</v>
      </c>
      <c r="N1544" s="61">
        <v>0</v>
      </c>
    </row>
    <row r="1545" spans="1:14" ht="30" x14ac:dyDescent="0.25">
      <c r="A1545" s="68" t="s">
        <v>508</v>
      </c>
      <c r="B1545" s="60" t="s">
        <v>61</v>
      </c>
      <c r="C1545" s="61">
        <v>3330013</v>
      </c>
      <c r="D1545" s="61">
        <v>-744</v>
      </c>
      <c r="E1545" s="61">
        <v>0</v>
      </c>
      <c r="F1545" s="61">
        <v>0</v>
      </c>
      <c r="G1545" s="61">
        <v>0</v>
      </c>
      <c r="H1545" s="61">
        <v>3329269</v>
      </c>
      <c r="I1545" s="61">
        <v>-3329269</v>
      </c>
      <c r="J1545" s="61">
        <v>0</v>
      </c>
      <c r="K1545" s="61">
        <v>3395</v>
      </c>
      <c r="L1545" s="61">
        <v>-3395</v>
      </c>
      <c r="M1545" s="61">
        <v>0</v>
      </c>
      <c r="N1545" s="61">
        <v>0</v>
      </c>
    </row>
    <row r="1546" spans="1:14" ht="30" x14ac:dyDescent="0.25">
      <c r="A1546" s="68" t="s">
        <v>508</v>
      </c>
      <c r="B1546" s="60" t="s">
        <v>62</v>
      </c>
      <c r="C1546" s="61">
        <v>2851620</v>
      </c>
      <c r="D1546" s="61">
        <v>-13441</v>
      </c>
      <c r="E1546" s="61">
        <v>0</v>
      </c>
      <c r="F1546" s="61">
        <v>0</v>
      </c>
      <c r="G1546" s="61">
        <v>0</v>
      </c>
      <c r="H1546" s="61">
        <v>2838179</v>
      </c>
      <c r="I1546" s="61">
        <v>-2838179</v>
      </c>
      <c r="J1546" s="61">
        <v>0</v>
      </c>
      <c r="K1546" s="61">
        <v>8286</v>
      </c>
      <c r="L1546" s="61">
        <v>-8286</v>
      </c>
      <c r="M1546" s="61">
        <v>0</v>
      </c>
      <c r="N1546" s="61">
        <v>0</v>
      </c>
    </row>
    <row r="1547" spans="1:14" ht="30" x14ac:dyDescent="0.25">
      <c r="A1547" s="68" t="s">
        <v>508</v>
      </c>
      <c r="B1547" s="60" t="s">
        <v>63</v>
      </c>
      <c r="C1547" s="61">
        <v>2570582</v>
      </c>
      <c r="D1547" s="61">
        <v>-13295</v>
      </c>
      <c r="E1547" s="61">
        <v>0</v>
      </c>
      <c r="F1547" s="61">
        <v>0</v>
      </c>
      <c r="G1547" s="61">
        <v>0</v>
      </c>
      <c r="H1547" s="61">
        <v>2557287</v>
      </c>
      <c r="I1547" s="61">
        <v>-2557287</v>
      </c>
      <c r="J1547" s="61">
        <v>0</v>
      </c>
      <c r="K1547" s="61">
        <v>7883</v>
      </c>
      <c r="L1547" s="61">
        <v>-7883</v>
      </c>
      <c r="M1547" s="61">
        <v>0</v>
      </c>
      <c r="N1547" s="61">
        <v>0</v>
      </c>
    </row>
    <row r="1548" spans="1:14" ht="30" x14ac:dyDescent="0.25">
      <c r="A1548" s="68" t="s">
        <v>508</v>
      </c>
      <c r="B1548" s="60" t="s">
        <v>64</v>
      </c>
      <c r="C1548" s="61">
        <v>2288310</v>
      </c>
      <c r="D1548" s="61">
        <v>-9530</v>
      </c>
      <c r="E1548" s="61">
        <v>0</v>
      </c>
      <c r="F1548" s="61">
        <v>0</v>
      </c>
      <c r="G1548" s="61">
        <v>0</v>
      </c>
      <c r="H1548" s="61">
        <v>2278780</v>
      </c>
      <c r="I1548" s="61">
        <v>-2278780</v>
      </c>
      <c r="J1548" s="61">
        <v>0</v>
      </c>
      <c r="K1548" s="61">
        <v>7222</v>
      </c>
      <c r="L1548" s="61">
        <v>-7222</v>
      </c>
      <c r="M1548" s="61">
        <v>0</v>
      </c>
      <c r="N1548" s="61">
        <v>0</v>
      </c>
    </row>
    <row r="1549" spans="1:14" ht="30" x14ac:dyDescent="0.25">
      <c r="A1549" s="68" t="s">
        <v>508</v>
      </c>
      <c r="B1549" s="60" t="s">
        <v>65</v>
      </c>
      <c r="C1549" s="61">
        <v>2006512</v>
      </c>
      <c r="D1549" s="61">
        <v>-7272</v>
      </c>
      <c r="E1549" s="61">
        <v>0</v>
      </c>
      <c r="F1549" s="61">
        <v>0</v>
      </c>
      <c r="G1549" s="61">
        <v>0</v>
      </c>
      <c r="H1549" s="61">
        <v>1999240</v>
      </c>
      <c r="I1549" s="61">
        <v>-1999240</v>
      </c>
      <c r="J1549" s="61">
        <v>0</v>
      </c>
      <c r="K1549" s="61">
        <v>4254</v>
      </c>
      <c r="L1549" s="61">
        <v>-4254</v>
      </c>
      <c r="M1549" s="61">
        <v>0</v>
      </c>
      <c r="N1549" s="61">
        <v>0</v>
      </c>
    </row>
    <row r="1550" spans="1:14" ht="15.75" x14ac:dyDescent="0.25">
      <c r="A1550" s="52" t="s">
        <v>386</v>
      </c>
      <c r="B1550" s="53" t="s">
        <v>8</v>
      </c>
      <c r="C1550" s="19">
        <f>SUBTOTAL(109,Program176[(C)
Program
Costs])</f>
        <v>79043638</v>
      </c>
      <c r="D1550" s="19">
        <f>SUBTOTAL(109,Program176[(D)
Prior Period Adjustments])</f>
        <v>-1187594</v>
      </c>
      <c r="E1550" s="19">
        <f>SUBTOTAL(109,Program176[(E)
Current Period Desk 
Reviews])</f>
        <v>0</v>
      </c>
      <c r="F1550" s="19">
        <f>SUBTOTAL(109,Program176[(F)
Current Period 
Final 
Audits])</f>
        <v>0</v>
      </c>
      <c r="G1550" s="19">
        <f>SUBTOTAL(109,Program176[(G)
Current Period 
Other Adjustments])</f>
        <v>0</v>
      </c>
      <c r="H1550" s="19">
        <f>SUBTOTAL(109,Program176[(H)
Net Program Costs
Sum (C through G)])</f>
        <v>77856044</v>
      </c>
      <c r="I1550" s="19">
        <f>SUBTOTAL(109,Program176[(I)
Payments
 and Offsets])</f>
        <v>-73443315</v>
      </c>
      <c r="J1550" s="19">
        <f>SUBTOTAL(109,Program176[(J)
Accounts Payable Balance
(H + I)])</f>
        <v>4412729</v>
      </c>
      <c r="K1550" s="19">
        <f>SUBTOTAL(109,Program176[(K)
Established 
Accounts Receivable])</f>
        <v>3552127</v>
      </c>
      <c r="L1550" s="19">
        <f>SUBTOTAL(109,Program176[(L)
Recovered
 Accounts Receivable])</f>
        <v>-3503635</v>
      </c>
      <c r="M1550" s="19">
        <f>SUBTOTAL(109,Program176[(M)
Accounts Receivable Balance
(K + L)])</f>
        <v>48492</v>
      </c>
      <c r="N1550" s="19">
        <f>SUBTOTAL(109,Program176[(N)
Net Balance
(J minus M)])</f>
        <v>4364237</v>
      </c>
    </row>
    <row r="1551" spans="1:14" ht="15.75" x14ac:dyDescent="0.25">
      <c r="A1551" s="17" t="s">
        <v>13</v>
      </c>
      <c r="B1551" s="54"/>
      <c r="C1551" s="55"/>
      <c r="D1551" s="55"/>
      <c r="E1551" s="55"/>
      <c r="F1551" s="55"/>
      <c r="G1551" s="55"/>
      <c r="H1551" s="55"/>
      <c r="I1551" s="55"/>
      <c r="J1551" s="55"/>
      <c r="K1551" s="55"/>
      <c r="L1551" s="55"/>
      <c r="M1551" s="55"/>
      <c r="N1551" s="55"/>
    </row>
    <row r="1552" spans="1:14" ht="78.75" x14ac:dyDescent="0.25">
      <c r="A1552" s="39" t="s">
        <v>32</v>
      </c>
      <c r="B1552" s="40" t="s">
        <v>33</v>
      </c>
      <c r="C1552" s="41" t="s">
        <v>34</v>
      </c>
      <c r="D1552" s="41" t="s">
        <v>35</v>
      </c>
      <c r="E1552" s="42" t="s">
        <v>36</v>
      </c>
      <c r="F1552" s="42" t="s">
        <v>37</v>
      </c>
      <c r="G1552" s="42" t="s">
        <v>38</v>
      </c>
      <c r="H1552" s="43" t="s">
        <v>39</v>
      </c>
      <c r="I1552" s="44" t="s">
        <v>40</v>
      </c>
      <c r="J1552" s="44" t="s">
        <v>41</v>
      </c>
      <c r="K1552" s="42" t="s">
        <v>42</v>
      </c>
      <c r="L1552" s="44" t="s">
        <v>43</v>
      </c>
      <c r="M1552" s="44" t="s">
        <v>44</v>
      </c>
      <c r="N1552" s="45" t="s">
        <v>45</v>
      </c>
    </row>
    <row r="1553" spans="1:14" ht="15.75" x14ac:dyDescent="0.25">
      <c r="A1553" s="46" t="s">
        <v>507</v>
      </c>
      <c r="B1553" s="47" t="s">
        <v>80</v>
      </c>
      <c r="C1553" s="48">
        <v>240803</v>
      </c>
      <c r="D1553" s="48">
        <v>0</v>
      </c>
      <c r="E1553" s="48">
        <v>0</v>
      </c>
      <c r="F1553" s="48">
        <v>0</v>
      </c>
      <c r="G1553" s="48">
        <v>0</v>
      </c>
      <c r="H1553" s="48">
        <v>240803</v>
      </c>
      <c r="I1553" s="48">
        <v>-240803</v>
      </c>
      <c r="J1553" s="48">
        <v>0</v>
      </c>
      <c r="K1553" s="48">
        <v>0</v>
      </c>
      <c r="L1553" s="48">
        <v>0</v>
      </c>
      <c r="M1553" s="48">
        <v>0</v>
      </c>
      <c r="N1553" s="48">
        <v>0</v>
      </c>
    </row>
    <row r="1554" spans="1:14" ht="15.75" x14ac:dyDescent="0.25">
      <c r="A1554" s="49" t="s">
        <v>507</v>
      </c>
      <c r="B1554" s="50" t="s">
        <v>81</v>
      </c>
      <c r="C1554" s="51">
        <v>60546</v>
      </c>
      <c r="D1554" s="51">
        <v>-4999</v>
      </c>
      <c r="E1554" s="51">
        <v>0</v>
      </c>
      <c r="F1554" s="51">
        <v>0</v>
      </c>
      <c r="G1554" s="51">
        <v>0</v>
      </c>
      <c r="H1554" s="51">
        <v>55547</v>
      </c>
      <c r="I1554" s="51">
        <v>-49268</v>
      </c>
      <c r="J1554" s="51">
        <v>6279</v>
      </c>
      <c r="K1554" s="51">
        <v>0</v>
      </c>
      <c r="L1554" s="51">
        <v>0</v>
      </c>
      <c r="M1554" s="51">
        <v>0</v>
      </c>
      <c r="N1554" s="51">
        <v>6279</v>
      </c>
    </row>
    <row r="1555" spans="1:14" ht="15.75" x14ac:dyDescent="0.25">
      <c r="A1555" s="49" t="s">
        <v>507</v>
      </c>
      <c r="B1555" s="50" t="s">
        <v>82</v>
      </c>
      <c r="C1555" s="51">
        <v>29386</v>
      </c>
      <c r="D1555" s="51">
        <v>0</v>
      </c>
      <c r="E1555" s="51">
        <v>0</v>
      </c>
      <c r="F1555" s="51">
        <v>0</v>
      </c>
      <c r="G1555" s="51">
        <v>0</v>
      </c>
      <c r="H1555" s="51">
        <v>29386</v>
      </c>
      <c r="I1555" s="51">
        <v>-29386</v>
      </c>
      <c r="J1555" s="51">
        <v>0</v>
      </c>
      <c r="K1555" s="51">
        <v>0</v>
      </c>
      <c r="L1555" s="51">
        <v>0</v>
      </c>
      <c r="M1555" s="51">
        <v>0</v>
      </c>
      <c r="N1555" s="51">
        <v>0</v>
      </c>
    </row>
    <row r="1556" spans="1:14" ht="15.75" x14ac:dyDescent="0.25">
      <c r="A1556" s="49" t="s">
        <v>507</v>
      </c>
      <c r="B1556" s="50" t="s">
        <v>83</v>
      </c>
      <c r="C1556" s="51">
        <v>30197</v>
      </c>
      <c r="D1556" s="51">
        <v>0</v>
      </c>
      <c r="E1556" s="51">
        <v>0</v>
      </c>
      <c r="F1556" s="51">
        <v>0</v>
      </c>
      <c r="G1556" s="51">
        <v>0</v>
      </c>
      <c r="H1556" s="51">
        <v>30197</v>
      </c>
      <c r="I1556" s="51">
        <v>-30197</v>
      </c>
      <c r="J1556" s="51">
        <v>0</v>
      </c>
      <c r="K1556" s="51">
        <v>0</v>
      </c>
      <c r="L1556" s="51">
        <v>0</v>
      </c>
      <c r="M1556" s="51">
        <v>0</v>
      </c>
      <c r="N1556" s="51">
        <v>0</v>
      </c>
    </row>
    <row r="1557" spans="1:14" ht="15.75" x14ac:dyDescent="0.25">
      <c r="A1557" s="49" t="s">
        <v>507</v>
      </c>
      <c r="B1557" s="50" t="s">
        <v>48</v>
      </c>
      <c r="C1557" s="51">
        <v>33745</v>
      </c>
      <c r="D1557" s="51">
        <v>0</v>
      </c>
      <c r="E1557" s="51">
        <v>0</v>
      </c>
      <c r="F1557" s="51">
        <v>0</v>
      </c>
      <c r="G1557" s="51">
        <v>0</v>
      </c>
      <c r="H1557" s="51">
        <v>33745</v>
      </c>
      <c r="I1557" s="51">
        <v>-33745</v>
      </c>
      <c r="J1557" s="51">
        <v>0</v>
      </c>
      <c r="K1557" s="51">
        <v>0</v>
      </c>
      <c r="L1557" s="51">
        <v>0</v>
      </c>
      <c r="M1557" s="51">
        <v>0</v>
      </c>
      <c r="N1557" s="51">
        <v>0</v>
      </c>
    </row>
    <row r="1558" spans="1:14" ht="15.75" x14ac:dyDescent="0.25">
      <c r="A1558" s="49" t="s">
        <v>507</v>
      </c>
      <c r="B1558" s="50" t="s">
        <v>49</v>
      </c>
      <c r="C1558" s="51">
        <v>2136</v>
      </c>
      <c r="D1558" s="51">
        <v>0</v>
      </c>
      <c r="E1558" s="51">
        <v>0</v>
      </c>
      <c r="F1558" s="51">
        <v>0</v>
      </c>
      <c r="G1558" s="51">
        <v>0</v>
      </c>
      <c r="H1558" s="51">
        <v>2136</v>
      </c>
      <c r="I1558" s="51">
        <v>-2136</v>
      </c>
      <c r="J1558" s="51">
        <v>0</v>
      </c>
      <c r="K1558" s="51">
        <v>0</v>
      </c>
      <c r="L1558" s="51">
        <v>0</v>
      </c>
      <c r="M1558" s="51">
        <v>0</v>
      </c>
      <c r="N1558" s="51">
        <v>0</v>
      </c>
    </row>
    <row r="1559" spans="1:14" ht="15.75" x14ac:dyDescent="0.25">
      <c r="A1559" s="52" t="s">
        <v>385</v>
      </c>
      <c r="B1559" s="53" t="s">
        <v>8</v>
      </c>
      <c r="C1559" s="19">
        <f>SUBTOTAL(109,Program362[(C)
Program
Costs])</f>
        <v>396813</v>
      </c>
      <c r="D1559" s="19">
        <f>SUBTOTAL(109,Program362[(D)
Prior Period Adjustments])</f>
        <v>-4999</v>
      </c>
      <c r="E1559" s="19">
        <f>SUBTOTAL(109,Program362[(E)
Current Period Desk 
Reviews])</f>
        <v>0</v>
      </c>
      <c r="F1559" s="19">
        <f>SUBTOTAL(109,Program362[(F)
Current Period 
Final 
Audits])</f>
        <v>0</v>
      </c>
      <c r="G1559" s="19">
        <f>SUBTOTAL(109,Program362[(G)
Current Period 
Other Adjustments])</f>
        <v>0</v>
      </c>
      <c r="H1559" s="19">
        <f>SUBTOTAL(109,Program362[(H)
Net Program Costs
Sum (C through G)])</f>
        <v>391814</v>
      </c>
      <c r="I1559" s="19">
        <f>SUBTOTAL(109,Program362[(I)
Payments
 and Offsets])</f>
        <v>-385535</v>
      </c>
      <c r="J1559" s="19">
        <f>SUBTOTAL(109,Program362[(J)
Accounts Payable Balance
(H + I)])</f>
        <v>6279</v>
      </c>
      <c r="K1559" s="19">
        <f>SUBTOTAL(109,Program362[(K)
Established 
Accounts Receivable])</f>
        <v>0</v>
      </c>
      <c r="L1559" s="19">
        <f>SUBTOTAL(109,Program362[(L)
Recovered
 Accounts Receivable])</f>
        <v>0</v>
      </c>
      <c r="M1559" s="19">
        <f>SUBTOTAL(109,Program362[(M)
Accounts Receivable Balance
(K + L)])</f>
        <v>0</v>
      </c>
      <c r="N1559" s="19">
        <f>SUBTOTAL(109,Program362[(N)
Net Balance
(J minus M)])</f>
        <v>6279</v>
      </c>
    </row>
    <row r="1560" spans="1:14" ht="15.75" x14ac:dyDescent="0.25">
      <c r="A1560" s="17" t="s">
        <v>13</v>
      </c>
      <c r="B1560" s="54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78.75" x14ac:dyDescent="0.25">
      <c r="A1561" s="39" t="s">
        <v>32</v>
      </c>
      <c r="B1561" s="40" t="s">
        <v>33</v>
      </c>
      <c r="C1561" s="41" t="s">
        <v>34</v>
      </c>
      <c r="D1561" s="41" t="s">
        <v>35</v>
      </c>
      <c r="E1561" s="42" t="s">
        <v>36</v>
      </c>
      <c r="F1561" s="42" t="s">
        <v>37</v>
      </c>
      <c r="G1561" s="42" t="s">
        <v>38</v>
      </c>
      <c r="H1561" s="43" t="s">
        <v>39</v>
      </c>
      <c r="I1561" s="44" t="s">
        <v>40</v>
      </c>
      <c r="J1561" s="44" t="s">
        <v>41</v>
      </c>
      <c r="K1561" s="42" t="s">
        <v>42</v>
      </c>
      <c r="L1561" s="44" t="s">
        <v>43</v>
      </c>
      <c r="M1561" s="44" t="s">
        <v>44</v>
      </c>
      <c r="N1561" s="45" t="s">
        <v>45</v>
      </c>
    </row>
    <row r="1562" spans="1:14" ht="15.75" x14ac:dyDescent="0.25">
      <c r="A1562" s="46" t="s">
        <v>506</v>
      </c>
      <c r="B1562" s="47" t="s">
        <v>48</v>
      </c>
      <c r="C1562" s="48">
        <v>110890</v>
      </c>
      <c r="D1562" s="48">
        <v>-2119</v>
      </c>
      <c r="E1562" s="48">
        <v>0</v>
      </c>
      <c r="F1562" s="48">
        <v>0</v>
      </c>
      <c r="G1562" s="48">
        <v>0</v>
      </c>
      <c r="H1562" s="48">
        <v>108771</v>
      </c>
      <c r="I1562" s="48">
        <v>-62375</v>
      </c>
      <c r="J1562" s="48">
        <v>46396</v>
      </c>
      <c r="K1562" s="48">
        <v>0</v>
      </c>
      <c r="L1562" s="48">
        <v>0</v>
      </c>
      <c r="M1562" s="48">
        <v>0</v>
      </c>
      <c r="N1562" s="48">
        <v>46396</v>
      </c>
    </row>
    <row r="1563" spans="1:14" ht="15.75" x14ac:dyDescent="0.25">
      <c r="A1563" s="49" t="s">
        <v>506</v>
      </c>
      <c r="B1563" s="50" t="s">
        <v>49</v>
      </c>
      <c r="C1563" s="51">
        <v>975014</v>
      </c>
      <c r="D1563" s="51">
        <v>-1488</v>
      </c>
      <c r="E1563" s="51">
        <v>0</v>
      </c>
      <c r="F1563" s="51">
        <v>0</v>
      </c>
      <c r="G1563" s="51">
        <v>0</v>
      </c>
      <c r="H1563" s="51">
        <v>973526</v>
      </c>
      <c r="I1563" s="51">
        <v>-729055</v>
      </c>
      <c r="J1563" s="51">
        <v>244471</v>
      </c>
      <c r="K1563" s="51">
        <v>0</v>
      </c>
      <c r="L1563" s="51">
        <v>0</v>
      </c>
      <c r="M1563" s="51">
        <v>0</v>
      </c>
      <c r="N1563" s="51">
        <v>244471</v>
      </c>
    </row>
    <row r="1564" spans="1:14" ht="15.75" x14ac:dyDescent="0.25">
      <c r="A1564" s="49" t="s">
        <v>506</v>
      </c>
      <c r="B1564" s="50" t="s">
        <v>50</v>
      </c>
      <c r="C1564" s="51">
        <v>1161169</v>
      </c>
      <c r="D1564" s="51">
        <v>-12322</v>
      </c>
      <c r="E1564" s="51">
        <v>0</v>
      </c>
      <c r="F1564" s="51">
        <v>0</v>
      </c>
      <c r="G1564" s="51">
        <v>0</v>
      </c>
      <c r="H1564" s="51">
        <v>1148847</v>
      </c>
      <c r="I1564" s="51">
        <v>-892434</v>
      </c>
      <c r="J1564" s="51">
        <v>256413</v>
      </c>
      <c r="K1564" s="51">
        <v>0</v>
      </c>
      <c r="L1564" s="51">
        <v>0</v>
      </c>
      <c r="M1564" s="51">
        <v>0</v>
      </c>
      <c r="N1564" s="51">
        <v>256413</v>
      </c>
    </row>
    <row r="1565" spans="1:14" ht="15.75" x14ac:dyDescent="0.25">
      <c r="A1565" s="49" t="s">
        <v>506</v>
      </c>
      <c r="B1565" s="50" t="s">
        <v>51</v>
      </c>
      <c r="C1565" s="51">
        <v>1382136</v>
      </c>
      <c r="D1565" s="51">
        <v>-4903</v>
      </c>
      <c r="E1565" s="51">
        <v>0</v>
      </c>
      <c r="F1565" s="51">
        <v>0</v>
      </c>
      <c r="G1565" s="51">
        <v>0</v>
      </c>
      <c r="H1565" s="51">
        <v>1377233</v>
      </c>
      <c r="I1565" s="51">
        <v>-1090334</v>
      </c>
      <c r="J1565" s="51">
        <v>286899</v>
      </c>
      <c r="K1565" s="51">
        <v>0</v>
      </c>
      <c r="L1565" s="51">
        <v>0</v>
      </c>
      <c r="M1565" s="51">
        <v>0</v>
      </c>
      <c r="N1565" s="51">
        <v>286899</v>
      </c>
    </row>
    <row r="1566" spans="1:14" ht="15.75" x14ac:dyDescent="0.25">
      <c r="A1566" s="49" t="s">
        <v>506</v>
      </c>
      <c r="B1566" s="50" t="s">
        <v>52</v>
      </c>
      <c r="C1566" s="51">
        <v>973961</v>
      </c>
      <c r="D1566" s="51">
        <v>-9662</v>
      </c>
      <c r="E1566" s="51">
        <v>0</v>
      </c>
      <c r="F1566" s="51">
        <v>0</v>
      </c>
      <c r="G1566" s="51">
        <v>0</v>
      </c>
      <c r="H1566" s="51">
        <v>964299</v>
      </c>
      <c r="I1566" s="51">
        <v>-880791</v>
      </c>
      <c r="J1566" s="51">
        <v>83508</v>
      </c>
      <c r="K1566" s="51">
        <v>14205</v>
      </c>
      <c r="L1566" s="51">
        <v>-14205</v>
      </c>
      <c r="M1566" s="51">
        <v>0</v>
      </c>
      <c r="N1566" s="51">
        <v>83508</v>
      </c>
    </row>
    <row r="1567" spans="1:14" ht="15.75" x14ac:dyDescent="0.25">
      <c r="A1567" s="49" t="s">
        <v>506</v>
      </c>
      <c r="B1567" s="50" t="s">
        <v>53</v>
      </c>
      <c r="C1567" s="51">
        <v>1060515</v>
      </c>
      <c r="D1567" s="51">
        <v>-4511</v>
      </c>
      <c r="E1567" s="51">
        <v>0</v>
      </c>
      <c r="F1567" s="51">
        <v>0</v>
      </c>
      <c r="G1567" s="51">
        <v>0</v>
      </c>
      <c r="H1567" s="51">
        <v>1056004</v>
      </c>
      <c r="I1567" s="51">
        <v>-948908</v>
      </c>
      <c r="J1567" s="51">
        <v>107096</v>
      </c>
      <c r="K1567" s="51">
        <v>0</v>
      </c>
      <c r="L1567" s="51">
        <v>0</v>
      </c>
      <c r="M1567" s="51">
        <v>0</v>
      </c>
      <c r="N1567" s="51">
        <v>107096</v>
      </c>
    </row>
    <row r="1568" spans="1:14" ht="15.75" x14ac:dyDescent="0.25">
      <c r="A1568" s="49" t="s">
        <v>506</v>
      </c>
      <c r="B1568" s="50" t="s">
        <v>54</v>
      </c>
      <c r="C1568" s="51">
        <v>1079490</v>
      </c>
      <c r="D1568" s="51">
        <v>-22929</v>
      </c>
      <c r="E1568" s="51">
        <v>0</v>
      </c>
      <c r="F1568" s="51">
        <v>0</v>
      </c>
      <c r="G1568" s="51">
        <v>0</v>
      </c>
      <c r="H1568" s="51">
        <v>1056561</v>
      </c>
      <c r="I1568" s="51">
        <v>-1000245</v>
      </c>
      <c r="J1568" s="51">
        <v>56316</v>
      </c>
      <c r="K1568" s="51">
        <v>0</v>
      </c>
      <c r="L1568" s="51">
        <v>0</v>
      </c>
      <c r="M1568" s="51">
        <v>0</v>
      </c>
      <c r="N1568" s="51">
        <v>56316</v>
      </c>
    </row>
    <row r="1569" spans="1:14" ht="15.75" x14ac:dyDescent="0.25">
      <c r="A1569" s="49" t="s">
        <v>506</v>
      </c>
      <c r="B1569" s="50" t="s">
        <v>55</v>
      </c>
      <c r="C1569" s="51">
        <v>1120920</v>
      </c>
      <c r="D1569" s="51">
        <v>-8046</v>
      </c>
      <c r="E1569" s="51">
        <v>0</v>
      </c>
      <c r="F1569" s="51">
        <v>0</v>
      </c>
      <c r="G1569" s="51">
        <v>0</v>
      </c>
      <c r="H1569" s="51">
        <v>1112874</v>
      </c>
      <c r="I1569" s="51">
        <v>-1107374</v>
      </c>
      <c r="J1569" s="51">
        <v>5500</v>
      </c>
      <c r="K1569" s="51">
        <v>0</v>
      </c>
      <c r="L1569" s="51">
        <v>0</v>
      </c>
      <c r="M1569" s="51">
        <v>0</v>
      </c>
      <c r="N1569" s="51">
        <v>5500</v>
      </c>
    </row>
    <row r="1570" spans="1:14" ht="15.75" x14ac:dyDescent="0.25">
      <c r="A1570" s="49" t="s">
        <v>506</v>
      </c>
      <c r="B1570" s="50" t="s">
        <v>56</v>
      </c>
      <c r="C1570" s="51">
        <v>1465283</v>
      </c>
      <c r="D1570" s="51">
        <v>-31023</v>
      </c>
      <c r="E1570" s="51">
        <v>0</v>
      </c>
      <c r="F1570" s="51">
        <v>0</v>
      </c>
      <c r="G1570" s="51">
        <v>0</v>
      </c>
      <c r="H1570" s="51">
        <v>1434260</v>
      </c>
      <c r="I1570" s="51">
        <v>-1415123</v>
      </c>
      <c r="J1570" s="51">
        <v>19137</v>
      </c>
      <c r="K1570" s="51">
        <v>0</v>
      </c>
      <c r="L1570" s="51">
        <v>0</v>
      </c>
      <c r="M1570" s="51">
        <v>0</v>
      </c>
      <c r="N1570" s="51">
        <v>19137</v>
      </c>
    </row>
    <row r="1571" spans="1:14" ht="15.75" x14ac:dyDescent="0.25">
      <c r="A1571" s="49" t="s">
        <v>506</v>
      </c>
      <c r="B1571" s="50" t="s">
        <v>57</v>
      </c>
      <c r="C1571" s="51">
        <v>2114967</v>
      </c>
      <c r="D1571" s="51">
        <v>-623701</v>
      </c>
      <c r="E1571" s="51">
        <v>0</v>
      </c>
      <c r="F1571" s="51">
        <v>0</v>
      </c>
      <c r="G1571" s="51">
        <v>0</v>
      </c>
      <c r="H1571" s="51">
        <v>1491266</v>
      </c>
      <c r="I1571" s="51">
        <v>-1489175</v>
      </c>
      <c r="J1571" s="51">
        <v>2091</v>
      </c>
      <c r="K1571" s="51">
        <v>548259</v>
      </c>
      <c r="L1571" s="51">
        <v>-548259</v>
      </c>
      <c r="M1571" s="51">
        <v>0</v>
      </c>
      <c r="N1571" s="51">
        <v>2091</v>
      </c>
    </row>
    <row r="1572" spans="1:14" ht="15.75" x14ac:dyDescent="0.25">
      <c r="A1572" s="49" t="s">
        <v>506</v>
      </c>
      <c r="B1572" s="50" t="s">
        <v>58</v>
      </c>
      <c r="C1572" s="51">
        <v>1354890</v>
      </c>
      <c r="D1572" s="51">
        <v>-307327</v>
      </c>
      <c r="E1572" s="51">
        <v>0</v>
      </c>
      <c r="F1572" s="51">
        <v>0</v>
      </c>
      <c r="G1572" s="51">
        <v>0</v>
      </c>
      <c r="H1572" s="51">
        <v>1047563</v>
      </c>
      <c r="I1572" s="51">
        <v>-1047255</v>
      </c>
      <c r="J1572" s="51">
        <v>308</v>
      </c>
      <c r="K1572" s="51">
        <v>780671</v>
      </c>
      <c r="L1572" s="51">
        <v>-780671</v>
      </c>
      <c r="M1572" s="51">
        <v>0</v>
      </c>
      <c r="N1572" s="51">
        <v>308</v>
      </c>
    </row>
    <row r="1573" spans="1:14" ht="15.75" x14ac:dyDescent="0.25">
      <c r="A1573" s="49" t="s">
        <v>506</v>
      </c>
      <c r="B1573" s="50" t="s">
        <v>59</v>
      </c>
      <c r="C1573" s="51">
        <v>1758404</v>
      </c>
      <c r="D1573" s="51">
        <v>-470488</v>
      </c>
      <c r="E1573" s="51">
        <v>0</v>
      </c>
      <c r="F1573" s="51">
        <v>0</v>
      </c>
      <c r="G1573" s="51">
        <v>0</v>
      </c>
      <c r="H1573" s="51">
        <v>1287916</v>
      </c>
      <c r="I1573" s="51">
        <v>-1287916</v>
      </c>
      <c r="J1573" s="51">
        <v>0</v>
      </c>
      <c r="K1573" s="51">
        <v>633360</v>
      </c>
      <c r="L1573" s="51">
        <v>-633360</v>
      </c>
      <c r="M1573" s="51">
        <v>0</v>
      </c>
      <c r="N1573" s="51">
        <v>0</v>
      </c>
    </row>
    <row r="1574" spans="1:14" ht="15.75" x14ac:dyDescent="0.25">
      <c r="A1574" s="49" t="s">
        <v>506</v>
      </c>
      <c r="B1574" s="50" t="s">
        <v>60</v>
      </c>
      <c r="C1574" s="51">
        <v>1566619</v>
      </c>
      <c r="D1574" s="51">
        <v>-1894</v>
      </c>
      <c r="E1574" s="51">
        <v>0</v>
      </c>
      <c r="F1574" s="51">
        <v>0</v>
      </c>
      <c r="G1574" s="51">
        <v>0</v>
      </c>
      <c r="H1574" s="51">
        <v>1564725</v>
      </c>
      <c r="I1574" s="51">
        <v>-1564725</v>
      </c>
      <c r="J1574" s="51">
        <v>0</v>
      </c>
      <c r="K1574" s="51">
        <v>332963</v>
      </c>
      <c r="L1574" s="51">
        <v>-332963</v>
      </c>
      <c r="M1574" s="51">
        <v>0</v>
      </c>
      <c r="N1574" s="51">
        <v>0</v>
      </c>
    </row>
    <row r="1575" spans="1:14" ht="15.75" x14ac:dyDescent="0.25">
      <c r="A1575" s="49" t="s">
        <v>506</v>
      </c>
      <c r="B1575" s="50" t="s">
        <v>61</v>
      </c>
      <c r="C1575" s="51">
        <v>1126960</v>
      </c>
      <c r="D1575" s="51">
        <v>-56262</v>
      </c>
      <c r="E1575" s="51">
        <v>0</v>
      </c>
      <c r="F1575" s="51">
        <v>0</v>
      </c>
      <c r="G1575" s="51">
        <v>0</v>
      </c>
      <c r="H1575" s="51">
        <v>1070698</v>
      </c>
      <c r="I1575" s="51">
        <v>-1070698</v>
      </c>
      <c r="J1575" s="51">
        <v>0</v>
      </c>
      <c r="K1575" s="51">
        <v>569409</v>
      </c>
      <c r="L1575" s="51">
        <v>-569409</v>
      </c>
      <c r="M1575" s="51">
        <v>0</v>
      </c>
      <c r="N1575" s="51">
        <v>0</v>
      </c>
    </row>
    <row r="1576" spans="1:14" ht="15.75" x14ac:dyDescent="0.25">
      <c r="A1576" s="49" t="s">
        <v>506</v>
      </c>
      <c r="B1576" s="50" t="s">
        <v>62</v>
      </c>
      <c r="C1576" s="51">
        <v>1435024</v>
      </c>
      <c r="D1576" s="51">
        <v>-966092</v>
      </c>
      <c r="E1576" s="51">
        <v>0</v>
      </c>
      <c r="F1576" s="51">
        <v>0</v>
      </c>
      <c r="G1576" s="51">
        <v>0</v>
      </c>
      <c r="H1576" s="51">
        <v>468932</v>
      </c>
      <c r="I1576" s="51">
        <v>-468932</v>
      </c>
      <c r="J1576" s="51">
        <v>0</v>
      </c>
      <c r="K1576" s="51">
        <v>1264497</v>
      </c>
      <c r="L1576" s="51">
        <v>-1264497</v>
      </c>
      <c r="M1576" s="51">
        <v>0</v>
      </c>
      <c r="N1576" s="51">
        <v>0</v>
      </c>
    </row>
    <row r="1577" spans="1:14" ht="15.75" x14ac:dyDescent="0.25">
      <c r="A1577" s="49" t="s">
        <v>506</v>
      </c>
      <c r="B1577" s="50" t="s">
        <v>63</v>
      </c>
      <c r="C1577" s="51">
        <v>1390559</v>
      </c>
      <c r="D1577" s="51">
        <v>-947406</v>
      </c>
      <c r="E1577" s="51">
        <v>0</v>
      </c>
      <c r="F1577" s="51">
        <v>0</v>
      </c>
      <c r="G1577" s="51">
        <v>0</v>
      </c>
      <c r="H1577" s="51">
        <v>443153</v>
      </c>
      <c r="I1577" s="51">
        <v>-443153</v>
      </c>
      <c r="J1577" s="51">
        <v>0</v>
      </c>
      <c r="K1577" s="51">
        <v>1298735</v>
      </c>
      <c r="L1577" s="51">
        <v>-1298735</v>
      </c>
      <c r="M1577" s="51">
        <v>0</v>
      </c>
      <c r="N1577" s="51">
        <v>0</v>
      </c>
    </row>
    <row r="1578" spans="1:14" ht="15.75" x14ac:dyDescent="0.25">
      <c r="A1578" s="49" t="s">
        <v>506</v>
      </c>
      <c r="B1578" s="50" t="s">
        <v>64</v>
      </c>
      <c r="C1578" s="51">
        <v>1286947</v>
      </c>
      <c r="D1578" s="51">
        <v>-679338</v>
      </c>
      <c r="E1578" s="51">
        <v>0</v>
      </c>
      <c r="F1578" s="51">
        <v>0</v>
      </c>
      <c r="G1578" s="51">
        <v>0</v>
      </c>
      <c r="H1578" s="51">
        <v>607609</v>
      </c>
      <c r="I1578" s="51">
        <v>-607609</v>
      </c>
      <c r="J1578" s="51">
        <v>0</v>
      </c>
      <c r="K1578" s="51">
        <v>855675</v>
      </c>
      <c r="L1578" s="51">
        <v>-855675</v>
      </c>
      <c r="M1578" s="51">
        <v>0</v>
      </c>
      <c r="N1578" s="51">
        <v>0</v>
      </c>
    </row>
    <row r="1579" spans="1:14" ht="15.75" x14ac:dyDescent="0.25">
      <c r="A1579" s="49" t="s">
        <v>506</v>
      </c>
      <c r="B1579" s="50" t="s">
        <v>65</v>
      </c>
      <c r="C1579" s="51">
        <v>1826959</v>
      </c>
      <c r="D1579" s="51">
        <v>-985368</v>
      </c>
      <c r="E1579" s="51">
        <v>0</v>
      </c>
      <c r="F1579" s="51">
        <v>0</v>
      </c>
      <c r="G1579" s="51">
        <v>0</v>
      </c>
      <c r="H1579" s="51">
        <v>841591</v>
      </c>
      <c r="I1579" s="51">
        <v>-841591</v>
      </c>
      <c r="J1579" s="51">
        <v>0</v>
      </c>
      <c r="K1579" s="51">
        <v>238858</v>
      </c>
      <c r="L1579" s="51">
        <v>-238858</v>
      </c>
      <c r="M1579" s="51">
        <v>0</v>
      </c>
      <c r="N1579" s="51">
        <v>0</v>
      </c>
    </row>
    <row r="1580" spans="1:14" ht="15.75" x14ac:dyDescent="0.25">
      <c r="A1580" s="49" t="s">
        <v>506</v>
      </c>
      <c r="B1580" s="50" t="s">
        <v>66</v>
      </c>
      <c r="C1580" s="51">
        <v>862590</v>
      </c>
      <c r="D1580" s="51">
        <v>-333564</v>
      </c>
      <c r="E1580" s="51">
        <v>0</v>
      </c>
      <c r="F1580" s="51">
        <v>0</v>
      </c>
      <c r="G1580" s="51">
        <v>0</v>
      </c>
      <c r="H1580" s="51">
        <v>529026</v>
      </c>
      <c r="I1580" s="51">
        <v>-529026</v>
      </c>
      <c r="J1580" s="51">
        <v>0</v>
      </c>
      <c r="K1580" s="51">
        <v>158916</v>
      </c>
      <c r="L1580" s="51">
        <v>-158916</v>
      </c>
      <c r="M1580" s="51">
        <v>0</v>
      </c>
      <c r="N1580" s="51">
        <v>0</v>
      </c>
    </row>
    <row r="1581" spans="1:14" ht="15.75" x14ac:dyDescent="0.25">
      <c r="A1581" s="49" t="s">
        <v>506</v>
      </c>
      <c r="B1581" s="50" t="s">
        <v>67</v>
      </c>
      <c r="C1581" s="51">
        <v>1200217.05</v>
      </c>
      <c r="D1581" s="51">
        <v>-634540.05000000005</v>
      </c>
      <c r="E1581" s="51">
        <v>0</v>
      </c>
      <c r="F1581" s="51">
        <v>0</v>
      </c>
      <c r="G1581" s="51">
        <v>0</v>
      </c>
      <c r="H1581" s="51">
        <v>565677</v>
      </c>
      <c r="I1581" s="51">
        <v>-565677</v>
      </c>
      <c r="J1581" s="51">
        <v>0</v>
      </c>
      <c r="K1581" s="51">
        <v>0</v>
      </c>
      <c r="L1581" s="51">
        <v>0</v>
      </c>
      <c r="M1581" s="51">
        <v>0</v>
      </c>
      <c r="N1581" s="51">
        <v>0</v>
      </c>
    </row>
    <row r="1582" spans="1:14" ht="15.75" x14ac:dyDescent="0.25">
      <c r="A1582" s="49" t="s">
        <v>506</v>
      </c>
      <c r="B1582" s="50" t="s">
        <v>68</v>
      </c>
      <c r="C1582" s="51">
        <v>638897.42999999993</v>
      </c>
      <c r="D1582" s="51">
        <v>-331486.43</v>
      </c>
      <c r="E1582" s="51">
        <v>0</v>
      </c>
      <c r="F1582" s="51">
        <v>0</v>
      </c>
      <c r="G1582" s="51">
        <v>0</v>
      </c>
      <c r="H1582" s="51">
        <v>307411</v>
      </c>
      <c r="I1582" s="51">
        <v>-307411</v>
      </c>
      <c r="J1582" s="51">
        <v>0</v>
      </c>
      <c r="K1582" s="51">
        <v>0</v>
      </c>
      <c r="L1582" s="51">
        <v>0</v>
      </c>
      <c r="M1582" s="51">
        <v>0</v>
      </c>
      <c r="N1582" s="51">
        <v>0</v>
      </c>
    </row>
    <row r="1583" spans="1:14" ht="15.75" x14ac:dyDescent="0.25">
      <c r="A1583" s="49" t="s">
        <v>506</v>
      </c>
      <c r="B1583" s="50" t="s">
        <v>69</v>
      </c>
      <c r="C1583" s="51">
        <v>623018</v>
      </c>
      <c r="D1583" s="51">
        <v>-364064</v>
      </c>
      <c r="E1583" s="51">
        <v>0</v>
      </c>
      <c r="F1583" s="51">
        <v>0</v>
      </c>
      <c r="G1583" s="51">
        <v>0</v>
      </c>
      <c r="H1583" s="51">
        <v>258954</v>
      </c>
      <c r="I1583" s="51">
        <v>-258954</v>
      </c>
      <c r="J1583" s="51">
        <v>0</v>
      </c>
      <c r="K1583" s="51">
        <v>0</v>
      </c>
      <c r="L1583" s="51">
        <v>0</v>
      </c>
      <c r="M1583" s="51">
        <v>0</v>
      </c>
      <c r="N1583" s="51">
        <v>0</v>
      </c>
    </row>
    <row r="1584" spans="1:14" ht="15.75" x14ac:dyDescent="0.25">
      <c r="A1584" s="49" t="s">
        <v>506</v>
      </c>
      <c r="B1584" s="50" t="s">
        <v>115</v>
      </c>
      <c r="C1584" s="51">
        <v>597165</v>
      </c>
      <c r="D1584" s="51">
        <v>-326271</v>
      </c>
      <c r="E1584" s="51">
        <v>0</v>
      </c>
      <c r="F1584" s="51">
        <v>0</v>
      </c>
      <c r="G1584" s="51">
        <v>0</v>
      </c>
      <c r="H1584" s="51">
        <v>270894</v>
      </c>
      <c r="I1584" s="51">
        <v>-270894</v>
      </c>
      <c r="J1584" s="51">
        <v>0</v>
      </c>
      <c r="K1584" s="51">
        <v>0</v>
      </c>
      <c r="L1584" s="51">
        <v>0</v>
      </c>
      <c r="M1584" s="51">
        <v>0</v>
      </c>
      <c r="N1584" s="51">
        <v>0</v>
      </c>
    </row>
    <row r="1585" spans="1:14" ht="15.75" x14ac:dyDescent="0.25">
      <c r="A1585" s="49" t="s">
        <v>506</v>
      </c>
      <c r="B1585" s="50" t="s">
        <v>99</v>
      </c>
      <c r="C1585" s="51">
        <v>1004426</v>
      </c>
      <c r="D1585" s="51">
        <v>-277422</v>
      </c>
      <c r="E1585" s="51">
        <v>0</v>
      </c>
      <c r="F1585" s="51">
        <v>0</v>
      </c>
      <c r="G1585" s="51">
        <v>0</v>
      </c>
      <c r="H1585" s="51">
        <v>727004</v>
      </c>
      <c r="I1585" s="51">
        <v>-727004</v>
      </c>
      <c r="J1585" s="51">
        <v>0</v>
      </c>
      <c r="K1585" s="51">
        <v>0</v>
      </c>
      <c r="L1585" s="51">
        <v>0</v>
      </c>
      <c r="M1585" s="51">
        <v>0</v>
      </c>
      <c r="N1585" s="51">
        <v>0</v>
      </c>
    </row>
    <row r="1586" spans="1:14" ht="15.75" x14ac:dyDescent="0.25">
      <c r="A1586" s="49" t="s">
        <v>506</v>
      </c>
      <c r="B1586" s="50" t="s">
        <v>100</v>
      </c>
      <c r="C1586" s="51">
        <v>306334</v>
      </c>
      <c r="D1586" s="51">
        <v>-28288</v>
      </c>
      <c r="E1586" s="51">
        <v>0</v>
      </c>
      <c r="F1586" s="51">
        <v>0</v>
      </c>
      <c r="G1586" s="51">
        <v>0</v>
      </c>
      <c r="H1586" s="51">
        <v>278046</v>
      </c>
      <c r="I1586" s="51">
        <v>-278046</v>
      </c>
      <c r="J1586" s="51">
        <v>0</v>
      </c>
      <c r="K1586" s="51">
        <v>0</v>
      </c>
      <c r="L1586" s="51">
        <v>0</v>
      </c>
      <c r="M1586" s="51">
        <v>0</v>
      </c>
      <c r="N1586" s="51">
        <v>0</v>
      </c>
    </row>
    <row r="1587" spans="1:14" ht="15.75" x14ac:dyDescent="0.25">
      <c r="A1587" s="49" t="s">
        <v>506</v>
      </c>
      <c r="B1587" s="50" t="s">
        <v>176</v>
      </c>
      <c r="C1587" s="51">
        <v>269443</v>
      </c>
      <c r="D1587" s="51">
        <v>-51053</v>
      </c>
      <c r="E1587" s="51">
        <v>0</v>
      </c>
      <c r="F1587" s="51">
        <v>0</v>
      </c>
      <c r="G1587" s="51">
        <v>0</v>
      </c>
      <c r="H1587" s="51">
        <v>218390</v>
      </c>
      <c r="I1587" s="51">
        <v>-218390</v>
      </c>
      <c r="J1587" s="51">
        <v>0</v>
      </c>
      <c r="K1587" s="51">
        <v>0</v>
      </c>
      <c r="L1587" s="51">
        <v>0</v>
      </c>
      <c r="M1587" s="51">
        <v>0</v>
      </c>
      <c r="N1587" s="51">
        <v>0</v>
      </c>
    </row>
    <row r="1588" spans="1:14" ht="15.75" x14ac:dyDescent="0.25">
      <c r="A1588" s="49" t="s">
        <v>506</v>
      </c>
      <c r="B1588" s="50" t="s">
        <v>241</v>
      </c>
      <c r="C1588" s="51">
        <v>87208</v>
      </c>
      <c r="D1588" s="51">
        <v>0</v>
      </c>
      <c r="E1588" s="51">
        <v>0</v>
      </c>
      <c r="F1588" s="51">
        <v>0</v>
      </c>
      <c r="G1588" s="51">
        <v>0</v>
      </c>
      <c r="H1588" s="51">
        <v>87208</v>
      </c>
      <c r="I1588" s="51">
        <v>-87208</v>
      </c>
      <c r="J1588" s="51">
        <v>0</v>
      </c>
      <c r="K1588" s="51">
        <v>0</v>
      </c>
      <c r="L1588" s="51">
        <v>0</v>
      </c>
      <c r="M1588" s="51">
        <v>0</v>
      </c>
      <c r="N1588" s="51">
        <v>0</v>
      </c>
    </row>
    <row r="1589" spans="1:14" ht="15.75" x14ac:dyDescent="0.25">
      <c r="A1589" s="52" t="s">
        <v>384</v>
      </c>
      <c r="B1589" s="53" t="s">
        <v>8</v>
      </c>
      <c r="C1589" s="19">
        <f>SUBTOTAL(109,Program057[(C)
Program
Costs])</f>
        <v>28780005.48</v>
      </c>
      <c r="D1589" s="19">
        <f>SUBTOTAL(109,Program057[(D)
Prior Period Adjustments])</f>
        <v>-7481567.4799999995</v>
      </c>
      <c r="E1589" s="19">
        <f>SUBTOTAL(109,Program057[(E)
Current Period Desk 
Reviews])</f>
        <v>0</v>
      </c>
      <c r="F1589" s="19">
        <f>SUBTOTAL(109,Program057[(F)
Current Period 
Final 
Audits])</f>
        <v>0</v>
      </c>
      <c r="G1589" s="19">
        <f>SUBTOTAL(109,Program057[(G)
Current Period 
Other Adjustments])</f>
        <v>0</v>
      </c>
      <c r="H1589" s="19">
        <f>SUBTOTAL(109,Program057[(H)
Net Program Costs
Sum (C through G)])</f>
        <v>21298438</v>
      </c>
      <c r="I1589" s="19">
        <f>SUBTOTAL(109,Program057[(I)
Payments
 and Offsets])</f>
        <v>-20190303</v>
      </c>
      <c r="J1589" s="19">
        <f>SUBTOTAL(109,Program057[(J)
Accounts Payable Balance
(H + I)])</f>
        <v>1108135</v>
      </c>
      <c r="K1589" s="19">
        <f>SUBTOTAL(109,Program057[(K)
Established 
Accounts Receivable])</f>
        <v>6695548</v>
      </c>
      <c r="L1589" s="19">
        <f>SUBTOTAL(109,Program057[(L)
Recovered
 Accounts Receivable])</f>
        <v>-6695548</v>
      </c>
      <c r="M1589" s="19">
        <f>SUBTOTAL(109,Program057[(M)
Accounts Receivable Balance
(K + L)])</f>
        <v>0</v>
      </c>
      <c r="N1589" s="19">
        <f>SUBTOTAL(109,Program057[(N)
Net Balance
(J minus M)])</f>
        <v>1108135</v>
      </c>
    </row>
    <row r="1590" spans="1:14" ht="15.75" x14ac:dyDescent="0.25">
      <c r="A1590" s="17" t="s">
        <v>13</v>
      </c>
      <c r="B1590" s="54"/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</row>
    <row r="1591" spans="1:14" ht="78.75" x14ac:dyDescent="0.25">
      <c r="A1591" s="39" t="s">
        <v>32</v>
      </c>
      <c r="B1591" s="40" t="s">
        <v>33</v>
      </c>
      <c r="C1591" s="41" t="s">
        <v>34</v>
      </c>
      <c r="D1591" s="41" t="s">
        <v>35</v>
      </c>
      <c r="E1591" s="42" t="s">
        <v>36</v>
      </c>
      <c r="F1591" s="42" t="s">
        <v>37</v>
      </c>
      <c r="G1591" s="42" t="s">
        <v>38</v>
      </c>
      <c r="H1591" s="43" t="s">
        <v>39</v>
      </c>
      <c r="I1591" s="44" t="s">
        <v>40</v>
      </c>
      <c r="J1591" s="44" t="s">
        <v>41</v>
      </c>
      <c r="K1591" s="42" t="s">
        <v>42</v>
      </c>
      <c r="L1591" s="44" t="s">
        <v>43</v>
      </c>
      <c r="M1591" s="44" t="s">
        <v>44</v>
      </c>
      <c r="N1591" s="45" t="s">
        <v>45</v>
      </c>
    </row>
    <row r="1592" spans="1:14" ht="15.75" x14ac:dyDescent="0.25">
      <c r="A1592" s="46" t="s">
        <v>505</v>
      </c>
      <c r="B1592" s="47" t="s">
        <v>76</v>
      </c>
      <c r="C1592" s="48">
        <v>11486</v>
      </c>
      <c r="D1592" s="48">
        <v>0</v>
      </c>
      <c r="E1592" s="48">
        <v>0</v>
      </c>
      <c r="F1592" s="48">
        <v>0</v>
      </c>
      <c r="G1592" s="48">
        <v>0</v>
      </c>
      <c r="H1592" s="48">
        <v>11486</v>
      </c>
      <c r="I1592" s="48">
        <v>0</v>
      </c>
      <c r="J1592" s="48">
        <v>11486</v>
      </c>
      <c r="K1592" s="48">
        <v>0</v>
      </c>
      <c r="L1592" s="48">
        <v>0</v>
      </c>
      <c r="M1592" s="48">
        <v>0</v>
      </c>
      <c r="N1592" s="48">
        <v>11486</v>
      </c>
    </row>
    <row r="1593" spans="1:14" ht="15.75" x14ac:dyDescent="0.25">
      <c r="A1593" s="49" t="s">
        <v>505</v>
      </c>
      <c r="B1593" s="50" t="s">
        <v>77</v>
      </c>
      <c r="C1593" s="51">
        <v>15251</v>
      </c>
      <c r="D1593" s="51">
        <v>0</v>
      </c>
      <c r="E1593" s="51">
        <v>0</v>
      </c>
      <c r="F1593" s="51">
        <v>0</v>
      </c>
      <c r="G1593" s="51">
        <v>0</v>
      </c>
      <c r="H1593" s="51">
        <v>15251</v>
      </c>
      <c r="I1593" s="51">
        <v>-1000</v>
      </c>
      <c r="J1593" s="51">
        <v>14251</v>
      </c>
      <c r="K1593" s="51">
        <v>0</v>
      </c>
      <c r="L1593" s="51">
        <v>0</v>
      </c>
      <c r="M1593" s="51">
        <v>0</v>
      </c>
      <c r="N1593" s="51">
        <v>14251</v>
      </c>
    </row>
    <row r="1594" spans="1:14" ht="15.75" x14ac:dyDescent="0.25">
      <c r="A1594" s="49" t="s">
        <v>505</v>
      </c>
      <c r="B1594" s="50" t="s">
        <v>78</v>
      </c>
      <c r="C1594" s="51">
        <v>18422</v>
      </c>
      <c r="D1594" s="51">
        <v>0</v>
      </c>
      <c r="E1594" s="51">
        <v>0</v>
      </c>
      <c r="F1594" s="51">
        <v>0</v>
      </c>
      <c r="G1594" s="51">
        <v>0</v>
      </c>
      <c r="H1594" s="51">
        <v>18422</v>
      </c>
      <c r="I1594" s="51">
        <v>-1000</v>
      </c>
      <c r="J1594" s="51">
        <v>17422</v>
      </c>
      <c r="K1594" s="51">
        <v>0</v>
      </c>
      <c r="L1594" s="51">
        <v>0</v>
      </c>
      <c r="M1594" s="51">
        <v>0</v>
      </c>
      <c r="N1594" s="51">
        <v>17422</v>
      </c>
    </row>
    <row r="1595" spans="1:14" ht="15.75" x14ac:dyDescent="0.25">
      <c r="A1595" s="49" t="s">
        <v>505</v>
      </c>
      <c r="B1595" s="50" t="s">
        <v>47</v>
      </c>
      <c r="C1595" s="51">
        <v>18873</v>
      </c>
      <c r="D1595" s="51">
        <v>0</v>
      </c>
      <c r="E1595" s="51">
        <v>0</v>
      </c>
      <c r="F1595" s="51">
        <v>0</v>
      </c>
      <c r="G1595" s="51">
        <v>0</v>
      </c>
      <c r="H1595" s="51">
        <v>18873</v>
      </c>
      <c r="I1595" s="51">
        <v>-3510</v>
      </c>
      <c r="J1595" s="51">
        <v>15363</v>
      </c>
      <c r="K1595" s="51">
        <v>0</v>
      </c>
      <c r="L1595" s="51">
        <v>0</v>
      </c>
      <c r="M1595" s="51">
        <v>0</v>
      </c>
      <c r="N1595" s="51">
        <v>15363</v>
      </c>
    </row>
    <row r="1596" spans="1:14" ht="15.75" x14ac:dyDescent="0.25">
      <c r="A1596" s="49" t="s">
        <v>505</v>
      </c>
      <c r="B1596" s="50" t="s">
        <v>79</v>
      </c>
      <c r="C1596" s="51">
        <v>32551</v>
      </c>
      <c r="D1596" s="51">
        <v>-226</v>
      </c>
      <c r="E1596" s="51">
        <v>0</v>
      </c>
      <c r="F1596" s="51">
        <v>0</v>
      </c>
      <c r="G1596" s="51">
        <v>0</v>
      </c>
      <c r="H1596" s="51">
        <v>32325</v>
      </c>
      <c r="I1596" s="51">
        <v>-7778</v>
      </c>
      <c r="J1596" s="51">
        <v>24547</v>
      </c>
      <c r="K1596" s="51">
        <v>0</v>
      </c>
      <c r="L1596" s="51">
        <v>0</v>
      </c>
      <c r="M1596" s="51">
        <v>0</v>
      </c>
      <c r="N1596" s="51">
        <v>24547</v>
      </c>
    </row>
    <row r="1597" spans="1:14" ht="15.75" x14ac:dyDescent="0.25">
      <c r="A1597" s="49" t="s">
        <v>505</v>
      </c>
      <c r="B1597" s="50" t="s">
        <v>80</v>
      </c>
      <c r="C1597" s="51">
        <v>109844</v>
      </c>
      <c r="D1597" s="51">
        <v>0</v>
      </c>
      <c r="E1597" s="51">
        <v>0</v>
      </c>
      <c r="F1597" s="51">
        <v>0</v>
      </c>
      <c r="G1597" s="51">
        <v>0</v>
      </c>
      <c r="H1597" s="51">
        <v>109844</v>
      </c>
      <c r="I1597" s="51">
        <v>-28148</v>
      </c>
      <c r="J1597" s="51">
        <v>81696</v>
      </c>
      <c r="K1597" s="51">
        <v>0</v>
      </c>
      <c r="L1597" s="51">
        <v>0</v>
      </c>
      <c r="M1597" s="51">
        <v>0</v>
      </c>
      <c r="N1597" s="51">
        <v>81696</v>
      </c>
    </row>
    <row r="1598" spans="1:14" ht="15.75" x14ac:dyDescent="0.25">
      <c r="A1598" s="49" t="s">
        <v>505</v>
      </c>
      <c r="B1598" s="50" t="s">
        <v>81</v>
      </c>
      <c r="C1598" s="51">
        <v>161737</v>
      </c>
      <c r="D1598" s="51">
        <v>-887</v>
      </c>
      <c r="E1598" s="51">
        <v>0</v>
      </c>
      <c r="F1598" s="51">
        <v>0</v>
      </c>
      <c r="G1598" s="51">
        <v>0</v>
      </c>
      <c r="H1598" s="51">
        <v>160850</v>
      </c>
      <c r="I1598" s="51">
        <v>-55602</v>
      </c>
      <c r="J1598" s="51">
        <v>105248</v>
      </c>
      <c r="K1598" s="51">
        <v>0</v>
      </c>
      <c r="L1598" s="51">
        <v>0</v>
      </c>
      <c r="M1598" s="51">
        <v>0</v>
      </c>
      <c r="N1598" s="51">
        <v>105248</v>
      </c>
    </row>
    <row r="1599" spans="1:14" ht="15.75" x14ac:dyDescent="0.25">
      <c r="A1599" s="49" t="s">
        <v>505</v>
      </c>
      <c r="B1599" s="50" t="s">
        <v>82</v>
      </c>
      <c r="C1599" s="51">
        <v>497865</v>
      </c>
      <c r="D1599" s="51">
        <v>-13640</v>
      </c>
      <c r="E1599" s="51">
        <v>0</v>
      </c>
      <c r="F1599" s="51">
        <v>0</v>
      </c>
      <c r="G1599" s="51">
        <v>0</v>
      </c>
      <c r="H1599" s="51">
        <v>484225</v>
      </c>
      <c r="I1599" s="51">
        <v>-297786</v>
      </c>
      <c r="J1599" s="51">
        <v>186439</v>
      </c>
      <c r="K1599" s="51">
        <v>0</v>
      </c>
      <c r="L1599" s="51">
        <v>0</v>
      </c>
      <c r="M1599" s="51">
        <v>0</v>
      </c>
      <c r="N1599" s="51">
        <v>186439</v>
      </c>
    </row>
    <row r="1600" spans="1:14" ht="15.75" x14ac:dyDescent="0.25">
      <c r="A1600" s="49" t="s">
        <v>505</v>
      </c>
      <c r="B1600" s="50" t="s">
        <v>83</v>
      </c>
      <c r="C1600" s="51">
        <v>2311869</v>
      </c>
      <c r="D1600" s="51">
        <v>-5569</v>
      </c>
      <c r="E1600" s="51">
        <v>0</v>
      </c>
      <c r="F1600" s="51">
        <v>0</v>
      </c>
      <c r="G1600" s="51">
        <v>0</v>
      </c>
      <c r="H1600" s="51">
        <v>2306300</v>
      </c>
      <c r="I1600" s="51">
        <v>-1836916</v>
      </c>
      <c r="J1600" s="51">
        <v>469384</v>
      </c>
      <c r="K1600" s="51">
        <v>0</v>
      </c>
      <c r="L1600" s="51">
        <v>0</v>
      </c>
      <c r="M1600" s="51">
        <v>0</v>
      </c>
      <c r="N1600" s="51">
        <v>469384</v>
      </c>
    </row>
    <row r="1601" spans="1:14" ht="15.75" x14ac:dyDescent="0.25">
      <c r="A1601" s="49" t="s">
        <v>505</v>
      </c>
      <c r="B1601" s="50" t="s">
        <v>48</v>
      </c>
      <c r="C1601" s="51">
        <v>2700473</v>
      </c>
      <c r="D1601" s="51">
        <v>-10258</v>
      </c>
      <c r="E1601" s="51">
        <v>0</v>
      </c>
      <c r="F1601" s="51">
        <v>0</v>
      </c>
      <c r="G1601" s="51">
        <v>0</v>
      </c>
      <c r="H1601" s="51">
        <v>2690215</v>
      </c>
      <c r="I1601" s="51">
        <v>-2201763</v>
      </c>
      <c r="J1601" s="51">
        <v>488452</v>
      </c>
      <c r="K1601" s="51">
        <v>0</v>
      </c>
      <c r="L1601" s="51">
        <v>0</v>
      </c>
      <c r="M1601" s="51">
        <v>0</v>
      </c>
      <c r="N1601" s="51">
        <v>488452</v>
      </c>
    </row>
    <row r="1602" spans="1:14" ht="15.75" x14ac:dyDescent="0.25">
      <c r="A1602" s="49" t="s">
        <v>505</v>
      </c>
      <c r="B1602" s="50" t="s">
        <v>49</v>
      </c>
      <c r="C1602" s="51">
        <v>2445575</v>
      </c>
      <c r="D1602" s="51">
        <v>-87381</v>
      </c>
      <c r="E1602" s="51">
        <v>0</v>
      </c>
      <c r="F1602" s="51">
        <v>0</v>
      </c>
      <c r="G1602" s="51">
        <v>0</v>
      </c>
      <c r="H1602" s="51">
        <v>2358194</v>
      </c>
      <c r="I1602" s="51">
        <v>-2024268</v>
      </c>
      <c r="J1602" s="51">
        <v>333926</v>
      </c>
      <c r="K1602" s="51">
        <v>0</v>
      </c>
      <c r="L1602" s="51">
        <v>0</v>
      </c>
      <c r="M1602" s="51">
        <v>0</v>
      </c>
      <c r="N1602" s="51">
        <v>333926</v>
      </c>
    </row>
    <row r="1603" spans="1:14" ht="15.75" x14ac:dyDescent="0.25">
      <c r="A1603" s="49" t="s">
        <v>505</v>
      </c>
      <c r="B1603" s="50" t="s">
        <v>50</v>
      </c>
      <c r="C1603" s="51">
        <v>2163565</v>
      </c>
      <c r="D1603" s="51">
        <v>-11183</v>
      </c>
      <c r="E1603" s="51">
        <v>0</v>
      </c>
      <c r="F1603" s="51">
        <v>0</v>
      </c>
      <c r="G1603" s="51">
        <v>0</v>
      </c>
      <c r="H1603" s="51">
        <v>2152382</v>
      </c>
      <c r="I1603" s="51">
        <v>-1909924</v>
      </c>
      <c r="J1603" s="51">
        <v>242458</v>
      </c>
      <c r="K1603" s="51">
        <v>0</v>
      </c>
      <c r="L1603" s="51">
        <v>0</v>
      </c>
      <c r="M1603" s="51">
        <v>0</v>
      </c>
      <c r="N1603" s="51">
        <v>242458</v>
      </c>
    </row>
    <row r="1604" spans="1:14" ht="15.75" x14ac:dyDescent="0.25">
      <c r="A1604" s="49" t="s">
        <v>505</v>
      </c>
      <c r="B1604" s="50" t="s">
        <v>51</v>
      </c>
      <c r="C1604" s="51">
        <v>2201579</v>
      </c>
      <c r="D1604" s="51">
        <v>-7560</v>
      </c>
      <c r="E1604" s="51">
        <v>0</v>
      </c>
      <c r="F1604" s="51">
        <v>0</v>
      </c>
      <c r="G1604" s="51">
        <v>0</v>
      </c>
      <c r="H1604" s="51">
        <v>2194019</v>
      </c>
      <c r="I1604" s="51">
        <v>-1998085</v>
      </c>
      <c r="J1604" s="51">
        <v>195934</v>
      </c>
      <c r="K1604" s="51">
        <v>0</v>
      </c>
      <c r="L1604" s="51">
        <v>0</v>
      </c>
      <c r="M1604" s="51">
        <v>0</v>
      </c>
      <c r="N1604" s="51">
        <v>195934</v>
      </c>
    </row>
    <row r="1605" spans="1:14" ht="15.75" x14ac:dyDescent="0.25">
      <c r="A1605" s="49" t="s">
        <v>505</v>
      </c>
      <c r="B1605" s="50" t="s">
        <v>52</v>
      </c>
      <c r="C1605" s="51">
        <v>2205578</v>
      </c>
      <c r="D1605" s="51">
        <v>-8670</v>
      </c>
      <c r="E1605" s="51">
        <v>0</v>
      </c>
      <c r="F1605" s="51">
        <v>0</v>
      </c>
      <c r="G1605" s="51">
        <v>0</v>
      </c>
      <c r="H1605" s="51">
        <v>2196908</v>
      </c>
      <c r="I1605" s="51">
        <v>-2046608</v>
      </c>
      <c r="J1605" s="51">
        <v>150300</v>
      </c>
      <c r="K1605" s="51">
        <v>0</v>
      </c>
      <c r="L1605" s="51">
        <v>0</v>
      </c>
      <c r="M1605" s="51">
        <v>0</v>
      </c>
      <c r="N1605" s="51">
        <v>150300</v>
      </c>
    </row>
    <row r="1606" spans="1:14" ht="15.75" x14ac:dyDescent="0.25">
      <c r="A1606" s="49" t="s">
        <v>505</v>
      </c>
      <c r="B1606" s="50" t="s">
        <v>53</v>
      </c>
      <c r="C1606" s="51">
        <v>1918244</v>
      </c>
      <c r="D1606" s="51">
        <v>-95235</v>
      </c>
      <c r="E1606" s="51">
        <v>0</v>
      </c>
      <c r="F1606" s="51">
        <v>0</v>
      </c>
      <c r="G1606" s="51">
        <v>0</v>
      </c>
      <c r="H1606" s="51">
        <v>1823009</v>
      </c>
      <c r="I1606" s="51">
        <v>-1710342</v>
      </c>
      <c r="J1606" s="51">
        <v>112667</v>
      </c>
      <c r="K1606" s="51">
        <v>0</v>
      </c>
      <c r="L1606" s="51">
        <v>0</v>
      </c>
      <c r="M1606" s="51">
        <v>0</v>
      </c>
      <c r="N1606" s="51">
        <v>112667</v>
      </c>
    </row>
    <row r="1607" spans="1:14" ht="15.75" x14ac:dyDescent="0.25">
      <c r="A1607" s="49" t="s">
        <v>505</v>
      </c>
      <c r="B1607" s="50" t="s">
        <v>54</v>
      </c>
      <c r="C1607" s="51">
        <v>3404857</v>
      </c>
      <c r="D1607" s="51">
        <v>-15303</v>
      </c>
      <c r="E1607" s="51">
        <v>0</v>
      </c>
      <c r="F1607" s="51">
        <v>0</v>
      </c>
      <c r="G1607" s="51">
        <v>0</v>
      </c>
      <c r="H1607" s="51">
        <v>3389554</v>
      </c>
      <c r="I1607" s="51">
        <v>-3389554</v>
      </c>
      <c r="J1607" s="51">
        <v>0</v>
      </c>
      <c r="K1607" s="51">
        <v>93191</v>
      </c>
      <c r="L1607" s="51">
        <v>-1158</v>
      </c>
      <c r="M1607" s="51">
        <v>92033</v>
      </c>
      <c r="N1607" s="51">
        <v>-92033</v>
      </c>
    </row>
    <row r="1608" spans="1:14" ht="15.75" x14ac:dyDescent="0.25">
      <c r="A1608" s="49" t="s">
        <v>505</v>
      </c>
      <c r="B1608" s="50" t="s">
        <v>55</v>
      </c>
      <c r="C1608" s="51">
        <v>3877531</v>
      </c>
      <c r="D1608" s="51">
        <v>-14397</v>
      </c>
      <c r="E1608" s="51">
        <v>0</v>
      </c>
      <c r="F1608" s="51">
        <v>0</v>
      </c>
      <c r="G1608" s="51">
        <v>0</v>
      </c>
      <c r="H1608" s="51">
        <v>3863134</v>
      </c>
      <c r="I1608" s="51">
        <v>-3863134</v>
      </c>
      <c r="J1608" s="51">
        <v>0</v>
      </c>
      <c r="K1608" s="51">
        <v>69</v>
      </c>
      <c r="L1608" s="51">
        <v>-69</v>
      </c>
      <c r="M1608" s="51">
        <v>0</v>
      </c>
      <c r="N1608" s="51">
        <v>0</v>
      </c>
    </row>
    <row r="1609" spans="1:14" ht="15.75" x14ac:dyDescent="0.25">
      <c r="A1609" s="49" t="s">
        <v>505</v>
      </c>
      <c r="B1609" s="50" t="s">
        <v>56</v>
      </c>
      <c r="C1609" s="51">
        <v>4361708</v>
      </c>
      <c r="D1609" s="51">
        <v>-9562</v>
      </c>
      <c r="E1609" s="51">
        <v>0</v>
      </c>
      <c r="F1609" s="51">
        <v>0</v>
      </c>
      <c r="G1609" s="51">
        <v>0</v>
      </c>
      <c r="H1609" s="51">
        <v>4352146</v>
      </c>
      <c r="I1609" s="51">
        <v>-4352146</v>
      </c>
      <c r="J1609" s="51">
        <v>0</v>
      </c>
      <c r="K1609" s="51">
        <v>0</v>
      </c>
      <c r="L1609" s="51">
        <v>0</v>
      </c>
      <c r="M1609" s="51">
        <v>0</v>
      </c>
      <c r="N1609" s="51">
        <v>0</v>
      </c>
    </row>
    <row r="1610" spans="1:14" ht="15.75" x14ac:dyDescent="0.25">
      <c r="A1610" s="49" t="s">
        <v>505</v>
      </c>
      <c r="B1610" s="50" t="s">
        <v>57</v>
      </c>
      <c r="C1610" s="51">
        <v>4717344</v>
      </c>
      <c r="D1610" s="51">
        <v>-167413</v>
      </c>
      <c r="E1610" s="51">
        <v>0</v>
      </c>
      <c r="F1610" s="51">
        <v>0</v>
      </c>
      <c r="G1610" s="51">
        <v>0</v>
      </c>
      <c r="H1610" s="51">
        <v>4549931</v>
      </c>
      <c r="I1610" s="51">
        <v>-4549931</v>
      </c>
      <c r="J1610" s="51">
        <v>0</v>
      </c>
      <c r="K1610" s="51">
        <v>420875</v>
      </c>
      <c r="L1610" s="51">
        <v>-420292</v>
      </c>
      <c r="M1610" s="51">
        <v>583</v>
      </c>
      <c r="N1610" s="51">
        <v>-583</v>
      </c>
    </row>
    <row r="1611" spans="1:14" ht="15.75" x14ac:dyDescent="0.25">
      <c r="A1611" s="49" t="s">
        <v>505</v>
      </c>
      <c r="B1611" s="50" t="s">
        <v>58</v>
      </c>
      <c r="C1611" s="51">
        <v>3504909</v>
      </c>
      <c r="D1611" s="51">
        <v>-17051</v>
      </c>
      <c r="E1611" s="51">
        <v>0</v>
      </c>
      <c r="F1611" s="51">
        <v>0</v>
      </c>
      <c r="G1611" s="51">
        <v>0</v>
      </c>
      <c r="H1611" s="51">
        <v>3487858</v>
      </c>
      <c r="I1611" s="51">
        <v>-3487858</v>
      </c>
      <c r="J1611" s="51">
        <v>0</v>
      </c>
      <c r="K1611" s="51">
        <v>502743</v>
      </c>
      <c r="L1611" s="51">
        <v>-502743</v>
      </c>
      <c r="M1611" s="51">
        <v>0</v>
      </c>
      <c r="N1611" s="51">
        <v>0</v>
      </c>
    </row>
    <row r="1612" spans="1:14" ht="15.75" x14ac:dyDescent="0.25">
      <c r="A1612" s="49" t="s">
        <v>505</v>
      </c>
      <c r="B1612" s="50" t="s">
        <v>59</v>
      </c>
      <c r="C1612" s="51">
        <v>3225897</v>
      </c>
      <c r="D1612" s="51">
        <v>-7662</v>
      </c>
      <c r="E1612" s="51">
        <v>0</v>
      </c>
      <c r="F1612" s="51">
        <v>0</v>
      </c>
      <c r="G1612" s="51">
        <v>0</v>
      </c>
      <c r="H1612" s="51">
        <v>3218235</v>
      </c>
      <c r="I1612" s="51">
        <v>-3218235</v>
      </c>
      <c r="J1612" s="51">
        <v>0</v>
      </c>
      <c r="K1612" s="51">
        <v>54516</v>
      </c>
      <c r="L1612" s="51">
        <v>-54516</v>
      </c>
      <c r="M1612" s="51">
        <v>0</v>
      </c>
      <c r="N1612" s="51">
        <v>0</v>
      </c>
    </row>
    <row r="1613" spans="1:14" ht="15.75" x14ac:dyDescent="0.25">
      <c r="A1613" s="49" t="s">
        <v>505</v>
      </c>
      <c r="B1613" s="50" t="s">
        <v>60</v>
      </c>
      <c r="C1613" s="51">
        <v>2830879</v>
      </c>
      <c r="D1613" s="51">
        <v>-26015</v>
      </c>
      <c r="E1613" s="51">
        <v>0</v>
      </c>
      <c r="F1613" s="51">
        <v>0</v>
      </c>
      <c r="G1613" s="51">
        <v>0</v>
      </c>
      <c r="H1613" s="51">
        <v>2804864</v>
      </c>
      <c r="I1613" s="51">
        <v>-2804864</v>
      </c>
      <c r="J1613" s="51">
        <v>0</v>
      </c>
      <c r="K1613" s="51">
        <v>484721</v>
      </c>
      <c r="L1613" s="51">
        <v>-484421</v>
      </c>
      <c r="M1613" s="51">
        <v>300</v>
      </c>
      <c r="N1613" s="51">
        <v>-300</v>
      </c>
    </row>
    <row r="1614" spans="1:14" ht="15.75" x14ac:dyDescent="0.25">
      <c r="A1614" s="49" t="s">
        <v>505</v>
      </c>
      <c r="B1614" s="50" t="s">
        <v>61</v>
      </c>
      <c r="C1614" s="51">
        <v>2246156</v>
      </c>
      <c r="D1614" s="51">
        <v>-15679</v>
      </c>
      <c r="E1614" s="51">
        <v>0</v>
      </c>
      <c r="F1614" s="51">
        <v>0</v>
      </c>
      <c r="G1614" s="51">
        <v>0</v>
      </c>
      <c r="H1614" s="51">
        <v>2230477</v>
      </c>
      <c r="I1614" s="51">
        <v>-2230477</v>
      </c>
      <c r="J1614" s="51">
        <v>0</v>
      </c>
      <c r="K1614" s="51">
        <v>542</v>
      </c>
      <c r="L1614" s="51">
        <v>-542</v>
      </c>
      <c r="M1614" s="51">
        <v>0</v>
      </c>
      <c r="N1614" s="51">
        <v>0</v>
      </c>
    </row>
    <row r="1615" spans="1:14" ht="15.75" x14ac:dyDescent="0.25">
      <c r="A1615" s="49" t="s">
        <v>505</v>
      </c>
      <c r="B1615" s="50" t="s">
        <v>62</v>
      </c>
      <c r="C1615" s="51">
        <v>1218533</v>
      </c>
      <c r="D1615" s="51">
        <v>-7225</v>
      </c>
      <c r="E1615" s="51">
        <v>0</v>
      </c>
      <c r="F1615" s="51">
        <v>0</v>
      </c>
      <c r="G1615" s="51">
        <v>0</v>
      </c>
      <c r="H1615" s="51">
        <v>1211308</v>
      </c>
      <c r="I1615" s="51">
        <v>-1211308</v>
      </c>
      <c r="J1615" s="51">
        <v>0</v>
      </c>
      <c r="K1615" s="51">
        <v>0</v>
      </c>
      <c r="L1615" s="51">
        <v>0</v>
      </c>
      <c r="M1615" s="51">
        <v>0</v>
      </c>
      <c r="N1615" s="51">
        <v>0</v>
      </c>
    </row>
    <row r="1616" spans="1:14" ht="15.75" x14ac:dyDescent="0.25">
      <c r="A1616" s="52" t="s">
        <v>383</v>
      </c>
      <c r="B1616" s="53" t="s">
        <v>8</v>
      </c>
      <c r="C1616" s="19">
        <f>SUBTOTAL(109,Program171[(C)
Program
Costs])</f>
        <v>46200726</v>
      </c>
      <c r="D1616" s="19">
        <f>SUBTOTAL(109,Program171[(D)
Prior Period Adjustments])</f>
        <v>-520916</v>
      </c>
      <c r="E1616" s="19">
        <f>SUBTOTAL(109,Program171[(E)
Current Period Desk 
Reviews])</f>
        <v>0</v>
      </c>
      <c r="F1616" s="19">
        <f>SUBTOTAL(109,Program171[(F)
Current Period 
Final 
Audits])</f>
        <v>0</v>
      </c>
      <c r="G1616" s="19">
        <f>SUBTOTAL(109,Program171[(G)
Current Period 
Other Adjustments])</f>
        <v>0</v>
      </c>
      <c r="H1616" s="19">
        <f>SUBTOTAL(109,Program171[(H)
Net Program Costs
Sum (C through G)])</f>
        <v>45679810</v>
      </c>
      <c r="I1616" s="19">
        <f>SUBTOTAL(109,Program171[(I)
Payments
 and Offsets])</f>
        <v>-43230237</v>
      </c>
      <c r="J1616" s="19">
        <f>SUBTOTAL(109,Program171[(J)
Accounts Payable Balance
(H + I)])</f>
        <v>2449573</v>
      </c>
      <c r="K1616" s="19">
        <f>SUBTOTAL(109,Program171[(K)
Established 
Accounts Receivable])</f>
        <v>1556657</v>
      </c>
      <c r="L1616" s="19">
        <f>SUBTOTAL(109,Program171[(L)
Recovered
 Accounts Receivable])</f>
        <v>-1463741</v>
      </c>
      <c r="M1616" s="19">
        <f>SUBTOTAL(109,Program171[(M)
Accounts Receivable Balance
(K + L)])</f>
        <v>92916</v>
      </c>
      <c r="N1616" s="19">
        <f>SUBTOTAL(109,Program171[(N)
Net Balance
(J minus M)])</f>
        <v>2356657</v>
      </c>
    </row>
    <row r="1617" spans="1:14" ht="15.75" x14ac:dyDescent="0.25">
      <c r="A1617" s="17" t="s">
        <v>13</v>
      </c>
      <c r="B1617" s="54"/>
      <c r="C1617" s="55"/>
      <c r="D1617" s="55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</row>
    <row r="1618" spans="1:14" ht="78.75" x14ac:dyDescent="0.25">
      <c r="A1618" s="39" t="s">
        <v>32</v>
      </c>
      <c r="B1618" s="40" t="s">
        <v>33</v>
      </c>
      <c r="C1618" s="41" t="s">
        <v>34</v>
      </c>
      <c r="D1618" s="41" t="s">
        <v>35</v>
      </c>
      <c r="E1618" s="42" t="s">
        <v>36</v>
      </c>
      <c r="F1618" s="42" t="s">
        <v>37</v>
      </c>
      <c r="G1618" s="42" t="s">
        <v>38</v>
      </c>
      <c r="H1618" s="43" t="s">
        <v>39</v>
      </c>
      <c r="I1618" s="44" t="s">
        <v>40</v>
      </c>
      <c r="J1618" s="44" t="s">
        <v>41</v>
      </c>
      <c r="K1618" s="42" t="s">
        <v>42</v>
      </c>
      <c r="L1618" s="44" t="s">
        <v>43</v>
      </c>
      <c r="M1618" s="44" t="s">
        <v>44</v>
      </c>
      <c r="N1618" s="45" t="s">
        <v>45</v>
      </c>
    </row>
    <row r="1619" spans="1:14" ht="15.75" x14ac:dyDescent="0.25">
      <c r="A1619" s="46" t="s">
        <v>683</v>
      </c>
      <c r="B1619" s="47" t="s">
        <v>59</v>
      </c>
      <c r="C1619" s="48">
        <v>49459</v>
      </c>
      <c r="D1619" s="48">
        <v>-49217</v>
      </c>
      <c r="E1619" s="48">
        <v>0</v>
      </c>
      <c r="F1619" s="48">
        <v>0</v>
      </c>
      <c r="G1619" s="48">
        <v>0</v>
      </c>
      <c r="H1619" s="48">
        <v>242</v>
      </c>
      <c r="I1619" s="48">
        <v>-242</v>
      </c>
      <c r="J1619" s="48">
        <v>0</v>
      </c>
      <c r="K1619" s="48">
        <v>5578</v>
      </c>
      <c r="L1619" s="48">
        <v>-5336</v>
      </c>
      <c r="M1619" s="48">
        <v>242</v>
      </c>
      <c r="N1619" s="48">
        <v>-242</v>
      </c>
    </row>
    <row r="1620" spans="1:14" ht="15.75" x14ac:dyDescent="0.25">
      <c r="A1620" s="49" t="s">
        <v>683</v>
      </c>
      <c r="B1620" s="50" t="s">
        <v>60</v>
      </c>
      <c r="C1620" s="51">
        <v>1123064</v>
      </c>
      <c r="D1620" s="51">
        <v>-57006</v>
      </c>
      <c r="E1620" s="51">
        <v>0</v>
      </c>
      <c r="F1620" s="51">
        <v>0</v>
      </c>
      <c r="G1620" s="51">
        <v>0</v>
      </c>
      <c r="H1620" s="51">
        <v>1066058</v>
      </c>
      <c r="I1620" s="51">
        <v>-1066058</v>
      </c>
      <c r="J1620" s="51">
        <v>0</v>
      </c>
      <c r="K1620" s="51">
        <v>160483</v>
      </c>
      <c r="L1620" s="51">
        <v>-160483</v>
      </c>
      <c r="M1620" s="51">
        <v>0</v>
      </c>
      <c r="N1620" s="51">
        <v>0</v>
      </c>
    </row>
    <row r="1621" spans="1:14" ht="15.75" x14ac:dyDescent="0.25">
      <c r="A1621" s="49" t="s">
        <v>683</v>
      </c>
      <c r="B1621" s="50" t="s">
        <v>61</v>
      </c>
      <c r="C1621" s="51">
        <v>1149440</v>
      </c>
      <c r="D1621" s="51">
        <v>-28437</v>
      </c>
      <c r="E1621" s="51">
        <v>0</v>
      </c>
      <c r="F1621" s="51">
        <v>0</v>
      </c>
      <c r="G1621" s="51">
        <v>0</v>
      </c>
      <c r="H1621" s="51">
        <v>1121003</v>
      </c>
      <c r="I1621" s="51">
        <v>-1121003</v>
      </c>
      <c r="J1621" s="51">
        <v>0</v>
      </c>
      <c r="K1621" s="51">
        <v>101953</v>
      </c>
      <c r="L1621" s="51">
        <v>-101953</v>
      </c>
      <c r="M1621" s="51">
        <v>0</v>
      </c>
      <c r="N1621" s="51">
        <v>0</v>
      </c>
    </row>
    <row r="1622" spans="1:14" ht="15.75" x14ac:dyDescent="0.25">
      <c r="A1622" s="49" t="s">
        <v>683</v>
      </c>
      <c r="B1622" s="50" t="s">
        <v>62</v>
      </c>
      <c r="C1622" s="51">
        <v>741955</v>
      </c>
      <c r="D1622" s="51">
        <v>-49516</v>
      </c>
      <c r="E1622" s="51">
        <v>0</v>
      </c>
      <c r="F1622" s="51">
        <v>0</v>
      </c>
      <c r="G1622" s="51">
        <v>0</v>
      </c>
      <c r="H1622" s="51">
        <v>692439</v>
      </c>
      <c r="I1622" s="51">
        <v>-692439</v>
      </c>
      <c r="J1622" s="51">
        <v>0</v>
      </c>
      <c r="K1622" s="51">
        <v>6478</v>
      </c>
      <c r="L1622" s="51">
        <v>-6478</v>
      </c>
      <c r="M1622" s="51">
        <v>0</v>
      </c>
      <c r="N1622" s="51">
        <v>0</v>
      </c>
    </row>
    <row r="1623" spans="1:14" ht="15.75" x14ac:dyDescent="0.25">
      <c r="A1623" s="49" t="s">
        <v>683</v>
      </c>
      <c r="B1623" s="50" t="s">
        <v>63</v>
      </c>
      <c r="C1623" s="51">
        <v>859581</v>
      </c>
      <c r="D1623" s="51">
        <v>-216993</v>
      </c>
      <c r="E1623" s="51">
        <v>0</v>
      </c>
      <c r="F1623" s="51">
        <v>0</v>
      </c>
      <c r="G1623" s="51">
        <v>0</v>
      </c>
      <c r="H1623" s="51">
        <v>642588</v>
      </c>
      <c r="I1623" s="51">
        <v>-642588</v>
      </c>
      <c r="J1623" s="51">
        <v>0</v>
      </c>
      <c r="K1623" s="51">
        <v>1198</v>
      </c>
      <c r="L1623" s="51">
        <v>-1198</v>
      </c>
      <c r="M1623" s="51">
        <v>0</v>
      </c>
      <c r="N1623" s="51">
        <v>0</v>
      </c>
    </row>
    <row r="1624" spans="1:14" ht="15.75" x14ac:dyDescent="0.25">
      <c r="A1624" s="49" t="s">
        <v>683</v>
      </c>
      <c r="B1624" s="50" t="s">
        <v>64</v>
      </c>
      <c r="C1624" s="51">
        <v>690156</v>
      </c>
      <c r="D1624" s="51">
        <v>-185572</v>
      </c>
      <c r="E1624" s="51">
        <v>0</v>
      </c>
      <c r="F1624" s="51">
        <v>0</v>
      </c>
      <c r="G1624" s="51">
        <v>0</v>
      </c>
      <c r="H1624" s="51">
        <v>504584</v>
      </c>
      <c r="I1624" s="51">
        <v>-504584</v>
      </c>
      <c r="J1624" s="51">
        <v>0</v>
      </c>
      <c r="K1624" s="51">
        <v>159391</v>
      </c>
      <c r="L1624" s="51">
        <v>-159391</v>
      </c>
      <c r="M1624" s="51">
        <v>0</v>
      </c>
      <c r="N1624" s="51">
        <v>0</v>
      </c>
    </row>
    <row r="1625" spans="1:14" ht="15.75" x14ac:dyDescent="0.25">
      <c r="A1625" s="49" t="s">
        <v>683</v>
      </c>
      <c r="B1625" s="50" t="s">
        <v>65</v>
      </c>
      <c r="C1625" s="51">
        <v>678196</v>
      </c>
      <c r="D1625" s="51">
        <v>-192702</v>
      </c>
      <c r="E1625" s="51">
        <v>0</v>
      </c>
      <c r="F1625" s="51">
        <v>0</v>
      </c>
      <c r="G1625" s="51">
        <v>0</v>
      </c>
      <c r="H1625" s="51">
        <v>485494</v>
      </c>
      <c r="I1625" s="51">
        <v>-485494</v>
      </c>
      <c r="J1625" s="51">
        <v>0</v>
      </c>
      <c r="K1625" s="51">
        <v>105714</v>
      </c>
      <c r="L1625" s="51">
        <v>-105714</v>
      </c>
      <c r="M1625" s="51">
        <v>0</v>
      </c>
      <c r="N1625" s="51">
        <v>0</v>
      </c>
    </row>
    <row r="1626" spans="1:14" ht="15.75" x14ac:dyDescent="0.25">
      <c r="A1626" s="49" t="s">
        <v>683</v>
      </c>
      <c r="B1626" s="50" t="s">
        <v>66</v>
      </c>
      <c r="C1626" s="51">
        <v>708586</v>
      </c>
      <c r="D1626" s="51">
        <v>-173467</v>
      </c>
      <c r="E1626" s="51">
        <v>0</v>
      </c>
      <c r="F1626" s="51">
        <v>0</v>
      </c>
      <c r="G1626" s="51">
        <v>0</v>
      </c>
      <c r="H1626" s="51">
        <v>535119</v>
      </c>
      <c r="I1626" s="51">
        <v>-535119</v>
      </c>
      <c r="J1626" s="51">
        <v>0</v>
      </c>
      <c r="K1626" s="51">
        <v>135171</v>
      </c>
      <c r="L1626" s="51">
        <v>-135171</v>
      </c>
      <c r="M1626" s="51">
        <v>0</v>
      </c>
      <c r="N1626" s="51">
        <v>0</v>
      </c>
    </row>
    <row r="1627" spans="1:14" ht="15.75" x14ac:dyDescent="0.25">
      <c r="A1627" s="97" t="s">
        <v>382</v>
      </c>
      <c r="B1627" s="98" t="s">
        <v>8</v>
      </c>
      <c r="C1627" s="99">
        <f>SUBTOTAL(109,Program137[(C)
Program
Costs])</f>
        <v>6000437</v>
      </c>
      <c r="D1627" s="99">
        <f>SUBTOTAL(109,Program137[(D)
Prior Period Adjustments])</f>
        <v>-952910</v>
      </c>
      <c r="E1627" s="99">
        <f>SUBTOTAL(109,Program137[(E)
Current Period Desk 
Reviews])</f>
        <v>0</v>
      </c>
      <c r="F1627" s="99">
        <f>SUBTOTAL(109,Program137[(F)
Current Period 
Final 
Audits])</f>
        <v>0</v>
      </c>
      <c r="G1627" s="99">
        <f>SUBTOTAL(109,Program137[(G)
Current Period 
Other Adjustments])</f>
        <v>0</v>
      </c>
      <c r="H1627" s="99">
        <f>SUBTOTAL(109,Program137[(H)
Net Program Costs
Sum (C through G)])</f>
        <v>5047527</v>
      </c>
      <c r="I1627" s="99">
        <f>SUBTOTAL(109,Program137[(I)
Payments
 and Offsets])</f>
        <v>-5047527</v>
      </c>
      <c r="J1627" s="99">
        <f>SUBTOTAL(109,Program137[(J)
Accounts Payable Balance
(H + I)])</f>
        <v>0</v>
      </c>
      <c r="K1627" s="99">
        <f>SUBTOTAL(109,Program137[(K)
Established 
Accounts Receivable])</f>
        <v>675966</v>
      </c>
      <c r="L1627" s="99">
        <f>SUBTOTAL(109,Program137[(L)
Recovered
 Accounts Receivable])</f>
        <v>-675724</v>
      </c>
      <c r="M1627" s="99">
        <f>SUBTOTAL(109,Program137[(M)
Accounts Receivable Balance
(K + L)])</f>
        <v>242</v>
      </c>
      <c r="N1627" s="99">
        <f>SUBTOTAL(109,Program137[(N)
Net Balance
(J minus M)])</f>
        <v>-242</v>
      </c>
    </row>
    <row r="1628" spans="1:14" ht="15.75" x14ac:dyDescent="0.25">
      <c r="A1628" s="17" t="s">
        <v>13</v>
      </c>
      <c r="B1628" s="54"/>
      <c r="C1628" s="55"/>
      <c r="D1628" s="55"/>
      <c r="E1628" s="55"/>
      <c r="F1628" s="55"/>
      <c r="G1628" s="55"/>
      <c r="H1628" s="55"/>
      <c r="I1628" s="55"/>
      <c r="J1628" s="55"/>
      <c r="K1628" s="55"/>
      <c r="L1628" s="55"/>
      <c r="M1628" s="55"/>
      <c r="N1628" s="55"/>
    </row>
    <row r="1629" spans="1:14" ht="78.75" x14ac:dyDescent="0.25">
      <c r="A1629" s="39" t="s">
        <v>32</v>
      </c>
      <c r="B1629" s="40" t="s">
        <v>33</v>
      </c>
      <c r="C1629" s="41" t="s">
        <v>34</v>
      </c>
      <c r="D1629" s="41" t="s">
        <v>35</v>
      </c>
      <c r="E1629" s="42" t="s">
        <v>36</v>
      </c>
      <c r="F1629" s="42" t="s">
        <v>37</v>
      </c>
      <c r="G1629" s="42" t="s">
        <v>38</v>
      </c>
      <c r="H1629" s="43" t="s">
        <v>39</v>
      </c>
      <c r="I1629" s="44" t="s">
        <v>40</v>
      </c>
      <c r="J1629" s="44" t="s">
        <v>41</v>
      </c>
      <c r="K1629" s="42" t="s">
        <v>42</v>
      </c>
      <c r="L1629" s="44" t="s">
        <v>43</v>
      </c>
      <c r="M1629" s="44" t="s">
        <v>44</v>
      </c>
      <c r="N1629" s="45" t="s">
        <v>45</v>
      </c>
    </row>
    <row r="1630" spans="1:14" ht="15.75" x14ac:dyDescent="0.25">
      <c r="A1630" s="46" t="s">
        <v>504</v>
      </c>
      <c r="B1630" s="47" t="s">
        <v>56</v>
      </c>
      <c r="C1630" s="48">
        <v>36344</v>
      </c>
      <c r="D1630" s="48">
        <v>-30392</v>
      </c>
      <c r="E1630" s="48">
        <v>0</v>
      </c>
      <c r="F1630" s="48">
        <v>0</v>
      </c>
      <c r="G1630" s="48">
        <v>0</v>
      </c>
      <c r="H1630" s="48">
        <v>5952</v>
      </c>
      <c r="I1630" s="48">
        <v>-5952</v>
      </c>
      <c r="J1630" s="48">
        <v>0</v>
      </c>
      <c r="K1630" s="48">
        <v>0</v>
      </c>
      <c r="L1630" s="48">
        <v>0</v>
      </c>
      <c r="M1630" s="48">
        <v>0</v>
      </c>
      <c r="N1630" s="48">
        <v>0</v>
      </c>
    </row>
    <row r="1631" spans="1:14" ht="15.75" x14ac:dyDescent="0.25">
      <c r="A1631" s="49" t="s">
        <v>504</v>
      </c>
      <c r="B1631" s="50" t="s">
        <v>57</v>
      </c>
      <c r="C1631" s="51">
        <v>3418703</v>
      </c>
      <c r="D1631" s="51">
        <v>-2243834</v>
      </c>
      <c r="E1631" s="51">
        <v>0</v>
      </c>
      <c r="F1631" s="51">
        <v>0</v>
      </c>
      <c r="G1631" s="51">
        <v>0</v>
      </c>
      <c r="H1631" s="51">
        <v>1174869</v>
      </c>
      <c r="I1631" s="51">
        <v>-1174869</v>
      </c>
      <c r="J1631" s="51">
        <v>0</v>
      </c>
      <c r="K1631" s="51">
        <v>0</v>
      </c>
      <c r="L1631" s="51">
        <v>0</v>
      </c>
      <c r="M1631" s="51">
        <v>0</v>
      </c>
      <c r="N1631" s="51">
        <v>0</v>
      </c>
    </row>
    <row r="1632" spans="1:14" ht="15.75" x14ac:dyDescent="0.25">
      <c r="A1632" s="49" t="s">
        <v>504</v>
      </c>
      <c r="B1632" s="50" t="s">
        <v>58</v>
      </c>
      <c r="C1632" s="51">
        <v>53402786</v>
      </c>
      <c r="D1632" s="51">
        <v>-50633632</v>
      </c>
      <c r="E1632" s="51">
        <v>0</v>
      </c>
      <c r="F1632" s="51">
        <v>0</v>
      </c>
      <c r="G1632" s="51">
        <v>0</v>
      </c>
      <c r="H1632" s="51">
        <v>2769154</v>
      </c>
      <c r="I1632" s="51">
        <v>-2765894</v>
      </c>
      <c r="J1632" s="51">
        <v>3260</v>
      </c>
      <c r="K1632" s="51">
        <v>2356</v>
      </c>
      <c r="L1632" s="51">
        <v>-2356</v>
      </c>
      <c r="M1632" s="51">
        <v>0</v>
      </c>
      <c r="N1632" s="51">
        <v>3260</v>
      </c>
    </row>
    <row r="1633" spans="1:14" ht="15.75" x14ac:dyDescent="0.25">
      <c r="A1633" s="49" t="s">
        <v>504</v>
      </c>
      <c r="B1633" s="50" t="s">
        <v>59</v>
      </c>
      <c r="C1633" s="51">
        <v>59344981</v>
      </c>
      <c r="D1633" s="51">
        <v>-55777411</v>
      </c>
      <c r="E1633" s="51">
        <v>0</v>
      </c>
      <c r="F1633" s="51">
        <v>0</v>
      </c>
      <c r="G1633" s="51">
        <v>0</v>
      </c>
      <c r="H1633" s="51">
        <v>3567570</v>
      </c>
      <c r="I1633" s="51">
        <v>-3567570</v>
      </c>
      <c r="J1633" s="51">
        <v>0</v>
      </c>
      <c r="K1633" s="51">
        <v>21765</v>
      </c>
      <c r="L1633" s="51">
        <v>-21752</v>
      </c>
      <c r="M1633" s="51">
        <v>13</v>
      </c>
      <c r="N1633" s="51">
        <v>-13</v>
      </c>
    </row>
    <row r="1634" spans="1:14" ht="15.75" x14ac:dyDescent="0.25">
      <c r="A1634" s="49" t="s">
        <v>504</v>
      </c>
      <c r="B1634" s="50" t="s">
        <v>60</v>
      </c>
      <c r="C1634" s="51">
        <v>60154459</v>
      </c>
      <c r="D1634" s="51">
        <v>-60026414</v>
      </c>
      <c r="E1634" s="51">
        <v>0</v>
      </c>
      <c r="F1634" s="51">
        <v>0</v>
      </c>
      <c r="G1634" s="51">
        <v>0</v>
      </c>
      <c r="H1634" s="51">
        <v>128045</v>
      </c>
      <c r="I1634" s="51">
        <v>-128045</v>
      </c>
      <c r="J1634" s="51">
        <v>0</v>
      </c>
      <c r="K1634" s="51">
        <v>21349</v>
      </c>
      <c r="L1634" s="51">
        <v>-21349</v>
      </c>
      <c r="M1634" s="51">
        <v>0</v>
      </c>
      <c r="N1634" s="51">
        <v>0</v>
      </c>
    </row>
    <row r="1635" spans="1:14" ht="15.75" x14ac:dyDescent="0.25">
      <c r="A1635" s="49" t="s">
        <v>504</v>
      </c>
      <c r="B1635" s="50" t="s">
        <v>61</v>
      </c>
      <c r="C1635" s="51">
        <v>34350139</v>
      </c>
      <c r="D1635" s="51">
        <v>-34216965</v>
      </c>
      <c r="E1635" s="51">
        <v>0</v>
      </c>
      <c r="F1635" s="51">
        <v>0</v>
      </c>
      <c r="G1635" s="51">
        <v>0</v>
      </c>
      <c r="H1635" s="51">
        <v>133174</v>
      </c>
      <c r="I1635" s="51">
        <v>-133174</v>
      </c>
      <c r="J1635" s="51">
        <v>0</v>
      </c>
      <c r="K1635" s="51">
        <v>2452</v>
      </c>
      <c r="L1635" s="51">
        <v>-2452</v>
      </c>
      <c r="M1635" s="51">
        <v>0</v>
      </c>
      <c r="N1635" s="51">
        <v>0</v>
      </c>
    </row>
    <row r="1636" spans="1:14" ht="15.75" x14ac:dyDescent="0.25">
      <c r="A1636" s="49" t="s">
        <v>504</v>
      </c>
      <c r="B1636" s="50" t="s">
        <v>62</v>
      </c>
      <c r="C1636" s="51">
        <v>1729822</v>
      </c>
      <c r="D1636" s="51">
        <v>-1643419</v>
      </c>
      <c r="E1636" s="51">
        <v>0</v>
      </c>
      <c r="F1636" s="51">
        <v>0</v>
      </c>
      <c r="G1636" s="51">
        <v>0</v>
      </c>
      <c r="H1636" s="51">
        <v>86403</v>
      </c>
      <c r="I1636" s="51">
        <v>-86403</v>
      </c>
      <c r="J1636" s="51">
        <v>0</v>
      </c>
      <c r="K1636" s="51">
        <v>0</v>
      </c>
      <c r="L1636" s="51">
        <v>0</v>
      </c>
      <c r="M1636" s="51">
        <v>0</v>
      </c>
      <c r="N1636" s="51">
        <v>0</v>
      </c>
    </row>
    <row r="1637" spans="1:14" ht="15.75" x14ac:dyDescent="0.25">
      <c r="A1637" s="52" t="s">
        <v>381</v>
      </c>
      <c r="B1637" s="53" t="s">
        <v>8</v>
      </c>
      <c r="C1637" s="19">
        <f>SUBTOTAL(109,Program184[(C)
Program
Costs])</f>
        <v>212437234</v>
      </c>
      <c r="D1637" s="19">
        <f>SUBTOTAL(109,Program184[(D)
Prior Period Adjustments])</f>
        <v>-204572067</v>
      </c>
      <c r="E1637" s="19">
        <f>SUBTOTAL(109,Program184[(E)
Current Period Desk 
Reviews])</f>
        <v>0</v>
      </c>
      <c r="F1637" s="19">
        <f>SUBTOTAL(109,Program184[(F)
Current Period 
Final 
Audits])</f>
        <v>0</v>
      </c>
      <c r="G1637" s="19">
        <f>SUBTOTAL(109,Program184[(G)
Current Period 
Other Adjustments])</f>
        <v>0</v>
      </c>
      <c r="H1637" s="19">
        <f>SUBTOTAL(109,Program184[(H)
Net Program Costs
Sum (C through G)])</f>
        <v>7865167</v>
      </c>
      <c r="I1637" s="19">
        <f>SUBTOTAL(109,Program184[(I)
Payments
 and Offsets])</f>
        <v>-7861907</v>
      </c>
      <c r="J1637" s="19">
        <f>SUBTOTAL(109,Program184[(J)
Accounts Payable Balance
(H + I)])</f>
        <v>3260</v>
      </c>
      <c r="K1637" s="19">
        <f>SUBTOTAL(109,Program184[(K)
Established 
Accounts Receivable])</f>
        <v>47922</v>
      </c>
      <c r="L1637" s="19">
        <f>SUBTOTAL(109,Program184[(L)
Recovered
 Accounts Receivable])</f>
        <v>-47909</v>
      </c>
      <c r="M1637" s="19">
        <f>SUBTOTAL(109,Program184[(M)
Accounts Receivable Balance
(K + L)])</f>
        <v>13</v>
      </c>
      <c r="N1637" s="19">
        <f>SUBTOTAL(109,Program184[(N)
Net Balance
(J minus M)])</f>
        <v>3247</v>
      </c>
    </row>
    <row r="1638" spans="1:14" ht="15.75" x14ac:dyDescent="0.25">
      <c r="A1638" s="17" t="s">
        <v>13</v>
      </c>
      <c r="B1638" s="54"/>
      <c r="C1638" s="55"/>
      <c r="D1638" s="55"/>
      <c r="E1638" s="55"/>
      <c r="F1638" s="55"/>
      <c r="G1638" s="55"/>
      <c r="H1638" s="55"/>
      <c r="I1638" s="55"/>
      <c r="J1638" s="55"/>
      <c r="K1638" s="55"/>
      <c r="L1638" s="55"/>
      <c r="M1638" s="55"/>
      <c r="N1638" s="55"/>
    </row>
    <row r="1639" spans="1:14" ht="78.75" x14ac:dyDescent="0.25">
      <c r="A1639" s="39" t="s">
        <v>32</v>
      </c>
      <c r="B1639" s="40" t="s">
        <v>33</v>
      </c>
      <c r="C1639" s="41" t="s">
        <v>34</v>
      </c>
      <c r="D1639" s="41" t="s">
        <v>35</v>
      </c>
      <c r="E1639" s="42" t="s">
        <v>36</v>
      </c>
      <c r="F1639" s="42" t="s">
        <v>37</v>
      </c>
      <c r="G1639" s="42" t="s">
        <v>38</v>
      </c>
      <c r="H1639" s="43" t="s">
        <v>39</v>
      </c>
      <c r="I1639" s="44" t="s">
        <v>40</v>
      </c>
      <c r="J1639" s="44" t="s">
        <v>41</v>
      </c>
      <c r="K1639" s="42" t="s">
        <v>42</v>
      </c>
      <c r="L1639" s="44" t="s">
        <v>43</v>
      </c>
      <c r="M1639" s="44" t="s">
        <v>44</v>
      </c>
      <c r="N1639" s="45" t="s">
        <v>45</v>
      </c>
    </row>
    <row r="1640" spans="1:14" ht="15.75" x14ac:dyDescent="0.25">
      <c r="A1640" s="46" t="s">
        <v>503</v>
      </c>
      <c r="B1640" s="47" t="s">
        <v>56</v>
      </c>
      <c r="C1640" s="48">
        <v>110908</v>
      </c>
      <c r="D1640" s="48">
        <v>-82508</v>
      </c>
      <c r="E1640" s="48">
        <v>0</v>
      </c>
      <c r="F1640" s="48">
        <v>0</v>
      </c>
      <c r="G1640" s="48">
        <v>0</v>
      </c>
      <c r="H1640" s="48">
        <v>28400</v>
      </c>
      <c r="I1640" s="48">
        <v>-28400</v>
      </c>
      <c r="J1640" s="48">
        <v>0</v>
      </c>
      <c r="K1640" s="48">
        <v>0</v>
      </c>
      <c r="L1640" s="48">
        <v>0</v>
      </c>
      <c r="M1640" s="48">
        <v>0</v>
      </c>
      <c r="N1640" s="48">
        <v>0</v>
      </c>
    </row>
    <row r="1641" spans="1:14" ht="15.75" x14ac:dyDescent="0.25">
      <c r="A1641" s="49" t="s">
        <v>503</v>
      </c>
      <c r="B1641" s="50" t="s">
        <v>57</v>
      </c>
      <c r="C1641" s="51">
        <v>10231741</v>
      </c>
      <c r="D1641" s="51">
        <v>-10670</v>
      </c>
      <c r="E1641" s="51">
        <v>0</v>
      </c>
      <c r="F1641" s="51">
        <v>0</v>
      </c>
      <c r="G1641" s="51">
        <v>0</v>
      </c>
      <c r="H1641" s="51">
        <v>10221071</v>
      </c>
      <c r="I1641" s="51">
        <v>-10221071</v>
      </c>
      <c r="J1641" s="51">
        <v>0</v>
      </c>
      <c r="K1641" s="51">
        <v>0</v>
      </c>
      <c r="L1641" s="51">
        <v>0</v>
      </c>
      <c r="M1641" s="51">
        <v>0</v>
      </c>
      <c r="N1641" s="51">
        <v>0</v>
      </c>
    </row>
    <row r="1642" spans="1:14" ht="15.75" x14ac:dyDescent="0.25">
      <c r="A1642" s="49" t="s">
        <v>503</v>
      </c>
      <c r="B1642" s="50" t="s">
        <v>58</v>
      </c>
      <c r="C1642" s="51">
        <v>10719734</v>
      </c>
      <c r="D1642" s="51">
        <v>-141845</v>
      </c>
      <c r="E1642" s="51">
        <v>0</v>
      </c>
      <c r="F1642" s="51">
        <v>0</v>
      </c>
      <c r="G1642" s="51">
        <v>0</v>
      </c>
      <c r="H1642" s="51">
        <v>10577889</v>
      </c>
      <c r="I1642" s="51">
        <v>-10577889</v>
      </c>
      <c r="J1642" s="51">
        <v>0</v>
      </c>
      <c r="K1642" s="51">
        <v>976021</v>
      </c>
      <c r="L1642" s="51">
        <v>-976021</v>
      </c>
      <c r="M1642" s="51">
        <v>0</v>
      </c>
      <c r="N1642" s="51">
        <v>0</v>
      </c>
    </row>
    <row r="1643" spans="1:14" ht="15.75" x14ac:dyDescent="0.25">
      <c r="A1643" s="49" t="s">
        <v>503</v>
      </c>
      <c r="B1643" s="50" t="s">
        <v>59</v>
      </c>
      <c r="C1643" s="51">
        <v>8268300</v>
      </c>
      <c r="D1643" s="51">
        <v>-233992</v>
      </c>
      <c r="E1643" s="51">
        <v>0</v>
      </c>
      <c r="F1643" s="51">
        <v>0</v>
      </c>
      <c r="G1643" s="51">
        <v>0</v>
      </c>
      <c r="H1643" s="51">
        <v>8034308</v>
      </c>
      <c r="I1643" s="51">
        <v>-8034308</v>
      </c>
      <c r="J1643" s="51">
        <v>0</v>
      </c>
      <c r="K1643" s="51">
        <v>117840</v>
      </c>
      <c r="L1643" s="51">
        <v>-117840</v>
      </c>
      <c r="M1643" s="51">
        <v>0</v>
      </c>
      <c r="N1643" s="51">
        <v>0</v>
      </c>
    </row>
    <row r="1644" spans="1:14" ht="15.75" x14ac:dyDescent="0.25">
      <c r="A1644" s="49" t="s">
        <v>503</v>
      </c>
      <c r="B1644" s="50" t="s">
        <v>60</v>
      </c>
      <c r="C1644" s="51">
        <v>7466523</v>
      </c>
      <c r="D1644" s="51">
        <v>-52855</v>
      </c>
      <c r="E1644" s="51">
        <v>0</v>
      </c>
      <c r="F1644" s="51">
        <v>0</v>
      </c>
      <c r="G1644" s="51">
        <v>0</v>
      </c>
      <c r="H1644" s="51">
        <v>7413668</v>
      </c>
      <c r="I1644" s="51">
        <v>-7413668</v>
      </c>
      <c r="J1644" s="51">
        <v>0</v>
      </c>
      <c r="K1644" s="51">
        <v>30278</v>
      </c>
      <c r="L1644" s="51">
        <v>-30278</v>
      </c>
      <c r="M1644" s="51">
        <v>0</v>
      </c>
      <c r="N1644" s="51">
        <v>0</v>
      </c>
    </row>
    <row r="1645" spans="1:14" ht="15.75" x14ac:dyDescent="0.25">
      <c r="A1645" s="49" t="s">
        <v>503</v>
      </c>
      <c r="B1645" s="50" t="s">
        <v>61</v>
      </c>
      <c r="C1645" s="51">
        <v>6763200</v>
      </c>
      <c r="D1645" s="51">
        <v>-28606</v>
      </c>
      <c r="E1645" s="51">
        <v>0</v>
      </c>
      <c r="F1645" s="51">
        <v>0</v>
      </c>
      <c r="G1645" s="51">
        <v>0</v>
      </c>
      <c r="H1645" s="51">
        <v>6734594</v>
      </c>
      <c r="I1645" s="51">
        <v>-6734594</v>
      </c>
      <c r="J1645" s="51">
        <v>0</v>
      </c>
      <c r="K1645" s="51">
        <v>38</v>
      </c>
      <c r="L1645" s="51">
        <v>-38</v>
      </c>
      <c r="M1645" s="51">
        <v>0</v>
      </c>
      <c r="N1645" s="51">
        <v>0</v>
      </c>
    </row>
    <row r="1646" spans="1:14" ht="15.75" x14ac:dyDescent="0.25">
      <c r="A1646" s="49" t="s">
        <v>503</v>
      </c>
      <c r="B1646" s="50" t="s">
        <v>62</v>
      </c>
      <c r="C1646" s="51">
        <v>6407970</v>
      </c>
      <c r="D1646" s="51">
        <v>-33307</v>
      </c>
      <c r="E1646" s="51">
        <v>0</v>
      </c>
      <c r="F1646" s="51">
        <v>0</v>
      </c>
      <c r="G1646" s="51">
        <v>0</v>
      </c>
      <c r="H1646" s="51">
        <v>6374663</v>
      </c>
      <c r="I1646" s="51">
        <v>-6374663</v>
      </c>
      <c r="J1646" s="51">
        <v>0</v>
      </c>
      <c r="K1646" s="51">
        <v>0</v>
      </c>
      <c r="L1646" s="51">
        <v>0</v>
      </c>
      <c r="M1646" s="51">
        <v>0</v>
      </c>
      <c r="N1646" s="51">
        <v>0</v>
      </c>
    </row>
    <row r="1647" spans="1:14" ht="15.75" x14ac:dyDescent="0.25">
      <c r="A1647" s="52" t="s">
        <v>380</v>
      </c>
      <c r="B1647" s="53" t="s">
        <v>8</v>
      </c>
      <c r="C1647" s="19">
        <f>SUBTOTAL(109,Program190[(C)
Program
Costs])</f>
        <v>49968376</v>
      </c>
      <c r="D1647" s="19">
        <f>SUBTOTAL(109,Program190[(D)
Prior Period Adjustments])</f>
        <v>-583783</v>
      </c>
      <c r="E1647" s="19">
        <f>SUBTOTAL(109,Program190[(E)
Current Period Desk 
Reviews])</f>
        <v>0</v>
      </c>
      <c r="F1647" s="19">
        <f>SUBTOTAL(109,Program190[(F)
Current Period 
Final 
Audits])</f>
        <v>0</v>
      </c>
      <c r="G1647" s="19">
        <f>SUBTOTAL(109,Program190[(G)
Current Period 
Other Adjustments])</f>
        <v>0</v>
      </c>
      <c r="H1647" s="19">
        <f>SUBTOTAL(109,Program190[(H)
Net Program Costs
Sum (C through G)])</f>
        <v>49384593</v>
      </c>
      <c r="I1647" s="19">
        <f>SUBTOTAL(109,Program190[(I)
Payments
 and Offsets])</f>
        <v>-49384593</v>
      </c>
      <c r="J1647" s="19">
        <f>SUBTOTAL(109,Program190[(J)
Accounts Payable Balance
(H + I)])</f>
        <v>0</v>
      </c>
      <c r="K1647" s="19">
        <f>SUBTOTAL(109,Program190[(K)
Established 
Accounts Receivable])</f>
        <v>1124177</v>
      </c>
      <c r="L1647" s="19">
        <f>SUBTOTAL(109,Program190[(L)
Recovered
 Accounts Receivable])</f>
        <v>-1124177</v>
      </c>
      <c r="M1647" s="19">
        <f>SUBTOTAL(109,Program190[(M)
Accounts Receivable Balance
(K + L)])</f>
        <v>0</v>
      </c>
      <c r="N1647" s="19">
        <f>SUBTOTAL(109,Program190[(N)
Net Balance
(J minus M)])</f>
        <v>0</v>
      </c>
    </row>
    <row r="1648" spans="1:14" ht="15.75" x14ac:dyDescent="0.25">
      <c r="A1648" s="17" t="s">
        <v>13</v>
      </c>
      <c r="B1648" s="54"/>
      <c r="C1648" s="55"/>
      <c r="D1648" s="55"/>
      <c r="E1648" s="55"/>
      <c r="F1648" s="55"/>
      <c r="G1648" s="55"/>
      <c r="H1648" s="55"/>
      <c r="I1648" s="55"/>
      <c r="J1648" s="55"/>
      <c r="K1648" s="55"/>
      <c r="L1648" s="55"/>
      <c r="M1648" s="55"/>
      <c r="N1648" s="55"/>
    </row>
    <row r="1649" spans="1:14" ht="78.75" x14ac:dyDescent="0.25">
      <c r="A1649" s="39" t="s">
        <v>32</v>
      </c>
      <c r="B1649" s="40" t="s">
        <v>33</v>
      </c>
      <c r="C1649" s="41" t="s">
        <v>34</v>
      </c>
      <c r="D1649" s="41" t="s">
        <v>35</v>
      </c>
      <c r="E1649" s="42" t="s">
        <v>36</v>
      </c>
      <c r="F1649" s="42" t="s">
        <v>37</v>
      </c>
      <c r="G1649" s="42" t="s">
        <v>38</v>
      </c>
      <c r="H1649" s="43" t="s">
        <v>39</v>
      </c>
      <c r="I1649" s="44" t="s">
        <v>40</v>
      </c>
      <c r="J1649" s="44" t="s">
        <v>41</v>
      </c>
      <c r="K1649" s="42" t="s">
        <v>42</v>
      </c>
      <c r="L1649" s="44" t="s">
        <v>43</v>
      </c>
      <c r="M1649" s="44" t="s">
        <v>44</v>
      </c>
      <c r="N1649" s="45" t="s">
        <v>45</v>
      </c>
    </row>
    <row r="1650" spans="1:14" ht="15.75" x14ac:dyDescent="0.25">
      <c r="A1650" s="46" t="s">
        <v>502</v>
      </c>
      <c r="B1650" s="47" t="s">
        <v>59</v>
      </c>
      <c r="C1650" s="48">
        <v>1431044</v>
      </c>
      <c r="D1650" s="48">
        <v>-287375</v>
      </c>
      <c r="E1650" s="48">
        <v>0</v>
      </c>
      <c r="F1650" s="48">
        <v>0</v>
      </c>
      <c r="G1650" s="48">
        <v>0</v>
      </c>
      <c r="H1650" s="48">
        <v>1143669</v>
      </c>
      <c r="I1650" s="48">
        <v>-1143669</v>
      </c>
      <c r="J1650" s="48">
        <v>0</v>
      </c>
      <c r="K1650" s="48">
        <v>1986</v>
      </c>
      <c r="L1650" s="48">
        <v>-1986</v>
      </c>
      <c r="M1650" s="48">
        <v>0</v>
      </c>
      <c r="N1650" s="48">
        <v>0</v>
      </c>
    </row>
    <row r="1651" spans="1:14" ht="15.75" x14ac:dyDescent="0.25">
      <c r="A1651" s="49" t="s">
        <v>502</v>
      </c>
      <c r="B1651" s="50" t="s">
        <v>60</v>
      </c>
      <c r="C1651" s="51">
        <v>3253079</v>
      </c>
      <c r="D1651" s="51">
        <v>-3935</v>
      </c>
      <c r="E1651" s="51">
        <v>0</v>
      </c>
      <c r="F1651" s="51">
        <v>0</v>
      </c>
      <c r="G1651" s="51">
        <v>0</v>
      </c>
      <c r="H1651" s="51">
        <v>3249144</v>
      </c>
      <c r="I1651" s="51">
        <v>-3249144</v>
      </c>
      <c r="J1651" s="51">
        <v>0</v>
      </c>
      <c r="K1651" s="51">
        <v>152456</v>
      </c>
      <c r="L1651" s="51">
        <v>-152456</v>
      </c>
      <c r="M1651" s="51">
        <v>0</v>
      </c>
      <c r="N1651" s="51">
        <v>0</v>
      </c>
    </row>
    <row r="1652" spans="1:14" ht="15.75" x14ac:dyDescent="0.25">
      <c r="A1652" s="49" t="s">
        <v>502</v>
      </c>
      <c r="B1652" s="50" t="s">
        <v>61</v>
      </c>
      <c r="C1652" s="51">
        <v>2839094</v>
      </c>
      <c r="D1652" s="51">
        <v>-69075</v>
      </c>
      <c r="E1652" s="51">
        <v>0</v>
      </c>
      <c r="F1652" s="51">
        <v>0</v>
      </c>
      <c r="G1652" s="51">
        <v>0</v>
      </c>
      <c r="H1652" s="51">
        <v>2770019</v>
      </c>
      <c r="I1652" s="51">
        <v>-2770019</v>
      </c>
      <c r="J1652" s="51">
        <v>0</v>
      </c>
      <c r="K1652" s="51">
        <v>713495</v>
      </c>
      <c r="L1652" s="51">
        <v>-713495</v>
      </c>
      <c r="M1652" s="51">
        <v>0</v>
      </c>
      <c r="N1652" s="51">
        <v>0</v>
      </c>
    </row>
    <row r="1653" spans="1:14" ht="15.75" x14ac:dyDescent="0.25">
      <c r="A1653" s="49" t="s">
        <v>502</v>
      </c>
      <c r="B1653" s="50" t="s">
        <v>62</v>
      </c>
      <c r="C1653" s="51">
        <v>1848934</v>
      </c>
      <c r="D1653" s="51">
        <v>-312679</v>
      </c>
      <c r="E1653" s="51">
        <v>0</v>
      </c>
      <c r="F1653" s="51">
        <v>0</v>
      </c>
      <c r="G1653" s="51">
        <v>0</v>
      </c>
      <c r="H1653" s="51">
        <v>1536255</v>
      </c>
      <c r="I1653" s="51">
        <v>-1536255</v>
      </c>
      <c r="J1653" s="51">
        <v>0</v>
      </c>
      <c r="K1653" s="51">
        <v>373718</v>
      </c>
      <c r="L1653" s="51">
        <v>-373718</v>
      </c>
      <c r="M1653" s="51">
        <v>0</v>
      </c>
      <c r="N1653" s="51">
        <v>0</v>
      </c>
    </row>
    <row r="1654" spans="1:14" ht="15.75" x14ac:dyDescent="0.25">
      <c r="A1654" s="49" t="s">
        <v>502</v>
      </c>
      <c r="B1654" s="50" t="s">
        <v>63</v>
      </c>
      <c r="C1654" s="51">
        <v>1873655</v>
      </c>
      <c r="D1654" s="51">
        <v>-452661</v>
      </c>
      <c r="E1654" s="51">
        <v>0</v>
      </c>
      <c r="F1654" s="51">
        <v>0</v>
      </c>
      <c r="G1654" s="51">
        <v>0</v>
      </c>
      <c r="H1654" s="51">
        <v>1420994</v>
      </c>
      <c r="I1654" s="51">
        <v>-1420994</v>
      </c>
      <c r="J1654" s="51">
        <v>0</v>
      </c>
      <c r="K1654" s="51">
        <v>407149</v>
      </c>
      <c r="L1654" s="51">
        <v>-407149</v>
      </c>
      <c r="M1654" s="51">
        <v>0</v>
      </c>
      <c r="N1654" s="51">
        <v>0</v>
      </c>
    </row>
    <row r="1655" spans="1:14" ht="15.75" x14ac:dyDescent="0.25">
      <c r="A1655" s="49" t="s">
        <v>502</v>
      </c>
      <c r="B1655" s="50" t="s">
        <v>65</v>
      </c>
      <c r="C1655" s="51">
        <v>996359</v>
      </c>
      <c r="D1655" s="51">
        <v>-11293</v>
      </c>
      <c r="E1655" s="51">
        <v>0</v>
      </c>
      <c r="F1655" s="51">
        <v>0</v>
      </c>
      <c r="G1655" s="51">
        <v>0</v>
      </c>
      <c r="H1655" s="51">
        <v>985066</v>
      </c>
      <c r="I1655" s="51">
        <v>-985066</v>
      </c>
      <c r="J1655" s="51">
        <v>0</v>
      </c>
      <c r="K1655" s="51">
        <v>65698</v>
      </c>
      <c r="L1655" s="51">
        <v>-65698</v>
      </c>
      <c r="M1655" s="51">
        <v>0</v>
      </c>
      <c r="N1655" s="51">
        <v>0</v>
      </c>
    </row>
    <row r="1656" spans="1:14" ht="15.75" x14ac:dyDescent="0.25">
      <c r="A1656" s="49" t="s">
        <v>502</v>
      </c>
      <c r="B1656" s="50" t="s">
        <v>66</v>
      </c>
      <c r="C1656" s="51">
        <v>536674</v>
      </c>
      <c r="D1656" s="51">
        <v>-80012</v>
      </c>
      <c r="E1656" s="51">
        <v>0</v>
      </c>
      <c r="F1656" s="51">
        <v>0</v>
      </c>
      <c r="G1656" s="51">
        <v>0</v>
      </c>
      <c r="H1656" s="51">
        <v>456662</v>
      </c>
      <c r="I1656" s="51">
        <v>-456662</v>
      </c>
      <c r="J1656" s="51">
        <v>0</v>
      </c>
      <c r="K1656" s="51">
        <v>151805</v>
      </c>
      <c r="L1656" s="51">
        <v>-151805</v>
      </c>
      <c r="M1656" s="51">
        <v>0</v>
      </c>
      <c r="N1656" s="51">
        <v>0</v>
      </c>
    </row>
    <row r="1657" spans="1:14" ht="15.75" x14ac:dyDescent="0.25">
      <c r="A1657" s="49" t="s">
        <v>502</v>
      </c>
      <c r="B1657" s="50" t="s">
        <v>67</v>
      </c>
      <c r="C1657" s="51">
        <v>650410</v>
      </c>
      <c r="D1657" s="51">
        <v>-139683</v>
      </c>
      <c r="E1657" s="51">
        <v>0</v>
      </c>
      <c r="F1657" s="51">
        <v>0</v>
      </c>
      <c r="G1657" s="51">
        <v>0</v>
      </c>
      <c r="H1657" s="51">
        <v>510727</v>
      </c>
      <c r="I1657" s="51">
        <v>-510727</v>
      </c>
      <c r="J1657" s="51">
        <v>0</v>
      </c>
      <c r="K1657" s="51">
        <v>186427</v>
      </c>
      <c r="L1657" s="51">
        <v>-186427</v>
      </c>
      <c r="M1657" s="51">
        <v>0</v>
      </c>
      <c r="N1657" s="51">
        <v>0</v>
      </c>
    </row>
    <row r="1658" spans="1:14" ht="15.75" x14ac:dyDescent="0.25">
      <c r="A1658" s="49" t="s">
        <v>502</v>
      </c>
      <c r="B1658" s="50" t="s">
        <v>68</v>
      </c>
      <c r="C1658" s="51">
        <v>972319</v>
      </c>
      <c r="D1658" s="51">
        <v>-185315</v>
      </c>
      <c r="E1658" s="51">
        <v>0</v>
      </c>
      <c r="F1658" s="51">
        <v>0</v>
      </c>
      <c r="G1658" s="51">
        <v>0</v>
      </c>
      <c r="H1658" s="51">
        <v>787004</v>
      </c>
      <c r="I1658" s="51">
        <v>-787004</v>
      </c>
      <c r="J1658" s="51">
        <v>0</v>
      </c>
      <c r="K1658" s="51">
        <v>192990</v>
      </c>
      <c r="L1658" s="51">
        <v>-192990</v>
      </c>
      <c r="M1658" s="51">
        <v>0</v>
      </c>
      <c r="N1658" s="51">
        <v>0</v>
      </c>
    </row>
    <row r="1659" spans="1:14" ht="15.75" x14ac:dyDescent="0.25">
      <c r="A1659" s="49" t="s">
        <v>502</v>
      </c>
      <c r="B1659" s="50" t="s">
        <v>69</v>
      </c>
      <c r="C1659" s="51">
        <v>886629</v>
      </c>
      <c r="D1659" s="51">
        <v>-175285</v>
      </c>
      <c r="E1659" s="51">
        <v>0</v>
      </c>
      <c r="F1659" s="51">
        <v>0</v>
      </c>
      <c r="G1659" s="51">
        <v>0</v>
      </c>
      <c r="H1659" s="51">
        <v>711344</v>
      </c>
      <c r="I1659" s="51">
        <v>-711344</v>
      </c>
      <c r="J1659" s="51">
        <v>0</v>
      </c>
      <c r="K1659" s="51">
        <v>176543</v>
      </c>
      <c r="L1659" s="51">
        <v>-176543</v>
      </c>
      <c r="M1659" s="51">
        <v>0</v>
      </c>
      <c r="N1659" s="51">
        <v>0</v>
      </c>
    </row>
    <row r="1660" spans="1:14" ht="15.75" x14ac:dyDescent="0.25">
      <c r="A1660" s="49" t="s">
        <v>502</v>
      </c>
      <c r="B1660" s="50" t="s">
        <v>115</v>
      </c>
      <c r="C1660" s="51">
        <v>866156</v>
      </c>
      <c r="D1660" s="51">
        <v>-165593</v>
      </c>
      <c r="E1660" s="51">
        <v>0</v>
      </c>
      <c r="F1660" s="51">
        <v>0</v>
      </c>
      <c r="G1660" s="51">
        <v>0</v>
      </c>
      <c r="H1660" s="51">
        <v>700563</v>
      </c>
      <c r="I1660" s="51">
        <v>-700563</v>
      </c>
      <c r="J1660" s="51">
        <v>0</v>
      </c>
      <c r="K1660" s="51">
        <v>175898</v>
      </c>
      <c r="L1660" s="51">
        <v>-175898</v>
      </c>
      <c r="M1660" s="51">
        <v>0</v>
      </c>
      <c r="N1660" s="51">
        <v>0</v>
      </c>
    </row>
    <row r="1661" spans="1:14" ht="15.75" x14ac:dyDescent="0.25">
      <c r="A1661" s="52" t="s">
        <v>379</v>
      </c>
      <c r="B1661" s="53" t="s">
        <v>8</v>
      </c>
      <c r="C1661" s="19">
        <f>SUBTOTAL(109,Program109[(C)
Program
Costs])</f>
        <v>16154353</v>
      </c>
      <c r="D1661" s="19">
        <f>SUBTOTAL(109,Program109[(D)
Prior Period Adjustments])</f>
        <v>-1882906</v>
      </c>
      <c r="E1661" s="19">
        <f>SUBTOTAL(109,Program109[(E)
Current Period Desk 
Reviews])</f>
        <v>0</v>
      </c>
      <c r="F1661" s="19">
        <f>SUBTOTAL(109,Program109[(F)
Current Period 
Final 
Audits])</f>
        <v>0</v>
      </c>
      <c r="G1661" s="19">
        <f>SUBTOTAL(109,Program109[(G)
Current Period 
Other Adjustments])</f>
        <v>0</v>
      </c>
      <c r="H1661" s="19">
        <f>SUBTOTAL(109,Program109[(H)
Net Program Costs
Sum (C through G)])</f>
        <v>14271447</v>
      </c>
      <c r="I1661" s="19">
        <f>SUBTOTAL(109,Program109[(I)
Payments
 and Offsets])</f>
        <v>-14271447</v>
      </c>
      <c r="J1661" s="19">
        <f>SUBTOTAL(109,Program109[(J)
Accounts Payable Balance
(H + I)])</f>
        <v>0</v>
      </c>
      <c r="K1661" s="19">
        <f>SUBTOTAL(109,Program109[(K)
Established 
Accounts Receivable])</f>
        <v>2598165</v>
      </c>
      <c r="L1661" s="19">
        <f>SUBTOTAL(109,Program109[(L)
Recovered
 Accounts Receivable])</f>
        <v>-2598165</v>
      </c>
      <c r="M1661" s="19">
        <f>SUBTOTAL(109,Program109[(M)
Accounts Receivable Balance
(K + L)])</f>
        <v>0</v>
      </c>
      <c r="N1661" s="19">
        <f>SUBTOTAL(109,Program109[(N)
Net Balance
(J minus M)])</f>
        <v>0</v>
      </c>
    </row>
    <row r="1662" spans="1:14" ht="15.75" x14ac:dyDescent="0.25">
      <c r="A1662" s="17" t="s">
        <v>13</v>
      </c>
      <c r="B1662" s="54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78.75" x14ac:dyDescent="0.25">
      <c r="A1663" s="39" t="s">
        <v>32</v>
      </c>
      <c r="B1663" s="40" t="s">
        <v>33</v>
      </c>
      <c r="C1663" s="41" t="s">
        <v>34</v>
      </c>
      <c r="D1663" s="41" t="s">
        <v>35</v>
      </c>
      <c r="E1663" s="42" t="s">
        <v>36</v>
      </c>
      <c r="F1663" s="42" t="s">
        <v>37</v>
      </c>
      <c r="G1663" s="42" t="s">
        <v>38</v>
      </c>
      <c r="H1663" s="43" t="s">
        <v>39</v>
      </c>
      <c r="I1663" s="44" t="s">
        <v>40</v>
      </c>
      <c r="J1663" s="44" t="s">
        <v>41</v>
      </c>
      <c r="K1663" s="42" t="s">
        <v>42</v>
      </c>
      <c r="L1663" s="44" t="s">
        <v>43</v>
      </c>
      <c r="M1663" s="44" t="s">
        <v>44</v>
      </c>
      <c r="N1663" s="45" t="s">
        <v>45</v>
      </c>
    </row>
    <row r="1664" spans="1:14" ht="30" x14ac:dyDescent="0.25">
      <c r="A1664" s="67" t="s">
        <v>501</v>
      </c>
      <c r="B1664" s="57" t="s">
        <v>51</v>
      </c>
      <c r="C1664" s="58">
        <v>11158</v>
      </c>
      <c r="D1664" s="58">
        <v>-8217</v>
      </c>
      <c r="E1664" s="58">
        <v>0</v>
      </c>
      <c r="F1664" s="58">
        <v>0</v>
      </c>
      <c r="G1664" s="58">
        <v>0</v>
      </c>
      <c r="H1664" s="58">
        <v>2941</v>
      </c>
      <c r="I1664" s="58">
        <v>-2941</v>
      </c>
      <c r="J1664" s="58">
        <v>0</v>
      </c>
      <c r="K1664" s="58">
        <v>0</v>
      </c>
      <c r="L1664" s="58">
        <v>0</v>
      </c>
      <c r="M1664" s="58">
        <v>0</v>
      </c>
      <c r="N1664" s="58">
        <v>0</v>
      </c>
    </row>
    <row r="1665" spans="1:14" ht="30" x14ac:dyDescent="0.25">
      <c r="A1665" s="68" t="s">
        <v>501</v>
      </c>
      <c r="B1665" s="60" t="s">
        <v>53</v>
      </c>
      <c r="C1665" s="61">
        <v>328472</v>
      </c>
      <c r="D1665" s="61">
        <v>-17194</v>
      </c>
      <c r="E1665" s="61">
        <v>0</v>
      </c>
      <c r="F1665" s="61">
        <v>0</v>
      </c>
      <c r="G1665" s="61">
        <v>0</v>
      </c>
      <c r="H1665" s="61">
        <v>311278</v>
      </c>
      <c r="I1665" s="61">
        <v>-311278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</row>
    <row r="1666" spans="1:14" ht="30" x14ac:dyDescent="0.25">
      <c r="A1666" s="68" t="s">
        <v>501</v>
      </c>
      <c r="B1666" s="60" t="s">
        <v>54</v>
      </c>
      <c r="C1666" s="61">
        <v>2302932</v>
      </c>
      <c r="D1666" s="61">
        <v>-45624</v>
      </c>
      <c r="E1666" s="61">
        <v>0</v>
      </c>
      <c r="F1666" s="61">
        <v>0</v>
      </c>
      <c r="G1666" s="61">
        <v>0</v>
      </c>
      <c r="H1666" s="61">
        <v>2257308</v>
      </c>
      <c r="I1666" s="61">
        <v>-2257308</v>
      </c>
      <c r="J1666" s="61">
        <v>0</v>
      </c>
      <c r="K1666" s="61">
        <v>23731</v>
      </c>
      <c r="L1666" s="61">
        <v>-2908</v>
      </c>
      <c r="M1666" s="61">
        <v>20823</v>
      </c>
      <c r="N1666" s="61">
        <v>-20823</v>
      </c>
    </row>
    <row r="1667" spans="1:14" ht="30" x14ac:dyDescent="0.25">
      <c r="A1667" s="68" t="s">
        <v>501</v>
      </c>
      <c r="B1667" s="60" t="s">
        <v>55</v>
      </c>
      <c r="C1667" s="61">
        <v>1953697</v>
      </c>
      <c r="D1667" s="61">
        <v>-19682</v>
      </c>
      <c r="E1667" s="61">
        <v>0</v>
      </c>
      <c r="F1667" s="61">
        <v>0</v>
      </c>
      <c r="G1667" s="61">
        <v>0</v>
      </c>
      <c r="H1667" s="61">
        <v>1934015</v>
      </c>
      <c r="I1667" s="61">
        <v>-1934015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</row>
    <row r="1668" spans="1:14" ht="30" x14ac:dyDescent="0.25">
      <c r="A1668" s="68" t="s">
        <v>501</v>
      </c>
      <c r="B1668" s="60" t="s">
        <v>56</v>
      </c>
      <c r="C1668" s="61">
        <v>2028140</v>
      </c>
      <c r="D1668" s="61">
        <v>-10482</v>
      </c>
      <c r="E1668" s="61">
        <v>0</v>
      </c>
      <c r="F1668" s="61">
        <v>0</v>
      </c>
      <c r="G1668" s="61">
        <v>0</v>
      </c>
      <c r="H1668" s="61">
        <v>2017658</v>
      </c>
      <c r="I1668" s="61">
        <v>-2017658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</row>
    <row r="1669" spans="1:14" ht="30" x14ac:dyDescent="0.25">
      <c r="A1669" s="68" t="s">
        <v>501</v>
      </c>
      <c r="B1669" s="60" t="s">
        <v>57</v>
      </c>
      <c r="C1669" s="61">
        <v>2195237</v>
      </c>
      <c r="D1669" s="61">
        <v>-32721</v>
      </c>
      <c r="E1669" s="61">
        <v>0</v>
      </c>
      <c r="F1669" s="61">
        <v>0</v>
      </c>
      <c r="G1669" s="61">
        <v>0</v>
      </c>
      <c r="H1669" s="61">
        <v>2162516</v>
      </c>
      <c r="I1669" s="61">
        <v>-2162516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</row>
    <row r="1670" spans="1:14" ht="30" x14ac:dyDescent="0.25">
      <c r="A1670" s="68" t="s">
        <v>501</v>
      </c>
      <c r="B1670" s="60" t="s">
        <v>58</v>
      </c>
      <c r="C1670" s="61">
        <v>2268106</v>
      </c>
      <c r="D1670" s="61">
        <v>-30340</v>
      </c>
      <c r="E1670" s="61">
        <v>0</v>
      </c>
      <c r="F1670" s="61">
        <v>0</v>
      </c>
      <c r="G1670" s="61">
        <v>0</v>
      </c>
      <c r="H1670" s="61">
        <v>2237766</v>
      </c>
      <c r="I1670" s="61">
        <v>-2237766</v>
      </c>
      <c r="J1670" s="61">
        <v>0</v>
      </c>
      <c r="K1670" s="61">
        <v>8882</v>
      </c>
      <c r="L1670" s="61">
        <v>-8882</v>
      </c>
      <c r="M1670" s="61">
        <v>0</v>
      </c>
      <c r="N1670" s="61">
        <v>0</v>
      </c>
    </row>
    <row r="1671" spans="1:14" ht="30" x14ac:dyDescent="0.25">
      <c r="A1671" s="68" t="s">
        <v>501</v>
      </c>
      <c r="B1671" s="60" t="s">
        <v>59</v>
      </c>
      <c r="C1671" s="61">
        <v>2019852</v>
      </c>
      <c r="D1671" s="61">
        <v>-25168</v>
      </c>
      <c r="E1671" s="61">
        <v>0</v>
      </c>
      <c r="F1671" s="61">
        <v>0</v>
      </c>
      <c r="G1671" s="61">
        <v>0</v>
      </c>
      <c r="H1671" s="61">
        <v>1994684</v>
      </c>
      <c r="I1671" s="61">
        <v>-1994684</v>
      </c>
      <c r="J1671" s="61">
        <v>0</v>
      </c>
      <c r="K1671" s="61">
        <v>0</v>
      </c>
      <c r="L1671" s="61">
        <v>0</v>
      </c>
      <c r="M1671" s="61">
        <v>0</v>
      </c>
      <c r="N1671" s="61">
        <v>0</v>
      </c>
    </row>
    <row r="1672" spans="1:14" ht="30" x14ac:dyDescent="0.25">
      <c r="A1672" s="68" t="s">
        <v>501</v>
      </c>
      <c r="B1672" s="60" t="s">
        <v>60</v>
      </c>
      <c r="C1672" s="61">
        <v>1802086</v>
      </c>
      <c r="D1672" s="61">
        <v>-20501</v>
      </c>
      <c r="E1672" s="61">
        <v>0</v>
      </c>
      <c r="F1672" s="61">
        <v>0</v>
      </c>
      <c r="G1672" s="61">
        <v>0</v>
      </c>
      <c r="H1672" s="61">
        <v>1781585</v>
      </c>
      <c r="I1672" s="61">
        <v>-1781585</v>
      </c>
      <c r="J1672" s="61">
        <v>0</v>
      </c>
      <c r="K1672" s="61">
        <v>0</v>
      </c>
      <c r="L1672" s="61">
        <v>0</v>
      </c>
      <c r="M1672" s="61">
        <v>0</v>
      </c>
      <c r="N1672" s="61">
        <v>0</v>
      </c>
    </row>
    <row r="1673" spans="1:14" ht="30" x14ac:dyDescent="0.25">
      <c r="A1673" s="68" t="s">
        <v>501</v>
      </c>
      <c r="B1673" s="60" t="s">
        <v>61</v>
      </c>
      <c r="C1673" s="61">
        <v>1620584</v>
      </c>
      <c r="D1673" s="61">
        <v>-18563</v>
      </c>
      <c r="E1673" s="61">
        <v>0</v>
      </c>
      <c r="F1673" s="61">
        <v>0</v>
      </c>
      <c r="G1673" s="61">
        <v>0</v>
      </c>
      <c r="H1673" s="61">
        <v>1602021</v>
      </c>
      <c r="I1673" s="61">
        <v>-1602021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</row>
    <row r="1674" spans="1:14" ht="30" x14ac:dyDescent="0.25">
      <c r="A1674" s="68" t="s">
        <v>501</v>
      </c>
      <c r="B1674" s="60" t="s">
        <v>62</v>
      </c>
      <c r="C1674" s="61">
        <v>1499846</v>
      </c>
      <c r="D1674" s="61">
        <v>-18310</v>
      </c>
      <c r="E1674" s="61">
        <v>0</v>
      </c>
      <c r="F1674" s="61">
        <v>0</v>
      </c>
      <c r="G1674" s="61">
        <v>0</v>
      </c>
      <c r="H1674" s="61">
        <v>1481536</v>
      </c>
      <c r="I1674" s="61">
        <v>-1481536</v>
      </c>
      <c r="J1674" s="61">
        <v>0</v>
      </c>
      <c r="K1674" s="61">
        <v>0</v>
      </c>
      <c r="L1674" s="61">
        <v>0</v>
      </c>
      <c r="M1674" s="61">
        <v>0</v>
      </c>
      <c r="N1674" s="61">
        <v>0</v>
      </c>
    </row>
    <row r="1675" spans="1:14" ht="15.75" x14ac:dyDescent="0.25">
      <c r="A1675" s="52" t="s">
        <v>378</v>
      </c>
      <c r="B1675" s="53" t="s">
        <v>8</v>
      </c>
      <c r="C1675" s="19">
        <f>SUBTOTAL(109,Program211[(C)
Program
Costs])</f>
        <v>18030110</v>
      </c>
      <c r="D1675" s="19">
        <f>SUBTOTAL(109,Program211[(D)
Prior Period Adjustments])</f>
        <v>-246802</v>
      </c>
      <c r="E1675" s="19">
        <f>SUBTOTAL(109,Program211[(E)
Current Period Desk 
Reviews])</f>
        <v>0</v>
      </c>
      <c r="F1675" s="19">
        <f>SUBTOTAL(109,Program211[(F)
Current Period 
Final 
Audits])</f>
        <v>0</v>
      </c>
      <c r="G1675" s="19">
        <f>SUBTOTAL(109,Program211[(G)
Current Period 
Other Adjustments])</f>
        <v>0</v>
      </c>
      <c r="H1675" s="19">
        <f>SUBTOTAL(109,Program211[(H)
Net Program Costs
Sum (C through G)])</f>
        <v>17783308</v>
      </c>
      <c r="I1675" s="19">
        <f>SUBTOTAL(109,Program211[(I)
Payments
 and Offsets])</f>
        <v>-17783308</v>
      </c>
      <c r="J1675" s="19">
        <f>SUBTOTAL(109,Program211[(J)
Accounts Payable Balance
(H + I)])</f>
        <v>0</v>
      </c>
      <c r="K1675" s="19">
        <f>SUBTOTAL(109,Program211[(K)
Established 
Accounts Receivable])</f>
        <v>32613</v>
      </c>
      <c r="L1675" s="19">
        <f>SUBTOTAL(109,Program211[(L)
Recovered
 Accounts Receivable])</f>
        <v>-11790</v>
      </c>
      <c r="M1675" s="19">
        <f>SUBTOTAL(109,Program211[(M)
Accounts Receivable Balance
(K + L)])</f>
        <v>20823</v>
      </c>
      <c r="N1675" s="19">
        <f>SUBTOTAL(109,Program211[(N)
Net Balance
(J minus M)])</f>
        <v>-20823</v>
      </c>
    </row>
    <row r="1676" spans="1:14" ht="15.75" x14ac:dyDescent="0.25">
      <c r="A1676" s="17" t="s">
        <v>13</v>
      </c>
      <c r="B1676" s="54"/>
      <c r="C1676" s="55"/>
      <c r="D1676" s="55"/>
      <c r="E1676" s="55"/>
      <c r="F1676" s="55"/>
      <c r="G1676" s="55"/>
      <c r="H1676" s="55"/>
      <c r="I1676" s="55"/>
      <c r="J1676" s="55"/>
      <c r="K1676" s="55"/>
      <c r="L1676" s="55"/>
      <c r="M1676" s="55"/>
      <c r="N1676" s="55"/>
    </row>
    <row r="1677" spans="1:14" ht="78.75" x14ac:dyDescent="0.25">
      <c r="A1677" s="39" t="s">
        <v>32</v>
      </c>
      <c r="B1677" s="40" t="s">
        <v>33</v>
      </c>
      <c r="C1677" s="41" t="s">
        <v>34</v>
      </c>
      <c r="D1677" s="41" t="s">
        <v>35</v>
      </c>
      <c r="E1677" s="42" t="s">
        <v>36</v>
      </c>
      <c r="F1677" s="42" t="s">
        <v>37</v>
      </c>
      <c r="G1677" s="42" t="s">
        <v>38</v>
      </c>
      <c r="H1677" s="43" t="s">
        <v>39</v>
      </c>
      <c r="I1677" s="44" t="s">
        <v>40</v>
      </c>
      <c r="J1677" s="44" t="s">
        <v>41</v>
      </c>
      <c r="K1677" s="42" t="s">
        <v>42</v>
      </c>
      <c r="L1677" s="44" t="s">
        <v>43</v>
      </c>
      <c r="M1677" s="44" t="s">
        <v>44</v>
      </c>
      <c r="N1677" s="45" t="s">
        <v>45</v>
      </c>
    </row>
    <row r="1678" spans="1:14" ht="30" x14ac:dyDescent="0.25">
      <c r="A1678" s="67" t="s">
        <v>500</v>
      </c>
      <c r="B1678" s="57" t="s">
        <v>76</v>
      </c>
      <c r="C1678" s="58">
        <v>28695</v>
      </c>
      <c r="D1678" s="58">
        <v>0</v>
      </c>
      <c r="E1678" s="58">
        <v>-1296</v>
      </c>
      <c r="F1678" s="58">
        <v>0</v>
      </c>
      <c r="G1678" s="58">
        <v>0</v>
      </c>
      <c r="H1678" s="58">
        <v>27399</v>
      </c>
      <c r="I1678" s="58">
        <v>0</v>
      </c>
      <c r="J1678" s="58">
        <v>27399</v>
      </c>
      <c r="K1678" s="58">
        <v>0</v>
      </c>
      <c r="L1678" s="58">
        <v>0</v>
      </c>
      <c r="M1678" s="58">
        <v>0</v>
      </c>
      <c r="N1678" s="58">
        <v>27399</v>
      </c>
    </row>
    <row r="1679" spans="1:14" ht="30" x14ac:dyDescent="0.25">
      <c r="A1679" s="68" t="s">
        <v>500</v>
      </c>
      <c r="B1679" s="60" t="s">
        <v>77</v>
      </c>
      <c r="C1679" s="61">
        <v>53492</v>
      </c>
      <c r="D1679" s="61">
        <v>0</v>
      </c>
      <c r="E1679" s="61">
        <v>0</v>
      </c>
      <c r="F1679" s="61">
        <v>0</v>
      </c>
      <c r="G1679" s="61">
        <v>0</v>
      </c>
      <c r="H1679" s="61">
        <v>53492</v>
      </c>
      <c r="I1679" s="61">
        <v>-1000</v>
      </c>
      <c r="J1679" s="61">
        <v>52492</v>
      </c>
      <c r="K1679" s="61">
        <v>0</v>
      </c>
      <c r="L1679" s="61">
        <v>0</v>
      </c>
      <c r="M1679" s="61">
        <v>0</v>
      </c>
      <c r="N1679" s="61">
        <v>52492</v>
      </c>
    </row>
    <row r="1680" spans="1:14" ht="30" x14ac:dyDescent="0.25">
      <c r="A1680" s="68" t="s">
        <v>500</v>
      </c>
      <c r="B1680" s="60" t="s">
        <v>78</v>
      </c>
      <c r="C1680" s="61">
        <v>68578</v>
      </c>
      <c r="D1680" s="61">
        <v>0</v>
      </c>
      <c r="E1680" s="61">
        <v>0</v>
      </c>
      <c r="F1680" s="61">
        <v>0</v>
      </c>
      <c r="G1680" s="61">
        <v>0</v>
      </c>
      <c r="H1680" s="61">
        <v>68578</v>
      </c>
      <c r="I1680" s="61">
        <v>-1000</v>
      </c>
      <c r="J1680" s="61">
        <v>67578</v>
      </c>
      <c r="K1680" s="61">
        <v>0</v>
      </c>
      <c r="L1680" s="61">
        <v>0</v>
      </c>
      <c r="M1680" s="61">
        <v>0</v>
      </c>
      <c r="N1680" s="61">
        <v>67578</v>
      </c>
    </row>
    <row r="1681" spans="1:14" ht="30" x14ac:dyDescent="0.25">
      <c r="A1681" s="68" t="s">
        <v>500</v>
      </c>
      <c r="B1681" s="60" t="s">
        <v>47</v>
      </c>
      <c r="C1681" s="61">
        <v>62743</v>
      </c>
      <c r="D1681" s="61">
        <v>0</v>
      </c>
      <c r="E1681" s="61">
        <v>0</v>
      </c>
      <c r="F1681" s="61">
        <v>0</v>
      </c>
      <c r="G1681" s="61">
        <v>0</v>
      </c>
      <c r="H1681" s="61">
        <v>62743</v>
      </c>
      <c r="I1681" s="61">
        <v>-4325</v>
      </c>
      <c r="J1681" s="61">
        <v>58418</v>
      </c>
      <c r="K1681" s="61">
        <v>0</v>
      </c>
      <c r="L1681" s="61">
        <v>0</v>
      </c>
      <c r="M1681" s="61">
        <v>0</v>
      </c>
      <c r="N1681" s="61">
        <v>58418</v>
      </c>
    </row>
    <row r="1682" spans="1:14" ht="30" x14ac:dyDescent="0.25">
      <c r="A1682" s="68" t="s">
        <v>500</v>
      </c>
      <c r="B1682" s="60" t="s">
        <v>79</v>
      </c>
      <c r="C1682" s="61">
        <v>68239</v>
      </c>
      <c r="D1682" s="61">
        <v>-1098</v>
      </c>
      <c r="E1682" s="61">
        <v>0</v>
      </c>
      <c r="F1682" s="61">
        <v>0</v>
      </c>
      <c r="G1682" s="61">
        <v>0</v>
      </c>
      <c r="H1682" s="61">
        <v>67141</v>
      </c>
      <c r="I1682" s="61">
        <v>-7407</v>
      </c>
      <c r="J1682" s="61">
        <v>59734</v>
      </c>
      <c r="K1682" s="61">
        <v>0</v>
      </c>
      <c r="L1682" s="61">
        <v>0</v>
      </c>
      <c r="M1682" s="61">
        <v>0</v>
      </c>
      <c r="N1682" s="61">
        <v>59734</v>
      </c>
    </row>
    <row r="1683" spans="1:14" ht="30" x14ac:dyDescent="0.25">
      <c r="A1683" s="68" t="s">
        <v>500</v>
      </c>
      <c r="B1683" s="60" t="s">
        <v>80</v>
      </c>
      <c r="C1683" s="61">
        <v>396673</v>
      </c>
      <c r="D1683" s="61">
        <v>-160</v>
      </c>
      <c r="E1683" s="61">
        <v>0</v>
      </c>
      <c r="F1683" s="61">
        <v>0</v>
      </c>
      <c r="G1683" s="61">
        <v>0</v>
      </c>
      <c r="H1683" s="61">
        <v>396513</v>
      </c>
      <c r="I1683" s="61">
        <v>-31957</v>
      </c>
      <c r="J1683" s="61">
        <v>364556</v>
      </c>
      <c r="K1683" s="61">
        <v>0</v>
      </c>
      <c r="L1683" s="61">
        <v>0</v>
      </c>
      <c r="M1683" s="61">
        <v>0</v>
      </c>
      <c r="N1683" s="61">
        <v>364556</v>
      </c>
    </row>
    <row r="1684" spans="1:14" ht="30" x14ac:dyDescent="0.25">
      <c r="A1684" s="68" t="s">
        <v>500</v>
      </c>
      <c r="B1684" s="60" t="s">
        <v>81</v>
      </c>
      <c r="C1684" s="61">
        <v>479001</v>
      </c>
      <c r="D1684" s="61">
        <v>-103</v>
      </c>
      <c r="E1684" s="61">
        <v>0</v>
      </c>
      <c r="F1684" s="61">
        <v>0</v>
      </c>
      <c r="G1684" s="61">
        <v>0</v>
      </c>
      <c r="H1684" s="61">
        <v>478898</v>
      </c>
      <c r="I1684" s="61">
        <v>-117893</v>
      </c>
      <c r="J1684" s="61">
        <v>361005</v>
      </c>
      <c r="K1684" s="61">
        <v>0</v>
      </c>
      <c r="L1684" s="61">
        <v>0</v>
      </c>
      <c r="M1684" s="61">
        <v>0</v>
      </c>
      <c r="N1684" s="61">
        <v>361005</v>
      </c>
    </row>
    <row r="1685" spans="1:14" ht="30" x14ac:dyDescent="0.25">
      <c r="A1685" s="68" t="s">
        <v>500</v>
      </c>
      <c r="B1685" s="60" t="s">
        <v>82</v>
      </c>
      <c r="C1685" s="61">
        <v>901863</v>
      </c>
      <c r="D1685" s="61">
        <v>0</v>
      </c>
      <c r="E1685" s="61">
        <v>0</v>
      </c>
      <c r="F1685" s="61">
        <v>0</v>
      </c>
      <c r="G1685" s="61">
        <v>0</v>
      </c>
      <c r="H1685" s="61">
        <v>901863</v>
      </c>
      <c r="I1685" s="61">
        <v>-389941</v>
      </c>
      <c r="J1685" s="61">
        <v>511922</v>
      </c>
      <c r="K1685" s="61">
        <v>0</v>
      </c>
      <c r="L1685" s="61">
        <v>0</v>
      </c>
      <c r="M1685" s="61">
        <v>0</v>
      </c>
      <c r="N1685" s="61">
        <v>511922</v>
      </c>
    </row>
    <row r="1686" spans="1:14" ht="30" x14ac:dyDescent="0.25">
      <c r="A1686" s="68" t="s">
        <v>500</v>
      </c>
      <c r="B1686" s="60" t="s">
        <v>83</v>
      </c>
      <c r="C1686" s="61">
        <v>2686113</v>
      </c>
      <c r="D1686" s="61">
        <v>-2925</v>
      </c>
      <c r="E1686" s="61">
        <v>0</v>
      </c>
      <c r="F1686" s="61">
        <v>0</v>
      </c>
      <c r="G1686" s="61">
        <v>0</v>
      </c>
      <c r="H1686" s="61">
        <v>2683188</v>
      </c>
      <c r="I1686" s="61">
        <v>-1665935</v>
      </c>
      <c r="J1686" s="61">
        <v>1017253</v>
      </c>
      <c r="K1686" s="61">
        <v>0</v>
      </c>
      <c r="L1686" s="61">
        <v>0</v>
      </c>
      <c r="M1686" s="61">
        <v>0</v>
      </c>
      <c r="N1686" s="61">
        <v>1017253</v>
      </c>
    </row>
    <row r="1687" spans="1:14" ht="30" x14ac:dyDescent="0.25">
      <c r="A1687" s="68" t="s">
        <v>500</v>
      </c>
      <c r="B1687" s="60" t="s">
        <v>48</v>
      </c>
      <c r="C1687" s="61">
        <v>3280732</v>
      </c>
      <c r="D1687" s="61">
        <v>-16407</v>
      </c>
      <c r="E1687" s="61">
        <v>0</v>
      </c>
      <c r="F1687" s="61">
        <v>0</v>
      </c>
      <c r="G1687" s="61">
        <v>0</v>
      </c>
      <c r="H1687" s="61">
        <v>3264325</v>
      </c>
      <c r="I1687" s="61">
        <v>-2074791</v>
      </c>
      <c r="J1687" s="61">
        <v>1189534</v>
      </c>
      <c r="K1687" s="61">
        <v>0</v>
      </c>
      <c r="L1687" s="61">
        <v>0</v>
      </c>
      <c r="M1687" s="61">
        <v>0</v>
      </c>
      <c r="N1687" s="61">
        <v>1189534</v>
      </c>
    </row>
    <row r="1688" spans="1:14" ht="30" x14ac:dyDescent="0.25">
      <c r="A1688" s="68" t="s">
        <v>500</v>
      </c>
      <c r="B1688" s="60" t="s">
        <v>49</v>
      </c>
      <c r="C1688" s="61">
        <v>3514004</v>
      </c>
      <c r="D1688" s="61">
        <v>-52169</v>
      </c>
      <c r="E1688" s="61">
        <v>0</v>
      </c>
      <c r="F1688" s="61">
        <v>0</v>
      </c>
      <c r="G1688" s="61">
        <v>0</v>
      </c>
      <c r="H1688" s="61">
        <v>3461835</v>
      </c>
      <c r="I1688" s="61">
        <v>-3265219</v>
      </c>
      <c r="J1688" s="61">
        <v>196616</v>
      </c>
      <c r="K1688" s="61">
        <v>0</v>
      </c>
      <c r="L1688" s="61">
        <v>0</v>
      </c>
      <c r="M1688" s="61">
        <v>0</v>
      </c>
      <c r="N1688" s="61">
        <v>196616</v>
      </c>
    </row>
    <row r="1689" spans="1:14" ht="30" x14ac:dyDescent="0.25">
      <c r="A1689" s="68" t="s">
        <v>500</v>
      </c>
      <c r="B1689" s="60" t="s">
        <v>50</v>
      </c>
      <c r="C1689" s="61">
        <v>3384315</v>
      </c>
      <c r="D1689" s="61">
        <v>-14647</v>
      </c>
      <c r="E1689" s="61">
        <v>0</v>
      </c>
      <c r="F1689" s="61">
        <v>0</v>
      </c>
      <c r="G1689" s="61">
        <v>0</v>
      </c>
      <c r="H1689" s="61">
        <v>3369668</v>
      </c>
      <c r="I1689" s="61">
        <v>-2647678</v>
      </c>
      <c r="J1689" s="61">
        <v>721990</v>
      </c>
      <c r="K1689" s="61">
        <v>0</v>
      </c>
      <c r="L1689" s="61">
        <v>0</v>
      </c>
      <c r="M1689" s="61">
        <v>0</v>
      </c>
      <c r="N1689" s="61">
        <v>721990</v>
      </c>
    </row>
    <row r="1690" spans="1:14" ht="30" x14ac:dyDescent="0.25">
      <c r="A1690" s="68" t="s">
        <v>500</v>
      </c>
      <c r="B1690" s="60" t="s">
        <v>51</v>
      </c>
      <c r="C1690" s="61">
        <v>3273723</v>
      </c>
      <c r="D1690" s="61">
        <v>-21605</v>
      </c>
      <c r="E1690" s="61">
        <v>0</v>
      </c>
      <c r="F1690" s="61">
        <v>0</v>
      </c>
      <c r="G1690" s="61">
        <v>0</v>
      </c>
      <c r="H1690" s="61">
        <v>3252118</v>
      </c>
      <c r="I1690" s="61">
        <v>-2699148</v>
      </c>
      <c r="J1690" s="61">
        <v>552970</v>
      </c>
      <c r="K1690" s="61">
        <v>1</v>
      </c>
      <c r="L1690" s="61">
        <v>0</v>
      </c>
      <c r="M1690" s="61">
        <v>1</v>
      </c>
      <c r="N1690" s="61">
        <v>552969</v>
      </c>
    </row>
    <row r="1691" spans="1:14" ht="30" x14ac:dyDescent="0.25">
      <c r="A1691" s="68" t="s">
        <v>500</v>
      </c>
      <c r="B1691" s="60" t="s">
        <v>52</v>
      </c>
      <c r="C1691" s="61">
        <v>2785304</v>
      </c>
      <c r="D1691" s="61">
        <v>-26041</v>
      </c>
      <c r="E1691" s="61">
        <v>0</v>
      </c>
      <c r="F1691" s="61">
        <v>0</v>
      </c>
      <c r="G1691" s="61">
        <v>0</v>
      </c>
      <c r="H1691" s="61">
        <v>2759263</v>
      </c>
      <c r="I1691" s="61">
        <v>-2425375</v>
      </c>
      <c r="J1691" s="61">
        <v>333888</v>
      </c>
      <c r="K1691" s="61">
        <v>42825</v>
      </c>
      <c r="L1691" s="61">
        <v>-40423</v>
      </c>
      <c r="M1691" s="61">
        <v>2402</v>
      </c>
      <c r="N1691" s="61">
        <v>331486</v>
      </c>
    </row>
    <row r="1692" spans="1:14" ht="30" x14ac:dyDescent="0.25">
      <c r="A1692" s="68" t="s">
        <v>500</v>
      </c>
      <c r="B1692" s="60" t="s">
        <v>53</v>
      </c>
      <c r="C1692" s="61">
        <v>2162747</v>
      </c>
      <c r="D1692" s="61">
        <v>-14345</v>
      </c>
      <c r="E1692" s="61">
        <v>0</v>
      </c>
      <c r="F1692" s="61">
        <v>0</v>
      </c>
      <c r="G1692" s="61">
        <v>0</v>
      </c>
      <c r="H1692" s="61">
        <v>2148402</v>
      </c>
      <c r="I1692" s="61">
        <v>-2148402</v>
      </c>
      <c r="J1692" s="61">
        <v>0</v>
      </c>
      <c r="K1692" s="61">
        <v>0</v>
      </c>
      <c r="L1692" s="61">
        <v>0</v>
      </c>
      <c r="M1692" s="61">
        <v>0</v>
      </c>
      <c r="N1692" s="61">
        <v>0</v>
      </c>
    </row>
    <row r="1693" spans="1:14" ht="15.75" x14ac:dyDescent="0.25">
      <c r="A1693" s="52" t="s">
        <v>377</v>
      </c>
      <c r="B1693" s="53" t="s">
        <v>8</v>
      </c>
      <c r="C1693" s="19">
        <f>SUBTOTAL(109,Program258[(C)
Program
Costs])</f>
        <v>23146222</v>
      </c>
      <c r="D1693" s="19">
        <f>SUBTOTAL(109,Program258[(D)
Prior Period Adjustments])</f>
        <v>-149500</v>
      </c>
      <c r="E1693" s="19">
        <f>SUBTOTAL(109,Program258[(E)
Current Period Desk 
Reviews])</f>
        <v>-1296</v>
      </c>
      <c r="F1693" s="19">
        <f>SUBTOTAL(109,Program258[(F)
Current Period 
Final 
Audits])</f>
        <v>0</v>
      </c>
      <c r="G1693" s="19">
        <f>SUBTOTAL(109,Program258[(G)
Current Period 
Other Adjustments])</f>
        <v>0</v>
      </c>
      <c r="H1693" s="19">
        <f>SUBTOTAL(109,Program258[(H)
Net Program Costs
Sum (C through G)])</f>
        <v>22995426</v>
      </c>
      <c r="I1693" s="19">
        <f>SUBTOTAL(109,Program258[(I)
Payments
 and Offsets])</f>
        <v>-17480071</v>
      </c>
      <c r="J1693" s="19">
        <f>SUBTOTAL(109,Program258[(J)
Accounts Payable Balance
(H + I)])</f>
        <v>5515355</v>
      </c>
      <c r="K1693" s="19">
        <f>SUBTOTAL(109,Program258[(K)
Established 
Accounts Receivable])</f>
        <v>42826</v>
      </c>
      <c r="L1693" s="19">
        <f>SUBTOTAL(109,Program258[(L)
Recovered
 Accounts Receivable])</f>
        <v>-40423</v>
      </c>
      <c r="M1693" s="19">
        <f>SUBTOTAL(109,Program258[(M)
Accounts Receivable Balance
(K + L)])</f>
        <v>2403</v>
      </c>
      <c r="N1693" s="19">
        <f>SUBTOTAL(109,Program258[(N)
Net Balance
(J minus M)])</f>
        <v>5512952</v>
      </c>
    </row>
    <row r="1694" spans="1:14" ht="15.75" x14ac:dyDescent="0.25">
      <c r="A1694" s="17" t="s">
        <v>13</v>
      </c>
      <c r="B1694" s="54"/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  <c r="M1694" s="55"/>
      <c r="N1694" s="55"/>
    </row>
    <row r="1695" spans="1:14" ht="78.75" x14ac:dyDescent="0.25">
      <c r="A1695" s="39" t="s">
        <v>32</v>
      </c>
      <c r="B1695" s="40" t="s">
        <v>33</v>
      </c>
      <c r="C1695" s="41" t="s">
        <v>34</v>
      </c>
      <c r="D1695" s="41" t="s">
        <v>35</v>
      </c>
      <c r="E1695" s="42" t="s">
        <v>36</v>
      </c>
      <c r="F1695" s="42" t="s">
        <v>37</v>
      </c>
      <c r="G1695" s="42" t="s">
        <v>38</v>
      </c>
      <c r="H1695" s="43" t="s">
        <v>39</v>
      </c>
      <c r="I1695" s="44" t="s">
        <v>40</v>
      </c>
      <c r="J1695" s="44" t="s">
        <v>41</v>
      </c>
      <c r="K1695" s="42" t="s">
        <v>42</v>
      </c>
      <c r="L1695" s="44" t="s">
        <v>43</v>
      </c>
      <c r="M1695" s="44" t="s">
        <v>44</v>
      </c>
      <c r="N1695" s="45" t="s">
        <v>45</v>
      </c>
    </row>
    <row r="1696" spans="1:14" ht="30" x14ac:dyDescent="0.25">
      <c r="A1696" s="67" t="s">
        <v>499</v>
      </c>
      <c r="B1696" s="57" t="s">
        <v>56</v>
      </c>
      <c r="C1696" s="58">
        <v>774664</v>
      </c>
      <c r="D1696" s="58">
        <v>0</v>
      </c>
      <c r="E1696" s="58">
        <v>0</v>
      </c>
      <c r="F1696" s="58">
        <v>0</v>
      </c>
      <c r="G1696" s="58">
        <v>0</v>
      </c>
      <c r="H1696" s="58">
        <v>774664</v>
      </c>
      <c r="I1696" s="58">
        <v>-774664</v>
      </c>
      <c r="J1696" s="58">
        <v>0</v>
      </c>
      <c r="K1696" s="58">
        <v>0</v>
      </c>
      <c r="L1696" s="58">
        <v>0</v>
      </c>
      <c r="M1696" s="58">
        <v>0</v>
      </c>
      <c r="N1696" s="58">
        <v>0</v>
      </c>
    </row>
    <row r="1697" spans="1:14" ht="30" x14ac:dyDescent="0.25">
      <c r="A1697" s="68" t="s">
        <v>499</v>
      </c>
      <c r="B1697" s="60" t="s">
        <v>57</v>
      </c>
      <c r="C1697" s="61">
        <v>6435545</v>
      </c>
      <c r="D1697" s="61">
        <v>-637962</v>
      </c>
      <c r="E1697" s="61">
        <v>0</v>
      </c>
      <c r="F1697" s="61">
        <v>0</v>
      </c>
      <c r="G1697" s="61">
        <v>0</v>
      </c>
      <c r="H1697" s="61">
        <v>5797583</v>
      </c>
      <c r="I1697" s="61">
        <v>-5797583</v>
      </c>
      <c r="J1697" s="61">
        <v>0</v>
      </c>
      <c r="K1697" s="61">
        <v>3639998</v>
      </c>
      <c r="L1697" s="61">
        <v>-3571501</v>
      </c>
      <c r="M1697" s="61">
        <v>68497</v>
      </c>
      <c r="N1697" s="61">
        <v>-68497</v>
      </c>
    </row>
    <row r="1698" spans="1:14" ht="30" x14ac:dyDescent="0.25">
      <c r="A1698" s="68" t="s">
        <v>499</v>
      </c>
      <c r="B1698" s="60" t="s">
        <v>58</v>
      </c>
      <c r="C1698" s="61">
        <v>6880257</v>
      </c>
      <c r="D1698" s="61">
        <v>-3928670</v>
      </c>
      <c r="E1698" s="61">
        <v>0</v>
      </c>
      <c r="F1698" s="61">
        <v>0</v>
      </c>
      <c r="G1698" s="61">
        <v>0</v>
      </c>
      <c r="H1698" s="61">
        <v>2951587</v>
      </c>
      <c r="I1698" s="61">
        <v>-2951587</v>
      </c>
      <c r="J1698" s="61">
        <v>0</v>
      </c>
      <c r="K1698" s="61">
        <v>4502407</v>
      </c>
      <c r="L1698" s="61">
        <v>-4444654</v>
      </c>
      <c r="M1698" s="61">
        <v>57753</v>
      </c>
      <c r="N1698" s="61">
        <v>-57753</v>
      </c>
    </row>
    <row r="1699" spans="1:14" ht="30" x14ac:dyDescent="0.25">
      <c r="A1699" s="68" t="s">
        <v>499</v>
      </c>
      <c r="B1699" s="60" t="s">
        <v>59</v>
      </c>
      <c r="C1699" s="61">
        <v>6767537</v>
      </c>
      <c r="D1699" s="61">
        <v>-2959332</v>
      </c>
      <c r="E1699" s="61">
        <v>0</v>
      </c>
      <c r="F1699" s="61">
        <v>0</v>
      </c>
      <c r="G1699" s="61">
        <v>0</v>
      </c>
      <c r="H1699" s="61">
        <v>3808205</v>
      </c>
      <c r="I1699" s="61">
        <v>-3808205</v>
      </c>
      <c r="J1699" s="61">
        <v>0</v>
      </c>
      <c r="K1699" s="61">
        <v>1122365</v>
      </c>
      <c r="L1699" s="61">
        <v>-1122365</v>
      </c>
      <c r="M1699" s="61">
        <v>0</v>
      </c>
      <c r="N1699" s="61">
        <v>0</v>
      </c>
    </row>
    <row r="1700" spans="1:14" ht="30" x14ac:dyDescent="0.25">
      <c r="A1700" s="68" t="s">
        <v>499</v>
      </c>
      <c r="B1700" s="60" t="s">
        <v>60</v>
      </c>
      <c r="C1700" s="61">
        <v>9194318</v>
      </c>
      <c r="D1700" s="61">
        <v>-6726617</v>
      </c>
      <c r="E1700" s="61">
        <v>0</v>
      </c>
      <c r="F1700" s="61">
        <v>0</v>
      </c>
      <c r="G1700" s="61">
        <v>0</v>
      </c>
      <c r="H1700" s="61">
        <v>2467701</v>
      </c>
      <c r="I1700" s="61">
        <v>-2467701</v>
      </c>
      <c r="J1700" s="61">
        <v>0</v>
      </c>
      <c r="K1700" s="61">
        <v>682237</v>
      </c>
      <c r="L1700" s="61">
        <v>-682237</v>
      </c>
      <c r="M1700" s="61">
        <v>0</v>
      </c>
      <c r="N1700" s="61">
        <v>0</v>
      </c>
    </row>
    <row r="1701" spans="1:14" ht="30" x14ac:dyDescent="0.25">
      <c r="A1701" s="68" t="s">
        <v>499</v>
      </c>
      <c r="B1701" s="60" t="s">
        <v>61</v>
      </c>
      <c r="C1701" s="61">
        <v>10109255</v>
      </c>
      <c r="D1701" s="61">
        <v>-4184894</v>
      </c>
      <c r="E1701" s="61">
        <v>0</v>
      </c>
      <c r="F1701" s="61">
        <v>0</v>
      </c>
      <c r="G1701" s="61">
        <v>0</v>
      </c>
      <c r="H1701" s="61">
        <v>5924361</v>
      </c>
      <c r="I1701" s="61">
        <v>-5924361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</row>
    <row r="1702" spans="1:14" ht="30" x14ac:dyDescent="0.25">
      <c r="A1702" s="68" t="s">
        <v>499</v>
      </c>
      <c r="B1702" s="60" t="s">
        <v>62</v>
      </c>
      <c r="C1702" s="61">
        <v>9918306</v>
      </c>
      <c r="D1702" s="61">
        <v>-4146090</v>
      </c>
      <c r="E1702" s="61">
        <v>0</v>
      </c>
      <c r="F1702" s="61">
        <v>0</v>
      </c>
      <c r="G1702" s="61">
        <v>0</v>
      </c>
      <c r="H1702" s="61">
        <v>5772216</v>
      </c>
      <c r="I1702" s="61">
        <v>-5772216</v>
      </c>
      <c r="J1702" s="61">
        <v>0</v>
      </c>
      <c r="K1702" s="61">
        <v>136699</v>
      </c>
      <c r="L1702" s="61">
        <v>-136651</v>
      </c>
      <c r="M1702" s="61">
        <v>48</v>
      </c>
      <c r="N1702" s="61">
        <v>-48</v>
      </c>
    </row>
    <row r="1703" spans="1:14" ht="30" x14ac:dyDescent="0.25">
      <c r="A1703" s="68" t="s">
        <v>499</v>
      </c>
      <c r="B1703" s="60" t="s">
        <v>63</v>
      </c>
      <c r="C1703" s="61">
        <v>8970168</v>
      </c>
      <c r="D1703" s="61">
        <v>-4244159</v>
      </c>
      <c r="E1703" s="61">
        <v>0</v>
      </c>
      <c r="F1703" s="61">
        <v>0</v>
      </c>
      <c r="G1703" s="61">
        <v>0</v>
      </c>
      <c r="H1703" s="61">
        <v>4726009</v>
      </c>
      <c r="I1703" s="61">
        <v>-4726009</v>
      </c>
      <c r="J1703" s="61">
        <v>0</v>
      </c>
      <c r="K1703" s="61">
        <v>86368</v>
      </c>
      <c r="L1703" s="61">
        <v>-86324</v>
      </c>
      <c r="M1703" s="61">
        <v>44</v>
      </c>
      <c r="N1703" s="61">
        <v>-44</v>
      </c>
    </row>
    <row r="1704" spans="1:14" ht="30" x14ac:dyDescent="0.25">
      <c r="A1704" s="68" t="s">
        <v>499</v>
      </c>
      <c r="B1704" s="60" t="s">
        <v>64</v>
      </c>
      <c r="C1704" s="61">
        <v>8008070</v>
      </c>
      <c r="D1704" s="61">
        <v>-3777540</v>
      </c>
      <c r="E1704" s="61">
        <v>0</v>
      </c>
      <c r="F1704" s="61">
        <v>0</v>
      </c>
      <c r="G1704" s="61">
        <v>0</v>
      </c>
      <c r="H1704" s="61">
        <v>4230530</v>
      </c>
      <c r="I1704" s="61">
        <v>-4230530</v>
      </c>
      <c r="J1704" s="61">
        <v>0</v>
      </c>
      <c r="K1704" s="61">
        <v>73525</v>
      </c>
      <c r="L1704" s="61">
        <v>-73477</v>
      </c>
      <c r="M1704" s="61">
        <v>48</v>
      </c>
      <c r="N1704" s="61">
        <v>-48</v>
      </c>
    </row>
    <row r="1705" spans="1:14" ht="30" x14ac:dyDescent="0.25">
      <c r="A1705" s="68" t="s">
        <v>499</v>
      </c>
      <c r="B1705" s="60" t="s">
        <v>65</v>
      </c>
      <c r="C1705" s="61">
        <v>3998365</v>
      </c>
      <c r="D1705" s="61">
        <v>-1813869</v>
      </c>
      <c r="E1705" s="61">
        <v>0</v>
      </c>
      <c r="F1705" s="61">
        <v>0</v>
      </c>
      <c r="G1705" s="61">
        <v>0</v>
      </c>
      <c r="H1705" s="61">
        <v>2184496</v>
      </c>
      <c r="I1705" s="61">
        <v>-2184496</v>
      </c>
      <c r="J1705" s="61">
        <v>0</v>
      </c>
      <c r="K1705" s="61">
        <v>32867</v>
      </c>
      <c r="L1705" s="61">
        <v>-32835</v>
      </c>
      <c r="M1705" s="61">
        <v>32</v>
      </c>
      <c r="N1705" s="61">
        <v>-32</v>
      </c>
    </row>
    <row r="1706" spans="1:14" ht="15.75" x14ac:dyDescent="0.25">
      <c r="A1706" s="52" t="s">
        <v>376</v>
      </c>
      <c r="B1706" s="53" t="s">
        <v>8</v>
      </c>
      <c r="C1706" s="19">
        <f>SUBTOTAL(109,Program156[(C)
Program
Costs])</f>
        <v>71056485</v>
      </c>
      <c r="D1706" s="19">
        <f>SUBTOTAL(109,Program156[(D)
Prior Period Adjustments])</f>
        <v>-32419133</v>
      </c>
      <c r="E1706" s="19">
        <f>SUBTOTAL(109,Program156[(E)
Current Period Desk 
Reviews])</f>
        <v>0</v>
      </c>
      <c r="F1706" s="19">
        <f>SUBTOTAL(109,Program156[(F)
Current Period 
Final 
Audits])</f>
        <v>0</v>
      </c>
      <c r="G1706" s="19">
        <f>SUBTOTAL(109,Program156[(G)
Current Period 
Other Adjustments])</f>
        <v>0</v>
      </c>
      <c r="H1706" s="19">
        <f>SUBTOTAL(109,Program156[(H)
Net Program Costs
Sum (C through G)])</f>
        <v>38637352</v>
      </c>
      <c r="I1706" s="19">
        <f>SUBTOTAL(109,Program156[(I)
Payments
 and Offsets])</f>
        <v>-38637352</v>
      </c>
      <c r="J1706" s="19">
        <f>SUBTOTAL(109,Program156[(J)
Accounts Payable Balance
(H + I)])</f>
        <v>0</v>
      </c>
      <c r="K1706" s="19">
        <f>SUBTOTAL(109,Program156[(K)
Established 
Accounts Receivable])</f>
        <v>10276466</v>
      </c>
      <c r="L1706" s="19">
        <f>SUBTOTAL(109,Program156[(L)
Recovered
 Accounts Receivable])</f>
        <v>-10150044</v>
      </c>
      <c r="M1706" s="19">
        <f>SUBTOTAL(109,Program156[(M)
Accounts Receivable Balance
(K + L)])</f>
        <v>126422</v>
      </c>
      <c r="N1706" s="19">
        <f>SUBTOTAL(109,Program156[(N)
Net Balance
(J minus M)])</f>
        <v>-126422</v>
      </c>
    </row>
    <row r="1707" spans="1:14" ht="15.75" x14ac:dyDescent="0.25">
      <c r="A1707" s="17" t="s">
        <v>13</v>
      </c>
      <c r="B1707" s="54"/>
      <c r="C1707" s="55"/>
      <c r="D1707" s="55"/>
      <c r="E1707" s="55"/>
      <c r="F1707" s="55"/>
      <c r="G1707" s="55"/>
      <c r="H1707" s="55"/>
      <c r="I1707" s="55"/>
      <c r="J1707" s="55"/>
      <c r="K1707" s="55"/>
      <c r="L1707" s="55"/>
      <c r="M1707" s="55"/>
      <c r="N1707" s="55"/>
    </row>
    <row r="1708" spans="1:14" ht="78.75" x14ac:dyDescent="0.25">
      <c r="A1708" s="39" t="s">
        <v>32</v>
      </c>
      <c r="B1708" s="40" t="s">
        <v>33</v>
      </c>
      <c r="C1708" s="41" t="s">
        <v>34</v>
      </c>
      <c r="D1708" s="41" t="s">
        <v>35</v>
      </c>
      <c r="E1708" s="42" t="s">
        <v>36</v>
      </c>
      <c r="F1708" s="42" t="s">
        <v>37</v>
      </c>
      <c r="G1708" s="42" t="s">
        <v>38</v>
      </c>
      <c r="H1708" s="43" t="s">
        <v>39</v>
      </c>
      <c r="I1708" s="44" t="s">
        <v>40</v>
      </c>
      <c r="J1708" s="44" t="s">
        <v>41</v>
      </c>
      <c r="K1708" s="42" t="s">
        <v>42</v>
      </c>
      <c r="L1708" s="44" t="s">
        <v>43</v>
      </c>
      <c r="M1708" s="44" t="s">
        <v>44</v>
      </c>
      <c r="N1708" s="45" t="s">
        <v>45</v>
      </c>
    </row>
    <row r="1709" spans="1:14" ht="15.75" x14ac:dyDescent="0.25">
      <c r="A1709" s="46" t="s">
        <v>498</v>
      </c>
      <c r="B1709" s="47" t="s">
        <v>80</v>
      </c>
      <c r="C1709" s="48">
        <v>17098</v>
      </c>
      <c r="D1709" s="48">
        <v>0</v>
      </c>
      <c r="E1709" s="48">
        <v>0</v>
      </c>
      <c r="F1709" s="48">
        <v>0</v>
      </c>
      <c r="G1709" s="48">
        <v>0</v>
      </c>
      <c r="H1709" s="48">
        <v>17098</v>
      </c>
      <c r="I1709" s="48">
        <v>-1000</v>
      </c>
      <c r="J1709" s="48">
        <v>16098</v>
      </c>
      <c r="K1709" s="48">
        <v>0</v>
      </c>
      <c r="L1709" s="48">
        <v>0</v>
      </c>
      <c r="M1709" s="48">
        <v>0</v>
      </c>
      <c r="N1709" s="48">
        <v>16098</v>
      </c>
    </row>
    <row r="1710" spans="1:14" ht="15.75" x14ac:dyDescent="0.25">
      <c r="A1710" s="49" t="s">
        <v>498</v>
      </c>
      <c r="B1710" s="50" t="s">
        <v>81</v>
      </c>
      <c r="C1710" s="51">
        <v>51918</v>
      </c>
      <c r="D1710" s="51">
        <v>0</v>
      </c>
      <c r="E1710" s="51">
        <v>0</v>
      </c>
      <c r="F1710" s="51">
        <v>0</v>
      </c>
      <c r="G1710" s="51">
        <v>0</v>
      </c>
      <c r="H1710" s="51">
        <v>51918</v>
      </c>
      <c r="I1710" s="51">
        <v>-1000</v>
      </c>
      <c r="J1710" s="51">
        <v>50918</v>
      </c>
      <c r="K1710" s="51">
        <v>0</v>
      </c>
      <c r="L1710" s="51">
        <v>0</v>
      </c>
      <c r="M1710" s="51">
        <v>0</v>
      </c>
      <c r="N1710" s="51">
        <v>50918</v>
      </c>
    </row>
    <row r="1711" spans="1:14" ht="15.75" x14ac:dyDescent="0.25">
      <c r="A1711" s="49" t="s">
        <v>498</v>
      </c>
      <c r="B1711" s="50" t="s">
        <v>48</v>
      </c>
      <c r="C1711" s="51">
        <v>7405</v>
      </c>
      <c r="D1711" s="51">
        <v>0</v>
      </c>
      <c r="E1711" s="51">
        <v>0</v>
      </c>
      <c r="F1711" s="51">
        <v>0</v>
      </c>
      <c r="G1711" s="51">
        <v>0</v>
      </c>
      <c r="H1711" s="51">
        <v>7405</v>
      </c>
      <c r="I1711" s="51">
        <v>-3652</v>
      </c>
      <c r="J1711" s="51">
        <v>3753</v>
      </c>
      <c r="K1711" s="51">
        <v>0</v>
      </c>
      <c r="L1711" s="51">
        <v>0</v>
      </c>
      <c r="M1711" s="51">
        <v>0</v>
      </c>
      <c r="N1711" s="51">
        <v>3753</v>
      </c>
    </row>
    <row r="1712" spans="1:14" ht="15.75" x14ac:dyDescent="0.25">
      <c r="A1712" s="49" t="s">
        <v>498</v>
      </c>
      <c r="B1712" s="50" t="s">
        <v>49</v>
      </c>
      <c r="C1712" s="51">
        <v>1019</v>
      </c>
      <c r="D1712" s="51">
        <v>0</v>
      </c>
      <c r="E1712" s="51">
        <v>0</v>
      </c>
      <c r="F1712" s="51">
        <v>0</v>
      </c>
      <c r="G1712" s="51">
        <v>0</v>
      </c>
      <c r="H1712" s="51">
        <v>1019</v>
      </c>
      <c r="I1712" s="51">
        <v>-1019</v>
      </c>
      <c r="J1712" s="51">
        <v>0</v>
      </c>
      <c r="K1712" s="51">
        <v>0</v>
      </c>
      <c r="L1712" s="51">
        <v>0</v>
      </c>
      <c r="M1712" s="51">
        <v>0</v>
      </c>
      <c r="N1712" s="51">
        <v>0</v>
      </c>
    </row>
    <row r="1713" spans="1:14" ht="15.75" x14ac:dyDescent="0.25">
      <c r="A1713" s="49" t="s">
        <v>498</v>
      </c>
      <c r="B1713" s="50" t="s">
        <v>51</v>
      </c>
      <c r="C1713" s="51">
        <v>47447</v>
      </c>
      <c r="D1713" s="51">
        <v>0</v>
      </c>
      <c r="E1713" s="51">
        <v>0</v>
      </c>
      <c r="F1713" s="51">
        <v>0</v>
      </c>
      <c r="G1713" s="51">
        <v>0</v>
      </c>
      <c r="H1713" s="51">
        <v>47447</v>
      </c>
      <c r="I1713" s="51">
        <v>-12735</v>
      </c>
      <c r="J1713" s="51">
        <v>34712</v>
      </c>
      <c r="K1713" s="51">
        <v>0</v>
      </c>
      <c r="L1713" s="51">
        <v>0</v>
      </c>
      <c r="M1713" s="51">
        <v>0</v>
      </c>
      <c r="N1713" s="51">
        <v>34712</v>
      </c>
    </row>
    <row r="1714" spans="1:14" ht="15.75" x14ac:dyDescent="0.25">
      <c r="A1714" s="49" t="s">
        <v>498</v>
      </c>
      <c r="B1714" s="50" t="s">
        <v>52</v>
      </c>
      <c r="C1714" s="51">
        <v>14952</v>
      </c>
      <c r="D1714" s="51">
        <v>0</v>
      </c>
      <c r="E1714" s="51">
        <v>0</v>
      </c>
      <c r="F1714" s="51">
        <v>0</v>
      </c>
      <c r="G1714" s="51">
        <v>0</v>
      </c>
      <c r="H1714" s="51">
        <v>14952</v>
      </c>
      <c r="I1714" s="51">
        <v>-6939</v>
      </c>
      <c r="J1714" s="51">
        <v>8013</v>
      </c>
      <c r="K1714" s="51">
        <v>0</v>
      </c>
      <c r="L1714" s="51">
        <v>0</v>
      </c>
      <c r="M1714" s="51">
        <v>0</v>
      </c>
      <c r="N1714" s="51">
        <v>8013</v>
      </c>
    </row>
    <row r="1715" spans="1:14" ht="15.75" x14ac:dyDescent="0.25">
      <c r="A1715" s="49" t="s">
        <v>498</v>
      </c>
      <c r="B1715" s="50" t="s">
        <v>54</v>
      </c>
      <c r="C1715" s="51">
        <v>1731</v>
      </c>
      <c r="D1715" s="51">
        <v>0</v>
      </c>
      <c r="E1715" s="51">
        <v>0</v>
      </c>
      <c r="F1715" s="51">
        <v>0</v>
      </c>
      <c r="G1715" s="51">
        <v>0</v>
      </c>
      <c r="H1715" s="51">
        <v>1731</v>
      </c>
      <c r="I1715" s="51">
        <v>-1731</v>
      </c>
      <c r="J1715" s="51">
        <v>0</v>
      </c>
      <c r="K1715" s="51">
        <v>0</v>
      </c>
      <c r="L1715" s="51">
        <v>0</v>
      </c>
      <c r="M1715" s="51">
        <v>0</v>
      </c>
      <c r="N1715" s="51">
        <v>0</v>
      </c>
    </row>
    <row r="1716" spans="1:14" ht="15.75" x14ac:dyDescent="0.25">
      <c r="A1716" s="52" t="s">
        <v>375</v>
      </c>
      <c r="B1716" s="53" t="s">
        <v>8</v>
      </c>
      <c r="C1716" s="19">
        <f>SUBTOTAL(109,Program228[(C)
Program
Costs])</f>
        <v>141570</v>
      </c>
      <c r="D1716" s="19">
        <f>SUBTOTAL(109,Program228[(D)
Prior Period Adjustments])</f>
        <v>0</v>
      </c>
      <c r="E1716" s="19">
        <f>SUBTOTAL(109,Program228[(E)
Current Period Desk 
Reviews])</f>
        <v>0</v>
      </c>
      <c r="F1716" s="19">
        <f>SUBTOTAL(109,Program228[(F)
Current Period 
Final 
Audits])</f>
        <v>0</v>
      </c>
      <c r="G1716" s="19">
        <f>SUBTOTAL(109,Program228[(G)
Current Period 
Other Adjustments])</f>
        <v>0</v>
      </c>
      <c r="H1716" s="19">
        <f>SUBTOTAL(109,Program228[(H)
Net Program Costs
Sum (C through G)])</f>
        <v>141570</v>
      </c>
      <c r="I1716" s="19">
        <f>SUBTOTAL(109,Program228[(I)
Payments
 and Offsets])</f>
        <v>-28076</v>
      </c>
      <c r="J1716" s="19">
        <f>SUBTOTAL(109,Program228[(J)
Accounts Payable Balance
(H + I)])</f>
        <v>113494</v>
      </c>
      <c r="K1716" s="19">
        <f>SUBTOTAL(109,Program228[(K)
Established 
Accounts Receivable])</f>
        <v>0</v>
      </c>
      <c r="L1716" s="19">
        <f>SUBTOTAL(109,Program228[(L)
Recovered
 Accounts Receivable])</f>
        <v>0</v>
      </c>
      <c r="M1716" s="19">
        <f>SUBTOTAL(109,Program228[(M)
Accounts Receivable Balance
(K + L)])</f>
        <v>0</v>
      </c>
      <c r="N1716" s="19">
        <f>SUBTOTAL(109,Program228[(N)
Net Balance
(J minus M)])</f>
        <v>113494</v>
      </c>
    </row>
    <row r="1717" spans="1:14" ht="15.75" x14ac:dyDescent="0.25">
      <c r="A1717" s="17" t="s">
        <v>13</v>
      </c>
      <c r="B1717" s="54"/>
      <c r="C1717" s="55"/>
      <c r="D1717" s="55"/>
      <c r="E1717" s="55"/>
      <c r="F1717" s="55"/>
      <c r="G1717" s="55"/>
      <c r="H1717" s="55"/>
      <c r="I1717" s="55"/>
      <c r="J1717" s="55"/>
      <c r="K1717" s="55"/>
      <c r="L1717" s="55"/>
      <c r="M1717" s="55"/>
      <c r="N1717" s="55"/>
    </row>
    <row r="1718" spans="1:14" ht="78.75" x14ac:dyDescent="0.25">
      <c r="A1718" s="39" t="s">
        <v>32</v>
      </c>
      <c r="B1718" s="40" t="s">
        <v>33</v>
      </c>
      <c r="C1718" s="41" t="s">
        <v>34</v>
      </c>
      <c r="D1718" s="41" t="s">
        <v>35</v>
      </c>
      <c r="E1718" s="42" t="s">
        <v>36</v>
      </c>
      <c r="F1718" s="42" t="s">
        <v>37</v>
      </c>
      <c r="G1718" s="42" t="s">
        <v>38</v>
      </c>
      <c r="H1718" s="43" t="s">
        <v>39</v>
      </c>
      <c r="I1718" s="44" t="s">
        <v>40</v>
      </c>
      <c r="J1718" s="44" t="s">
        <v>41</v>
      </c>
      <c r="K1718" s="42" t="s">
        <v>42</v>
      </c>
      <c r="L1718" s="44" t="s">
        <v>43</v>
      </c>
      <c r="M1718" s="44" t="s">
        <v>44</v>
      </c>
      <c r="N1718" s="45" t="s">
        <v>45</v>
      </c>
    </row>
    <row r="1719" spans="1:14" ht="15.75" x14ac:dyDescent="0.25">
      <c r="A1719" s="46" t="s">
        <v>497</v>
      </c>
      <c r="B1719" s="47" t="s">
        <v>63</v>
      </c>
      <c r="C1719" s="48">
        <v>571046</v>
      </c>
      <c r="D1719" s="48">
        <v>-8120</v>
      </c>
      <c r="E1719" s="48">
        <v>0</v>
      </c>
      <c r="F1719" s="48">
        <v>0</v>
      </c>
      <c r="G1719" s="48">
        <v>0</v>
      </c>
      <c r="H1719" s="48">
        <v>562926</v>
      </c>
      <c r="I1719" s="48">
        <v>-562926</v>
      </c>
      <c r="J1719" s="48">
        <v>0</v>
      </c>
      <c r="K1719" s="48">
        <v>219834</v>
      </c>
      <c r="L1719" s="48">
        <v>-219565</v>
      </c>
      <c r="M1719" s="48">
        <v>269</v>
      </c>
      <c r="N1719" s="48">
        <v>-269</v>
      </c>
    </row>
    <row r="1720" spans="1:14" ht="15.75" x14ac:dyDescent="0.25">
      <c r="A1720" s="49" t="s">
        <v>497</v>
      </c>
      <c r="B1720" s="50" t="s">
        <v>64</v>
      </c>
      <c r="C1720" s="51">
        <v>703847</v>
      </c>
      <c r="D1720" s="51">
        <v>-187655</v>
      </c>
      <c r="E1720" s="51">
        <v>0</v>
      </c>
      <c r="F1720" s="51">
        <v>0</v>
      </c>
      <c r="G1720" s="51">
        <v>0</v>
      </c>
      <c r="H1720" s="51">
        <v>516192</v>
      </c>
      <c r="I1720" s="51">
        <v>-516192</v>
      </c>
      <c r="J1720" s="51">
        <v>0</v>
      </c>
      <c r="K1720" s="51">
        <v>44864</v>
      </c>
      <c r="L1720" s="51">
        <v>-44864</v>
      </c>
      <c r="M1720" s="51">
        <v>0</v>
      </c>
      <c r="N1720" s="51">
        <v>0</v>
      </c>
    </row>
    <row r="1721" spans="1:14" ht="15.75" x14ac:dyDescent="0.25">
      <c r="A1721" s="49" t="s">
        <v>497</v>
      </c>
      <c r="B1721" s="50" t="s">
        <v>65</v>
      </c>
      <c r="C1721" s="51">
        <v>700102</v>
      </c>
      <c r="D1721" s="51">
        <v>-143901</v>
      </c>
      <c r="E1721" s="51">
        <v>0</v>
      </c>
      <c r="F1721" s="51">
        <v>0</v>
      </c>
      <c r="G1721" s="51">
        <v>0</v>
      </c>
      <c r="H1721" s="51">
        <v>556201</v>
      </c>
      <c r="I1721" s="51">
        <v>-556201</v>
      </c>
      <c r="J1721" s="51">
        <v>0</v>
      </c>
      <c r="K1721" s="51">
        <v>31045</v>
      </c>
      <c r="L1721" s="51">
        <v>-31045</v>
      </c>
      <c r="M1721" s="51">
        <v>0</v>
      </c>
      <c r="N1721" s="51">
        <v>0</v>
      </c>
    </row>
    <row r="1722" spans="1:14" ht="15.75" x14ac:dyDescent="0.25">
      <c r="A1722" s="49" t="s">
        <v>497</v>
      </c>
      <c r="B1722" s="50" t="s">
        <v>66</v>
      </c>
      <c r="C1722" s="51">
        <v>703081</v>
      </c>
      <c r="D1722" s="51">
        <v>-153397</v>
      </c>
      <c r="E1722" s="51">
        <v>0</v>
      </c>
      <c r="F1722" s="51">
        <v>0</v>
      </c>
      <c r="G1722" s="51">
        <v>0</v>
      </c>
      <c r="H1722" s="51">
        <v>549684</v>
      </c>
      <c r="I1722" s="51">
        <v>-549684</v>
      </c>
      <c r="J1722" s="51">
        <v>0</v>
      </c>
      <c r="K1722" s="51">
        <v>28984</v>
      </c>
      <c r="L1722" s="51">
        <v>-28984</v>
      </c>
      <c r="M1722" s="51">
        <v>0</v>
      </c>
      <c r="N1722" s="51">
        <v>0</v>
      </c>
    </row>
    <row r="1723" spans="1:14" ht="15.75" x14ac:dyDescent="0.25">
      <c r="A1723" s="49" t="s">
        <v>497</v>
      </c>
      <c r="B1723" s="50" t="s">
        <v>67</v>
      </c>
      <c r="C1723" s="51">
        <v>817131</v>
      </c>
      <c r="D1723" s="51">
        <v>-156894</v>
      </c>
      <c r="E1723" s="51">
        <v>0</v>
      </c>
      <c r="F1723" s="51">
        <v>0</v>
      </c>
      <c r="G1723" s="51">
        <v>0</v>
      </c>
      <c r="H1723" s="51">
        <v>660237</v>
      </c>
      <c r="I1723" s="51">
        <v>-660237</v>
      </c>
      <c r="J1723" s="51">
        <v>0</v>
      </c>
      <c r="K1723" s="51">
        <v>42615</v>
      </c>
      <c r="L1723" s="51">
        <v>-42615</v>
      </c>
      <c r="M1723" s="51">
        <v>0</v>
      </c>
      <c r="N1723" s="51">
        <v>0</v>
      </c>
    </row>
    <row r="1724" spans="1:14" ht="15.75" x14ac:dyDescent="0.25">
      <c r="A1724" s="49" t="s">
        <v>497</v>
      </c>
      <c r="B1724" s="50" t="s">
        <v>68</v>
      </c>
      <c r="C1724" s="51">
        <v>859027</v>
      </c>
      <c r="D1724" s="51">
        <v>-156181</v>
      </c>
      <c r="E1724" s="51">
        <v>0</v>
      </c>
      <c r="F1724" s="51">
        <v>0</v>
      </c>
      <c r="G1724" s="51">
        <v>0</v>
      </c>
      <c r="H1724" s="51">
        <v>702846</v>
      </c>
      <c r="I1724" s="51">
        <v>-702846</v>
      </c>
      <c r="J1724" s="51">
        <v>0</v>
      </c>
      <c r="K1724" s="51">
        <v>37568</v>
      </c>
      <c r="L1724" s="51">
        <v>-37568</v>
      </c>
      <c r="M1724" s="51">
        <v>0</v>
      </c>
      <c r="N1724" s="51">
        <v>0</v>
      </c>
    </row>
    <row r="1725" spans="1:14" ht="15.75" x14ac:dyDescent="0.25">
      <c r="A1725" s="49" t="s">
        <v>497</v>
      </c>
      <c r="B1725" s="50" t="s">
        <v>69</v>
      </c>
      <c r="C1725" s="51">
        <v>785103</v>
      </c>
      <c r="D1725" s="51">
        <v>-143590</v>
      </c>
      <c r="E1725" s="51">
        <v>0</v>
      </c>
      <c r="F1725" s="51">
        <v>0</v>
      </c>
      <c r="G1725" s="51">
        <v>0</v>
      </c>
      <c r="H1725" s="51">
        <v>641513</v>
      </c>
      <c r="I1725" s="51">
        <v>-641513</v>
      </c>
      <c r="J1725" s="51">
        <v>0</v>
      </c>
      <c r="K1725" s="51">
        <v>26723</v>
      </c>
      <c r="L1725" s="51">
        <v>-26723</v>
      </c>
      <c r="M1725" s="51">
        <v>0</v>
      </c>
      <c r="N1725" s="51">
        <v>0</v>
      </c>
    </row>
    <row r="1726" spans="1:14" ht="15.75" x14ac:dyDescent="0.25">
      <c r="A1726" s="49" t="s">
        <v>497</v>
      </c>
      <c r="B1726" s="50" t="s">
        <v>115</v>
      </c>
      <c r="C1726" s="51">
        <v>718322</v>
      </c>
      <c r="D1726" s="51">
        <v>-128621</v>
      </c>
      <c r="E1726" s="51">
        <v>0</v>
      </c>
      <c r="F1726" s="51">
        <v>0</v>
      </c>
      <c r="G1726" s="51">
        <v>0</v>
      </c>
      <c r="H1726" s="51">
        <v>589701</v>
      </c>
      <c r="I1726" s="51">
        <v>-589701</v>
      </c>
      <c r="J1726" s="51">
        <v>0</v>
      </c>
      <c r="K1726" s="51">
        <v>21995</v>
      </c>
      <c r="L1726" s="51">
        <v>-21995</v>
      </c>
      <c r="M1726" s="51">
        <v>0</v>
      </c>
      <c r="N1726" s="51">
        <v>0</v>
      </c>
    </row>
    <row r="1727" spans="1:14" ht="15.75" x14ac:dyDescent="0.25">
      <c r="A1727" s="52" t="s">
        <v>374</v>
      </c>
      <c r="B1727" s="53" t="s">
        <v>8</v>
      </c>
      <c r="C1727" s="19">
        <f>SUBTOTAL(109,Program115[(C)
Program
Costs])</f>
        <v>5857659</v>
      </c>
      <c r="D1727" s="19">
        <f>SUBTOTAL(109,Program115[(D)
Prior Period Adjustments])</f>
        <v>-1078359</v>
      </c>
      <c r="E1727" s="19">
        <f>SUBTOTAL(109,Program115[(E)
Current Period Desk 
Reviews])</f>
        <v>0</v>
      </c>
      <c r="F1727" s="19">
        <f>SUBTOTAL(109,Program115[(F)
Current Period 
Final 
Audits])</f>
        <v>0</v>
      </c>
      <c r="G1727" s="19">
        <f>SUBTOTAL(109,Program115[(G)
Current Period 
Other Adjustments])</f>
        <v>0</v>
      </c>
      <c r="H1727" s="19">
        <f>SUBTOTAL(109,Program115[(H)
Net Program Costs
Sum (C through G)])</f>
        <v>4779300</v>
      </c>
      <c r="I1727" s="19">
        <f>SUBTOTAL(109,Program115[(I)
Payments
 and Offsets])</f>
        <v>-4779300</v>
      </c>
      <c r="J1727" s="19">
        <f>SUBTOTAL(109,Program115[(J)
Accounts Payable Balance
(H + I)])</f>
        <v>0</v>
      </c>
      <c r="K1727" s="19">
        <f>SUBTOTAL(109,Program115[(K)
Established 
Accounts Receivable])</f>
        <v>453628</v>
      </c>
      <c r="L1727" s="19">
        <f>SUBTOTAL(109,Program115[(L)
Recovered
 Accounts Receivable])</f>
        <v>-453359</v>
      </c>
      <c r="M1727" s="19">
        <f>SUBTOTAL(109,Program115[(M)
Accounts Receivable Balance
(K + L)])</f>
        <v>269</v>
      </c>
      <c r="N1727" s="19">
        <f>SUBTOTAL(109,Program115[(N)
Net Balance
(J minus M)])</f>
        <v>-269</v>
      </c>
    </row>
    <row r="1728" spans="1:14" ht="15.75" x14ac:dyDescent="0.25">
      <c r="A1728" s="17" t="s">
        <v>13</v>
      </c>
      <c r="B1728" s="54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78.75" x14ac:dyDescent="0.25">
      <c r="A1729" s="39" t="s">
        <v>32</v>
      </c>
      <c r="B1729" s="40" t="s">
        <v>33</v>
      </c>
      <c r="C1729" s="41" t="s">
        <v>34</v>
      </c>
      <c r="D1729" s="41" t="s">
        <v>35</v>
      </c>
      <c r="E1729" s="42" t="s">
        <v>36</v>
      </c>
      <c r="F1729" s="42" t="s">
        <v>37</v>
      </c>
      <c r="G1729" s="42" t="s">
        <v>38</v>
      </c>
      <c r="H1729" s="43" t="s">
        <v>39</v>
      </c>
      <c r="I1729" s="44" t="s">
        <v>40</v>
      </c>
      <c r="J1729" s="44" t="s">
        <v>41</v>
      </c>
      <c r="K1729" s="42" t="s">
        <v>42</v>
      </c>
      <c r="L1729" s="44" t="s">
        <v>43</v>
      </c>
      <c r="M1729" s="44" t="s">
        <v>44</v>
      </c>
      <c r="N1729" s="45" t="s">
        <v>45</v>
      </c>
    </row>
    <row r="1730" spans="1:14" ht="15.75" x14ac:dyDescent="0.25">
      <c r="A1730" s="46" t="s">
        <v>496</v>
      </c>
      <c r="B1730" s="47" t="s">
        <v>56</v>
      </c>
      <c r="C1730" s="48">
        <v>125110</v>
      </c>
      <c r="D1730" s="48">
        <v>0</v>
      </c>
      <c r="E1730" s="48">
        <v>0</v>
      </c>
      <c r="F1730" s="48">
        <v>0</v>
      </c>
      <c r="G1730" s="48">
        <v>0</v>
      </c>
      <c r="H1730" s="48">
        <v>125110</v>
      </c>
      <c r="I1730" s="48">
        <v>-125110</v>
      </c>
      <c r="J1730" s="48">
        <v>0</v>
      </c>
      <c r="K1730" s="48">
        <v>0</v>
      </c>
      <c r="L1730" s="48">
        <v>0</v>
      </c>
      <c r="M1730" s="48">
        <v>0</v>
      </c>
      <c r="N1730" s="48">
        <v>0</v>
      </c>
    </row>
    <row r="1731" spans="1:14" ht="15.75" x14ac:dyDescent="0.25">
      <c r="A1731" s="49" t="s">
        <v>496</v>
      </c>
      <c r="B1731" s="50" t="s">
        <v>57</v>
      </c>
      <c r="C1731" s="51">
        <v>1781676</v>
      </c>
      <c r="D1731" s="51">
        <v>-43434</v>
      </c>
      <c r="E1731" s="51">
        <v>0</v>
      </c>
      <c r="F1731" s="51">
        <v>0</v>
      </c>
      <c r="G1731" s="51">
        <v>0</v>
      </c>
      <c r="H1731" s="51">
        <v>1738242</v>
      </c>
      <c r="I1731" s="51">
        <v>-1738242</v>
      </c>
      <c r="J1731" s="51">
        <v>0</v>
      </c>
      <c r="K1731" s="51">
        <v>250700</v>
      </c>
      <c r="L1731" s="51">
        <v>-250499</v>
      </c>
      <c r="M1731" s="51">
        <v>201</v>
      </c>
      <c r="N1731" s="51">
        <v>-201</v>
      </c>
    </row>
    <row r="1732" spans="1:14" ht="15.75" x14ac:dyDescent="0.25">
      <c r="A1732" s="49" t="s">
        <v>496</v>
      </c>
      <c r="B1732" s="50" t="s">
        <v>58</v>
      </c>
      <c r="C1732" s="51">
        <v>1881553</v>
      </c>
      <c r="D1732" s="51">
        <v>-5181</v>
      </c>
      <c r="E1732" s="51">
        <v>0</v>
      </c>
      <c r="F1732" s="51">
        <v>0</v>
      </c>
      <c r="G1732" s="51">
        <v>0</v>
      </c>
      <c r="H1732" s="51">
        <v>1876372</v>
      </c>
      <c r="I1732" s="51">
        <v>-1876372</v>
      </c>
      <c r="J1732" s="51">
        <v>0</v>
      </c>
      <c r="K1732" s="51">
        <v>17499</v>
      </c>
      <c r="L1732" s="51">
        <v>-17499</v>
      </c>
      <c r="M1732" s="51">
        <v>0</v>
      </c>
      <c r="N1732" s="51">
        <v>0</v>
      </c>
    </row>
    <row r="1733" spans="1:14" ht="15.75" x14ac:dyDescent="0.25">
      <c r="A1733" s="49" t="s">
        <v>496</v>
      </c>
      <c r="B1733" s="50" t="s">
        <v>59</v>
      </c>
      <c r="C1733" s="51">
        <v>1865395</v>
      </c>
      <c r="D1733" s="51">
        <v>-2100</v>
      </c>
      <c r="E1733" s="51">
        <v>0</v>
      </c>
      <c r="F1733" s="51">
        <v>0</v>
      </c>
      <c r="G1733" s="51">
        <v>0</v>
      </c>
      <c r="H1733" s="51">
        <v>1863295</v>
      </c>
      <c r="I1733" s="51">
        <v>-1863295</v>
      </c>
      <c r="J1733" s="51">
        <v>0</v>
      </c>
      <c r="K1733" s="51">
        <v>28967</v>
      </c>
      <c r="L1733" s="51">
        <v>-28967</v>
      </c>
      <c r="M1733" s="51">
        <v>0</v>
      </c>
      <c r="N1733" s="51">
        <v>0</v>
      </c>
    </row>
    <row r="1734" spans="1:14" ht="15.75" x14ac:dyDescent="0.25">
      <c r="A1734" s="49" t="s">
        <v>496</v>
      </c>
      <c r="B1734" s="50" t="s">
        <v>60</v>
      </c>
      <c r="C1734" s="51">
        <v>1793457</v>
      </c>
      <c r="D1734" s="51">
        <v>-15814</v>
      </c>
      <c r="E1734" s="51">
        <v>0</v>
      </c>
      <c r="F1734" s="51">
        <v>0</v>
      </c>
      <c r="G1734" s="51">
        <v>0</v>
      </c>
      <c r="H1734" s="51">
        <v>1777643</v>
      </c>
      <c r="I1734" s="51">
        <v>-1777643</v>
      </c>
      <c r="J1734" s="51">
        <v>0</v>
      </c>
      <c r="K1734" s="51">
        <v>77115</v>
      </c>
      <c r="L1734" s="51">
        <v>-77115</v>
      </c>
      <c r="M1734" s="51">
        <v>0</v>
      </c>
      <c r="N1734" s="51">
        <v>0</v>
      </c>
    </row>
    <row r="1735" spans="1:14" ht="15.75" x14ac:dyDescent="0.25">
      <c r="A1735" s="49" t="s">
        <v>496</v>
      </c>
      <c r="B1735" s="50" t="s">
        <v>61</v>
      </c>
      <c r="C1735" s="51">
        <v>1683886</v>
      </c>
      <c r="D1735" s="51">
        <v>-44599</v>
      </c>
      <c r="E1735" s="51">
        <v>0</v>
      </c>
      <c r="F1735" s="51">
        <v>0</v>
      </c>
      <c r="G1735" s="51">
        <v>0</v>
      </c>
      <c r="H1735" s="51">
        <v>1639287</v>
      </c>
      <c r="I1735" s="51">
        <v>-1639287</v>
      </c>
      <c r="J1735" s="51">
        <v>0</v>
      </c>
      <c r="K1735" s="51">
        <v>21910</v>
      </c>
      <c r="L1735" s="51">
        <v>-21910</v>
      </c>
      <c r="M1735" s="51">
        <v>0</v>
      </c>
      <c r="N1735" s="51">
        <v>0</v>
      </c>
    </row>
    <row r="1736" spans="1:14" ht="15.75" x14ac:dyDescent="0.25">
      <c r="A1736" s="49" t="s">
        <v>496</v>
      </c>
      <c r="B1736" s="50" t="s">
        <v>62</v>
      </c>
      <c r="C1736" s="51">
        <v>1454034</v>
      </c>
      <c r="D1736" s="51">
        <v>-23640</v>
      </c>
      <c r="E1736" s="51">
        <v>0</v>
      </c>
      <c r="F1736" s="51">
        <v>0</v>
      </c>
      <c r="G1736" s="51">
        <v>0</v>
      </c>
      <c r="H1736" s="51">
        <v>1430394</v>
      </c>
      <c r="I1736" s="51">
        <v>-1430394</v>
      </c>
      <c r="J1736" s="51">
        <v>0</v>
      </c>
      <c r="K1736" s="51">
        <v>49506</v>
      </c>
      <c r="L1736" s="51">
        <v>-49506</v>
      </c>
      <c r="M1736" s="51">
        <v>0</v>
      </c>
      <c r="N1736" s="51">
        <v>0</v>
      </c>
    </row>
    <row r="1737" spans="1:14" ht="15.75" x14ac:dyDescent="0.25">
      <c r="A1737" s="49" t="s">
        <v>496</v>
      </c>
      <c r="B1737" s="50" t="s">
        <v>63</v>
      </c>
      <c r="C1737" s="51">
        <v>1347313</v>
      </c>
      <c r="D1737" s="51">
        <v>-15683</v>
      </c>
      <c r="E1737" s="51">
        <v>0</v>
      </c>
      <c r="F1737" s="51">
        <v>0</v>
      </c>
      <c r="G1737" s="51">
        <v>0</v>
      </c>
      <c r="H1737" s="51">
        <v>1331630</v>
      </c>
      <c r="I1737" s="51">
        <v>-1331630</v>
      </c>
      <c r="J1737" s="51">
        <v>0</v>
      </c>
      <c r="K1737" s="51">
        <v>1994</v>
      </c>
      <c r="L1737" s="51">
        <v>-1994</v>
      </c>
      <c r="M1737" s="51">
        <v>0</v>
      </c>
      <c r="N1737" s="51">
        <v>0</v>
      </c>
    </row>
    <row r="1738" spans="1:14" ht="15.75" x14ac:dyDescent="0.25">
      <c r="A1738" s="49" t="s">
        <v>496</v>
      </c>
      <c r="B1738" s="50" t="s">
        <v>64</v>
      </c>
      <c r="C1738" s="51">
        <v>1273763</v>
      </c>
      <c r="D1738" s="51">
        <v>-14162</v>
      </c>
      <c r="E1738" s="51">
        <v>0</v>
      </c>
      <c r="F1738" s="51">
        <v>0</v>
      </c>
      <c r="G1738" s="51">
        <v>0</v>
      </c>
      <c r="H1738" s="51">
        <v>1259601</v>
      </c>
      <c r="I1738" s="51">
        <v>-1259601</v>
      </c>
      <c r="J1738" s="51">
        <v>0</v>
      </c>
      <c r="K1738" s="51">
        <v>930</v>
      </c>
      <c r="L1738" s="51">
        <v>-930</v>
      </c>
      <c r="M1738" s="51">
        <v>0</v>
      </c>
      <c r="N1738" s="51">
        <v>0</v>
      </c>
    </row>
    <row r="1739" spans="1:14" ht="15.75" x14ac:dyDescent="0.25">
      <c r="A1739" s="49" t="s">
        <v>496</v>
      </c>
      <c r="B1739" s="50" t="s">
        <v>65</v>
      </c>
      <c r="C1739" s="51">
        <v>1226155</v>
      </c>
      <c r="D1739" s="51">
        <v>-13652</v>
      </c>
      <c r="E1739" s="51">
        <v>0</v>
      </c>
      <c r="F1739" s="51">
        <v>0</v>
      </c>
      <c r="G1739" s="51">
        <v>0</v>
      </c>
      <c r="H1739" s="51">
        <v>1212503</v>
      </c>
      <c r="I1739" s="51">
        <v>-1212503</v>
      </c>
      <c r="J1739" s="51">
        <v>0</v>
      </c>
      <c r="K1739" s="51">
        <v>2343</v>
      </c>
      <c r="L1739" s="51">
        <v>-2343</v>
      </c>
      <c r="M1739" s="51">
        <v>0</v>
      </c>
      <c r="N1739" s="51">
        <v>0</v>
      </c>
    </row>
    <row r="1740" spans="1:14" ht="15.75" x14ac:dyDescent="0.25">
      <c r="A1740" s="52" t="s">
        <v>373</v>
      </c>
      <c r="B1740" s="53" t="s">
        <v>8</v>
      </c>
      <c r="C1740" s="19">
        <f>SUBTOTAL(109,Program146[(C)
Program
Costs])</f>
        <v>14432342</v>
      </c>
      <c r="D1740" s="19">
        <f>SUBTOTAL(109,Program146[(D)
Prior Period Adjustments])</f>
        <v>-178265</v>
      </c>
      <c r="E1740" s="19">
        <f>SUBTOTAL(109,Program146[(E)
Current Period Desk 
Reviews])</f>
        <v>0</v>
      </c>
      <c r="F1740" s="19">
        <f>SUBTOTAL(109,Program146[(F)
Current Period 
Final 
Audits])</f>
        <v>0</v>
      </c>
      <c r="G1740" s="19">
        <f>SUBTOTAL(109,Program146[(G)
Current Period 
Other Adjustments])</f>
        <v>0</v>
      </c>
      <c r="H1740" s="19">
        <f>SUBTOTAL(109,Program146[(H)
Net Program Costs
Sum (C through G)])</f>
        <v>14254077</v>
      </c>
      <c r="I1740" s="19">
        <f>SUBTOTAL(109,Program146[(I)
Payments
 and Offsets])</f>
        <v>-14254077</v>
      </c>
      <c r="J1740" s="19">
        <f>SUBTOTAL(109,Program146[(J)
Accounts Payable Balance
(H + I)])</f>
        <v>0</v>
      </c>
      <c r="K1740" s="19">
        <f>SUBTOTAL(109,Program146[(K)
Established 
Accounts Receivable])</f>
        <v>450964</v>
      </c>
      <c r="L1740" s="19">
        <f>SUBTOTAL(109,Program146[(L)
Recovered
 Accounts Receivable])</f>
        <v>-450763</v>
      </c>
      <c r="M1740" s="19">
        <f>SUBTOTAL(109,Program146[(M)
Accounts Receivable Balance
(K + L)])</f>
        <v>201</v>
      </c>
      <c r="N1740" s="19">
        <f>SUBTOTAL(109,Program146[(N)
Net Balance
(J minus M)])</f>
        <v>-201</v>
      </c>
    </row>
    <row r="1741" spans="1:14" ht="15.75" x14ac:dyDescent="0.25">
      <c r="A1741" s="17" t="s">
        <v>13</v>
      </c>
      <c r="B1741" s="54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78.75" x14ac:dyDescent="0.25">
      <c r="A1742" s="39" t="s">
        <v>32</v>
      </c>
      <c r="B1742" s="40" t="s">
        <v>33</v>
      </c>
      <c r="C1742" s="41" t="s">
        <v>34</v>
      </c>
      <c r="D1742" s="41" t="s">
        <v>35</v>
      </c>
      <c r="E1742" s="42" t="s">
        <v>36</v>
      </c>
      <c r="F1742" s="42" t="s">
        <v>37</v>
      </c>
      <c r="G1742" s="42" t="s">
        <v>38</v>
      </c>
      <c r="H1742" s="43" t="s">
        <v>39</v>
      </c>
      <c r="I1742" s="44" t="s">
        <v>40</v>
      </c>
      <c r="J1742" s="44" t="s">
        <v>41</v>
      </c>
      <c r="K1742" s="42" t="s">
        <v>42</v>
      </c>
      <c r="L1742" s="44" t="s">
        <v>43</v>
      </c>
      <c r="M1742" s="44" t="s">
        <v>44</v>
      </c>
      <c r="N1742" s="45" t="s">
        <v>45</v>
      </c>
    </row>
    <row r="1743" spans="1:14" ht="15.75" x14ac:dyDescent="0.25">
      <c r="A1743" s="46" t="s">
        <v>495</v>
      </c>
      <c r="B1743" s="47" t="s">
        <v>48</v>
      </c>
      <c r="C1743" s="48">
        <v>205106</v>
      </c>
      <c r="D1743" s="48">
        <v>0</v>
      </c>
      <c r="E1743" s="48">
        <v>0</v>
      </c>
      <c r="F1743" s="48">
        <v>0</v>
      </c>
      <c r="G1743" s="48">
        <v>0</v>
      </c>
      <c r="H1743" s="48">
        <v>205106</v>
      </c>
      <c r="I1743" s="48">
        <v>-197875</v>
      </c>
      <c r="J1743" s="48">
        <v>7231</v>
      </c>
      <c r="K1743" s="48">
        <v>0</v>
      </c>
      <c r="L1743" s="48">
        <v>0</v>
      </c>
      <c r="M1743" s="48">
        <v>0</v>
      </c>
      <c r="N1743" s="48">
        <v>7231</v>
      </c>
    </row>
    <row r="1744" spans="1:14" ht="15.75" x14ac:dyDescent="0.25">
      <c r="A1744" s="49" t="s">
        <v>495</v>
      </c>
      <c r="B1744" s="50" t="s">
        <v>49</v>
      </c>
      <c r="C1744" s="51">
        <v>3301917</v>
      </c>
      <c r="D1744" s="51">
        <v>-9273</v>
      </c>
      <c r="E1744" s="51">
        <v>0</v>
      </c>
      <c r="F1744" s="51">
        <v>0</v>
      </c>
      <c r="G1744" s="51">
        <v>0</v>
      </c>
      <c r="H1744" s="51">
        <v>3292644</v>
      </c>
      <c r="I1744" s="51">
        <v>-3008770</v>
      </c>
      <c r="J1744" s="51">
        <v>283874</v>
      </c>
      <c r="K1744" s="51">
        <v>0</v>
      </c>
      <c r="L1744" s="51">
        <v>0</v>
      </c>
      <c r="M1744" s="51">
        <v>0</v>
      </c>
      <c r="N1744" s="51">
        <v>283874</v>
      </c>
    </row>
    <row r="1745" spans="1:14" ht="15.75" x14ac:dyDescent="0.25">
      <c r="A1745" s="49" t="s">
        <v>495</v>
      </c>
      <c r="B1745" s="50" t="s">
        <v>50</v>
      </c>
      <c r="C1745" s="51">
        <v>3321213</v>
      </c>
      <c r="D1745" s="51">
        <v>-15986</v>
      </c>
      <c r="E1745" s="51">
        <v>0</v>
      </c>
      <c r="F1745" s="51">
        <v>0</v>
      </c>
      <c r="G1745" s="51">
        <v>0</v>
      </c>
      <c r="H1745" s="51">
        <v>3305227</v>
      </c>
      <c r="I1745" s="51">
        <v>-3224482</v>
      </c>
      <c r="J1745" s="51">
        <v>80745</v>
      </c>
      <c r="K1745" s="51">
        <v>0</v>
      </c>
      <c r="L1745" s="51">
        <v>0</v>
      </c>
      <c r="M1745" s="51">
        <v>0</v>
      </c>
      <c r="N1745" s="51">
        <v>80745</v>
      </c>
    </row>
    <row r="1746" spans="1:14" ht="15.75" x14ac:dyDescent="0.25">
      <c r="A1746" s="49" t="s">
        <v>495</v>
      </c>
      <c r="B1746" s="50" t="s">
        <v>51</v>
      </c>
      <c r="C1746" s="51">
        <v>3375920</v>
      </c>
      <c r="D1746" s="51">
        <v>-16972</v>
      </c>
      <c r="E1746" s="51">
        <v>0</v>
      </c>
      <c r="F1746" s="51">
        <v>0</v>
      </c>
      <c r="G1746" s="51">
        <v>0</v>
      </c>
      <c r="H1746" s="51">
        <v>3358948</v>
      </c>
      <c r="I1746" s="51">
        <v>-3271536</v>
      </c>
      <c r="J1746" s="51">
        <v>87412</v>
      </c>
      <c r="K1746" s="51">
        <v>2</v>
      </c>
      <c r="L1746" s="51">
        <v>0</v>
      </c>
      <c r="M1746" s="51">
        <v>2</v>
      </c>
      <c r="N1746" s="51">
        <v>87410</v>
      </c>
    </row>
    <row r="1747" spans="1:14" ht="15.75" x14ac:dyDescent="0.25">
      <c r="A1747" s="49" t="s">
        <v>495</v>
      </c>
      <c r="B1747" s="50" t="s">
        <v>52</v>
      </c>
      <c r="C1747" s="51">
        <v>3108212</v>
      </c>
      <c r="D1747" s="51">
        <v>-20362</v>
      </c>
      <c r="E1747" s="51">
        <v>0</v>
      </c>
      <c r="F1747" s="51">
        <v>0</v>
      </c>
      <c r="G1747" s="51">
        <v>0</v>
      </c>
      <c r="H1747" s="51">
        <v>3087850</v>
      </c>
      <c r="I1747" s="51">
        <v>-3059030</v>
      </c>
      <c r="J1747" s="51">
        <v>28820</v>
      </c>
      <c r="K1747" s="51">
        <v>15442</v>
      </c>
      <c r="L1747" s="51">
        <v>-13765</v>
      </c>
      <c r="M1747" s="51">
        <v>1677</v>
      </c>
      <c r="N1747" s="51">
        <v>27143</v>
      </c>
    </row>
    <row r="1748" spans="1:14" ht="15.75" x14ac:dyDescent="0.25">
      <c r="A1748" s="49" t="s">
        <v>495</v>
      </c>
      <c r="B1748" s="50" t="s">
        <v>53</v>
      </c>
      <c r="C1748" s="51">
        <v>3001200</v>
      </c>
      <c r="D1748" s="51">
        <v>-19594</v>
      </c>
      <c r="E1748" s="51">
        <v>0</v>
      </c>
      <c r="F1748" s="51">
        <v>0</v>
      </c>
      <c r="G1748" s="51">
        <v>0</v>
      </c>
      <c r="H1748" s="51">
        <v>2981606</v>
      </c>
      <c r="I1748" s="51">
        <v>-2966560</v>
      </c>
      <c r="J1748" s="51">
        <v>15046</v>
      </c>
      <c r="K1748" s="51">
        <v>0</v>
      </c>
      <c r="L1748" s="51">
        <v>0</v>
      </c>
      <c r="M1748" s="51">
        <v>0</v>
      </c>
      <c r="N1748" s="51">
        <v>15046</v>
      </c>
    </row>
    <row r="1749" spans="1:14" ht="15.75" x14ac:dyDescent="0.25">
      <c r="A1749" s="49" t="s">
        <v>495</v>
      </c>
      <c r="B1749" s="50" t="s">
        <v>54</v>
      </c>
      <c r="C1749" s="51">
        <v>2748096</v>
      </c>
      <c r="D1749" s="51">
        <v>-11276</v>
      </c>
      <c r="E1749" s="51">
        <v>0</v>
      </c>
      <c r="F1749" s="51">
        <v>0</v>
      </c>
      <c r="G1749" s="51">
        <v>0</v>
      </c>
      <c r="H1749" s="51">
        <v>2736820</v>
      </c>
      <c r="I1749" s="51">
        <v>-2736820</v>
      </c>
      <c r="J1749" s="51">
        <v>0</v>
      </c>
      <c r="K1749" s="51">
        <v>6670</v>
      </c>
      <c r="L1749" s="51">
        <v>-5607</v>
      </c>
      <c r="M1749" s="51">
        <v>1063</v>
      </c>
      <c r="N1749" s="51">
        <v>-1063</v>
      </c>
    </row>
    <row r="1750" spans="1:14" ht="15.75" x14ac:dyDescent="0.25">
      <c r="A1750" s="49" t="s">
        <v>495</v>
      </c>
      <c r="B1750" s="50" t="s">
        <v>55</v>
      </c>
      <c r="C1750" s="51">
        <v>2526130</v>
      </c>
      <c r="D1750" s="51">
        <v>-7630</v>
      </c>
      <c r="E1750" s="51">
        <v>0</v>
      </c>
      <c r="F1750" s="51">
        <v>0</v>
      </c>
      <c r="G1750" s="51">
        <v>0</v>
      </c>
      <c r="H1750" s="51">
        <v>2518500</v>
      </c>
      <c r="I1750" s="51">
        <v>-2518500</v>
      </c>
      <c r="J1750" s="51">
        <v>0</v>
      </c>
      <c r="K1750" s="51">
        <v>0</v>
      </c>
      <c r="L1750" s="51">
        <v>0</v>
      </c>
      <c r="M1750" s="51">
        <v>0</v>
      </c>
      <c r="N1750" s="51">
        <v>0</v>
      </c>
    </row>
    <row r="1751" spans="1:14" ht="15.75" x14ac:dyDescent="0.25">
      <c r="A1751" s="49" t="s">
        <v>495</v>
      </c>
      <c r="B1751" s="50" t="s">
        <v>56</v>
      </c>
      <c r="C1751" s="51">
        <v>2507249</v>
      </c>
      <c r="D1751" s="51">
        <v>-3952</v>
      </c>
      <c r="E1751" s="51">
        <v>0</v>
      </c>
      <c r="F1751" s="51">
        <v>0</v>
      </c>
      <c r="G1751" s="51">
        <v>0</v>
      </c>
      <c r="H1751" s="51">
        <v>2503297</v>
      </c>
      <c r="I1751" s="51">
        <v>-2503297</v>
      </c>
      <c r="J1751" s="51">
        <v>0</v>
      </c>
      <c r="K1751" s="51">
        <v>0</v>
      </c>
      <c r="L1751" s="51">
        <v>0</v>
      </c>
      <c r="M1751" s="51">
        <v>0</v>
      </c>
      <c r="N1751" s="51">
        <v>0</v>
      </c>
    </row>
    <row r="1752" spans="1:14" ht="15.75" x14ac:dyDescent="0.25">
      <c r="A1752" s="49" t="s">
        <v>495</v>
      </c>
      <c r="B1752" s="50" t="s">
        <v>57</v>
      </c>
      <c r="C1752" s="51">
        <v>2480518</v>
      </c>
      <c r="D1752" s="51">
        <v>-37282</v>
      </c>
      <c r="E1752" s="51">
        <v>0</v>
      </c>
      <c r="F1752" s="51">
        <v>0</v>
      </c>
      <c r="G1752" s="51">
        <v>0</v>
      </c>
      <c r="H1752" s="51">
        <v>2443236</v>
      </c>
      <c r="I1752" s="51">
        <v>-2443236</v>
      </c>
      <c r="J1752" s="51">
        <v>0</v>
      </c>
      <c r="K1752" s="51">
        <v>348780</v>
      </c>
      <c r="L1752" s="51">
        <v>-348780</v>
      </c>
      <c r="M1752" s="51">
        <v>0</v>
      </c>
      <c r="N1752" s="51">
        <v>0</v>
      </c>
    </row>
    <row r="1753" spans="1:14" ht="15.75" x14ac:dyDescent="0.25">
      <c r="A1753" s="49" t="s">
        <v>495</v>
      </c>
      <c r="B1753" s="50" t="s">
        <v>58</v>
      </c>
      <c r="C1753" s="51">
        <v>2601142</v>
      </c>
      <c r="D1753" s="51">
        <v>-3250</v>
      </c>
      <c r="E1753" s="51">
        <v>0</v>
      </c>
      <c r="F1753" s="51">
        <v>0</v>
      </c>
      <c r="G1753" s="51">
        <v>0</v>
      </c>
      <c r="H1753" s="51">
        <v>2597892</v>
      </c>
      <c r="I1753" s="51">
        <v>-2597892</v>
      </c>
      <c r="J1753" s="51">
        <v>0</v>
      </c>
      <c r="K1753" s="51">
        <v>227843</v>
      </c>
      <c r="L1753" s="51">
        <v>-227326</v>
      </c>
      <c r="M1753" s="51">
        <v>517</v>
      </c>
      <c r="N1753" s="51">
        <v>-517</v>
      </c>
    </row>
    <row r="1754" spans="1:14" ht="15.75" x14ac:dyDescent="0.25">
      <c r="A1754" s="49" t="s">
        <v>495</v>
      </c>
      <c r="B1754" s="50" t="s">
        <v>59</v>
      </c>
      <c r="C1754" s="51">
        <v>2467573</v>
      </c>
      <c r="D1754" s="51">
        <v>-5781</v>
      </c>
      <c r="E1754" s="51">
        <v>0</v>
      </c>
      <c r="F1754" s="51">
        <v>0</v>
      </c>
      <c r="G1754" s="51">
        <v>0</v>
      </c>
      <c r="H1754" s="51">
        <v>2461792</v>
      </c>
      <c r="I1754" s="51">
        <v>-2461792</v>
      </c>
      <c r="J1754" s="51">
        <v>0</v>
      </c>
      <c r="K1754" s="51">
        <v>151142</v>
      </c>
      <c r="L1754" s="51">
        <v>-151142</v>
      </c>
      <c r="M1754" s="51">
        <v>0</v>
      </c>
      <c r="N1754" s="51">
        <v>0</v>
      </c>
    </row>
    <row r="1755" spans="1:14" ht="15.75" x14ac:dyDescent="0.25">
      <c r="A1755" s="49" t="s">
        <v>495</v>
      </c>
      <c r="B1755" s="50" t="s">
        <v>60</v>
      </c>
      <c r="C1755" s="51">
        <v>2305872</v>
      </c>
      <c r="D1755" s="51">
        <v>-14881</v>
      </c>
      <c r="E1755" s="51">
        <v>0</v>
      </c>
      <c r="F1755" s="51">
        <v>0</v>
      </c>
      <c r="G1755" s="51">
        <v>0</v>
      </c>
      <c r="H1755" s="51">
        <v>2290991</v>
      </c>
      <c r="I1755" s="51">
        <v>-2290991</v>
      </c>
      <c r="J1755" s="51">
        <v>0</v>
      </c>
      <c r="K1755" s="51">
        <v>197892</v>
      </c>
      <c r="L1755" s="51">
        <v>-197892</v>
      </c>
      <c r="M1755" s="51">
        <v>0</v>
      </c>
      <c r="N1755" s="51">
        <v>0</v>
      </c>
    </row>
    <row r="1756" spans="1:14" ht="15.75" x14ac:dyDescent="0.25">
      <c r="A1756" s="49" t="s">
        <v>495</v>
      </c>
      <c r="B1756" s="50" t="s">
        <v>61</v>
      </c>
      <c r="C1756" s="51">
        <v>2214982</v>
      </c>
      <c r="D1756" s="51">
        <v>-10524</v>
      </c>
      <c r="E1756" s="51">
        <v>0</v>
      </c>
      <c r="F1756" s="51">
        <v>0</v>
      </c>
      <c r="G1756" s="51">
        <v>0</v>
      </c>
      <c r="H1756" s="51">
        <v>2204458</v>
      </c>
      <c r="I1756" s="51">
        <v>-2204458</v>
      </c>
      <c r="J1756" s="51">
        <v>0</v>
      </c>
      <c r="K1756" s="51">
        <v>154926</v>
      </c>
      <c r="L1756" s="51">
        <v>-154926</v>
      </c>
      <c r="M1756" s="51">
        <v>0</v>
      </c>
      <c r="N1756" s="51">
        <v>0</v>
      </c>
    </row>
    <row r="1757" spans="1:14" ht="15.75" x14ac:dyDescent="0.25">
      <c r="A1757" s="49" t="s">
        <v>495</v>
      </c>
      <c r="B1757" s="50" t="s">
        <v>62</v>
      </c>
      <c r="C1757" s="51">
        <v>2062345</v>
      </c>
      <c r="D1757" s="51">
        <v>-10584</v>
      </c>
      <c r="E1757" s="51">
        <v>0</v>
      </c>
      <c r="F1757" s="51">
        <v>0</v>
      </c>
      <c r="G1757" s="51">
        <v>0</v>
      </c>
      <c r="H1757" s="51">
        <v>2051761</v>
      </c>
      <c r="I1757" s="51">
        <v>-2051761</v>
      </c>
      <c r="J1757" s="51">
        <v>0</v>
      </c>
      <c r="K1757" s="51">
        <v>64789</v>
      </c>
      <c r="L1757" s="51">
        <v>-64485</v>
      </c>
      <c r="M1757" s="51">
        <v>304</v>
      </c>
      <c r="N1757" s="51">
        <v>-304</v>
      </c>
    </row>
    <row r="1758" spans="1:14" ht="15.75" x14ac:dyDescent="0.25">
      <c r="A1758" s="49" t="s">
        <v>495</v>
      </c>
      <c r="B1758" s="50" t="s">
        <v>63</v>
      </c>
      <c r="C1758" s="51">
        <v>1919124</v>
      </c>
      <c r="D1758" s="51">
        <v>-19988</v>
      </c>
      <c r="E1758" s="51">
        <v>0</v>
      </c>
      <c r="F1758" s="51">
        <v>0</v>
      </c>
      <c r="G1758" s="51">
        <v>0</v>
      </c>
      <c r="H1758" s="51">
        <v>1899136</v>
      </c>
      <c r="I1758" s="51">
        <v>-1899136</v>
      </c>
      <c r="J1758" s="51">
        <v>0</v>
      </c>
      <c r="K1758" s="51">
        <v>22758</v>
      </c>
      <c r="L1758" s="51">
        <v>-22758</v>
      </c>
      <c r="M1758" s="51">
        <v>0</v>
      </c>
      <c r="N1758" s="51">
        <v>0</v>
      </c>
    </row>
    <row r="1759" spans="1:14" ht="15.75" x14ac:dyDescent="0.25">
      <c r="A1759" s="49" t="s">
        <v>495</v>
      </c>
      <c r="B1759" s="50" t="s">
        <v>64</v>
      </c>
      <c r="C1759" s="51">
        <v>1837107</v>
      </c>
      <c r="D1759" s="51">
        <v>-5693</v>
      </c>
      <c r="E1759" s="51">
        <v>0</v>
      </c>
      <c r="F1759" s="51">
        <v>0</v>
      </c>
      <c r="G1759" s="51">
        <v>0</v>
      </c>
      <c r="H1759" s="51">
        <v>1831414</v>
      </c>
      <c r="I1759" s="51">
        <v>-1831414</v>
      </c>
      <c r="J1759" s="51">
        <v>0</v>
      </c>
      <c r="K1759" s="51">
        <v>25560</v>
      </c>
      <c r="L1759" s="51">
        <v>-25560</v>
      </c>
      <c r="M1759" s="51">
        <v>0</v>
      </c>
      <c r="N1759" s="51">
        <v>0</v>
      </c>
    </row>
    <row r="1760" spans="1:14" ht="15.75" x14ac:dyDescent="0.25">
      <c r="A1760" s="49" t="s">
        <v>495</v>
      </c>
      <c r="B1760" s="50" t="s">
        <v>65</v>
      </c>
      <c r="C1760" s="51">
        <v>1777024</v>
      </c>
      <c r="D1760" s="51">
        <v>-3586</v>
      </c>
      <c r="E1760" s="51">
        <v>0</v>
      </c>
      <c r="F1760" s="51">
        <v>0</v>
      </c>
      <c r="G1760" s="51">
        <v>0</v>
      </c>
      <c r="H1760" s="51">
        <v>1773438</v>
      </c>
      <c r="I1760" s="51">
        <v>-1773438</v>
      </c>
      <c r="J1760" s="51">
        <v>0</v>
      </c>
      <c r="K1760" s="51">
        <v>18702</v>
      </c>
      <c r="L1760" s="51">
        <v>-18702</v>
      </c>
      <c r="M1760" s="51">
        <v>0</v>
      </c>
      <c r="N1760" s="51">
        <v>0</v>
      </c>
    </row>
    <row r="1761" spans="1:14" ht="15.75" x14ac:dyDescent="0.25">
      <c r="A1761" s="49" t="s">
        <v>495</v>
      </c>
      <c r="B1761" s="50" t="s">
        <v>66</v>
      </c>
      <c r="C1761" s="51">
        <v>1663416</v>
      </c>
      <c r="D1761" s="51">
        <v>-5671</v>
      </c>
      <c r="E1761" s="51">
        <v>0</v>
      </c>
      <c r="F1761" s="51">
        <v>0</v>
      </c>
      <c r="G1761" s="51">
        <v>0</v>
      </c>
      <c r="H1761" s="51">
        <v>1657745</v>
      </c>
      <c r="I1761" s="51">
        <v>-1657745</v>
      </c>
      <c r="J1761" s="51">
        <v>0</v>
      </c>
      <c r="K1761" s="51">
        <v>43123</v>
      </c>
      <c r="L1761" s="51">
        <v>-43123</v>
      </c>
      <c r="M1761" s="51">
        <v>0</v>
      </c>
      <c r="N1761" s="51">
        <v>0</v>
      </c>
    </row>
    <row r="1762" spans="1:14" ht="15.75" x14ac:dyDescent="0.25">
      <c r="A1762" s="49" t="s">
        <v>495</v>
      </c>
      <c r="B1762" s="50" t="s">
        <v>67</v>
      </c>
      <c r="C1762" s="51">
        <v>1604008</v>
      </c>
      <c r="D1762" s="51">
        <v>-11035</v>
      </c>
      <c r="E1762" s="51">
        <v>0</v>
      </c>
      <c r="F1762" s="51">
        <v>0</v>
      </c>
      <c r="G1762" s="51">
        <v>0</v>
      </c>
      <c r="H1762" s="51">
        <v>1592973</v>
      </c>
      <c r="I1762" s="51">
        <v>-1592973</v>
      </c>
      <c r="J1762" s="51">
        <v>0</v>
      </c>
      <c r="K1762" s="51">
        <v>99040</v>
      </c>
      <c r="L1762" s="51">
        <v>-99040</v>
      </c>
      <c r="M1762" s="51">
        <v>0</v>
      </c>
      <c r="N1762" s="51">
        <v>0</v>
      </c>
    </row>
    <row r="1763" spans="1:14" ht="15.75" x14ac:dyDescent="0.25">
      <c r="A1763" s="49" t="s">
        <v>495</v>
      </c>
      <c r="B1763" s="50" t="s">
        <v>68</v>
      </c>
      <c r="C1763" s="51">
        <v>0</v>
      </c>
      <c r="D1763" s="51">
        <v>0</v>
      </c>
      <c r="E1763" s="51">
        <v>0</v>
      </c>
      <c r="F1763" s="51">
        <v>0</v>
      </c>
      <c r="G1763" s="51">
        <v>0</v>
      </c>
      <c r="H1763" s="51">
        <v>0</v>
      </c>
      <c r="I1763" s="51">
        <v>0</v>
      </c>
      <c r="J1763" s="51">
        <v>0</v>
      </c>
      <c r="K1763" s="51">
        <v>10705</v>
      </c>
      <c r="L1763" s="51">
        <v>-10705</v>
      </c>
      <c r="M1763" s="51">
        <v>0</v>
      </c>
      <c r="N1763" s="51">
        <v>0</v>
      </c>
    </row>
    <row r="1764" spans="1:14" ht="15.75" x14ac:dyDescent="0.25">
      <c r="A1764" s="49" t="s">
        <v>495</v>
      </c>
      <c r="B1764" s="50" t="s">
        <v>69</v>
      </c>
      <c r="C1764" s="51">
        <v>0</v>
      </c>
      <c r="D1764" s="51">
        <v>35</v>
      </c>
      <c r="E1764" s="51">
        <v>0</v>
      </c>
      <c r="F1764" s="51">
        <v>0</v>
      </c>
      <c r="G1764" s="51">
        <v>0</v>
      </c>
      <c r="H1764" s="51">
        <v>35</v>
      </c>
      <c r="I1764" s="51">
        <v>-35</v>
      </c>
      <c r="J1764" s="51">
        <v>0</v>
      </c>
      <c r="K1764" s="51">
        <v>9477</v>
      </c>
      <c r="L1764" s="51">
        <v>-9477</v>
      </c>
      <c r="M1764" s="51">
        <v>0</v>
      </c>
      <c r="N1764" s="51">
        <v>0</v>
      </c>
    </row>
    <row r="1765" spans="1:14" ht="15.75" x14ac:dyDescent="0.25">
      <c r="A1765" s="49" t="s">
        <v>495</v>
      </c>
      <c r="B1765" s="50" t="s">
        <v>115</v>
      </c>
      <c r="C1765" s="51">
        <v>0</v>
      </c>
      <c r="D1765" s="51">
        <v>0</v>
      </c>
      <c r="E1765" s="51">
        <v>0</v>
      </c>
      <c r="F1765" s="51">
        <v>0</v>
      </c>
      <c r="G1765" s="51">
        <v>0</v>
      </c>
      <c r="H1765" s="51">
        <v>0</v>
      </c>
      <c r="I1765" s="51">
        <v>0</v>
      </c>
      <c r="J1765" s="51">
        <v>0</v>
      </c>
      <c r="K1765" s="51">
        <v>3584</v>
      </c>
      <c r="L1765" s="51">
        <v>-3584</v>
      </c>
      <c r="M1765" s="51">
        <v>0</v>
      </c>
      <c r="N1765" s="51">
        <v>0</v>
      </c>
    </row>
    <row r="1766" spans="1:14" ht="15.75" x14ac:dyDescent="0.25">
      <c r="A1766" s="49" t="s">
        <v>495</v>
      </c>
      <c r="B1766" s="50" t="s">
        <v>99</v>
      </c>
      <c r="C1766" s="51">
        <v>0</v>
      </c>
      <c r="D1766" s="51">
        <v>0</v>
      </c>
      <c r="E1766" s="51">
        <v>0</v>
      </c>
      <c r="F1766" s="51">
        <v>0</v>
      </c>
      <c r="G1766" s="51">
        <v>0</v>
      </c>
      <c r="H1766" s="51">
        <v>0</v>
      </c>
      <c r="I1766" s="51">
        <v>0</v>
      </c>
      <c r="J1766" s="51">
        <v>0</v>
      </c>
      <c r="K1766" s="51">
        <v>2359</v>
      </c>
      <c r="L1766" s="51">
        <v>-2359</v>
      </c>
      <c r="M1766" s="51">
        <v>0</v>
      </c>
      <c r="N1766" s="51">
        <v>0</v>
      </c>
    </row>
    <row r="1767" spans="1:14" ht="15.75" x14ac:dyDescent="0.25">
      <c r="A1767" s="49" t="s">
        <v>495</v>
      </c>
      <c r="B1767" s="50" t="s">
        <v>241</v>
      </c>
      <c r="C1767" s="51">
        <v>0</v>
      </c>
      <c r="D1767" s="51">
        <v>0</v>
      </c>
      <c r="E1767" s="51">
        <v>0</v>
      </c>
      <c r="F1767" s="51">
        <v>0</v>
      </c>
      <c r="G1767" s="51">
        <v>0</v>
      </c>
      <c r="H1767" s="51">
        <v>0</v>
      </c>
      <c r="I1767" s="51">
        <v>0</v>
      </c>
      <c r="J1767" s="51">
        <v>0</v>
      </c>
      <c r="K1767" s="51">
        <v>5667</v>
      </c>
      <c r="L1767" s="51">
        <v>-5667</v>
      </c>
      <c r="M1767" s="51">
        <v>0</v>
      </c>
      <c r="N1767" s="51">
        <v>0</v>
      </c>
    </row>
    <row r="1768" spans="1:14" ht="15.75" x14ac:dyDescent="0.25">
      <c r="A1768" s="52" t="s">
        <v>372</v>
      </c>
      <c r="B1768" s="53" t="s">
        <v>8</v>
      </c>
      <c r="C1768" s="19">
        <f>SUBTOTAL(109,Program058[(C)
Program
Costs])</f>
        <v>47028154</v>
      </c>
      <c r="D1768" s="19">
        <f>SUBTOTAL(109,Program058[(D)
Prior Period Adjustments])</f>
        <v>-233285</v>
      </c>
      <c r="E1768" s="19">
        <f>SUBTOTAL(109,Program058[(E)
Current Period Desk 
Reviews])</f>
        <v>0</v>
      </c>
      <c r="F1768" s="19">
        <f>SUBTOTAL(109,Program058[(F)
Current Period 
Final 
Audits])</f>
        <v>0</v>
      </c>
      <c r="G1768" s="19">
        <f>SUBTOTAL(109,Program058[(G)
Current Period 
Other Adjustments])</f>
        <v>0</v>
      </c>
      <c r="H1768" s="19">
        <f>SUBTOTAL(109,Program058[(H)
Net Program Costs
Sum (C through G)])</f>
        <v>46794869</v>
      </c>
      <c r="I1768" s="19">
        <f>SUBTOTAL(109,Program058[(I)
Payments
 and Offsets])</f>
        <v>-46291741</v>
      </c>
      <c r="J1768" s="19">
        <f>SUBTOTAL(109,Program058[(J)
Accounts Payable Balance
(H + I)])</f>
        <v>503128</v>
      </c>
      <c r="K1768" s="19">
        <f>SUBTOTAL(109,Program058[(K)
Established 
Accounts Receivable])</f>
        <v>1408461</v>
      </c>
      <c r="L1768" s="19">
        <f>SUBTOTAL(109,Program058[(L)
Recovered
 Accounts Receivable])</f>
        <v>-1404898</v>
      </c>
      <c r="M1768" s="19">
        <f>SUBTOTAL(109,Program058[(M)
Accounts Receivable Balance
(K + L)])</f>
        <v>3563</v>
      </c>
      <c r="N1768" s="19">
        <f>SUBTOTAL(109,Program058[(N)
Net Balance
(J minus M)])</f>
        <v>499565</v>
      </c>
    </row>
    <row r="1769" spans="1:14" ht="15.75" x14ac:dyDescent="0.25">
      <c r="A1769" s="17" t="s">
        <v>13</v>
      </c>
      <c r="B1769" s="54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78.75" x14ac:dyDescent="0.25">
      <c r="A1770" s="39" t="s">
        <v>32</v>
      </c>
      <c r="B1770" s="40" t="s">
        <v>33</v>
      </c>
      <c r="C1770" s="41" t="s">
        <v>34</v>
      </c>
      <c r="D1770" s="41" t="s">
        <v>35</v>
      </c>
      <c r="E1770" s="42" t="s">
        <v>36</v>
      </c>
      <c r="F1770" s="42" t="s">
        <v>37</v>
      </c>
      <c r="G1770" s="42" t="s">
        <v>38</v>
      </c>
      <c r="H1770" s="43" t="s">
        <v>39</v>
      </c>
      <c r="I1770" s="44" t="s">
        <v>40</v>
      </c>
      <c r="J1770" s="44" t="s">
        <v>41</v>
      </c>
      <c r="K1770" s="42" t="s">
        <v>42</v>
      </c>
      <c r="L1770" s="44" t="s">
        <v>43</v>
      </c>
      <c r="M1770" s="44" t="s">
        <v>44</v>
      </c>
      <c r="N1770" s="45" t="s">
        <v>45</v>
      </c>
    </row>
    <row r="1771" spans="1:14" ht="15.75" x14ac:dyDescent="0.25">
      <c r="A1771" s="46" t="s">
        <v>494</v>
      </c>
      <c r="B1771" s="47" t="s">
        <v>53</v>
      </c>
      <c r="C1771" s="48">
        <v>86769</v>
      </c>
      <c r="D1771" s="48">
        <v>-86769</v>
      </c>
      <c r="E1771" s="48">
        <v>0</v>
      </c>
      <c r="F1771" s="48">
        <v>0</v>
      </c>
      <c r="G1771" s="48">
        <v>0</v>
      </c>
      <c r="H1771" s="48">
        <v>0</v>
      </c>
      <c r="I1771" s="48">
        <v>0</v>
      </c>
      <c r="J1771" s="48">
        <v>0</v>
      </c>
      <c r="K1771" s="48">
        <v>0</v>
      </c>
      <c r="L1771" s="48">
        <v>0</v>
      </c>
      <c r="M1771" s="48">
        <v>0</v>
      </c>
      <c r="N1771" s="48">
        <v>0</v>
      </c>
    </row>
    <row r="1772" spans="1:14" ht="15.75" x14ac:dyDescent="0.25">
      <c r="A1772" s="49" t="s">
        <v>494</v>
      </c>
      <c r="B1772" s="50" t="s">
        <v>54</v>
      </c>
      <c r="C1772" s="51">
        <v>8551872</v>
      </c>
      <c r="D1772" s="51">
        <v>-8551872</v>
      </c>
      <c r="E1772" s="51">
        <v>0</v>
      </c>
      <c r="F1772" s="51">
        <v>0</v>
      </c>
      <c r="G1772" s="51">
        <v>0</v>
      </c>
      <c r="H1772" s="51">
        <v>0</v>
      </c>
      <c r="I1772" s="51">
        <v>0</v>
      </c>
      <c r="J1772" s="51">
        <v>0</v>
      </c>
      <c r="K1772" s="51">
        <v>0</v>
      </c>
      <c r="L1772" s="51">
        <v>0</v>
      </c>
      <c r="M1772" s="51">
        <v>0</v>
      </c>
      <c r="N1772" s="51">
        <v>0</v>
      </c>
    </row>
    <row r="1773" spans="1:14" ht="15.75" x14ac:dyDescent="0.25">
      <c r="A1773" s="49" t="s">
        <v>494</v>
      </c>
      <c r="B1773" s="50" t="s">
        <v>55</v>
      </c>
      <c r="C1773" s="51">
        <v>21597096</v>
      </c>
      <c r="D1773" s="51">
        <v>-4445850</v>
      </c>
      <c r="E1773" s="51">
        <v>0</v>
      </c>
      <c r="F1773" s="51">
        <v>0</v>
      </c>
      <c r="G1773" s="51">
        <v>0</v>
      </c>
      <c r="H1773" s="51">
        <v>17151246</v>
      </c>
      <c r="I1773" s="51">
        <v>-16798479</v>
      </c>
      <c r="J1773" s="51">
        <v>352767</v>
      </c>
      <c r="K1773" s="51">
        <v>25091</v>
      </c>
      <c r="L1773" s="51">
        <v>-25091</v>
      </c>
      <c r="M1773" s="51">
        <v>0</v>
      </c>
      <c r="N1773" s="51">
        <v>352767</v>
      </c>
    </row>
    <row r="1774" spans="1:14" ht="15.75" x14ac:dyDescent="0.25">
      <c r="A1774" s="49" t="s">
        <v>494</v>
      </c>
      <c r="B1774" s="50" t="s">
        <v>56</v>
      </c>
      <c r="C1774" s="51">
        <v>34776307</v>
      </c>
      <c r="D1774" s="51">
        <v>-11050592</v>
      </c>
      <c r="E1774" s="51">
        <v>0</v>
      </c>
      <c r="F1774" s="51">
        <v>0</v>
      </c>
      <c r="G1774" s="51">
        <v>0</v>
      </c>
      <c r="H1774" s="51">
        <v>23725715</v>
      </c>
      <c r="I1774" s="51">
        <v>-23579326</v>
      </c>
      <c r="J1774" s="51">
        <v>146389</v>
      </c>
      <c r="K1774" s="51">
        <v>183082</v>
      </c>
      <c r="L1774" s="51">
        <v>-183082</v>
      </c>
      <c r="M1774" s="51">
        <v>0</v>
      </c>
      <c r="N1774" s="51">
        <v>146389</v>
      </c>
    </row>
    <row r="1775" spans="1:14" ht="15.75" x14ac:dyDescent="0.25">
      <c r="A1775" s="49" t="s">
        <v>494</v>
      </c>
      <c r="B1775" s="50" t="s">
        <v>57</v>
      </c>
      <c r="C1775" s="51">
        <v>38795613</v>
      </c>
      <c r="D1775" s="51">
        <v>-13738432</v>
      </c>
      <c r="E1775" s="51">
        <v>0</v>
      </c>
      <c r="F1775" s="51">
        <v>0</v>
      </c>
      <c r="G1775" s="51">
        <v>0</v>
      </c>
      <c r="H1775" s="51">
        <v>25057181</v>
      </c>
      <c r="I1775" s="51">
        <v>-24937249</v>
      </c>
      <c r="J1775" s="51">
        <v>119932</v>
      </c>
      <c r="K1775" s="51">
        <v>1138703</v>
      </c>
      <c r="L1775" s="51">
        <v>-1138703</v>
      </c>
      <c r="M1775" s="51">
        <v>0</v>
      </c>
      <c r="N1775" s="51">
        <v>119932</v>
      </c>
    </row>
    <row r="1776" spans="1:14" ht="15.75" x14ac:dyDescent="0.25">
      <c r="A1776" s="49" t="s">
        <v>494</v>
      </c>
      <c r="B1776" s="50" t="s">
        <v>58</v>
      </c>
      <c r="C1776" s="51">
        <v>34014634</v>
      </c>
      <c r="D1776" s="51">
        <v>-12412819</v>
      </c>
      <c r="E1776" s="51">
        <v>0</v>
      </c>
      <c r="F1776" s="51">
        <v>0</v>
      </c>
      <c r="G1776" s="51">
        <v>0</v>
      </c>
      <c r="H1776" s="51">
        <v>21601815</v>
      </c>
      <c r="I1776" s="51">
        <v>-21537808</v>
      </c>
      <c r="J1776" s="51">
        <v>64007</v>
      </c>
      <c r="K1776" s="51">
        <v>1912828</v>
      </c>
      <c r="L1776" s="51">
        <v>-1912828</v>
      </c>
      <c r="M1776" s="51">
        <v>0</v>
      </c>
      <c r="N1776" s="51">
        <v>64007</v>
      </c>
    </row>
    <row r="1777" spans="1:14" ht="15.75" x14ac:dyDescent="0.25">
      <c r="A1777" s="49" t="s">
        <v>494</v>
      </c>
      <c r="B1777" s="50" t="s">
        <v>59</v>
      </c>
      <c r="C1777" s="51">
        <v>35846538</v>
      </c>
      <c r="D1777" s="51">
        <v>-12562297</v>
      </c>
      <c r="E1777" s="51">
        <v>0</v>
      </c>
      <c r="F1777" s="51">
        <v>0</v>
      </c>
      <c r="G1777" s="51">
        <v>0</v>
      </c>
      <c r="H1777" s="51">
        <v>23284241</v>
      </c>
      <c r="I1777" s="51">
        <v>-23249938</v>
      </c>
      <c r="J1777" s="51">
        <v>34303</v>
      </c>
      <c r="K1777" s="51">
        <v>1272821</v>
      </c>
      <c r="L1777" s="51">
        <v>-1272821</v>
      </c>
      <c r="M1777" s="51">
        <v>0</v>
      </c>
      <c r="N1777" s="51">
        <v>34303</v>
      </c>
    </row>
    <row r="1778" spans="1:14" ht="15.75" x14ac:dyDescent="0.25">
      <c r="A1778" s="49" t="s">
        <v>494</v>
      </c>
      <c r="B1778" s="50" t="s">
        <v>60</v>
      </c>
      <c r="C1778" s="51">
        <v>17177197</v>
      </c>
      <c r="D1778" s="51">
        <v>-8288593</v>
      </c>
      <c r="E1778" s="51">
        <v>0</v>
      </c>
      <c r="F1778" s="51">
        <v>0</v>
      </c>
      <c r="G1778" s="51">
        <v>0</v>
      </c>
      <c r="H1778" s="51">
        <v>8888604</v>
      </c>
      <c r="I1778" s="51">
        <v>-8888604</v>
      </c>
      <c r="J1778" s="51">
        <v>0</v>
      </c>
      <c r="K1778" s="51">
        <v>1199595</v>
      </c>
      <c r="L1778" s="51">
        <v>-1199595</v>
      </c>
      <c r="M1778" s="51">
        <v>0</v>
      </c>
      <c r="N1778" s="51">
        <v>0</v>
      </c>
    </row>
    <row r="1779" spans="1:14" ht="15.75" x14ac:dyDescent="0.25">
      <c r="A1779" s="49" t="s">
        <v>494</v>
      </c>
      <c r="B1779" s="50" t="s">
        <v>61</v>
      </c>
      <c r="C1779" s="51">
        <v>13786866</v>
      </c>
      <c r="D1779" s="51">
        <v>-6709956</v>
      </c>
      <c r="E1779" s="51">
        <v>0</v>
      </c>
      <c r="F1779" s="51">
        <v>0</v>
      </c>
      <c r="G1779" s="51">
        <v>0</v>
      </c>
      <c r="H1779" s="51">
        <v>7076910</v>
      </c>
      <c r="I1779" s="51">
        <v>-7076910</v>
      </c>
      <c r="J1779" s="51">
        <v>0</v>
      </c>
      <c r="K1779" s="51">
        <v>1016738</v>
      </c>
      <c r="L1779" s="51">
        <v>-1016738</v>
      </c>
      <c r="M1779" s="51">
        <v>0</v>
      </c>
      <c r="N1779" s="51">
        <v>0</v>
      </c>
    </row>
    <row r="1780" spans="1:14" ht="15.75" x14ac:dyDescent="0.25">
      <c r="A1780" s="52" t="s">
        <v>371</v>
      </c>
      <c r="B1780" s="53" t="s">
        <v>8</v>
      </c>
      <c r="C1780" s="19">
        <f>SUBTOTAL(109,Program208[(C)
Program
Costs])</f>
        <v>204632892</v>
      </c>
      <c r="D1780" s="19">
        <f>SUBTOTAL(109,Program208[(D)
Prior Period Adjustments])</f>
        <v>-77847180</v>
      </c>
      <c r="E1780" s="19">
        <f>SUBTOTAL(109,Program208[(E)
Current Period Desk 
Reviews])</f>
        <v>0</v>
      </c>
      <c r="F1780" s="19">
        <f>SUBTOTAL(109,Program208[(F)
Current Period 
Final 
Audits])</f>
        <v>0</v>
      </c>
      <c r="G1780" s="19">
        <f>SUBTOTAL(109,Program208[(G)
Current Period 
Other Adjustments])</f>
        <v>0</v>
      </c>
      <c r="H1780" s="19">
        <f>SUBTOTAL(109,Program208[(H)
Net Program Costs
Sum (C through G)])</f>
        <v>126785712</v>
      </c>
      <c r="I1780" s="19">
        <f>SUBTOTAL(109,Program208[(I)
Payments
 and Offsets])</f>
        <v>-126068314</v>
      </c>
      <c r="J1780" s="19">
        <f>SUBTOTAL(109,Program208[(J)
Accounts Payable Balance
(H + I)])</f>
        <v>717398</v>
      </c>
      <c r="K1780" s="19">
        <f>SUBTOTAL(109,Program208[(K)
Established 
Accounts Receivable])</f>
        <v>6748858</v>
      </c>
      <c r="L1780" s="19">
        <f>SUBTOTAL(109,Program208[(L)
Recovered
 Accounts Receivable])</f>
        <v>-6748858</v>
      </c>
      <c r="M1780" s="19">
        <f>SUBTOTAL(109,Program208[(M)
Accounts Receivable Balance
(K + L)])</f>
        <v>0</v>
      </c>
      <c r="N1780" s="19">
        <f>SUBTOTAL(109,Program208[(N)
Net Balance
(J minus M)])</f>
        <v>717398</v>
      </c>
    </row>
    <row r="1781" spans="1:14" ht="15.75" x14ac:dyDescent="0.25">
      <c r="A1781" s="17" t="s">
        <v>13</v>
      </c>
      <c r="B1781" s="54"/>
      <c r="C1781" s="55"/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</row>
    <row r="1782" spans="1:14" ht="78.75" x14ac:dyDescent="0.25">
      <c r="A1782" s="39" t="s">
        <v>32</v>
      </c>
      <c r="B1782" s="40" t="s">
        <v>33</v>
      </c>
      <c r="C1782" s="41" t="s">
        <v>34</v>
      </c>
      <c r="D1782" s="41" t="s">
        <v>35</v>
      </c>
      <c r="E1782" s="42" t="s">
        <v>36</v>
      </c>
      <c r="F1782" s="42" t="s">
        <v>37</v>
      </c>
      <c r="G1782" s="42" t="s">
        <v>38</v>
      </c>
      <c r="H1782" s="43" t="s">
        <v>39</v>
      </c>
      <c r="I1782" s="44" t="s">
        <v>40</v>
      </c>
      <c r="J1782" s="44" t="s">
        <v>41</v>
      </c>
      <c r="K1782" s="42" t="s">
        <v>42</v>
      </c>
      <c r="L1782" s="44" t="s">
        <v>43</v>
      </c>
      <c r="M1782" s="44" t="s">
        <v>44</v>
      </c>
      <c r="N1782" s="45" t="s">
        <v>45</v>
      </c>
    </row>
    <row r="1783" spans="1:14" ht="15.75" x14ac:dyDescent="0.25">
      <c r="A1783" s="46" t="s">
        <v>493</v>
      </c>
      <c r="B1783" s="47" t="s">
        <v>60</v>
      </c>
      <c r="C1783" s="48">
        <v>281612</v>
      </c>
      <c r="D1783" s="48">
        <v>-531</v>
      </c>
      <c r="E1783" s="48">
        <v>0</v>
      </c>
      <c r="F1783" s="48">
        <v>0</v>
      </c>
      <c r="G1783" s="48">
        <v>0</v>
      </c>
      <c r="H1783" s="48">
        <v>281081</v>
      </c>
      <c r="I1783" s="48">
        <v>-281081</v>
      </c>
      <c r="J1783" s="48">
        <v>0</v>
      </c>
      <c r="K1783" s="48">
        <v>0</v>
      </c>
      <c r="L1783" s="48">
        <v>0</v>
      </c>
      <c r="M1783" s="48">
        <v>0</v>
      </c>
      <c r="N1783" s="48">
        <v>0</v>
      </c>
    </row>
    <row r="1784" spans="1:14" ht="15.75" x14ac:dyDescent="0.25">
      <c r="A1784" s="49" t="s">
        <v>493</v>
      </c>
      <c r="B1784" s="50" t="s">
        <v>61</v>
      </c>
      <c r="C1784" s="51">
        <v>319459</v>
      </c>
      <c r="D1784" s="51">
        <v>-830</v>
      </c>
      <c r="E1784" s="51">
        <v>0</v>
      </c>
      <c r="F1784" s="51">
        <v>0</v>
      </c>
      <c r="G1784" s="51">
        <v>0</v>
      </c>
      <c r="H1784" s="51">
        <v>318629</v>
      </c>
      <c r="I1784" s="51">
        <v>-318629</v>
      </c>
      <c r="J1784" s="51">
        <v>0</v>
      </c>
      <c r="K1784" s="51">
        <v>0</v>
      </c>
      <c r="L1784" s="51">
        <v>0</v>
      </c>
      <c r="M1784" s="51">
        <v>0</v>
      </c>
      <c r="N1784" s="51">
        <v>0</v>
      </c>
    </row>
    <row r="1785" spans="1:14" ht="15.75" x14ac:dyDescent="0.25">
      <c r="A1785" s="52" t="s">
        <v>370</v>
      </c>
      <c r="B1785" s="53" t="s">
        <v>8</v>
      </c>
      <c r="C1785" s="19">
        <f>SUBTOTAL(109,Program224[(C)
Program
Costs])</f>
        <v>601071</v>
      </c>
      <c r="D1785" s="19">
        <f>SUBTOTAL(109,Program224[(D)
Prior Period Adjustments])</f>
        <v>-1361</v>
      </c>
      <c r="E1785" s="19">
        <f>SUBTOTAL(109,Program224[(E)
Current Period Desk 
Reviews])</f>
        <v>0</v>
      </c>
      <c r="F1785" s="19">
        <f>SUBTOTAL(109,Program224[(F)
Current Period 
Final 
Audits])</f>
        <v>0</v>
      </c>
      <c r="G1785" s="19">
        <f>SUBTOTAL(109,Program224[(G)
Current Period 
Other Adjustments])</f>
        <v>0</v>
      </c>
      <c r="H1785" s="19">
        <f>SUBTOTAL(109,Program224[(H)
Net Program Costs
Sum (C through G)])</f>
        <v>599710</v>
      </c>
      <c r="I1785" s="19">
        <f>SUBTOTAL(109,Program224[(I)
Payments
 and Offsets])</f>
        <v>-599710</v>
      </c>
      <c r="J1785" s="19">
        <f>SUBTOTAL(109,Program224[(J)
Accounts Payable Balance
(H + I)])</f>
        <v>0</v>
      </c>
      <c r="K1785" s="19">
        <f>SUBTOTAL(109,Program224[(K)
Established 
Accounts Receivable])</f>
        <v>0</v>
      </c>
      <c r="L1785" s="19">
        <f>SUBTOTAL(109,Program224[(L)
Recovered
 Accounts Receivable])</f>
        <v>0</v>
      </c>
      <c r="M1785" s="19">
        <f>SUBTOTAL(109,Program224[(M)
Accounts Receivable Balance
(K + L)])</f>
        <v>0</v>
      </c>
      <c r="N1785" s="19">
        <f>SUBTOTAL(109,Program224[(N)
Net Balance
(J minus M)])</f>
        <v>0</v>
      </c>
    </row>
    <row r="1786" spans="1:14" ht="15.75" x14ac:dyDescent="0.25">
      <c r="A1786" s="17" t="s">
        <v>13</v>
      </c>
      <c r="B1786" s="54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78.75" x14ac:dyDescent="0.25">
      <c r="A1787" s="39" t="s">
        <v>32</v>
      </c>
      <c r="B1787" s="40" t="s">
        <v>33</v>
      </c>
      <c r="C1787" s="41" t="s">
        <v>34</v>
      </c>
      <c r="D1787" s="41" t="s">
        <v>35</v>
      </c>
      <c r="E1787" s="42" t="s">
        <v>36</v>
      </c>
      <c r="F1787" s="42" t="s">
        <v>37</v>
      </c>
      <c r="G1787" s="42" t="s">
        <v>38</v>
      </c>
      <c r="H1787" s="43" t="s">
        <v>39</v>
      </c>
      <c r="I1787" s="44" t="s">
        <v>40</v>
      </c>
      <c r="J1787" s="44" t="s">
        <v>41</v>
      </c>
      <c r="K1787" s="42" t="s">
        <v>42</v>
      </c>
      <c r="L1787" s="44" t="s">
        <v>43</v>
      </c>
      <c r="M1787" s="44" t="s">
        <v>44</v>
      </c>
      <c r="N1787" s="45" t="s">
        <v>45</v>
      </c>
    </row>
    <row r="1788" spans="1:14" ht="15.75" x14ac:dyDescent="0.25">
      <c r="A1788" s="46" t="s">
        <v>492</v>
      </c>
      <c r="B1788" s="47" t="s">
        <v>80</v>
      </c>
      <c r="C1788" s="48">
        <v>2805</v>
      </c>
      <c r="D1788" s="48">
        <v>0</v>
      </c>
      <c r="E1788" s="48">
        <v>0</v>
      </c>
      <c r="F1788" s="48">
        <v>0</v>
      </c>
      <c r="G1788" s="48">
        <v>0</v>
      </c>
      <c r="H1788" s="48">
        <v>2805</v>
      </c>
      <c r="I1788" s="48">
        <v>-1000</v>
      </c>
      <c r="J1788" s="48">
        <v>1805</v>
      </c>
      <c r="K1788" s="48">
        <v>0</v>
      </c>
      <c r="L1788" s="48">
        <v>0</v>
      </c>
      <c r="M1788" s="48">
        <v>0</v>
      </c>
      <c r="N1788" s="48">
        <v>1805</v>
      </c>
    </row>
    <row r="1789" spans="1:14" ht="15.75" x14ac:dyDescent="0.25">
      <c r="A1789" s="49" t="s">
        <v>492</v>
      </c>
      <c r="B1789" s="50" t="s">
        <v>81</v>
      </c>
      <c r="C1789" s="51">
        <v>1359</v>
      </c>
      <c r="D1789" s="51">
        <v>0</v>
      </c>
      <c r="E1789" s="51">
        <v>0</v>
      </c>
      <c r="F1789" s="51">
        <v>0</v>
      </c>
      <c r="G1789" s="51">
        <v>0</v>
      </c>
      <c r="H1789" s="51">
        <v>1359</v>
      </c>
      <c r="I1789" s="51">
        <v>-1000</v>
      </c>
      <c r="J1789" s="51">
        <v>359</v>
      </c>
      <c r="K1789" s="51">
        <v>0</v>
      </c>
      <c r="L1789" s="51">
        <v>0</v>
      </c>
      <c r="M1789" s="51">
        <v>0</v>
      </c>
      <c r="N1789" s="51">
        <v>359</v>
      </c>
    </row>
    <row r="1790" spans="1:14" ht="15.75" x14ac:dyDescent="0.25">
      <c r="A1790" s="49" t="s">
        <v>492</v>
      </c>
      <c r="B1790" s="50" t="s">
        <v>82</v>
      </c>
      <c r="C1790" s="51">
        <v>2483</v>
      </c>
      <c r="D1790" s="51">
        <v>0</v>
      </c>
      <c r="E1790" s="51">
        <v>0</v>
      </c>
      <c r="F1790" s="51">
        <v>0</v>
      </c>
      <c r="G1790" s="51">
        <v>0</v>
      </c>
      <c r="H1790" s="51">
        <v>2483</v>
      </c>
      <c r="I1790" s="51">
        <v>-1000</v>
      </c>
      <c r="J1790" s="51">
        <v>1483</v>
      </c>
      <c r="K1790" s="51">
        <v>0</v>
      </c>
      <c r="L1790" s="51">
        <v>0</v>
      </c>
      <c r="M1790" s="51">
        <v>0</v>
      </c>
      <c r="N1790" s="51">
        <v>1483</v>
      </c>
    </row>
    <row r="1791" spans="1:14" ht="15.75" x14ac:dyDescent="0.25">
      <c r="A1791" s="49" t="s">
        <v>492</v>
      </c>
      <c r="B1791" s="50" t="s">
        <v>48</v>
      </c>
      <c r="C1791" s="51">
        <v>243748</v>
      </c>
      <c r="D1791" s="51">
        <v>-1015</v>
      </c>
      <c r="E1791" s="51">
        <v>0</v>
      </c>
      <c r="F1791" s="51">
        <v>0</v>
      </c>
      <c r="G1791" s="51">
        <v>0</v>
      </c>
      <c r="H1791" s="51">
        <v>242733</v>
      </c>
      <c r="I1791" s="51">
        <v>-87061</v>
      </c>
      <c r="J1791" s="51">
        <v>155672</v>
      </c>
      <c r="K1791" s="51">
        <v>0</v>
      </c>
      <c r="L1791" s="51">
        <v>0</v>
      </c>
      <c r="M1791" s="51">
        <v>0</v>
      </c>
      <c r="N1791" s="51">
        <v>155672</v>
      </c>
    </row>
    <row r="1792" spans="1:14" ht="15.75" x14ac:dyDescent="0.25">
      <c r="A1792" s="49" t="s">
        <v>492</v>
      </c>
      <c r="B1792" s="50" t="s">
        <v>49</v>
      </c>
      <c r="C1792" s="51">
        <v>225852</v>
      </c>
      <c r="D1792" s="51">
        <v>-1690</v>
      </c>
      <c r="E1792" s="51">
        <v>0</v>
      </c>
      <c r="F1792" s="51">
        <v>0</v>
      </c>
      <c r="G1792" s="51">
        <v>0</v>
      </c>
      <c r="H1792" s="51">
        <v>224162</v>
      </c>
      <c r="I1792" s="51">
        <v>-116098</v>
      </c>
      <c r="J1792" s="51">
        <v>108064</v>
      </c>
      <c r="K1792" s="51">
        <v>0</v>
      </c>
      <c r="L1792" s="51">
        <v>0</v>
      </c>
      <c r="M1792" s="51">
        <v>0</v>
      </c>
      <c r="N1792" s="51">
        <v>108064</v>
      </c>
    </row>
    <row r="1793" spans="1:14" ht="15.75" x14ac:dyDescent="0.25">
      <c r="A1793" s="49" t="s">
        <v>492</v>
      </c>
      <c r="B1793" s="50" t="s">
        <v>50</v>
      </c>
      <c r="C1793" s="51">
        <v>136344</v>
      </c>
      <c r="D1793" s="51">
        <v>-499</v>
      </c>
      <c r="E1793" s="51">
        <v>0</v>
      </c>
      <c r="F1793" s="51">
        <v>0</v>
      </c>
      <c r="G1793" s="51">
        <v>0</v>
      </c>
      <c r="H1793" s="51">
        <v>135845</v>
      </c>
      <c r="I1793" s="51">
        <v>-43821</v>
      </c>
      <c r="J1793" s="51">
        <v>92024</v>
      </c>
      <c r="K1793" s="51">
        <v>0</v>
      </c>
      <c r="L1793" s="51">
        <v>0</v>
      </c>
      <c r="M1793" s="51">
        <v>0</v>
      </c>
      <c r="N1793" s="51">
        <v>92024</v>
      </c>
    </row>
    <row r="1794" spans="1:14" ht="15.75" x14ac:dyDescent="0.25">
      <c r="A1794" s="49" t="s">
        <v>492</v>
      </c>
      <c r="B1794" s="50" t="s">
        <v>51</v>
      </c>
      <c r="C1794" s="51">
        <v>124596</v>
      </c>
      <c r="D1794" s="51">
        <v>-477</v>
      </c>
      <c r="E1794" s="51">
        <v>0</v>
      </c>
      <c r="F1794" s="51">
        <v>0</v>
      </c>
      <c r="G1794" s="51">
        <v>0</v>
      </c>
      <c r="H1794" s="51">
        <v>124119</v>
      </c>
      <c r="I1794" s="51">
        <v>-55815</v>
      </c>
      <c r="J1794" s="51">
        <v>68304</v>
      </c>
      <c r="K1794" s="51">
        <v>0</v>
      </c>
      <c r="L1794" s="51">
        <v>0</v>
      </c>
      <c r="M1794" s="51">
        <v>0</v>
      </c>
      <c r="N1794" s="51">
        <v>68304</v>
      </c>
    </row>
    <row r="1795" spans="1:14" ht="15.75" x14ac:dyDescent="0.25">
      <c r="A1795" s="49" t="s">
        <v>492</v>
      </c>
      <c r="B1795" s="50" t="s">
        <v>52</v>
      </c>
      <c r="C1795" s="51">
        <v>83782</v>
      </c>
      <c r="D1795" s="51">
        <v>-546</v>
      </c>
      <c r="E1795" s="51">
        <v>0</v>
      </c>
      <c r="F1795" s="51">
        <v>0</v>
      </c>
      <c r="G1795" s="51">
        <v>0</v>
      </c>
      <c r="H1795" s="51">
        <v>83236</v>
      </c>
      <c r="I1795" s="51">
        <v>-46217</v>
      </c>
      <c r="J1795" s="51">
        <v>37019</v>
      </c>
      <c r="K1795" s="51">
        <v>0</v>
      </c>
      <c r="L1795" s="51">
        <v>0</v>
      </c>
      <c r="M1795" s="51">
        <v>0</v>
      </c>
      <c r="N1795" s="51">
        <v>37019</v>
      </c>
    </row>
    <row r="1796" spans="1:14" ht="15.75" x14ac:dyDescent="0.25">
      <c r="A1796" s="49" t="s">
        <v>492</v>
      </c>
      <c r="B1796" s="50" t="s">
        <v>53</v>
      </c>
      <c r="C1796" s="51">
        <v>69117</v>
      </c>
      <c r="D1796" s="51">
        <v>-340</v>
      </c>
      <c r="E1796" s="51">
        <v>0</v>
      </c>
      <c r="F1796" s="51">
        <v>0</v>
      </c>
      <c r="G1796" s="51">
        <v>0</v>
      </c>
      <c r="H1796" s="51">
        <v>68777</v>
      </c>
      <c r="I1796" s="51">
        <v>-28480</v>
      </c>
      <c r="J1796" s="51">
        <v>40297</v>
      </c>
      <c r="K1796" s="51">
        <v>0</v>
      </c>
      <c r="L1796" s="51">
        <v>0</v>
      </c>
      <c r="M1796" s="51">
        <v>0</v>
      </c>
      <c r="N1796" s="51">
        <v>40297</v>
      </c>
    </row>
    <row r="1797" spans="1:14" ht="15.75" x14ac:dyDescent="0.25">
      <c r="A1797" s="49" t="s">
        <v>492</v>
      </c>
      <c r="B1797" s="50" t="s">
        <v>54</v>
      </c>
      <c r="C1797" s="51">
        <v>75535</v>
      </c>
      <c r="D1797" s="51">
        <v>-498</v>
      </c>
      <c r="E1797" s="51">
        <v>0</v>
      </c>
      <c r="F1797" s="51">
        <v>0</v>
      </c>
      <c r="G1797" s="51">
        <v>0</v>
      </c>
      <c r="H1797" s="51">
        <v>75037</v>
      </c>
      <c r="I1797" s="51">
        <v>-67868</v>
      </c>
      <c r="J1797" s="51">
        <v>7169</v>
      </c>
      <c r="K1797" s="51">
        <v>0</v>
      </c>
      <c r="L1797" s="51">
        <v>0</v>
      </c>
      <c r="M1797" s="51">
        <v>0</v>
      </c>
      <c r="N1797" s="51">
        <v>7169</v>
      </c>
    </row>
    <row r="1798" spans="1:14" ht="15.75" x14ac:dyDescent="0.25">
      <c r="A1798" s="49" t="s">
        <v>492</v>
      </c>
      <c r="B1798" s="50" t="s">
        <v>55</v>
      </c>
      <c r="C1798" s="51">
        <v>54053</v>
      </c>
      <c r="D1798" s="51">
        <v>-759</v>
      </c>
      <c r="E1798" s="51">
        <v>0</v>
      </c>
      <c r="F1798" s="51">
        <v>0</v>
      </c>
      <c r="G1798" s="51">
        <v>0</v>
      </c>
      <c r="H1798" s="51">
        <v>53294</v>
      </c>
      <c r="I1798" s="51">
        <v>-46597</v>
      </c>
      <c r="J1798" s="51">
        <v>6697</v>
      </c>
      <c r="K1798" s="51">
        <v>0</v>
      </c>
      <c r="L1798" s="51">
        <v>0</v>
      </c>
      <c r="M1798" s="51">
        <v>0</v>
      </c>
      <c r="N1798" s="51">
        <v>6697</v>
      </c>
    </row>
    <row r="1799" spans="1:14" ht="15.75" x14ac:dyDescent="0.25">
      <c r="A1799" s="49" t="s">
        <v>492</v>
      </c>
      <c r="B1799" s="50" t="s">
        <v>56</v>
      </c>
      <c r="C1799" s="51">
        <v>38314</v>
      </c>
      <c r="D1799" s="51">
        <v>0</v>
      </c>
      <c r="E1799" s="51">
        <v>0</v>
      </c>
      <c r="F1799" s="51">
        <v>0</v>
      </c>
      <c r="G1799" s="51">
        <v>0</v>
      </c>
      <c r="H1799" s="51">
        <v>38314</v>
      </c>
      <c r="I1799" s="51">
        <v>-38314</v>
      </c>
      <c r="J1799" s="51">
        <v>0</v>
      </c>
      <c r="K1799" s="51">
        <v>0</v>
      </c>
      <c r="L1799" s="51">
        <v>0</v>
      </c>
      <c r="M1799" s="51">
        <v>0</v>
      </c>
      <c r="N1799" s="51">
        <v>0</v>
      </c>
    </row>
    <row r="1800" spans="1:14" ht="15.75" x14ac:dyDescent="0.25">
      <c r="A1800" s="49" t="s">
        <v>492</v>
      </c>
      <c r="B1800" s="50" t="s">
        <v>57</v>
      </c>
      <c r="C1800" s="51">
        <v>32464</v>
      </c>
      <c r="D1800" s="51">
        <v>0</v>
      </c>
      <c r="E1800" s="51">
        <v>0</v>
      </c>
      <c r="F1800" s="51">
        <v>0</v>
      </c>
      <c r="G1800" s="51">
        <v>0</v>
      </c>
      <c r="H1800" s="51">
        <v>32464</v>
      </c>
      <c r="I1800" s="51">
        <v>-32464</v>
      </c>
      <c r="J1800" s="51">
        <v>0</v>
      </c>
      <c r="K1800" s="51">
        <v>0</v>
      </c>
      <c r="L1800" s="51">
        <v>0</v>
      </c>
      <c r="M1800" s="51">
        <v>0</v>
      </c>
      <c r="N1800" s="51">
        <v>0</v>
      </c>
    </row>
    <row r="1801" spans="1:14" ht="15.75" x14ac:dyDescent="0.25">
      <c r="A1801" s="52" t="s">
        <v>369</v>
      </c>
      <c r="B1801" s="53" t="s">
        <v>8</v>
      </c>
      <c r="C1801" s="19">
        <f>SUBTOTAL(109,Program308[(C)
Program
Costs])</f>
        <v>1090452</v>
      </c>
      <c r="D1801" s="19">
        <f>SUBTOTAL(109,Program308[(D)
Prior Period Adjustments])</f>
        <v>-5824</v>
      </c>
      <c r="E1801" s="19">
        <f>SUBTOTAL(109,Program308[(E)
Current Period Desk 
Reviews])</f>
        <v>0</v>
      </c>
      <c r="F1801" s="19">
        <f>SUBTOTAL(109,Program308[(F)
Current Period 
Final 
Audits])</f>
        <v>0</v>
      </c>
      <c r="G1801" s="19">
        <f>SUBTOTAL(109,Program308[(G)
Current Period 
Other Adjustments])</f>
        <v>0</v>
      </c>
      <c r="H1801" s="19">
        <f>SUBTOTAL(109,Program308[(H)
Net Program Costs
Sum (C through G)])</f>
        <v>1084628</v>
      </c>
      <c r="I1801" s="19">
        <f>SUBTOTAL(109,Program308[(I)
Payments
 and Offsets])</f>
        <v>-565735</v>
      </c>
      <c r="J1801" s="19">
        <f>SUBTOTAL(109,Program308[(J)
Accounts Payable Balance
(H + I)])</f>
        <v>518893</v>
      </c>
      <c r="K1801" s="19">
        <f>SUBTOTAL(109,Program308[(K)
Established 
Accounts Receivable])</f>
        <v>0</v>
      </c>
      <c r="L1801" s="19">
        <f>SUBTOTAL(109,Program308[(L)
Recovered
 Accounts Receivable])</f>
        <v>0</v>
      </c>
      <c r="M1801" s="19">
        <f>SUBTOTAL(109,Program308[(M)
Accounts Receivable Balance
(K + L)])</f>
        <v>0</v>
      </c>
      <c r="N1801" s="19">
        <f>SUBTOTAL(109,Program308[(N)
Net Balance
(J minus M)])</f>
        <v>518893</v>
      </c>
    </row>
    <row r="1802" spans="1:14" ht="15.75" x14ac:dyDescent="0.25">
      <c r="A1802" s="17" t="s">
        <v>13</v>
      </c>
      <c r="B1802" s="54"/>
      <c r="C1802" s="55"/>
      <c r="D1802" s="55"/>
      <c r="E1802" s="55"/>
      <c r="F1802" s="55"/>
      <c r="G1802" s="55"/>
      <c r="H1802" s="55"/>
      <c r="I1802" s="55"/>
      <c r="J1802" s="55"/>
      <c r="K1802" s="55"/>
      <c r="L1802" s="55"/>
      <c r="M1802" s="55"/>
      <c r="N1802" s="55"/>
    </row>
    <row r="1803" spans="1:14" ht="78.75" x14ac:dyDescent="0.25">
      <c r="A1803" s="39" t="s">
        <v>32</v>
      </c>
      <c r="B1803" s="40" t="s">
        <v>33</v>
      </c>
      <c r="C1803" s="41" t="s">
        <v>34</v>
      </c>
      <c r="D1803" s="41" t="s">
        <v>35</v>
      </c>
      <c r="E1803" s="42" t="s">
        <v>36</v>
      </c>
      <c r="F1803" s="42" t="s">
        <v>37</v>
      </c>
      <c r="G1803" s="42" t="s">
        <v>38</v>
      </c>
      <c r="H1803" s="43" t="s">
        <v>39</v>
      </c>
      <c r="I1803" s="44" t="s">
        <v>40</v>
      </c>
      <c r="J1803" s="44" t="s">
        <v>41</v>
      </c>
      <c r="K1803" s="42" t="s">
        <v>42</v>
      </c>
      <c r="L1803" s="44" t="s">
        <v>43</v>
      </c>
      <c r="M1803" s="44" t="s">
        <v>44</v>
      </c>
      <c r="N1803" s="45" t="s">
        <v>45</v>
      </c>
    </row>
    <row r="1804" spans="1:14" ht="15.75" x14ac:dyDescent="0.25">
      <c r="A1804" s="46" t="s">
        <v>491</v>
      </c>
      <c r="B1804" s="47" t="s">
        <v>52</v>
      </c>
      <c r="C1804" s="48">
        <v>14384</v>
      </c>
      <c r="D1804" s="48">
        <v>-1227</v>
      </c>
      <c r="E1804" s="48">
        <v>0</v>
      </c>
      <c r="F1804" s="48">
        <v>0</v>
      </c>
      <c r="G1804" s="48">
        <v>0</v>
      </c>
      <c r="H1804" s="48">
        <v>13157</v>
      </c>
      <c r="I1804" s="48">
        <v>-13157</v>
      </c>
      <c r="J1804" s="48">
        <v>0</v>
      </c>
      <c r="K1804" s="48">
        <v>0</v>
      </c>
      <c r="L1804" s="48">
        <v>0</v>
      </c>
      <c r="M1804" s="48">
        <v>0</v>
      </c>
      <c r="N1804" s="48">
        <v>0</v>
      </c>
    </row>
    <row r="1805" spans="1:14" ht="15.75" x14ac:dyDescent="0.25">
      <c r="A1805" s="49" t="s">
        <v>491</v>
      </c>
      <c r="B1805" s="50" t="s">
        <v>53</v>
      </c>
      <c r="C1805" s="51">
        <v>20020</v>
      </c>
      <c r="D1805" s="51">
        <v>-1599</v>
      </c>
      <c r="E1805" s="51">
        <v>0</v>
      </c>
      <c r="F1805" s="51">
        <v>0</v>
      </c>
      <c r="G1805" s="51">
        <v>0</v>
      </c>
      <c r="H1805" s="51">
        <v>18421</v>
      </c>
      <c r="I1805" s="51">
        <v>-18421</v>
      </c>
      <c r="J1805" s="51">
        <v>0</v>
      </c>
      <c r="K1805" s="51">
        <v>0</v>
      </c>
      <c r="L1805" s="51">
        <v>0</v>
      </c>
      <c r="M1805" s="51">
        <v>0</v>
      </c>
      <c r="N1805" s="51">
        <v>0</v>
      </c>
    </row>
    <row r="1806" spans="1:14" ht="15.75" x14ac:dyDescent="0.25">
      <c r="A1806" s="49" t="s">
        <v>491</v>
      </c>
      <c r="B1806" s="50" t="s">
        <v>54</v>
      </c>
      <c r="C1806" s="51">
        <v>23466</v>
      </c>
      <c r="D1806" s="51">
        <v>-1457</v>
      </c>
      <c r="E1806" s="51">
        <v>0</v>
      </c>
      <c r="F1806" s="51">
        <v>0</v>
      </c>
      <c r="G1806" s="51">
        <v>0</v>
      </c>
      <c r="H1806" s="51">
        <v>22009</v>
      </c>
      <c r="I1806" s="51">
        <v>-22009</v>
      </c>
      <c r="J1806" s="51">
        <v>0</v>
      </c>
      <c r="K1806" s="51">
        <v>0</v>
      </c>
      <c r="L1806" s="51">
        <v>0</v>
      </c>
      <c r="M1806" s="51">
        <v>0</v>
      </c>
      <c r="N1806" s="51">
        <v>0</v>
      </c>
    </row>
    <row r="1807" spans="1:14" ht="15.75" x14ac:dyDescent="0.25">
      <c r="A1807" s="49" t="s">
        <v>491</v>
      </c>
      <c r="B1807" s="50" t="s">
        <v>55</v>
      </c>
      <c r="C1807" s="51">
        <v>16697</v>
      </c>
      <c r="D1807" s="51">
        <v>-1342</v>
      </c>
      <c r="E1807" s="51">
        <v>0</v>
      </c>
      <c r="F1807" s="51">
        <v>0</v>
      </c>
      <c r="G1807" s="51">
        <v>0</v>
      </c>
      <c r="H1807" s="51">
        <v>15355</v>
      </c>
      <c r="I1807" s="51">
        <v>-15355</v>
      </c>
      <c r="J1807" s="51">
        <v>0</v>
      </c>
      <c r="K1807" s="51">
        <v>0</v>
      </c>
      <c r="L1807" s="51">
        <v>0</v>
      </c>
      <c r="M1807" s="51">
        <v>0</v>
      </c>
      <c r="N1807" s="51">
        <v>0</v>
      </c>
    </row>
    <row r="1808" spans="1:14" ht="15.75" x14ac:dyDescent="0.25">
      <c r="A1808" s="49" t="s">
        <v>491</v>
      </c>
      <c r="B1808" s="50" t="s">
        <v>56</v>
      </c>
      <c r="C1808" s="51">
        <v>18061</v>
      </c>
      <c r="D1808" s="51">
        <v>-1506</v>
      </c>
      <c r="E1808" s="51">
        <v>0</v>
      </c>
      <c r="F1808" s="51">
        <v>0</v>
      </c>
      <c r="G1808" s="51">
        <v>0</v>
      </c>
      <c r="H1808" s="51">
        <v>16555</v>
      </c>
      <c r="I1808" s="51">
        <v>-16555</v>
      </c>
      <c r="J1808" s="51">
        <v>0</v>
      </c>
      <c r="K1808" s="51">
        <v>0</v>
      </c>
      <c r="L1808" s="51">
        <v>0</v>
      </c>
      <c r="M1808" s="51">
        <v>0</v>
      </c>
      <c r="N1808" s="51">
        <v>0</v>
      </c>
    </row>
    <row r="1809" spans="1:14" ht="15.75" x14ac:dyDescent="0.25">
      <c r="A1809" s="52" t="s">
        <v>368</v>
      </c>
      <c r="B1809" s="53" t="s">
        <v>8</v>
      </c>
      <c r="C1809" s="19">
        <f>SUBTOTAL(109,Program352[(C)
Program
Costs])</f>
        <v>92628</v>
      </c>
      <c r="D1809" s="19">
        <f>SUBTOTAL(109,Program352[(D)
Prior Period Adjustments])</f>
        <v>-7131</v>
      </c>
      <c r="E1809" s="19">
        <f>SUBTOTAL(109,Program352[(E)
Current Period Desk 
Reviews])</f>
        <v>0</v>
      </c>
      <c r="F1809" s="19">
        <f>SUBTOTAL(109,Program352[(F)
Current Period 
Final 
Audits])</f>
        <v>0</v>
      </c>
      <c r="G1809" s="19">
        <f>SUBTOTAL(109,Program352[(G)
Current Period 
Other Adjustments])</f>
        <v>0</v>
      </c>
      <c r="H1809" s="19">
        <f>SUBTOTAL(109,Program352[(H)
Net Program Costs
Sum (C through G)])</f>
        <v>85497</v>
      </c>
      <c r="I1809" s="19">
        <f>SUBTOTAL(109,Program352[(I)
Payments
 and Offsets])</f>
        <v>-85497</v>
      </c>
      <c r="J1809" s="19">
        <f>SUBTOTAL(109,Program352[(J)
Accounts Payable Balance
(H + I)])</f>
        <v>0</v>
      </c>
      <c r="K1809" s="19">
        <f>SUBTOTAL(109,Program352[(K)
Established 
Accounts Receivable])</f>
        <v>0</v>
      </c>
      <c r="L1809" s="19">
        <f>SUBTOTAL(109,Program352[(L)
Recovered
 Accounts Receivable])</f>
        <v>0</v>
      </c>
      <c r="M1809" s="19">
        <f>SUBTOTAL(109,Program352[(M)
Accounts Receivable Balance
(K + L)])</f>
        <v>0</v>
      </c>
      <c r="N1809" s="19">
        <f>SUBTOTAL(109,Program352[(N)
Net Balance
(J minus M)])</f>
        <v>0</v>
      </c>
    </row>
    <row r="1810" spans="1:14" ht="15.75" x14ac:dyDescent="0.25">
      <c r="A1810" s="17" t="s">
        <v>13</v>
      </c>
      <c r="B1810" s="54"/>
      <c r="C1810" s="55"/>
      <c r="D1810" s="55"/>
      <c r="E1810" s="55"/>
      <c r="F1810" s="55"/>
      <c r="G1810" s="55"/>
      <c r="H1810" s="55"/>
      <c r="I1810" s="55"/>
      <c r="J1810" s="55"/>
      <c r="K1810" s="55"/>
      <c r="L1810" s="55"/>
      <c r="M1810" s="55"/>
      <c r="N1810" s="55"/>
    </row>
    <row r="1811" spans="1:14" ht="78.75" x14ac:dyDescent="0.25">
      <c r="A1811" s="39" t="s">
        <v>32</v>
      </c>
      <c r="B1811" s="40" t="s">
        <v>33</v>
      </c>
      <c r="C1811" s="41" t="s">
        <v>34</v>
      </c>
      <c r="D1811" s="41" t="s">
        <v>35</v>
      </c>
      <c r="E1811" s="42" t="s">
        <v>36</v>
      </c>
      <c r="F1811" s="42" t="s">
        <v>37</v>
      </c>
      <c r="G1811" s="42" t="s">
        <v>38</v>
      </c>
      <c r="H1811" s="43" t="s">
        <v>39</v>
      </c>
      <c r="I1811" s="44" t="s">
        <v>40</v>
      </c>
      <c r="J1811" s="44" t="s">
        <v>41</v>
      </c>
      <c r="K1811" s="42" t="s">
        <v>42</v>
      </c>
      <c r="L1811" s="44" t="s">
        <v>43</v>
      </c>
      <c r="M1811" s="44" t="s">
        <v>44</v>
      </c>
      <c r="N1811" s="45" t="s">
        <v>45</v>
      </c>
    </row>
    <row r="1812" spans="1:14" ht="15.75" x14ac:dyDescent="0.25">
      <c r="A1812" s="46" t="s">
        <v>490</v>
      </c>
      <c r="B1812" s="47" t="s">
        <v>55</v>
      </c>
      <c r="C1812" s="48">
        <v>11745</v>
      </c>
      <c r="D1812" s="48">
        <v>0</v>
      </c>
      <c r="E1812" s="48">
        <v>0</v>
      </c>
      <c r="F1812" s="48">
        <v>0</v>
      </c>
      <c r="G1812" s="48">
        <v>0</v>
      </c>
      <c r="H1812" s="48">
        <v>11745</v>
      </c>
      <c r="I1812" s="48">
        <v>-11745</v>
      </c>
      <c r="J1812" s="48">
        <v>0</v>
      </c>
      <c r="K1812" s="48">
        <v>0</v>
      </c>
      <c r="L1812" s="48">
        <v>0</v>
      </c>
      <c r="M1812" s="48">
        <v>0</v>
      </c>
      <c r="N1812" s="48">
        <v>0</v>
      </c>
    </row>
    <row r="1813" spans="1:14" ht="15.75" x14ac:dyDescent="0.25">
      <c r="A1813" s="49" t="s">
        <v>490</v>
      </c>
      <c r="B1813" s="50" t="s">
        <v>56</v>
      </c>
      <c r="C1813" s="51">
        <v>8979</v>
      </c>
      <c r="D1813" s="51">
        <v>0</v>
      </c>
      <c r="E1813" s="51">
        <v>0</v>
      </c>
      <c r="F1813" s="51">
        <v>0</v>
      </c>
      <c r="G1813" s="51">
        <v>0</v>
      </c>
      <c r="H1813" s="51">
        <v>8979</v>
      </c>
      <c r="I1813" s="51">
        <v>-8979</v>
      </c>
      <c r="J1813" s="51">
        <v>0</v>
      </c>
      <c r="K1813" s="51">
        <v>0</v>
      </c>
      <c r="L1813" s="51">
        <v>0</v>
      </c>
      <c r="M1813" s="51">
        <v>0</v>
      </c>
      <c r="N1813" s="51">
        <v>0</v>
      </c>
    </row>
    <row r="1814" spans="1:14" ht="15.75" x14ac:dyDescent="0.25">
      <c r="A1814" s="49" t="s">
        <v>490</v>
      </c>
      <c r="B1814" s="50" t="s">
        <v>57</v>
      </c>
      <c r="C1814" s="51">
        <v>11518</v>
      </c>
      <c r="D1814" s="51">
        <v>0</v>
      </c>
      <c r="E1814" s="51">
        <v>0</v>
      </c>
      <c r="F1814" s="51">
        <v>0</v>
      </c>
      <c r="G1814" s="51">
        <v>0</v>
      </c>
      <c r="H1814" s="51">
        <v>11518</v>
      </c>
      <c r="I1814" s="51">
        <v>-11518</v>
      </c>
      <c r="J1814" s="51">
        <v>0</v>
      </c>
      <c r="K1814" s="51">
        <v>0</v>
      </c>
      <c r="L1814" s="51">
        <v>0</v>
      </c>
      <c r="M1814" s="51">
        <v>0</v>
      </c>
      <c r="N1814" s="51">
        <v>0</v>
      </c>
    </row>
    <row r="1815" spans="1:14" ht="15.75" x14ac:dyDescent="0.25">
      <c r="A1815" s="49" t="s">
        <v>490</v>
      </c>
      <c r="B1815" s="50" t="s">
        <v>58</v>
      </c>
      <c r="C1815" s="51">
        <v>8104</v>
      </c>
      <c r="D1815" s="51">
        <v>0</v>
      </c>
      <c r="E1815" s="51">
        <v>0</v>
      </c>
      <c r="F1815" s="51">
        <v>0</v>
      </c>
      <c r="G1815" s="51">
        <v>0</v>
      </c>
      <c r="H1815" s="51">
        <v>8104</v>
      </c>
      <c r="I1815" s="51">
        <v>-8104</v>
      </c>
      <c r="J1815" s="51">
        <v>0</v>
      </c>
      <c r="K1815" s="51">
        <v>0</v>
      </c>
      <c r="L1815" s="51">
        <v>0</v>
      </c>
      <c r="M1815" s="51">
        <v>0</v>
      </c>
      <c r="N1815" s="51">
        <v>0</v>
      </c>
    </row>
    <row r="1816" spans="1:14" ht="15.75" x14ac:dyDescent="0.25">
      <c r="A1816" s="49" t="s">
        <v>490</v>
      </c>
      <c r="B1816" s="50" t="s">
        <v>59</v>
      </c>
      <c r="C1816" s="51">
        <v>10844</v>
      </c>
      <c r="D1816" s="51">
        <v>0</v>
      </c>
      <c r="E1816" s="51">
        <v>0</v>
      </c>
      <c r="F1816" s="51">
        <v>0</v>
      </c>
      <c r="G1816" s="51">
        <v>0</v>
      </c>
      <c r="H1816" s="51">
        <v>10844</v>
      </c>
      <c r="I1816" s="51">
        <v>-10844</v>
      </c>
      <c r="J1816" s="51">
        <v>0</v>
      </c>
      <c r="K1816" s="51">
        <v>0</v>
      </c>
      <c r="L1816" s="51">
        <v>0</v>
      </c>
      <c r="M1816" s="51">
        <v>0</v>
      </c>
      <c r="N1816" s="51">
        <v>0</v>
      </c>
    </row>
    <row r="1817" spans="1:14" ht="15.75" x14ac:dyDescent="0.25">
      <c r="A1817" s="49" t="s">
        <v>490</v>
      </c>
      <c r="B1817" s="50" t="s">
        <v>60</v>
      </c>
      <c r="C1817" s="51">
        <v>1465</v>
      </c>
      <c r="D1817" s="51">
        <v>0</v>
      </c>
      <c r="E1817" s="51">
        <v>0</v>
      </c>
      <c r="F1817" s="51">
        <v>0</v>
      </c>
      <c r="G1817" s="51">
        <v>0</v>
      </c>
      <c r="H1817" s="51">
        <v>1465</v>
      </c>
      <c r="I1817" s="51">
        <v>-1465</v>
      </c>
      <c r="J1817" s="51">
        <v>0</v>
      </c>
      <c r="K1817" s="51">
        <v>0</v>
      </c>
      <c r="L1817" s="51">
        <v>0</v>
      </c>
      <c r="M1817" s="51">
        <v>0</v>
      </c>
      <c r="N1817" s="51">
        <v>0</v>
      </c>
    </row>
    <row r="1818" spans="1:14" ht="15.75" x14ac:dyDescent="0.25">
      <c r="A1818" s="52" t="s">
        <v>367</v>
      </c>
      <c r="B1818" s="53" t="s">
        <v>8</v>
      </c>
      <c r="C1818" s="19">
        <f>SUBTOTAL(109,Program252[(C)
Program
Costs])</f>
        <v>52655</v>
      </c>
      <c r="D1818" s="19">
        <f>SUBTOTAL(109,Program252[(D)
Prior Period Adjustments])</f>
        <v>0</v>
      </c>
      <c r="E1818" s="19">
        <f>SUBTOTAL(109,Program252[(E)
Current Period Desk 
Reviews])</f>
        <v>0</v>
      </c>
      <c r="F1818" s="19">
        <f>SUBTOTAL(109,Program252[(F)
Current Period 
Final 
Audits])</f>
        <v>0</v>
      </c>
      <c r="G1818" s="19">
        <f>SUBTOTAL(109,Program252[(G)
Current Period 
Other Adjustments])</f>
        <v>0</v>
      </c>
      <c r="H1818" s="19">
        <f>SUBTOTAL(109,Program252[(H)
Net Program Costs
Sum (C through G)])</f>
        <v>52655</v>
      </c>
      <c r="I1818" s="19">
        <f>SUBTOTAL(109,Program252[(I)
Payments
 and Offsets])</f>
        <v>-52655</v>
      </c>
      <c r="J1818" s="19">
        <f>SUBTOTAL(109,Program252[(J)
Accounts Payable Balance
(H + I)])</f>
        <v>0</v>
      </c>
      <c r="K1818" s="19">
        <f>SUBTOTAL(109,Program252[(K)
Established 
Accounts Receivable])</f>
        <v>0</v>
      </c>
      <c r="L1818" s="19">
        <f>SUBTOTAL(109,Program252[(L)
Recovered
 Accounts Receivable])</f>
        <v>0</v>
      </c>
      <c r="M1818" s="19">
        <f>SUBTOTAL(109,Program252[(M)
Accounts Receivable Balance
(K + L)])</f>
        <v>0</v>
      </c>
      <c r="N1818" s="19">
        <f>SUBTOTAL(109,Program252[(N)
Net Balance
(J minus M)])</f>
        <v>0</v>
      </c>
    </row>
    <row r="1819" spans="1:14" ht="15.75" x14ac:dyDescent="0.25">
      <c r="A1819" s="17" t="s">
        <v>13</v>
      </c>
      <c r="B1819" s="54"/>
      <c r="C1819" s="55"/>
      <c r="D1819" s="55"/>
      <c r="E1819" s="55"/>
      <c r="F1819" s="55"/>
      <c r="G1819" s="55"/>
      <c r="H1819" s="55"/>
      <c r="I1819" s="55"/>
      <c r="J1819" s="55"/>
      <c r="K1819" s="55"/>
      <c r="L1819" s="55"/>
      <c r="M1819" s="55"/>
      <c r="N1819" s="55"/>
    </row>
    <row r="1820" spans="1:14" ht="78.75" x14ac:dyDescent="0.25">
      <c r="A1820" s="39" t="s">
        <v>32</v>
      </c>
      <c r="B1820" s="40" t="s">
        <v>33</v>
      </c>
      <c r="C1820" s="41" t="s">
        <v>34</v>
      </c>
      <c r="D1820" s="41" t="s">
        <v>35</v>
      </c>
      <c r="E1820" s="42" t="s">
        <v>36</v>
      </c>
      <c r="F1820" s="42" t="s">
        <v>37</v>
      </c>
      <c r="G1820" s="42" t="s">
        <v>38</v>
      </c>
      <c r="H1820" s="43" t="s">
        <v>39</v>
      </c>
      <c r="I1820" s="44" t="s">
        <v>40</v>
      </c>
      <c r="J1820" s="44" t="s">
        <v>41</v>
      </c>
      <c r="K1820" s="42" t="s">
        <v>42</v>
      </c>
      <c r="L1820" s="44" t="s">
        <v>43</v>
      </c>
      <c r="M1820" s="44" t="s">
        <v>44</v>
      </c>
      <c r="N1820" s="45" t="s">
        <v>45</v>
      </c>
    </row>
    <row r="1821" spans="1:14" ht="15.75" x14ac:dyDescent="0.25">
      <c r="A1821" s="46" t="s">
        <v>489</v>
      </c>
      <c r="B1821" s="47" t="s">
        <v>76</v>
      </c>
      <c r="C1821" s="48">
        <v>78666</v>
      </c>
      <c r="D1821" s="48">
        <v>0</v>
      </c>
      <c r="E1821" s="48">
        <v>0</v>
      </c>
      <c r="F1821" s="48">
        <v>0</v>
      </c>
      <c r="G1821" s="48">
        <v>0</v>
      </c>
      <c r="H1821" s="48">
        <v>78666</v>
      </c>
      <c r="I1821" s="48">
        <v>0</v>
      </c>
      <c r="J1821" s="48">
        <v>78666</v>
      </c>
      <c r="K1821" s="48">
        <v>0</v>
      </c>
      <c r="L1821" s="48">
        <v>0</v>
      </c>
      <c r="M1821" s="48">
        <v>0</v>
      </c>
      <c r="N1821" s="48">
        <v>78666</v>
      </c>
    </row>
    <row r="1822" spans="1:14" ht="15.75" x14ac:dyDescent="0.25">
      <c r="A1822" s="49" t="s">
        <v>489</v>
      </c>
      <c r="B1822" s="50" t="s">
        <v>77</v>
      </c>
      <c r="C1822" s="51">
        <v>105162</v>
      </c>
      <c r="D1822" s="51">
        <v>0</v>
      </c>
      <c r="E1822" s="51">
        <v>0</v>
      </c>
      <c r="F1822" s="51">
        <v>0</v>
      </c>
      <c r="G1822" s="51">
        <v>0</v>
      </c>
      <c r="H1822" s="51">
        <v>105162</v>
      </c>
      <c r="I1822" s="51">
        <v>-1000</v>
      </c>
      <c r="J1822" s="51">
        <v>104162</v>
      </c>
      <c r="K1822" s="51">
        <v>0</v>
      </c>
      <c r="L1822" s="51">
        <v>0</v>
      </c>
      <c r="M1822" s="51">
        <v>0</v>
      </c>
      <c r="N1822" s="51">
        <v>104162</v>
      </c>
    </row>
    <row r="1823" spans="1:14" ht="15.75" x14ac:dyDescent="0.25">
      <c r="A1823" s="49" t="s">
        <v>489</v>
      </c>
      <c r="B1823" s="50" t="s">
        <v>78</v>
      </c>
      <c r="C1823" s="51">
        <v>192758</v>
      </c>
      <c r="D1823" s="51">
        <v>0</v>
      </c>
      <c r="E1823" s="51">
        <v>0</v>
      </c>
      <c r="F1823" s="51">
        <v>0</v>
      </c>
      <c r="G1823" s="51">
        <v>0</v>
      </c>
      <c r="H1823" s="51">
        <v>192758</v>
      </c>
      <c r="I1823" s="51">
        <v>-1000</v>
      </c>
      <c r="J1823" s="51">
        <v>191758</v>
      </c>
      <c r="K1823" s="51">
        <v>0</v>
      </c>
      <c r="L1823" s="51">
        <v>0</v>
      </c>
      <c r="M1823" s="51">
        <v>0</v>
      </c>
      <c r="N1823" s="51">
        <v>191758</v>
      </c>
    </row>
    <row r="1824" spans="1:14" ht="15.75" x14ac:dyDescent="0.25">
      <c r="A1824" s="49" t="s">
        <v>489</v>
      </c>
      <c r="B1824" s="50" t="s">
        <v>47</v>
      </c>
      <c r="C1824" s="51">
        <v>223213</v>
      </c>
      <c r="D1824" s="51">
        <v>-2884</v>
      </c>
      <c r="E1824" s="51">
        <v>0</v>
      </c>
      <c r="F1824" s="51">
        <v>0</v>
      </c>
      <c r="G1824" s="51">
        <v>0</v>
      </c>
      <c r="H1824" s="51">
        <v>220329</v>
      </c>
      <c r="I1824" s="51">
        <v>-38220</v>
      </c>
      <c r="J1824" s="51">
        <v>182109</v>
      </c>
      <c r="K1824" s="51">
        <v>0</v>
      </c>
      <c r="L1824" s="51">
        <v>0</v>
      </c>
      <c r="M1824" s="51">
        <v>0</v>
      </c>
      <c r="N1824" s="51">
        <v>182109</v>
      </c>
    </row>
    <row r="1825" spans="1:14" ht="15.75" x14ac:dyDescent="0.25">
      <c r="A1825" s="49" t="s">
        <v>489</v>
      </c>
      <c r="B1825" s="50" t="s">
        <v>79</v>
      </c>
      <c r="C1825" s="51">
        <v>256675</v>
      </c>
      <c r="D1825" s="51">
        <v>0</v>
      </c>
      <c r="E1825" s="51">
        <v>0</v>
      </c>
      <c r="F1825" s="51">
        <v>0</v>
      </c>
      <c r="G1825" s="51">
        <v>0</v>
      </c>
      <c r="H1825" s="51">
        <v>256675</v>
      </c>
      <c r="I1825" s="51">
        <v>-39867</v>
      </c>
      <c r="J1825" s="51">
        <v>216808</v>
      </c>
      <c r="K1825" s="51">
        <v>0</v>
      </c>
      <c r="L1825" s="51">
        <v>0</v>
      </c>
      <c r="M1825" s="51">
        <v>0</v>
      </c>
      <c r="N1825" s="51">
        <v>216808</v>
      </c>
    </row>
    <row r="1826" spans="1:14" ht="15.75" x14ac:dyDescent="0.25">
      <c r="A1826" s="49" t="s">
        <v>489</v>
      </c>
      <c r="B1826" s="50" t="s">
        <v>80</v>
      </c>
      <c r="C1826" s="51">
        <v>1717582</v>
      </c>
      <c r="D1826" s="51">
        <v>-401243</v>
      </c>
      <c r="E1826" s="51">
        <v>0</v>
      </c>
      <c r="F1826" s="51">
        <v>0</v>
      </c>
      <c r="G1826" s="51">
        <v>0</v>
      </c>
      <c r="H1826" s="51">
        <v>1316339</v>
      </c>
      <c r="I1826" s="51">
        <v>-736708</v>
      </c>
      <c r="J1826" s="51">
        <v>579631</v>
      </c>
      <c r="K1826" s="51">
        <v>0</v>
      </c>
      <c r="L1826" s="51">
        <v>0</v>
      </c>
      <c r="M1826" s="51">
        <v>0</v>
      </c>
      <c r="N1826" s="51">
        <v>579631</v>
      </c>
    </row>
    <row r="1827" spans="1:14" ht="15.75" x14ac:dyDescent="0.25">
      <c r="A1827" s="49" t="s">
        <v>489</v>
      </c>
      <c r="B1827" s="50" t="s">
        <v>81</v>
      </c>
      <c r="C1827" s="51">
        <v>1689333</v>
      </c>
      <c r="D1827" s="51">
        <v>-455107</v>
      </c>
      <c r="E1827" s="51">
        <v>0</v>
      </c>
      <c r="F1827" s="51">
        <v>0</v>
      </c>
      <c r="G1827" s="51">
        <v>0</v>
      </c>
      <c r="H1827" s="51">
        <v>1234226</v>
      </c>
      <c r="I1827" s="51">
        <v>-664042</v>
      </c>
      <c r="J1827" s="51">
        <v>570184</v>
      </c>
      <c r="K1827" s="51">
        <v>0</v>
      </c>
      <c r="L1827" s="51">
        <v>0</v>
      </c>
      <c r="M1827" s="51">
        <v>0</v>
      </c>
      <c r="N1827" s="51">
        <v>570184</v>
      </c>
    </row>
    <row r="1828" spans="1:14" ht="15.75" x14ac:dyDescent="0.25">
      <c r="A1828" s="49" t="s">
        <v>489</v>
      </c>
      <c r="B1828" s="50" t="s">
        <v>82</v>
      </c>
      <c r="C1828" s="51">
        <v>3755739</v>
      </c>
      <c r="D1828" s="51">
        <v>-415467</v>
      </c>
      <c r="E1828" s="51">
        <v>0</v>
      </c>
      <c r="F1828" s="51">
        <v>0</v>
      </c>
      <c r="G1828" s="51">
        <v>0</v>
      </c>
      <c r="H1828" s="51">
        <v>3340272</v>
      </c>
      <c r="I1828" s="51">
        <v>-2110826</v>
      </c>
      <c r="J1828" s="51">
        <v>1229446</v>
      </c>
      <c r="K1828" s="51">
        <v>0</v>
      </c>
      <c r="L1828" s="51">
        <v>0</v>
      </c>
      <c r="M1828" s="51">
        <v>0</v>
      </c>
      <c r="N1828" s="51">
        <v>1229446</v>
      </c>
    </row>
    <row r="1829" spans="1:14" ht="15.75" x14ac:dyDescent="0.25">
      <c r="A1829" s="49" t="s">
        <v>489</v>
      </c>
      <c r="B1829" s="50" t="s">
        <v>83</v>
      </c>
      <c r="C1829" s="51">
        <v>18550848</v>
      </c>
      <c r="D1829" s="51">
        <v>-2007242</v>
      </c>
      <c r="E1829" s="51">
        <v>0</v>
      </c>
      <c r="F1829" s="51">
        <v>0</v>
      </c>
      <c r="G1829" s="51">
        <v>0</v>
      </c>
      <c r="H1829" s="51">
        <v>16543606</v>
      </c>
      <c r="I1829" s="51">
        <v>-13454196</v>
      </c>
      <c r="J1829" s="51">
        <v>3089410</v>
      </c>
      <c r="K1829" s="51">
        <v>0</v>
      </c>
      <c r="L1829" s="51">
        <v>0</v>
      </c>
      <c r="M1829" s="51">
        <v>0</v>
      </c>
      <c r="N1829" s="51">
        <v>3089410</v>
      </c>
    </row>
    <row r="1830" spans="1:14" ht="15.75" x14ac:dyDescent="0.25">
      <c r="A1830" s="49" t="s">
        <v>489</v>
      </c>
      <c r="B1830" s="50" t="s">
        <v>48</v>
      </c>
      <c r="C1830" s="51">
        <v>19690340</v>
      </c>
      <c r="D1830" s="51">
        <v>-2165780</v>
      </c>
      <c r="E1830" s="51">
        <v>0</v>
      </c>
      <c r="F1830" s="51">
        <v>0</v>
      </c>
      <c r="G1830" s="51">
        <v>0</v>
      </c>
      <c r="H1830" s="51">
        <v>17524560</v>
      </c>
      <c r="I1830" s="51">
        <v>-14643538</v>
      </c>
      <c r="J1830" s="51">
        <v>2881022</v>
      </c>
      <c r="K1830" s="51">
        <v>0</v>
      </c>
      <c r="L1830" s="51">
        <v>0</v>
      </c>
      <c r="M1830" s="51">
        <v>0</v>
      </c>
      <c r="N1830" s="51">
        <v>2881022</v>
      </c>
    </row>
    <row r="1831" spans="1:14" ht="15.75" x14ac:dyDescent="0.25">
      <c r="A1831" s="49" t="s">
        <v>489</v>
      </c>
      <c r="B1831" s="50" t="s">
        <v>49</v>
      </c>
      <c r="C1831" s="51">
        <v>19862714</v>
      </c>
      <c r="D1831" s="51">
        <v>-751631</v>
      </c>
      <c r="E1831" s="51">
        <v>0</v>
      </c>
      <c r="F1831" s="51">
        <v>0</v>
      </c>
      <c r="G1831" s="51">
        <v>0</v>
      </c>
      <c r="H1831" s="51">
        <v>19111083</v>
      </c>
      <c r="I1831" s="51">
        <v>-18993790</v>
      </c>
      <c r="J1831" s="51">
        <v>117293</v>
      </c>
      <c r="K1831" s="51">
        <v>670053</v>
      </c>
      <c r="L1831" s="51">
        <v>-20116</v>
      </c>
      <c r="M1831" s="51">
        <v>649937</v>
      </c>
      <c r="N1831" s="51">
        <v>-532644</v>
      </c>
    </row>
    <row r="1832" spans="1:14" ht="15.75" x14ac:dyDescent="0.25">
      <c r="A1832" s="49" t="s">
        <v>489</v>
      </c>
      <c r="B1832" s="50" t="s">
        <v>50</v>
      </c>
      <c r="C1832" s="51">
        <v>23115993</v>
      </c>
      <c r="D1832" s="51">
        <v>-1328302</v>
      </c>
      <c r="E1832" s="51">
        <v>0</v>
      </c>
      <c r="F1832" s="51">
        <v>0</v>
      </c>
      <c r="G1832" s="51">
        <v>0</v>
      </c>
      <c r="H1832" s="51">
        <v>21787691</v>
      </c>
      <c r="I1832" s="51">
        <v>-21509807</v>
      </c>
      <c r="J1832" s="51">
        <v>277884</v>
      </c>
      <c r="K1832" s="51">
        <v>1090955</v>
      </c>
      <c r="L1832" s="51">
        <v>-31533</v>
      </c>
      <c r="M1832" s="51">
        <v>1059422</v>
      </c>
      <c r="N1832" s="51">
        <v>-781538</v>
      </c>
    </row>
    <row r="1833" spans="1:14" ht="15.75" x14ac:dyDescent="0.25">
      <c r="A1833" s="49" t="s">
        <v>489</v>
      </c>
      <c r="B1833" s="50" t="s">
        <v>51</v>
      </c>
      <c r="C1833" s="51">
        <v>22442946</v>
      </c>
      <c r="D1833" s="51">
        <v>-3066312</v>
      </c>
      <c r="E1833" s="51">
        <v>0</v>
      </c>
      <c r="F1833" s="51">
        <v>0</v>
      </c>
      <c r="G1833" s="51">
        <v>0</v>
      </c>
      <c r="H1833" s="51">
        <v>19376634</v>
      </c>
      <c r="I1833" s="51">
        <v>-17627080</v>
      </c>
      <c r="J1833" s="51">
        <v>1749554</v>
      </c>
      <c r="K1833" s="51">
        <v>1086531</v>
      </c>
      <c r="L1833" s="51">
        <v>-1086531</v>
      </c>
      <c r="M1833" s="51">
        <v>0</v>
      </c>
      <c r="N1833" s="51">
        <v>1749554</v>
      </c>
    </row>
    <row r="1834" spans="1:14" ht="15.75" x14ac:dyDescent="0.25">
      <c r="A1834" s="49" t="s">
        <v>489</v>
      </c>
      <c r="B1834" s="50" t="s">
        <v>52</v>
      </c>
      <c r="C1834" s="51">
        <v>21121025</v>
      </c>
      <c r="D1834" s="51">
        <v>-2889476</v>
      </c>
      <c r="E1834" s="51">
        <v>0</v>
      </c>
      <c r="F1834" s="51">
        <v>0</v>
      </c>
      <c r="G1834" s="51">
        <v>0</v>
      </c>
      <c r="H1834" s="51">
        <v>18231549</v>
      </c>
      <c r="I1834" s="51">
        <v>-17200676</v>
      </c>
      <c r="J1834" s="51">
        <v>1030873</v>
      </c>
      <c r="K1834" s="51">
        <v>608055</v>
      </c>
      <c r="L1834" s="51">
        <v>-608055</v>
      </c>
      <c r="M1834" s="51">
        <v>0</v>
      </c>
      <c r="N1834" s="51">
        <v>1030873</v>
      </c>
    </row>
    <row r="1835" spans="1:14" ht="15.75" x14ac:dyDescent="0.25">
      <c r="A1835" s="49" t="s">
        <v>489</v>
      </c>
      <c r="B1835" s="50" t="s">
        <v>53</v>
      </c>
      <c r="C1835" s="51">
        <v>23017429</v>
      </c>
      <c r="D1835" s="51">
        <v>-3350463</v>
      </c>
      <c r="E1835" s="51">
        <v>0</v>
      </c>
      <c r="F1835" s="51">
        <v>0</v>
      </c>
      <c r="G1835" s="51">
        <v>0</v>
      </c>
      <c r="H1835" s="51">
        <v>19666966</v>
      </c>
      <c r="I1835" s="51">
        <v>-18822233</v>
      </c>
      <c r="J1835" s="51">
        <v>844733</v>
      </c>
      <c r="K1835" s="51">
        <v>874947</v>
      </c>
      <c r="L1835" s="51">
        <v>-874947</v>
      </c>
      <c r="M1835" s="51">
        <v>0</v>
      </c>
      <c r="N1835" s="51">
        <v>844733</v>
      </c>
    </row>
    <row r="1836" spans="1:14" ht="15.75" x14ac:dyDescent="0.25">
      <c r="A1836" s="49" t="s">
        <v>489</v>
      </c>
      <c r="B1836" s="50" t="s">
        <v>54</v>
      </c>
      <c r="C1836" s="51">
        <v>21413511</v>
      </c>
      <c r="D1836" s="51">
        <v>-4465279</v>
      </c>
      <c r="E1836" s="51">
        <v>0</v>
      </c>
      <c r="F1836" s="51">
        <v>0</v>
      </c>
      <c r="G1836" s="51">
        <v>0</v>
      </c>
      <c r="H1836" s="51">
        <v>16948232</v>
      </c>
      <c r="I1836" s="51">
        <v>-16421195</v>
      </c>
      <c r="J1836" s="51">
        <v>527037</v>
      </c>
      <c r="K1836" s="51">
        <v>857594</v>
      </c>
      <c r="L1836" s="51">
        <v>-857594</v>
      </c>
      <c r="M1836" s="51">
        <v>0</v>
      </c>
      <c r="N1836" s="51">
        <v>527037</v>
      </c>
    </row>
    <row r="1837" spans="1:14" ht="15.75" x14ac:dyDescent="0.25">
      <c r="A1837" s="49" t="s">
        <v>489</v>
      </c>
      <c r="B1837" s="50" t="s">
        <v>55</v>
      </c>
      <c r="C1837" s="51">
        <v>17967222</v>
      </c>
      <c r="D1837" s="51">
        <v>-3568279</v>
      </c>
      <c r="E1837" s="51">
        <v>0</v>
      </c>
      <c r="F1837" s="51">
        <v>0</v>
      </c>
      <c r="G1837" s="51">
        <v>0</v>
      </c>
      <c r="H1837" s="51">
        <v>14398943</v>
      </c>
      <c r="I1837" s="51">
        <v>-14149465</v>
      </c>
      <c r="J1837" s="51">
        <v>249478</v>
      </c>
      <c r="K1837" s="51">
        <v>744918</v>
      </c>
      <c r="L1837" s="51">
        <v>-744918</v>
      </c>
      <c r="M1837" s="51">
        <v>0</v>
      </c>
      <c r="N1837" s="51">
        <v>249478</v>
      </c>
    </row>
    <row r="1838" spans="1:14" ht="15.75" x14ac:dyDescent="0.25">
      <c r="A1838" s="49" t="s">
        <v>489</v>
      </c>
      <c r="B1838" s="50" t="s">
        <v>56</v>
      </c>
      <c r="C1838" s="51">
        <v>17100371</v>
      </c>
      <c r="D1838" s="51">
        <v>-3280826</v>
      </c>
      <c r="E1838" s="51">
        <v>0</v>
      </c>
      <c r="F1838" s="51">
        <v>0</v>
      </c>
      <c r="G1838" s="51">
        <v>0</v>
      </c>
      <c r="H1838" s="51">
        <v>13819545</v>
      </c>
      <c r="I1838" s="51">
        <v>-13759745</v>
      </c>
      <c r="J1838" s="51">
        <v>59800</v>
      </c>
      <c r="K1838" s="51">
        <v>334584</v>
      </c>
      <c r="L1838" s="51">
        <v>-334584</v>
      </c>
      <c r="M1838" s="51">
        <v>0</v>
      </c>
      <c r="N1838" s="51">
        <v>59800</v>
      </c>
    </row>
    <row r="1839" spans="1:14" ht="15.75" x14ac:dyDescent="0.25">
      <c r="A1839" s="49" t="s">
        <v>489</v>
      </c>
      <c r="B1839" s="50" t="s">
        <v>57</v>
      </c>
      <c r="C1839" s="51">
        <v>16354954</v>
      </c>
      <c r="D1839" s="51">
        <v>-3451608</v>
      </c>
      <c r="E1839" s="51">
        <v>0</v>
      </c>
      <c r="F1839" s="51">
        <v>0</v>
      </c>
      <c r="G1839" s="51">
        <v>0</v>
      </c>
      <c r="H1839" s="51">
        <v>12903346</v>
      </c>
      <c r="I1839" s="51">
        <v>-12891060</v>
      </c>
      <c r="J1839" s="51">
        <v>12286</v>
      </c>
      <c r="K1839" s="51">
        <v>796556</v>
      </c>
      <c r="L1839" s="51">
        <v>-796556</v>
      </c>
      <c r="M1839" s="51">
        <v>0</v>
      </c>
      <c r="N1839" s="51">
        <v>12286</v>
      </c>
    </row>
    <row r="1840" spans="1:14" ht="15.75" x14ac:dyDescent="0.25">
      <c r="A1840" s="49" t="s">
        <v>489</v>
      </c>
      <c r="B1840" s="50" t="s">
        <v>58</v>
      </c>
      <c r="C1840" s="51">
        <v>13621560</v>
      </c>
      <c r="D1840" s="51">
        <v>-3222617</v>
      </c>
      <c r="E1840" s="51">
        <v>0</v>
      </c>
      <c r="F1840" s="51">
        <v>0</v>
      </c>
      <c r="G1840" s="51">
        <v>0</v>
      </c>
      <c r="H1840" s="51">
        <v>10398943</v>
      </c>
      <c r="I1840" s="51">
        <v>-10397070</v>
      </c>
      <c r="J1840" s="51">
        <v>1873</v>
      </c>
      <c r="K1840" s="51">
        <v>940785</v>
      </c>
      <c r="L1840" s="51">
        <v>-940785</v>
      </c>
      <c r="M1840" s="51">
        <v>0</v>
      </c>
      <c r="N1840" s="51">
        <v>1873</v>
      </c>
    </row>
    <row r="1841" spans="1:14" ht="15.75" x14ac:dyDescent="0.25">
      <c r="A1841" s="49" t="s">
        <v>489</v>
      </c>
      <c r="B1841" s="50" t="s">
        <v>59</v>
      </c>
      <c r="C1841" s="51">
        <v>11572917</v>
      </c>
      <c r="D1841" s="51">
        <v>-2889158</v>
      </c>
      <c r="E1841" s="51">
        <v>0</v>
      </c>
      <c r="F1841" s="51">
        <v>0</v>
      </c>
      <c r="G1841" s="51">
        <v>0</v>
      </c>
      <c r="H1841" s="51">
        <v>8683759</v>
      </c>
      <c r="I1841" s="51">
        <v>-8683759</v>
      </c>
      <c r="J1841" s="51">
        <v>0</v>
      </c>
      <c r="K1841" s="51">
        <v>786001</v>
      </c>
      <c r="L1841" s="51">
        <v>-786001</v>
      </c>
      <c r="M1841" s="51">
        <v>0</v>
      </c>
      <c r="N1841" s="51">
        <v>0</v>
      </c>
    </row>
    <row r="1842" spans="1:14" ht="15.75" x14ac:dyDescent="0.25">
      <c r="A1842" s="49" t="s">
        <v>489</v>
      </c>
      <c r="B1842" s="50" t="s">
        <v>60</v>
      </c>
      <c r="C1842" s="51">
        <v>8915588</v>
      </c>
      <c r="D1842" s="51">
        <v>-1854242</v>
      </c>
      <c r="E1842" s="51">
        <v>0</v>
      </c>
      <c r="F1842" s="51">
        <v>0</v>
      </c>
      <c r="G1842" s="51">
        <v>0</v>
      </c>
      <c r="H1842" s="51">
        <v>7061346</v>
      </c>
      <c r="I1842" s="51">
        <v>-7061346</v>
      </c>
      <c r="J1842" s="51">
        <v>0</v>
      </c>
      <c r="K1842" s="51">
        <v>544937</v>
      </c>
      <c r="L1842" s="51">
        <v>-544937</v>
      </c>
      <c r="M1842" s="51">
        <v>0</v>
      </c>
      <c r="N1842" s="51">
        <v>0</v>
      </c>
    </row>
    <row r="1843" spans="1:14" ht="15.75" x14ac:dyDescent="0.25">
      <c r="A1843" s="49" t="s">
        <v>489</v>
      </c>
      <c r="B1843" s="50" t="s">
        <v>61</v>
      </c>
      <c r="C1843" s="51">
        <v>8020592</v>
      </c>
      <c r="D1843" s="51">
        <v>-1125013</v>
      </c>
      <c r="E1843" s="51">
        <v>0</v>
      </c>
      <c r="F1843" s="51">
        <v>0</v>
      </c>
      <c r="G1843" s="51">
        <v>0</v>
      </c>
      <c r="H1843" s="51">
        <v>6895579</v>
      </c>
      <c r="I1843" s="51">
        <v>-6895579</v>
      </c>
      <c r="J1843" s="51">
        <v>0</v>
      </c>
      <c r="K1843" s="51">
        <v>47404</v>
      </c>
      <c r="L1843" s="51">
        <v>-47404</v>
      </c>
      <c r="M1843" s="51">
        <v>0</v>
      </c>
      <c r="N1843" s="51">
        <v>0</v>
      </c>
    </row>
    <row r="1844" spans="1:14" ht="15.75" x14ac:dyDescent="0.25">
      <c r="A1844" s="52" t="s">
        <v>366</v>
      </c>
      <c r="B1844" s="53" t="s">
        <v>8</v>
      </c>
      <c r="C1844" s="19">
        <f>SUBTOTAL(109,Program260[(C)
Program
Costs])</f>
        <v>270787138</v>
      </c>
      <c r="D1844" s="19">
        <f>SUBTOTAL(109,Program260[(D)
Prior Period Adjustments])</f>
        <v>-40690929</v>
      </c>
      <c r="E1844" s="19">
        <f>SUBTOTAL(109,Program260[(E)
Current Period Desk 
Reviews])</f>
        <v>0</v>
      </c>
      <c r="F1844" s="19">
        <f>SUBTOTAL(109,Program260[(F)
Current Period 
Final 
Audits])</f>
        <v>0</v>
      </c>
      <c r="G1844" s="19">
        <f>SUBTOTAL(109,Program260[(G)
Current Period 
Other Adjustments])</f>
        <v>0</v>
      </c>
      <c r="H1844" s="19">
        <f>SUBTOTAL(109,Program260[(H)
Net Program Costs
Sum (C through G)])</f>
        <v>230096209</v>
      </c>
      <c r="I1844" s="19">
        <f>SUBTOTAL(109,Program260[(I)
Payments
 and Offsets])</f>
        <v>-216102202</v>
      </c>
      <c r="J1844" s="19">
        <f>SUBTOTAL(109,Program260[(J)
Accounts Payable Balance
(H + I)])</f>
        <v>13994007</v>
      </c>
      <c r="K1844" s="19">
        <f>SUBTOTAL(109,Program260[(K)
Established 
Accounts Receivable])</f>
        <v>9383320</v>
      </c>
      <c r="L1844" s="19">
        <f>SUBTOTAL(109,Program260[(L)
Recovered
 Accounts Receivable])</f>
        <v>-7673961</v>
      </c>
      <c r="M1844" s="19">
        <f>SUBTOTAL(109,Program260[(M)
Accounts Receivable Balance
(K + L)])</f>
        <v>1709359</v>
      </c>
      <c r="N1844" s="19">
        <f>SUBTOTAL(109,Program260[(N)
Net Balance
(J minus M)])</f>
        <v>12284648</v>
      </c>
    </row>
    <row r="1845" spans="1:14" ht="15.75" x14ac:dyDescent="0.25">
      <c r="A1845" s="17" t="s">
        <v>13</v>
      </c>
      <c r="B1845" s="54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78.75" x14ac:dyDescent="0.25">
      <c r="A1846" s="39" t="s">
        <v>32</v>
      </c>
      <c r="B1846" s="40" t="s">
        <v>33</v>
      </c>
      <c r="C1846" s="41" t="s">
        <v>34</v>
      </c>
      <c r="D1846" s="41" t="s">
        <v>35</v>
      </c>
      <c r="E1846" s="42" t="s">
        <v>36</v>
      </c>
      <c r="F1846" s="42" t="s">
        <v>37</v>
      </c>
      <c r="G1846" s="42" t="s">
        <v>38</v>
      </c>
      <c r="H1846" s="43" t="s">
        <v>39</v>
      </c>
      <c r="I1846" s="44" t="s">
        <v>40</v>
      </c>
      <c r="J1846" s="44" t="s">
        <v>41</v>
      </c>
      <c r="K1846" s="42" t="s">
        <v>42</v>
      </c>
      <c r="L1846" s="44" t="s">
        <v>43</v>
      </c>
      <c r="M1846" s="44" t="s">
        <v>44</v>
      </c>
      <c r="N1846" s="45" t="s">
        <v>45</v>
      </c>
    </row>
    <row r="1847" spans="1:14" ht="30" x14ac:dyDescent="0.25">
      <c r="A1847" s="67" t="s">
        <v>488</v>
      </c>
      <c r="B1847" s="57" t="s">
        <v>76</v>
      </c>
      <c r="C1847" s="58">
        <v>114612</v>
      </c>
      <c r="D1847" s="58">
        <v>0</v>
      </c>
      <c r="E1847" s="58">
        <v>0</v>
      </c>
      <c r="F1847" s="58">
        <v>0</v>
      </c>
      <c r="G1847" s="58">
        <v>0</v>
      </c>
      <c r="H1847" s="58">
        <v>114612</v>
      </c>
      <c r="I1847" s="58">
        <v>0</v>
      </c>
      <c r="J1847" s="58">
        <v>114612</v>
      </c>
      <c r="K1847" s="58">
        <v>0</v>
      </c>
      <c r="L1847" s="58">
        <v>0</v>
      </c>
      <c r="M1847" s="58">
        <v>0</v>
      </c>
      <c r="N1847" s="58">
        <v>114612</v>
      </c>
    </row>
    <row r="1848" spans="1:14" ht="30" x14ac:dyDescent="0.25">
      <c r="A1848" s="68" t="s">
        <v>488</v>
      </c>
      <c r="B1848" s="60" t="s">
        <v>77</v>
      </c>
      <c r="C1848" s="61">
        <v>92147</v>
      </c>
      <c r="D1848" s="61">
        <v>0</v>
      </c>
      <c r="E1848" s="61">
        <v>0</v>
      </c>
      <c r="F1848" s="61">
        <v>0</v>
      </c>
      <c r="G1848" s="61">
        <v>0</v>
      </c>
      <c r="H1848" s="61">
        <v>92147</v>
      </c>
      <c r="I1848" s="61">
        <v>-1000</v>
      </c>
      <c r="J1848" s="61">
        <v>91147</v>
      </c>
      <c r="K1848" s="61">
        <v>0</v>
      </c>
      <c r="L1848" s="61">
        <v>0</v>
      </c>
      <c r="M1848" s="61">
        <v>0</v>
      </c>
      <c r="N1848" s="61">
        <v>91147</v>
      </c>
    </row>
    <row r="1849" spans="1:14" ht="30" x14ac:dyDescent="0.25">
      <c r="A1849" s="68" t="s">
        <v>488</v>
      </c>
      <c r="B1849" s="60" t="s">
        <v>78</v>
      </c>
      <c r="C1849" s="61">
        <v>478269</v>
      </c>
      <c r="D1849" s="61">
        <v>-314347</v>
      </c>
      <c r="E1849" s="61">
        <v>0</v>
      </c>
      <c r="F1849" s="61">
        <v>0</v>
      </c>
      <c r="G1849" s="61">
        <v>0</v>
      </c>
      <c r="H1849" s="61">
        <v>163922</v>
      </c>
      <c r="I1849" s="61">
        <v>-1000</v>
      </c>
      <c r="J1849" s="61">
        <v>162922</v>
      </c>
      <c r="K1849" s="61">
        <v>0</v>
      </c>
      <c r="L1849" s="61">
        <v>0</v>
      </c>
      <c r="M1849" s="61">
        <v>0</v>
      </c>
      <c r="N1849" s="61">
        <v>162922</v>
      </c>
    </row>
    <row r="1850" spans="1:14" ht="30" x14ac:dyDescent="0.25">
      <c r="A1850" s="68" t="s">
        <v>488</v>
      </c>
      <c r="B1850" s="60" t="s">
        <v>47</v>
      </c>
      <c r="C1850" s="61">
        <v>7903828</v>
      </c>
      <c r="D1850" s="61">
        <v>-46895</v>
      </c>
      <c r="E1850" s="61">
        <v>0</v>
      </c>
      <c r="F1850" s="61">
        <v>0</v>
      </c>
      <c r="G1850" s="61">
        <v>0</v>
      </c>
      <c r="H1850" s="61">
        <v>7856933</v>
      </c>
      <c r="I1850" s="61">
        <v>-4951823</v>
      </c>
      <c r="J1850" s="61">
        <v>2905110</v>
      </c>
      <c r="K1850" s="61">
        <v>0</v>
      </c>
      <c r="L1850" s="61">
        <v>0</v>
      </c>
      <c r="M1850" s="61">
        <v>0</v>
      </c>
      <c r="N1850" s="61">
        <v>2905110</v>
      </c>
    </row>
    <row r="1851" spans="1:14" ht="30" x14ac:dyDescent="0.25">
      <c r="A1851" s="68" t="s">
        <v>488</v>
      </c>
      <c r="B1851" s="60" t="s">
        <v>79</v>
      </c>
      <c r="C1851" s="61">
        <v>10630275</v>
      </c>
      <c r="D1851" s="61">
        <v>-91360</v>
      </c>
      <c r="E1851" s="61">
        <v>0</v>
      </c>
      <c r="F1851" s="61">
        <v>0</v>
      </c>
      <c r="G1851" s="61">
        <v>0</v>
      </c>
      <c r="H1851" s="61">
        <v>10538915</v>
      </c>
      <c r="I1851" s="61">
        <v>-7537292</v>
      </c>
      <c r="J1851" s="61">
        <v>3001623</v>
      </c>
      <c r="K1851" s="61">
        <v>0</v>
      </c>
      <c r="L1851" s="61">
        <v>0</v>
      </c>
      <c r="M1851" s="61">
        <v>0</v>
      </c>
      <c r="N1851" s="61">
        <v>3001623</v>
      </c>
    </row>
    <row r="1852" spans="1:14" ht="30" x14ac:dyDescent="0.25">
      <c r="A1852" s="68" t="s">
        <v>488</v>
      </c>
      <c r="B1852" s="60" t="s">
        <v>80</v>
      </c>
      <c r="C1852" s="61">
        <v>1560826</v>
      </c>
      <c r="D1852" s="61">
        <v>-1413645</v>
      </c>
      <c r="E1852" s="61">
        <v>0</v>
      </c>
      <c r="F1852" s="61">
        <v>0</v>
      </c>
      <c r="G1852" s="61">
        <v>0</v>
      </c>
      <c r="H1852" s="61">
        <v>147181</v>
      </c>
      <c r="I1852" s="61">
        <v>-133599</v>
      </c>
      <c r="J1852" s="61">
        <v>13582</v>
      </c>
      <c r="K1852" s="61">
        <v>0</v>
      </c>
      <c r="L1852" s="61">
        <v>0</v>
      </c>
      <c r="M1852" s="61">
        <v>0</v>
      </c>
      <c r="N1852" s="61">
        <v>13582</v>
      </c>
    </row>
    <row r="1853" spans="1:14" ht="15.75" x14ac:dyDescent="0.25">
      <c r="A1853" s="52" t="s">
        <v>365</v>
      </c>
      <c r="B1853" s="53" t="s">
        <v>8</v>
      </c>
      <c r="C1853" s="19">
        <f>SUBTOTAL(109,Program367[(C)
Program
Costs])</f>
        <v>20779957</v>
      </c>
      <c r="D1853" s="19">
        <f>SUBTOTAL(109,Program367[(D)
Prior Period Adjustments])</f>
        <v>-1866247</v>
      </c>
      <c r="E1853" s="19">
        <f>SUBTOTAL(109,Program367[(E)
Current Period Desk 
Reviews])</f>
        <v>0</v>
      </c>
      <c r="F1853" s="19">
        <f>SUBTOTAL(109,Program367[(F)
Current Period 
Final 
Audits])</f>
        <v>0</v>
      </c>
      <c r="G1853" s="19">
        <f>SUBTOTAL(109,Program367[(G)
Current Period 
Other Adjustments])</f>
        <v>0</v>
      </c>
      <c r="H1853" s="19">
        <f>SUBTOTAL(109,Program367[(H)
Net Program Costs
Sum (C through G)])</f>
        <v>18913710</v>
      </c>
      <c r="I1853" s="19">
        <f>SUBTOTAL(109,Program367[(I)
Payments
 and Offsets])</f>
        <v>-12624714</v>
      </c>
      <c r="J1853" s="19">
        <f>SUBTOTAL(109,Program367[(J)
Accounts Payable Balance
(H + I)])</f>
        <v>6288996</v>
      </c>
      <c r="K1853" s="19">
        <f>SUBTOTAL(109,Program367[(K)
Established 
Accounts Receivable])</f>
        <v>0</v>
      </c>
      <c r="L1853" s="19">
        <f>SUBTOTAL(109,Program367[(L)
Recovered
 Accounts Receivable])</f>
        <v>0</v>
      </c>
      <c r="M1853" s="19">
        <f>SUBTOTAL(109,Program367[(M)
Accounts Receivable Balance
(K + L)])</f>
        <v>0</v>
      </c>
      <c r="N1853" s="19">
        <f>SUBTOTAL(109,Program367[(N)
Net Balance
(J minus M)])</f>
        <v>6288996</v>
      </c>
    </row>
    <row r="1854" spans="1:14" ht="15.75" x14ac:dyDescent="0.25">
      <c r="A1854" s="17" t="s">
        <v>13</v>
      </c>
      <c r="B1854" s="54"/>
      <c r="C1854" s="55"/>
      <c r="D1854" s="55"/>
      <c r="E1854" s="55"/>
      <c r="F1854" s="55"/>
      <c r="G1854" s="55"/>
      <c r="H1854" s="55"/>
      <c r="I1854" s="55"/>
      <c r="J1854" s="55"/>
      <c r="K1854" s="55"/>
      <c r="L1854" s="55"/>
      <c r="M1854" s="55"/>
      <c r="N1854" s="55"/>
    </row>
    <row r="1855" spans="1:14" ht="78.75" x14ac:dyDescent="0.25">
      <c r="A1855" s="39" t="s">
        <v>32</v>
      </c>
      <c r="B1855" s="40" t="s">
        <v>33</v>
      </c>
      <c r="C1855" s="41" t="s">
        <v>34</v>
      </c>
      <c r="D1855" s="41" t="s">
        <v>35</v>
      </c>
      <c r="E1855" s="42" t="s">
        <v>36</v>
      </c>
      <c r="F1855" s="42" t="s">
        <v>37</v>
      </c>
      <c r="G1855" s="42" t="s">
        <v>38</v>
      </c>
      <c r="H1855" s="43" t="s">
        <v>39</v>
      </c>
      <c r="I1855" s="44" t="s">
        <v>40</v>
      </c>
      <c r="J1855" s="44" t="s">
        <v>41</v>
      </c>
      <c r="K1855" s="42" t="s">
        <v>42</v>
      </c>
      <c r="L1855" s="44" t="s">
        <v>43</v>
      </c>
      <c r="M1855" s="44" t="s">
        <v>44</v>
      </c>
      <c r="N1855" s="45" t="s">
        <v>45</v>
      </c>
    </row>
    <row r="1856" spans="1:14" ht="15.75" x14ac:dyDescent="0.25">
      <c r="A1856" s="46" t="s">
        <v>487</v>
      </c>
      <c r="B1856" s="47" t="s">
        <v>77</v>
      </c>
      <c r="C1856" s="48">
        <v>1195</v>
      </c>
      <c r="D1856" s="48">
        <v>0</v>
      </c>
      <c r="E1856" s="48">
        <v>0</v>
      </c>
      <c r="F1856" s="48">
        <v>0</v>
      </c>
      <c r="G1856" s="48">
        <v>0</v>
      </c>
      <c r="H1856" s="48">
        <v>1195</v>
      </c>
      <c r="I1856" s="48">
        <v>-1000</v>
      </c>
      <c r="J1856" s="48">
        <v>195</v>
      </c>
      <c r="K1856" s="48">
        <v>0</v>
      </c>
      <c r="L1856" s="48">
        <v>0</v>
      </c>
      <c r="M1856" s="48">
        <v>0</v>
      </c>
      <c r="N1856" s="48">
        <v>195</v>
      </c>
    </row>
    <row r="1857" spans="1:14" ht="15.75" x14ac:dyDescent="0.25">
      <c r="A1857" s="49" t="s">
        <v>487</v>
      </c>
      <c r="B1857" s="50" t="s">
        <v>47</v>
      </c>
      <c r="C1857" s="51">
        <v>17010</v>
      </c>
      <c r="D1857" s="51">
        <v>0</v>
      </c>
      <c r="E1857" s="51">
        <v>0</v>
      </c>
      <c r="F1857" s="51">
        <v>0</v>
      </c>
      <c r="G1857" s="51">
        <v>0</v>
      </c>
      <c r="H1857" s="51">
        <v>17010</v>
      </c>
      <c r="I1857" s="51">
        <v>-1000</v>
      </c>
      <c r="J1857" s="51">
        <v>16010</v>
      </c>
      <c r="K1857" s="51">
        <v>0</v>
      </c>
      <c r="L1857" s="51">
        <v>0</v>
      </c>
      <c r="M1857" s="51">
        <v>0</v>
      </c>
      <c r="N1857" s="51">
        <v>16010</v>
      </c>
    </row>
    <row r="1858" spans="1:14" ht="15.75" x14ac:dyDescent="0.25">
      <c r="A1858" s="49" t="s">
        <v>487</v>
      </c>
      <c r="B1858" s="50" t="s">
        <v>80</v>
      </c>
      <c r="C1858" s="51">
        <v>5540</v>
      </c>
      <c r="D1858" s="51">
        <v>0</v>
      </c>
      <c r="E1858" s="51">
        <v>0</v>
      </c>
      <c r="F1858" s="51">
        <v>0</v>
      </c>
      <c r="G1858" s="51">
        <v>0</v>
      </c>
      <c r="H1858" s="51">
        <v>5540</v>
      </c>
      <c r="I1858" s="51">
        <v>-1000</v>
      </c>
      <c r="J1858" s="51">
        <v>4540</v>
      </c>
      <c r="K1858" s="51">
        <v>0</v>
      </c>
      <c r="L1858" s="51">
        <v>0</v>
      </c>
      <c r="M1858" s="51">
        <v>0</v>
      </c>
      <c r="N1858" s="51">
        <v>4540</v>
      </c>
    </row>
    <row r="1859" spans="1:14" ht="15.75" x14ac:dyDescent="0.25">
      <c r="A1859" s="49" t="s">
        <v>487</v>
      </c>
      <c r="B1859" s="50" t="s">
        <v>81</v>
      </c>
      <c r="C1859" s="51">
        <v>55556</v>
      </c>
      <c r="D1859" s="51">
        <v>0</v>
      </c>
      <c r="E1859" s="51">
        <v>0</v>
      </c>
      <c r="F1859" s="51">
        <v>0</v>
      </c>
      <c r="G1859" s="51">
        <v>0</v>
      </c>
      <c r="H1859" s="51">
        <v>55556</v>
      </c>
      <c r="I1859" s="51">
        <v>-27581</v>
      </c>
      <c r="J1859" s="51">
        <v>27975</v>
      </c>
      <c r="K1859" s="51">
        <v>0</v>
      </c>
      <c r="L1859" s="51">
        <v>0</v>
      </c>
      <c r="M1859" s="51">
        <v>0</v>
      </c>
      <c r="N1859" s="51">
        <v>27975</v>
      </c>
    </row>
    <row r="1860" spans="1:14" ht="15.75" x14ac:dyDescent="0.25">
      <c r="A1860" s="49" t="s">
        <v>487</v>
      </c>
      <c r="B1860" s="50" t="s">
        <v>82</v>
      </c>
      <c r="C1860" s="51">
        <v>80974</v>
      </c>
      <c r="D1860" s="51">
        <v>0</v>
      </c>
      <c r="E1860" s="51">
        <v>0</v>
      </c>
      <c r="F1860" s="51">
        <v>0</v>
      </c>
      <c r="G1860" s="51">
        <v>0</v>
      </c>
      <c r="H1860" s="51">
        <v>80974</v>
      </c>
      <c r="I1860" s="51">
        <v>-41603</v>
      </c>
      <c r="J1860" s="51">
        <v>39371</v>
      </c>
      <c r="K1860" s="51">
        <v>0</v>
      </c>
      <c r="L1860" s="51">
        <v>0</v>
      </c>
      <c r="M1860" s="51">
        <v>0</v>
      </c>
      <c r="N1860" s="51">
        <v>39371</v>
      </c>
    </row>
    <row r="1861" spans="1:14" ht="15.75" x14ac:dyDescent="0.25">
      <c r="A1861" s="49" t="s">
        <v>487</v>
      </c>
      <c r="B1861" s="50" t="s">
        <v>83</v>
      </c>
      <c r="C1861" s="51">
        <v>28428</v>
      </c>
      <c r="D1861" s="51">
        <v>0</v>
      </c>
      <c r="E1861" s="51">
        <v>0</v>
      </c>
      <c r="F1861" s="51">
        <v>0</v>
      </c>
      <c r="G1861" s="51">
        <v>0</v>
      </c>
      <c r="H1861" s="51">
        <v>28428</v>
      </c>
      <c r="I1861" s="51">
        <v>-12805</v>
      </c>
      <c r="J1861" s="51">
        <v>15623</v>
      </c>
      <c r="K1861" s="51">
        <v>0</v>
      </c>
      <c r="L1861" s="51">
        <v>0</v>
      </c>
      <c r="M1861" s="51">
        <v>0</v>
      </c>
      <c r="N1861" s="51">
        <v>15623</v>
      </c>
    </row>
    <row r="1862" spans="1:14" ht="15.75" x14ac:dyDescent="0.25">
      <c r="A1862" s="49" t="s">
        <v>487</v>
      </c>
      <c r="B1862" s="50" t="s">
        <v>48</v>
      </c>
      <c r="C1862" s="51">
        <v>32108</v>
      </c>
      <c r="D1862" s="51">
        <v>0</v>
      </c>
      <c r="E1862" s="51">
        <v>0</v>
      </c>
      <c r="F1862" s="51">
        <v>0</v>
      </c>
      <c r="G1862" s="51">
        <v>0</v>
      </c>
      <c r="H1862" s="51">
        <v>32108</v>
      </c>
      <c r="I1862" s="51">
        <v>-16987</v>
      </c>
      <c r="J1862" s="51">
        <v>15121</v>
      </c>
      <c r="K1862" s="51">
        <v>0</v>
      </c>
      <c r="L1862" s="51">
        <v>0</v>
      </c>
      <c r="M1862" s="51">
        <v>0</v>
      </c>
      <c r="N1862" s="51">
        <v>15121</v>
      </c>
    </row>
    <row r="1863" spans="1:14" ht="15.75" x14ac:dyDescent="0.25">
      <c r="A1863" s="49" t="s">
        <v>487</v>
      </c>
      <c r="B1863" s="50" t="s">
        <v>49</v>
      </c>
      <c r="C1863" s="51">
        <v>49140</v>
      </c>
      <c r="D1863" s="51">
        <v>0</v>
      </c>
      <c r="E1863" s="51">
        <v>0</v>
      </c>
      <c r="F1863" s="51">
        <v>0</v>
      </c>
      <c r="G1863" s="51">
        <v>0</v>
      </c>
      <c r="H1863" s="51">
        <v>49140</v>
      </c>
      <c r="I1863" s="51">
        <v>-42386</v>
      </c>
      <c r="J1863" s="51">
        <v>6754</v>
      </c>
      <c r="K1863" s="51">
        <v>0</v>
      </c>
      <c r="L1863" s="51">
        <v>0</v>
      </c>
      <c r="M1863" s="51">
        <v>0</v>
      </c>
      <c r="N1863" s="51">
        <v>6754</v>
      </c>
    </row>
    <row r="1864" spans="1:14" ht="15.75" x14ac:dyDescent="0.25">
      <c r="A1864" s="49" t="s">
        <v>487</v>
      </c>
      <c r="B1864" s="50" t="s">
        <v>50</v>
      </c>
      <c r="C1864" s="51">
        <v>51841</v>
      </c>
      <c r="D1864" s="51">
        <v>0</v>
      </c>
      <c r="E1864" s="51">
        <v>0</v>
      </c>
      <c r="F1864" s="51">
        <v>0</v>
      </c>
      <c r="G1864" s="51">
        <v>0</v>
      </c>
      <c r="H1864" s="51">
        <v>51841</v>
      </c>
      <c r="I1864" s="51">
        <v>-50296</v>
      </c>
      <c r="J1864" s="51">
        <v>1545</v>
      </c>
      <c r="K1864" s="51">
        <v>0</v>
      </c>
      <c r="L1864" s="51">
        <v>0</v>
      </c>
      <c r="M1864" s="51">
        <v>0</v>
      </c>
      <c r="N1864" s="51">
        <v>1545</v>
      </c>
    </row>
    <row r="1865" spans="1:14" ht="15.75" x14ac:dyDescent="0.25">
      <c r="A1865" s="49" t="s">
        <v>487</v>
      </c>
      <c r="B1865" s="50" t="s">
        <v>51</v>
      </c>
      <c r="C1865" s="51">
        <v>9782</v>
      </c>
      <c r="D1865" s="51">
        <v>0</v>
      </c>
      <c r="E1865" s="51">
        <v>0</v>
      </c>
      <c r="F1865" s="51">
        <v>0</v>
      </c>
      <c r="G1865" s="51">
        <v>0</v>
      </c>
      <c r="H1865" s="51">
        <v>9782</v>
      </c>
      <c r="I1865" s="51">
        <v>-8596</v>
      </c>
      <c r="J1865" s="51">
        <v>1186</v>
      </c>
      <c r="K1865" s="51">
        <v>0</v>
      </c>
      <c r="L1865" s="51">
        <v>0</v>
      </c>
      <c r="M1865" s="51">
        <v>0</v>
      </c>
      <c r="N1865" s="51">
        <v>1186</v>
      </c>
    </row>
    <row r="1866" spans="1:14" ht="15.75" x14ac:dyDescent="0.25">
      <c r="A1866" s="49" t="s">
        <v>487</v>
      </c>
      <c r="B1866" s="50" t="s">
        <v>52</v>
      </c>
      <c r="C1866" s="51">
        <v>7378</v>
      </c>
      <c r="D1866" s="51">
        <v>0</v>
      </c>
      <c r="E1866" s="51">
        <v>0</v>
      </c>
      <c r="F1866" s="51">
        <v>0</v>
      </c>
      <c r="G1866" s="51">
        <v>0</v>
      </c>
      <c r="H1866" s="51">
        <v>7378</v>
      </c>
      <c r="I1866" s="51">
        <v>-1834</v>
      </c>
      <c r="J1866" s="51">
        <v>5544</v>
      </c>
      <c r="K1866" s="51">
        <v>0</v>
      </c>
      <c r="L1866" s="51">
        <v>0</v>
      </c>
      <c r="M1866" s="51">
        <v>0</v>
      </c>
      <c r="N1866" s="51">
        <v>5544</v>
      </c>
    </row>
    <row r="1867" spans="1:14" ht="15.75" x14ac:dyDescent="0.25">
      <c r="A1867" s="49" t="s">
        <v>487</v>
      </c>
      <c r="B1867" s="50" t="s">
        <v>53</v>
      </c>
      <c r="C1867" s="51">
        <v>6162</v>
      </c>
      <c r="D1867" s="51">
        <v>0</v>
      </c>
      <c r="E1867" s="51">
        <v>0</v>
      </c>
      <c r="F1867" s="51">
        <v>0</v>
      </c>
      <c r="G1867" s="51">
        <v>0</v>
      </c>
      <c r="H1867" s="51">
        <v>6162</v>
      </c>
      <c r="I1867" s="51">
        <v>-4027</v>
      </c>
      <c r="J1867" s="51">
        <v>2135</v>
      </c>
      <c r="K1867" s="51">
        <v>0</v>
      </c>
      <c r="L1867" s="51">
        <v>0</v>
      </c>
      <c r="M1867" s="51">
        <v>0</v>
      </c>
      <c r="N1867" s="51">
        <v>2135</v>
      </c>
    </row>
    <row r="1868" spans="1:14" ht="15.75" x14ac:dyDescent="0.25">
      <c r="A1868" s="49" t="s">
        <v>487</v>
      </c>
      <c r="B1868" s="50" t="s">
        <v>54</v>
      </c>
      <c r="C1868" s="51">
        <v>1921</v>
      </c>
      <c r="D1868" s="51">
        <v>0</v>
      </c>
      <c r="E1868" s="51">
        <v>0</v>
      </c>
      <c r="F1868" s="51">
        <v>0</v>
      </c>
      <c r="G1868" s="51">
        <v>0</v>
      </c>
      <c r="H1868" s="51">
        <v>1921</v>
      </c>
      <c r="I1868" s="51">
        <v>-1921</v>
      </c>
      <c r="J1868" s="51">
        <v>0</v>
      </c>
      <c r="K1868" s="51">
        <v>0</v>
      </c>
      <c r="L1868" s="51">
        <v>0</v>
      </c>
      <c r="M1868" s="51">
        <v>0</v>
      </c>
      <c r="N1868" s="51">
        <v>0</v>
      </c>
    </row>
    <row r="1869" spans="1:14" ht="15.75" x14ac:dyDescent="0.25">
      <c r="A1869" s="49" t="s">
        <v>487</v>
      </c>
      <c r="B1869" s="50" t="s">
        <v>55</v>
      </c>
      <c r="C1869" s="51">
        <v>4508</v>
      </c>
      <c r="D1869" s="51">
        <v>0</v>
      </c>
      <c r="E1869" s="51">
        <v>0</v>
      </c>
      <c r="F1869" s="51">
        <v>0</v>
      </c>
      <c r="G1869" s="51">
        <v>0</v>
      </c>
      <c r="H1869" s="51">
        <v>4508</v>
      </c>
      <c r="I1869" s="51">
        <v>-4508</v>
      </c>
      <c r="J1869" s="51">
        <v>0</v>
      </c>
      <c r="K1869" s="51">
        <v>0</v>
      </c>
      <c r="L1869" s="51">
        <v>0</v>
      </c>
      <c r="M1869" s="51">
        <v>0</v>
      </c>
      <c r="N1869" s="51">
        <v>0</v>
      </c>
    </row>
    <row r="1870" spans="1:14" ht="15.75" x14ac:dyDescent="0.25">
      <c r="A1870" s="49" t="s">
        <v>487</v>
      </c>
      <c r="B1870" s="50" t="s">
        <v>56</v>
      </c>
      <c r="C1870" s="51">
        <v>34178</v>
      </c>
      <c r="D1870" s="51">
        <v>0</v>
      </c>
      <c r="E1870" s="51">
        <v>0</v>
      </c>
      <c r="F1870" s="51">
        <v>0</v>
      </c>
      <c r="G1870" s="51">
        <v>0</v>
      </c>
      <c r="H1870" s="51">
        <v>34178</v>
      </c>
      <c r="I1870" s="51">
        <v>-34178</v>
      </c>
      <c r="J1870" s="51">
        <v>0</v>
      </c>
      <c r="K1870" s="51">
        <v>0</v>
      </c>
      <c r="L1870" s="51">
        <v>0</v>
      </c>
      <c r="M1870" s="51">
        <v>0</v>
      </c>
      <c r="N1870" s="51">
        <v>0</v>
      </c>
    </row>
    <row r="1871" spans="1:14" ht="15.75" x14ac:dyDescent="0.25">
      <c r="A1871" s="52" t="s">
        <v>364</v>
      </c>
      <c r="B1871" s="53" t="s">
        <v>8</v>
      </c>
      <c r="C1871" s="19">
        <f>SUBTOTAL(109,Program346[(C)
Program
Costs])</f>
        <v>385721</v>
      </c>
      <c r="D1871" s="19">
        <f>SUBTOTAL(109,Program346[(D)
Prior Period Adjustments])</f>
        <v>0</v>
      </c>
      <c r="E1871" s="19">
        <f>SUBTOTAL(109,Program346[(E)
Current Period Desk 
Reviews])</f>
        <v>0</v>
      </c>
      <c r="F1871" s="19">
        <f>SUBTOTAL(109,Program346[(F)
Current Period 
Final 
Audits])</f>
        <v>0</v>
      </c>
      <c r="G1871" s="19">
        <f>SUBTOTAL(109,Program346[(G)
Current Period 
Other Adjustments])</f>
        <v>0</v>
      </c>
      <c r="H1871" s="19">
        <f>SUBTOTAL(109,Program346[(H)
Net Program Costs
Sum (C through G)])</f>
        <v>385721</v>
      </c>
      <c r="I1871" s="19">
        <f>SUBTOTAL(109,Program346[(I)
Payments
 and Offsets])</f>
        <v>-249722</v>
      </c>
      <c r="J1871" s="19">
        <f>SUBTOTAL(109,Program346[(J)
Accounts Payable Balance
(H + I)])</f>
        <v>135999</v>
      </c>
      <c r="K1871" s="19">
        <f>SUBTOTAL(109,Program346[(K)
Established 
Accounts Receivable])</f>
        <v>0</v>
      </c>
      <c r="L1871" s="19">
        <f>SUBTOTAL(109,Program346[(L)
Recovered
 Accounts Receivable])</f>
        <v>0</v>
      </c>
      <c r="M1871" s="19">
        <f>SUBTOTAL(109,Program346[(M)
Accounts Receivable Balance
(K + L)])</f>
        <v>0</v>
      </c>
      <c r="N1871" s="19">
        <f>SUBTOTAL(109,Program346[(N)
Net Balance
(J minus M)])</f>
        <v>135999</v>
      </c>
    </row>
    <row r="1872" spans="1:14" ht="15.75" x14ac:dyDescent="0.25">
      <c r="A1872" s="17" t="s">
        <v>13</v>
      </c>
      <c r="B1872" s="54"/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</row>
    <row r="1873" spans="1:14" ht="78.75" x14ac:dyDescent="0.25">
      <c r="A1873" s="39" t="s">
        <v>32</v>
      </c>
      <c r="B1873" s="40" t="s">
        <v>33</v>
      </c>
      <c r="C1873" s="41" t="s">
        <v>34</v>
      </c>
      <c r="D1873" s="41" t="s">
        <v>35</v>
      </c>
      <c r="E1873" s="42" t="s">
        <v>36</v>
      </c>
      <c r="F1873" s="42" t="s">
        <v>37</v>
      </c>
      <c r="G1873" s="42" t="s">
        <v>38</v>
      </c>
      <c r="H1873" s="43" t="s">
        <v>39</v>
      </c>
      <c r="I1873" s="44" t="s">
        <v>40</v>
      </c>
      <c r="J1873" s="44" t="s">
        <v>41</v>
      </c>
      <c r="K1873" s="42" t="s">
        <v>42</v>
      </c>
      <c r="L1873" s="44" t="s">
        <v>43</v>
      </c>
      <c r="M1873" s="44" t="s">
        <v>44</v>
      </c>
      <c r="N1873" s="45" t="s">
        <v>45</v>
      </c>
    </row>
    <row r="1874" spans="1:14" ht="30" x14ac:dyDescent="0.25">
      <c r="A1874" s="67" t="s">
        <v>486</v>
      </c>
      <c r="B1874" s="57" t="s">
        <v>76</v>
      </c>
      <c r="C1874" s="58">
        <v>1447</v>
      </c>
      <c r="D1874" s="58">
        <v>0</v>
      </c>
      <c r="E1874" s="58">
        <v>0</v>
      </c>
      <c r="F1874" s="58">
        <v>0</v>
      </c>
      <c r="G1874" s="58">
        <v>0</v>
      </c>
      <c r="H1874" s="58">
        <v>1447</v>
      </c>
      <c r="I1874" s="58">
        <v>0</v>
      </c>
      <c r="J1874" s="58">
        <v>1447</v>
      </c>
      <c r="K1874" s="58">
        <v>0</v>
      </c>
      <c r="L1874" s="58">
        <v>0</v>
      </c>
      <c r="M1874" s="58">
        <v>0</v>
      </c>
      <c r="N1874" s="58">
        <v>1447</v>
      </c>
    </row>
    <row r="1875" spans="1:14" ht="30" x14ac:dyDescent="0.25">
      <c r="A1875" s="68" t="s">
        <v>486</v>
      </c>
      <c r="B1875" s="60" t="s">
        <v>77</v>
      </c>
      <c r="C1875" s="61">
        <v>10813</v>
      </c>
      <c r="D1875" s="61">
        <v>0</v>
      </c>
      <c r="E1875" s="61">
        <v>0</v>
      </c>
      <c r="F1875" s="61">
        <v>0</v>
      </c>
      <c r="G1875" s="61">
        <v>0</v>
      </c>
      <c r="H1875" s="61">
        <v>10813</v>
      </c>
      <c r="I1875" s="61">
        <v>-1000</v>
      </c>
      <c r="J1875" s="61">
        <v>9813</v>
      </c>
      <c r="K1875" s="61">
        <v>0</v>
      </c>
      <c r="L1875" s="61">
        <v>0</v>
      </c>
      <c r="M1875" s="61">
        <v>0</v>
      </c>
      <c r="N1875" s="61">
        <v>9813</v>
      </c>
    </row>
    <row r="1876" spans="1:14" ht="30" x14ac:dyDescent="0.25">
      <c r="A1876" s="68" t="s">
        <v>486</v>
      </c>
      <c r="B1876" s="60" t="s">
        <v>78</v>
      </c>
      <c r="C1876" s="61">
        <v>14783</v>
      </c>
      <c r="D1876" s="61">
        <v>0</v>
      </c>
      <c r="E1876" s="61">
        <v>0</v>
      </c>
      <c r="F1876" s="61">
        <v>0</v>
      </c>
      <c r="G1876" s="61">
        <v>0</v>
      </c>
      <c r="H1876" s="61">
        <v>14783</v>
      </c>
      <c r="I1876" s="61">
        <v>-1000</v>
      </c>
      <c r="J1876" s="61">
        <v>13783</v>
      </c>
      <c r="K1876" s="61">
        <v>0</v>
      </c>
      <c r="L1876" s="61">
        <v>0</v>
      </c>
      <c r="M1876" s="61">
        <v>0</v>
      </c>
      <c r="N1876" s="61">
        <v>13783</v>
      </c>
    </row>
    <row r="1877" spans="1:14" ht="30" x14ac:dyDescent="0.25">
      <c r="A1877" s="68" t="s">
        <v>486</v>
      </c>
      <c r="B1877" s="60" t="s">
        <v>47</v>
      </c>
      <c r="C1877" s="61">
        <v>11236</v>
      </c>
      <c r="D1877" s="61">
        <v>0</v>
      </c>
      <c r="E1877" s="61">
        <v>0</v>
      </c>
      <c r="F1877" s="61">
        <v>0</v>
      </c>
      <c r="G1877" s="61">
        <v>0</v>
      </c>
      <c r="H1877" s="61">
        <v>11236</v>
      </c>
      <c r="I1877" s="61">
        <v>-1000</v>
      </c>
      <c r="J1877" s="61">
        <v>10236</v>
      </c>
      <c r="K1877" s="61">
        <v>0</v>
      </c>
      <c r="L1877" s="61">
        <v>0</v>
      </c>
      <c r="M1877" s="61">
        <v>0</v>
      </c>
      <c r="N1877" s="61">
        <v>10236</v>
      </c>
    </row>
    <row r="1878" spans="1:14" ht="30" x14ac:dyDescent="0.25">
      <c r="A1878" s="68" t="s">
        <v>486</v>
      </c>
      <c r="B1878" s="60" t="s">
        <v>79</v>
      </c>
      <c r="C1878" s="61">
        <v>19158</v>
      </c>
      <c r="D1878" s="61">
        <v>-248</v>
      </c>
      <c r="E1878" s="61">
        <v>0</v>
      </c>
      <c r="F1878" s="61">
        <v>0</v>
      </c>
      <c r="G1878" s="61">
        <v>0</v>
      </c>
      <c r="H1878" s="61">
        <v>18910</v>
      </c>
      <c r="I1878" s="61">
        <v>-8205</v>
      </c>
      <c r="J1878" s="61">
        <v>10705</v>
      </c>
      <c r="K1878" s="61">
        <v>0</v>
      </c>
      <c r="L1878" s="61">
        <v>0</v>
      </c>
      <c r="M1878" s="61">
        <v>0</v>
      </c>
      <c r="N1878" s="61">
        <v>10705</v>
      </c>
    </row>
    <row r="1879" spans="1:14" ht="30" x14ac:dyDescent="0.25">
      <c r="A1879" s="68" t="s">
        <v>486</v>
      </c>
      <c r="B1879" s="60" t="s">
        <v>80</v>
      </c>
      <c r="C1879" s="61">
        <v>31192</v>
      </c>
      <c r="D1879" s="61">
        <v>0</v>
      </c>
      <c r="E1879" s="61">
        <v>0</v>
      </c>
      <c r="F1879" s="61">
        <v>0</v>
      </c>
      <c r="G1879" s="61">
        <v>0</v>
      </c>
      <c r="H1879" s="61">
        <v>31192</v>
      </c>
      <c r="I1879" s="61">
        <v>-6108</v>
      </c>
      <c r="J1879" s="61">
        <v>25084</v>
      </c>
      <c r="K1879" s="61">
        <v>0</v>
      </c>
      <c r="L1879" s="61">
        <v>0</v>
      </c>
      <c r="M1879" s="61">
        <v>0</v>
      </c>
      <c r="N1879" s="61">
        <v>25084</v>
      </c>
    </row>
    <row r="1880" spans="1:14" ht="30" x14ac:dyDescent="0.25">
      <c r="A1880" s="68" t="s">
        <v>486</v>
      </c>
      <c r="B1880" s="60" t="s">
        <v>81</v>
      </c>
      <c r="C1880" s="61">
        <v>142149</v>
      </c>
      <c r="D1880" s="61">
        <v>-684</v>
      </c>
      <c r="E1880" s="61">
        <v>0</v>
      </c>
      <c r="F1880" s="61">
        <v>0</v>
      </c>
      <c r="G1880" s="61">
        <v>0</v>
      </c>
      <c r="H1880" s="61">
        <v>141465</v>
      </c>
      <c r="I1880" s="61">
        <v>-72454</v>
      </c>
      <c r="J1880" s="61">
        <v>69011</v>
      </c>
      <c r="K1880" s="61">
        <v>0</v>
      </c>
      <c r="L1880" s="61">
        <v>0</v>
      </c>
      <c r="M1880" s="61">
        <v>0</v>
      </c>
      <c r="N1880" s="61">
        <v>69011</v>
      </c>
    </row>
    <row r="1881" spans="1:14" ht="30" x14ac:dyDescent="0.25">
      <c r="A1881" s="68" t="s">
        <v>486</v>
      </c>
      <c r="B1881" s="60" t="s">
        <v>82</v>
      </c>
      <c r="C1881" s="61">
        <v>169806</v>
      </c>
      <c r="D1881" s="61">
        <v>-212</v>
      </c>
      <c r="E1881" s="61">
        <v>0</v>
      </c>
      <c r="F1881" s="61">
        <v>0</v>
      </c>
      <c r="G1881" s="61">
        <v>0</v>
      </c>
      <c r="H1881" s="61">
        <v>169594</v>
      </c>
      <c r="I1881" s="61">
        <v>-126335</v>
      </c>
      <c r="J1881" s="61">
        <v>43259</v>
      </c>
      <c r="K1881" s="61">
        <v>0</v>
      </c>
      <c r="L1881" s="61">
        <v>0</v>
      </c>
      <c r="M1881" s="61">
        <v>0</v>
      </c>
      <c r="N1881" s="61">
        <v>43259</v>
      </c>
    </row>
    <row r="1882" spans="1:14" ht="30" x14ac:dyDescent="0.25">
      <c r="A1882" s="68" t="s">
        <v>486</v>
      </c>
      <c r="B1882" s="60" t="s">
        <v>83</v>
      </c>
      <c r="C1882" s="61">
        <v>124217</v>
      </c>
      <c r="D1882" s="61">
        <v>-723</v>
      </c>
      <c r="E1882" s="61">
        <v>0</v>
      </c>
      <c r="F1882" s="61">
        <v>0</v>
      </c>
      <c r="G1882" s="61">
        <v>0</v>
      </c>
      <c r="H1882" s="61">
        <v>123494</v>
      </c>
      <c r="I1882" s="61">
        <v>-102022</v>
      </c>
      <c r="J1882" s="61">
        <v>21472</v>
      </c>
      <c r="K1882" s="61">
        <v>0</v>
      </c>
      <c r="L1882" s="61">
        <v>0</v>
      </c>
      <c r="M1882" s="61">
        <v>0</v>
      </c>
      <c r="N1882" s="61">
        <v>21472</v>
      </c>
    </row>
    <row r="1883" spans="1:14" ht="30" x14ac:dyDescent="0.25">
      <c r="A1883" s="68" t="s">
        <v>486</v>
      </c>
      <c r="B1883" s="60" t="s">
        <v>48</v>
      </c>
      <c r="C1883" s="61">
        <v>122942</v>
      </c>
      <c r="D1883" s="61">
        <v>-906</v>
      </c>
      <c r="E1883" s="61">
        <v>0</v>
      </c>
      <c r="F1883" s="61">
        <v>0</v>
      </c>
      <c r="G1883" s="61">
        <v>0</v>
      </c>
      <c r="H1883" s="61">
        <v>122036</v>
      </c>
      <c r="I1883" s="61">
        <v>-112462</v>
      </c>
      <c r="J1883" s="61">
        <v>9574</v>
      </c>
      <c r="K1883" s="61">
        <v>0</v>
      </c>
      <c r="L1883" s="61">
        <v>0</v>
      </c>
      <c r="M1883" s="61">
        <v>0</v>
      </c>
      <c r="N1883" s="61">
        <v>9574</v>
      </c>
    </row>
    <row r="1884" spans="1:14" ht="30" x14ac:dyDescent="0.25">
      <c r="A1884" s="68" t="s">
        <v>486</v>
      </c>
      <c r="B1884" s="60" t="s">
        <v>49</v>
      </c>
      <c r="C1884" s="61">
        <v>100190</v>
      </c>
      <c r="D1884" s="61">
        <v>-537</v>
      </c>
      <c r="E1884" s="61">
        <v>0</v>
      </c>
      <c r="F1884" s="61">
        <v>0</v>
      </c>
      <c r="G1884" s="61">
        <v>0</v>
      </c>
      <c r="H1884" s="61">
        <v>99653</v>
      </c>
      <c r="I1884" s="61">
        <v>-89104</v>
      </c>
      <c r="J1884" s="61">
        <v>10549</v>
      </c>
      <c r="K1884" s="61">
        <v>0</v>
      </c>
      <c r="L1884" s="61">
        <v>0</v>
      </c>
      <c r="M1884" s="61">
        <v>0</v>
      </c>
      <c r="N1884" s="61">
        <v>10549</v>
      </c>
    </row>
    <row r="1885" spans="1:14" ht="30" x14ac:dyDescent="0.25">
      <c r="A1885" s="68" t="s">
        <v>486</v>
      </c>
      <c r="B1885" s="60" t="s">
        <v>50</v>
      </c>
      <c r="C1885" s="61">
        <v>64590</v>
      </c>
      <c r="D1885" s="61">
        <v>-801</v>
      </c>
      <c r="E1885" s="61">
        <v>0</v>
      </c>
      <c r="F1885" s="61">
        <v>0</v>
      </c>
      <c r="G1885" s="61">
        <v>0</v>
      </c>
      <c r="H1885" s="61">
        <v>63789</v>
      </c>
      <c r="I1885" s="61">
        <v>-58955</v>
      </c>
      <c r="J1885" s="61">
        <v>4834</v>
      </c>
      <c r="K1885" s="61">
        <v>0</v>
      </c>
      <c r="L1885" s="61">
        <v>0</v>
      </c>
      <c r="M1885" s="61">
        <v>0</v>
      </c>
      <c r="N1885" s="61">
        <v>4834</v>
      </c>
    </row>
    <row r="1886" spans="1:14" ht="30" x14ac:dyDescent="0.25">
      <c r="A1886" s="68" t="s">
        <v>486</v>
      </c>
      <c r="B1886" s="60" t="s">
        <v>51</v>
      </c>
      <c r="C1886" s="61">
        <v>92269</v>
      </c>
      <c r="D1886" s="61">
        <v>-1096</v>
      </c>
      <c r="E1886" s="61">
        <v>0</v>
      </c>
      <c r="F1886" s="61">
        <v>0</v>
      </c>
      <c r="G1886" s="61">
        <v>0</v>
      </c>
      <c r="H1886" s="61">
        <v>91173</v>
      </c>
      <c r="I1886" s="61">
        <v>-85157</v>
      </c>
      <c r="J1886" s="61">
        <v>6016</v>
      </c>
      <c r="K1886" s="61">
        <v>0</v>
      </c>
      <c r="L1886" s="61">
        <v>0</v>
      </c>
      <c r="M1886" s="61">
        <v>0</v>
      </c>
      <c r="N1886" s="61">
        <v>6016</v>
      </c>
    </row>
    <row r="1887" spans="1:14" ht="30" x14ac:dyDescent="0.25">
      <c r="A1887" s="68" t="s">
        <v>486</v>
      </c>
      <c r="B1887" s="60" t="s">
        <v>52</v>
      </c>
      <c r="C1887" s="61">
        <v>52536</v>
      </c>
      <c r="D1887" s="61">
        <v>-393</v>
      </c>
      <c r="E1887" s="61">
        <v>0</v>
      </c>
      <c r="F1887" s="61">
        <v>0</v>
      </c>
      <c r="G1887" s="61">
        <v>0</v>
      </c>
      <c r="H1887" s="61">
        <v>52143</v>
      </c>
      <c r="I1887" s="61">
        <v>-47396</v>
      </c>
      <c r="J1887" s="61">
        <v>4747</v>
      </c>
      <c r="K1887" s="61">
        <v>0</v>
      </c>
      <c r="L1887" s="61">
        <v>0</v>
      </c>
      <c r="M1887" s="61">
        <v>0</v>
      </c>
      <c r="N1887" s="61">
        <v>4747</v>
      </c>
    </row>
    <row r="1888" spans="1:14" ht="30" x14ac:dyDescent="0.25">
      <c r="A1888" s="68" t="s">
        <v>486</v>
      </c>
      <c r="B1888" s="60" t="s">
        <v>53</v>
      </c>
      <c r="C1888" s="61">
        <v>50027</v>
      </c>
      <c r="D1888" s="61">
        <v>-400</v>
      </c>
      <c r="E1888" s="61">
        <v>0</v>
      </c>
      <c r="F1888" s="61">
        <v>0</v>
      </c>
      <c r="G1888" s="61">
        <v>0</v>
      </c>
      <c r="H1888" s="61">
        <v>49627</v>
      </c>
      <c r="I1888" s="61">
        <v>-46027</v>
      </c>
      <c r="J1888" s="61">
        <v>3600</v>
      </c>
      <c r="K1888" s="61">
        <v>0</v>
      </c>
      <c r="L1888" s="61">
        <v>0</v>
      </c>
      <c r="M1888" s="61">
        <v>0</v>
      </c>
      <c r="N1888" s="61">
        <v>3600</v>
      </c>
    </row>
    <row r="1889" spans="1:14" ht="30" x14ac:dyDescent="0.25">
      <c r="A1889" s="68" t="s">
        <v>486</v>
      </c>
      <c r="B1889" s="60" t="s">
        <v>54</v>
      </c>
      <c r="C1889" s="61">
        <v>29595</v>
      </c>
      <c r="D1889" s="61">
        <v>-280</v>
      </c>
      <c r="E1889" s="61">
        <v>0</v>
      </c>
      <c r="F1889" s="61">
        <v>0</v>
      </c>
      <c r="G1889" s="61">
        <v>0</v>
      </c>
      <c r="H1889" s="61">
        <v>29315</v>
      </c>
      <c r="I1889" s="61">
        <v>-29315</v>
      </c>
      <c r="J1889" s="61">
        <v>0</v>
      </c>
      <c r="K1889" s="61">
        <v>0</v>
      </c>
      <c r="L1889" s="61">
        <v>0</v>
      </c>
      <c r="M1889" s="61">
        <v>0</v>
      </c>
      <c r="N1889" s="61">
        <v>0</v>
      </c>
    </row>
    <row r="1890" spans="1:14" ht="15.75" x14ac:dyDescent="0.25">
      <c r="A1890" s="52" t="s">
        <v>363</v>
      </c>
      <c r="B1890" s="53" t="s">
        <v>8</v>
      </c>
      <c r="C1890" s="19">
        <f>SUBTOTAL(109,Program351[(C)
Program
Costs])</f>
        <v>1036950</v>
      </c>
      <c r="D1890" s="19">
        <f>SUBTOTAL(109,Program351[(D)
Prior Period Adjustments])</f>
        <v>-6280</v>
      </c>
      <c r="E1890" s="19">
        <f>SUBTOTAL(109,Program351[(E)
Current Period Desk 
Reviews])</f>
        <v>0</v>
      </c>
      <c r="F1890" s="19">
        <f>SUBTOTAL(109,Program351[(F)
Current Period 
Final 
Audits])</f>
        <v>0</v>
      </c>
      <c r="G1890" s="19">
        <f>SUBTOTAL(109,Program351[(G)
Current Period 
Other Adjustments])</f>
        <v>0</v>
      </c>
      <c r="H1890" s="19">
        <f>SUBTOTAL(109,Program351[(H)
Net Program Costs
Sum (C through G)])</f>
        <v>1030670</v>
      </c>
      <c r="I1890" s="19">
        <f>SUBTOTAL(109,Program351[(I)
Payments
 and Offsets])</f>
        <v>-786540</v>
      </c>
      <c r="J1890" s="19">
        <f>SUBTOTAL(109,Program351[(J)
Accounts Payable Balance
(H + I)])</f>
        <v>244130</v>
      </c>
      <c r="K1890" s="19">
        <f>SUBTOTAL(109,Program351[(K)
Established 
Accounts Receivable])</f>
        <v>0</v>
      </c>
      <c r="L1890" s="19">
        <f>SUBTOTAL(109,Program351[(L)
Recovered
 Accounts Receivable])</f>
        <v>0</v>
      </c>
      <c r="M1890" s="19">
        <f>SUBTOTAL(109,Program351[(M)
Accounts Receivable Balance
(K + L)])</f>
        <v>0</v>
      </c>
      <c r="N1890" s="19">
        <f>SUBTOTAL(109,Program351[(N)
Net Balance
(J minus M)])</f>
        <v>244130</v>
      </c>
    </row>
    <row r="1891" spans="1:14" ht="15.75" x14ac:dyDescent="0.25">
      <c r="A1891" s="17" t="s">
        <v>13</v>
      </c>
      <c r="B1891" s="54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78.75" x14ac:dyDescent="0.25">
      <c r="A1892" s="39" t="s">
        <v>32</v>
      </c>
      <c r="B1892" s="40" t="s">
        <v>33</v>
      </c>
      <c r="C1892" s="41" t="s">
        <v>34</v>
      </c>
      <c r="D1892" s="41" t="s">
        <v>35</v>
      </c>
      <c r="E1892" s="42" t="s">
        <v>36</v>
      </c>
      <c r="F1892" s="42" t="s">
        <v>37</v>
      </c>
      <c r="G1892" s="42" t="s">
        <v>38</v>
      </c>
      <c r="H1892" s="43" t="s">
        <v>39</v>
      </c>
      <c r="I1892" s="44" t="s">
        <v>40</v>
      </c>
      <c r="J1892" s="44" t="s">
        <v>41</v>
      </c>
      <c r="K1892" s="42" t="s">
        <v>42</v>
      </c>
      <c r="L1892" s="44" t="s">
        <v>43</v>
      </c>
      <c r="M1892" s="44" t="s">
        <v>44</v>
      </c>
      <c r="N1892" s="45" t="s">
        <v>45</v>
      </c>
    </row>
    <row r="1893" spans="1:14" ht="15.75" x14ac:dyDescent="0.25">
      <c r="A1893" s="69" t="s">
        <v>485</v>
      </c>
      <c r="B1893" s="70" t="s">
        <v>8</v>
      </c>
      <c r="C1893" s="71">
        <v>6084581</v>
      </c>
      <c r="D1893" s="71">
        <v>-153482</v>
      </c>
      <c r="E1893" s="71">
        <v>0</v>
      </c>
      <c r="F1893" s="71">
        <v>0</v>
      </c>
      <c r="G1893" s="71">
        <v>0</v>
      </c>
      <c r="H1893" s="71">
        <v>5931099</v>
      </c>
      <c r="I1893" s="71">
        <v>-5931099</v>
      </c>
      <c r="J1893" s="71">
        <v>0</v>
      </c>
      <c r="K1893" s="71">
        <v>281361</v>
      </c>
      <c r="L1893" s="71">
        <v>-280361</v>
      </c>
      <c r="M1893" s="71">
        <v>1000</v>
      </c>
      <c r="N1893" s="71">
        <v>-1000</v>
      </c>
    </row>
    <row r="1894" spans="1:14" ht="15.75" x14ac:dyDescent="0.25">
      <c r="A1894" s="49" t="s">
        <v>484</v>
      </c>
      <c r="B1894" s="72" t="s">
        <v>8</v>
      </c>
      <c r="C1894" s="11">
        <v>1952120</v>
      </c>
      <c r="D1894" s="11">
        <v>-14542</v>
      </c>
      <c r="E1894" s="11">
        <v>0</v>
      </c>
      <c r="F1894" s="11">
        <v>0</v>
      </c>
      <c r="G1894" s="11">
        <v>0</v>
      </c>
      <c r="H1894" s="11">
        <v>1937578</v>
      </c>
      <c r="I1894" s="11">
        <v>-1511597</v>
      </c>
      <c r="J1894" s="11">
        <v>425981</v>
      </c>
      <c r="K1894" s="11">
        <v>1000</v>
      </c>
      <c r="L1894" s="11">
        <v>-1000</v>
      </c>
      <c r="M1894" s="11">
        <v>0</v>
      </c>
      <c r="N1894" s="11">
        <v>425981</v>
      </c>
    </row>
    <row r="1895" spans="1:14" ht="15.75" x14ac:dyDescent="0.25">
      <c r="A1895" s="49" t="s">
        <v>483</v>
      </c>
      <c r="B1895" s="72" t="s">
        <v>8</v>
      </c>
      <c r="C1895" s="11">
        <v>117934</v>
      </c>
      <c r="D1895" s="11">
        <v>-639</v>
      </c>
      <c r="E1895" s="11">
        <v>0</v>
      </c>
      <c r="F1895" s="11">
        <v>0</v>
      </c>
      <c r="G1895" s="11">
        <v>0</v>
      </c>
      <c r="H1895" s="11">
        <v>117295</v>
      </c>
      <c r="I1895" s="11">
        <v>-107515</v>
      </c>
      <c r="J1895" s="11">
        <v>9780</v>
      </c>
      <c r="K1895" s="11">
        <v>0</v>
      </c>
      <c r="L1895" s="11">
        <v>0</v>
      </c>
      <c r="M1895" s="11">
        <v>0</v>
      </c>
      <c r="N1895" s="11">
        <v>9780</v>
      </c>
    </row>
    <row r="1896" spans="1:14" ht="15.75" x14ac:dyDescent="0.25">
      <c r="A1896" s="49" t="s">
        <v>482</v>
      </c>
      <c r="B1896" s="72" t="s">
        <v>8</v>
      </c>
      <c r="C1896" s="11">
        <v>36198544</v>
      </c>
      <c r="D1896" s="11">
        <v>-2605144</v>
      </c>
      <c r="E1896" s="11">
        <v>0</v>
      </c>
      <c r="F1896" s="11">
        <v>0</v>
      </c>
      <c r="G1896" s="11">
        <v>0</v>
      </c>
      <c r="H1896" s="11">
        <v>33593400</v>
      </c>
      <c r="I1896" s="11">
        <v>-33593400</v>
      </c>
      <c r="J1896" s="11">
        <v>0</v>
      </c>
      <c r="K1896" s="11">
        <v>6249680</v>
      </c>
      <c r="L1896" s="11">
        <v>-6243904</v>
      </c>
      <c r="M1896" s="11">
        <v>5776</v>
      </c>
      <c r="N1896" s="11">
        <v>-5776</v>
      </c>
    </row>
    <row r="1897" spans="1:14" ht="15.75" x14ac:dyDescent="0.25">
      <c r="A1897" s="49" t="s">
        <v>481</v>
      </c>
      <c r="B1897" s="72" t="s">
        <v>8</v>
      </c>
      <c r="C1897" s="11">
        <v>14715893</v>
      </c>
      <c r="D1897" s="11">
        <v>-138780</v>
      </c>
      <c r="E1897" s="11">
        <v>0</v>
      </c>
      <c r="F1897" s="11">
        <v>0</v>
      </c>
      <c r="G1897" s="11">
        <v>0</v>
      </c>
      <c r="H1897" s="11">
        <v>14577113</v>
      </c>
      <c r="I1897" s="11">
        <v>-11986303</v>
      </c>
      <c r="J1897" s="11">
        <v>2590810</v>
      </c>
      <c r="K1897" s="11">
        <v>60592</v>
      </c>
      <c r="L1897" s="11">
        <v>-57598</v>
      </c>
      <c r="M1897" s="11">
        <v>2994</v>
      </c>
      <c r="N1897" s="11">
        <v>2587816</v>
      </c>
    </row>
    <row r="1898" spans="1:14" ht="15.75" x14ac:dyDescent="0.25">
      <c r="A1898" s="49" t="s">
        <v>480</v>
      </c>
      <c r="B1898" s="72" t="s">
        <v>8</v>
      </c>
      <c r="C1898" s="11">
        <v>1783035</v>
      </c>
      <c r="D1898" s="11">
        <v>-30537</v>
      </c>
      <c r="E1898" s="11">
        <v>0</v>
      </c>
      <c r="F1898" s="11">
        <v>0</v>
      </c>
      <c r="G1898" s="11">
        <v>0</v>
      </c>
      <c r="H1898" s="11">
        <v>1752498</v>
      </c>
      <c r="I1898" s="11">
        <v>-1752498</v>
      </c>
      <c r="J1898" s="11">
        <v>0</v>
      </c>
      <c r="K1898" s="11">
        <v>81133</v>
      </c>
      <c r="L1898" s="11">
        <v>-79405</v>
      </c>
      <c r="M1898" s="11">
        <v>1728</v>
      </c>
      <c r="N1898" s="11">
        <v>-1728</v>
      </c>
    </row>
    <row r="1899" spans="1:14" ht="15.75" x14ac:dyDescent="0.25">
      <c r="A1899" s="49" t="s">
        <v>479</v>
      </c>
      <c r="B1899" s="72" t="s">
        <v>8</v>
      </c>
      <c r="C1899" s="11">
        <v>17173651</v>
      </c>
      <c r="D1899" s="11">
        <v>-1483306</v>
      </c>
      <c r="E1899" s="11">
        <v>0</v>
      </c>
      <c r="F1899" s="11">
        <v>0</v>
      </c>
      <c r="G1899" s="11">
        <v>0</v>
      </c>
      <c r="H1899" s="11">
        <v>15690345</v>
      </c>
      <c r="I1899" s="11">
        <v>-15690345</v>
      </c>
      <c r="J1899" s="11">
        <v>0</v>
      </c>
      <c r="K1899" s="11">
        <v>249488</v>
      </c>
      <c r="L1899" s="11">
        <v>-249488</v>
      </c>
      <c r="M1899" s="11">
        <v>0</v>
      </c>
      <c r="N1899" s="11">
        <v>0</v>
      </c>
    </row>
    <row r="1900" spans="1:14" ht="15.75" x14ac:dyDescent="0.25">
      <c r="A1900" s="49" t="s">
        <v>478</v>
      </c>
      <c r="B1900" s="72" t="s">
        <v>8</v>
      </c>
      <c r="C1900" s="11">
        <v>17479098</v>
      </c>
      <c r="D1900" s="11">
        <v>-4407066</v>
      </c>
      <c r="E1900" s="11">
        <v>0</v>
      </c>
      <c r="F1900" s="11">
        <v>0</v>
      </c>
      <c r="G1900" s="11">
        <v>0</v>
      </c>
      <c r="H1900" s="11">
        <v>13072032</v>
      </c>
      <c r="I1900" s="11">
        <v>-13072032</v>
      </c>
      <c r="J1900" s="11">
        <v>0</v>
      </c>
      <c r="K1900" s="11">
        <v>1479906</v>
      </c>
      <c r="L1900" s="11">
        <v>-1479906</v>
      </c>
      <c r="M1900" s="11">
        <v>0</v>
      </c>
      <c r="N1900" s="11">
        <v>0</v>
      </c>
    </row>
    <row r="1901" spans="1:14" ht="15.75" x14ac:dyDescent="0.25">
      <c r="A1901" s="49" t="s">
        <v>477</v>
      </c>
      <c r="B1901" s="72" t="s">
        <v>8</v>
      </c>
      <c r="C1901" s="11">
        <v>31655967</v>
      </c>
      <c r="D1901" s="11">
        <v>-261430</v>
      </c>
      <c r="E1901" s="11">
        <v>0</v>
      </c>
      <c r="F1901" s="11">
        <v>0</v>
      </c>
      <c r="G1901" s="11">
        <v>0</v>
      </c>
      <c r="H1901" s="11">
        <v>31394537</v>
      </c>
      <c r="I1901" s="11">
        <v>-31394537</v>
      </c>
      <c r="J1901" s="11">
        <v>0</v>
      </c>
      <c r="K1901" s="11">
        <v>114445</v>
      </c>
      <c r="L1901" s="11">
        <v>-103894</v>
      </c>
      <c r="M1901" s="11">
        <v>10551</v>
      </c>
      <c r="N1901" s="11">
        <v>-10551</v>
      </c>
    </row>
    <row r="1902" spans="1:14" ht="15.75" x14ac:dyDescent="0.25">
      <c r="A1902" s="49" t="s">
        <v>476</v>
      </c>
      <c r="B1902" s="72" t="s">
        <v>8</v>
      </c>
      <c r="C1902" s="11">
        <v>54393</v>
      </c>
      <c r="D1902" s="11">
        <v>0</v>
      </c>
      <c r="E1902" s="11">
        <v>0</v>
      </c>
      <c r="F1902" s="11">
        <v>0</v>
      </c>
      <c r="G1902" s="11">
        <v>0</v>
      </c>
      <c r="H1902" s="11">
        <v>54393</v>
      </c>
      <c r="I1902" s="11">
        <v>-54393</v>
      </c>
      <c r="J1902" s="11">
        <v>0</v>
      </c>
      <c r="K1902" s="11">
        <v>0</v>
      </c>
      <c r="L1902" s="11">
        <v>0</v>
      </c>
      <c r="M1902" s="11">
        <v>0</v>
      </c>
      <c r="N1902" s="11">
        <v>0</v>
      </c>
    </row>
    <row r="1903" spans="1:14" ht="15.75" x14ac:dyDescent="0.25">
      <c r="A1903" s="49" t="s">
        <v>475</v>
      </c>
      <c r="B1903" s="72" t="s">
        <v>8</v>
      </c>
      <c r="C1903" s="11">
        <v>812444041</v>
      </c>
      <c r="D1903" s="11">
        <v>-121137222</v>
      </c>
      <c r="E1903" s="11">
        <v>0</v>
      </c>
      <c r="F1903" s="11">
        <v>0</v>
      </c>
      <c r="G1903" s="11">
        <v>0</v>
      </c>
      <c r="H1903" s="11">
        <v>691306819</v>
      </c>
      <c r="I1903" s="11">
        <v>-612920059</v>
      </c>
      <c r="J1903" s="11">
        <v>78386760</v>
      </c>
      <c r="K1903" s="11">
        <v>0</v>
      </c>
      <c r="L1903" s="11">
        <v>0</v>
      </c>
      <c r="M1903" s="11">
        <v>0</v>
      </c>
      <c r="N1903" s="11">
        <v>78386760</v>
      </c>
    </row>
    <row r="1904" spans="1:14" ht="15.75" x14ac:dyDescent="0.25">
      <c r="A1904" s="49" t="s">
        <v>474</v>
      </c>
      <c r="B1904" s="72" t="s">
        <v>8</v>
      </c>
      <c r="C1904" s="11">
        <v>5702789</v>
      </c>
      <c r="D1904" s="11">
        <v>-5135274</v>
      </c>
      <c r="E1904" s="11">
        <v>0</v>
      </c>
      <c r="F1904" s="11">
        <v>0</v>
      </c>
      <c r="G1904" s="11">
        <v>0</v>
      </c>
      <c r="H1904" s="11">
        <v>567515</v>
      </c>
      <c r="I1904" s="11">
        <v>-339292</v>
      </c>
      <c r="J1904" s="11">
        <v>228223</v>
      </c>
      <c r="K1904" s="11">
        <v>0</v>
      </c>
      <c r="L1904" s="11">
        <v>0</v>
      </c>
      <c r="M1904" s="11">
        <v>0</v>
      </c>
      <c r="N1904" s="11">
        <v>228223</v>
      </c>
    </row>
    <row r="1905" spans="1:14" ht="15.75" x14ac:dyDescent="0.25">
      <c r="A1905" s="49" t="s">
        <v>473</v>
      </c>
      <c r="B1905" s="72" t="s">
        <v>8</v>
      </c>
      <c r="C1905" s="11">
        <v>676680</v>
      </c>
      <c r="D1905" s="11">
        <v>-10239</v>
      </c>
      <c r="E1905" s="11">
        <v>0</v>
      </c>
      <c r="F1905" s="11">
        <v>0</v>
      </c>
      <c r="G1905" s="11">
        <v>0</v>
      </c>
      <c r="H1905" s="11">
        <v>666441</v>
      </c>
      <c r="I1905" s="11">
        <v>-38167</v>
      </c>
      <c r="J1905" s="11">
        <v>628274</v>
      </c>
      <c r="K1905" s="11">
        <v>0</v>
      </c>
      <c r="L1905" s="11">
        <v>0</v>
      </c>
      <c r="M1905" s="11">
        <v>0</v>
      </c>
      <c r="N1905" s="11">
        <v>628274</v>
      </c>
    </row>
    <row r="1906" spans="1:14" ht="15.75" x14ac:dyDescent="0.25">
      <c r="A1906" s="49" t="s">
        <v>472</v>
      </c>
      <c r="B1906" s="72" t="s">
        <v>8</v>
      </c>
      <c r="C1906" s="11">
        <v>211128404</v>
      </c>
      <c r="D1906" s="11">
        <v>-40918273</v>
      </c>
      <c r="E1906" s="11">
        <v>0</v>
      </c>
      <c r="F1906" s="11">
        <v>-26423533</v>
      </c>
      <c r="G1906" s="11">
        <v>0</v>
      </c>
      <c r="H1906" s="11">
        <v>143786598</v>
      </c>
      <c r="I1906" s="11">
        <v>-134985870</v>
      </c>
      <c r="J1906" s="11">
        <v>8800728</v>
      </c>
      <c r="K1906" s="11">
        <v>417801</v>
      </c>
      <c r="L1906" s="11">
        <v>-416801</v>
      </c>
      <c r="M1906" s="11">
        <v>1000</v>
      </c>
      <c r="N1906" s="11">
        <v>8799728</v>
      </c>
    </row>
    <row r="1907" spans="1:14" ht="15.75" x14ac:dyDescent="0.25">
      <c r="A1907" s="49" t="s">
        <v>471</v>
      </c>
      <c r="B1907" s="72" t="s">
        <v>8</v>
      </c>
      <c r="C1907" s="11">
        <v>682984</v>
      </c>
      <c r="D1907" s="11">
        <v>-6727</v>
      </c>
      <c r="E1907" s="11">
        <v>0</v>
      </c>
      <c r="F1907" s="11">
        <v>0</v>
      </c>
      <c r="G1907" s="11">
        <v>0</v>
      </c>
      <c r="H1907" s="11">
        <v>676257</v>
      </c>
      <c r="I1907" s="11">
        <v>-494173</v>
      </c>
      <c r="J1907" s="11">
        <v>182084</v>
      </c>
      <c r="K1907" s="11">
        <v>0</v>
      </c>
      <c r="L1907" s="11">
        <v>0</v>
      </c>
      <c r="M1907" s="11">
        <v>0</v>
      </c>
      <c r="N1907" s="11">
        <v>182084</v>
      </c>
    </row>
    <row r="1908" spans="1:14" ht="15.75" x14ac:dyDescent="0.25">
      <c r="A1908" s="49" t="s">
        <v>470</v>
      </c>
      <c r="B1908" s="72" t="s">
        <v>8</v>
      </c>
      <c r="C1908" s="11">
        <v>714010</v>
      </c>
      <c r="D1908" s="11">
        <v>-2813</v>
      </c>
      <c r="E1908" s="11">
        <v>0</v>
      </c>
      <c r="F1908" s="11">
        <v>0</v>
      </c>
      <c r="G1908" s="11">
        <v>0</v>
      </c>
      <c r="H1908" s="11">
        <v>711197</v>
      </c>
      <c r="I1908" s="11">
        <v>-621514</v>
      </c>
      <c r="J1908" s="11">
        <v>89683</v>
      </c>
      <c r="K1908" s="11">
        <v>0</v>
      </c>
      <c r="L1908" s="11">
        <v>0</v>
      </c>
      <c r="M1908" s="11">
        <v>0</v>
      </c>
      <c r="N1908" s="11">
        <v>89683</v>
      </c>
    </row>
    <row r="1909" spans="1:14" ht="15.75" x14ac:dyDescent="0.25">
      <c r="A1909" s="49" t="s">
        <v>469</v>
      </c>
      <c r="B1909" s="72" t="s">
        <v>8</v>
      </c>
      <c r="C1909" s="11">
        <v>12732398</v>
      </c>
      <c r="D1909" s="11">
        <v>-123052</v>
      </c>
      <c r="E1909" s="11">
        <v>0</v>
      </c>
      <c r="F1909" s="11">
        <v>0</v>
      </c>
      <c r="G1909" s="11">
        <v>0</v>
      </c>
      <c r="H1909" s="11">
        <v>12609346</v>
      </c>
      <c r="I1909" s="11">
        <v>-11962286</v>
      </c>
      <c r="J1909" s="11">
        <v>647060</v>
      </c>
      <c r="K1909" s="11">
        <v>318423</v>
      </c>
      <c r="L1909" s="11">
        <v>-296416</v>
      </c>
      <c r="M1909" s="11">
        <v>22007</v>
      </c>
      <c r="N1909" s="11">
        <v>625053</v>
      </c>
    </row>
    <row r="1910" spans="1:14" ht="15.75" x14ac:dyDescent="0.25">
      <c r="A1910" s="49" t="s">
        <v>468</v>
      </c>
      <c r="B1910" s="72" t="s">
        <v>8</v>
      </c>
      <c r="C1910" s="11">
        <v>78562855</v>
      </c>
      <c r="D1910" s="11">
        <v>-13938671</v>
      </c>
      <c r="E1910" s="11">
        <v>0</v>
      </c>
      <c r="F1910" s="11">
        <v>0</v>
      </c>
      <c r="G1910" s="11">
        <v>0</v>
      </c>
      <c r="H1910" s="11">
        <v>64624184</v>
      </c>
      <c r="I1910" s="11">
        <v>-64624184</v>
      </c>
      <c r="J1910" s="11">
        <v>0</v>
      </c>
      <c r="K1910" s="11">
        <v>2464721</v>
      </c>
      <c r="L1910" s="11">
        <v>-2464721</v>
      </c>
      <c r="M1910" s="11">
        <v>0</v>
      </c>
      <c r="N1910" s="11">
        <v>0</v>
      </c>
    </row>
    <row r="1911" spans="1:14" ht="15.75" x14ac:dyDescent="0.25">
      <c r="A1911" s="49" t="s">
        <v>467</v>
      </c>
      <c r="B1911" s="72" t="s">
        <v>8</v>
      </c>
      <c r="C1911" s="11">
        <v>19576111</v>
      </c>
      <c r="D1911" s="11">
        <v>118292</v>
      </c>
      <c r="E1911" s="11">
        <v>0</v>
      </c>
      <c r="F1911" s="11">
        <v>0</v>
      </c>
      <c r="G1911" s="11">
        <v>0</v>
      </c>
      <c r="H1911" s="11">
        <v>19694403</v>
      </c>
      <c r="I1911" s="11">
        <v>-19694403</v>
      </c>
      <c r="J1911" s="11">
        <v>0</v>
      </c>
      <c r="K1911" s="11">
        <v>1373272</v>
      </c>
      <c r="L1911" s="11">
        <v>-1358272</v>
      </c>
      <c r="M1911" s="11">
        <v>15000</v>
      </c>
      <c r="N1911" s="11">
        <v>-15000</v>
      </c>
    </row>
    <row r="1912" spans="1:14" ht="15.75" x14ac:dyDescent="0.25">
      <c r="A1912" s="49" t="s">
        <v>466</v>
      </c>
      <c r="B1912" s="72" t="s">
        <v>8</v>
      </c>
      <c r="C1912" s="11">
        <v>11931932</v>
      </c>
      <c r="D1912" s="11">
        <v>-2629966</v>
      </c>
      <c r="E1912" s="11">
        <v>0</v>
      </c>
      <c r="F1912" s="11">
        <v>0</v>
      </c>
      <c r="G1912" s="11">
        <v>0</v>
      </c>
      <c r="H1912" s="11">
        <v>9301966</v>
      </c>
      <c r="I1912" s="11">
        <v>-7607816</v>
      </c>
      <c r="J1912" s="11">
        <v>1694150</v>
      </c>
      <c r="K1912" s="11">
        <v>0</v>
      </c>
      <c r="L1912" s="11">
        <v>0</v>
      </c>
      <c r="M1912" s="11">
        <v>0</v>
      </c>
      <c r="N1912" s="11">
        <v>1694150</v>
      </c>
    </row>
    <row r="1913" spans="1:14" ht="15.75" x14ac:dyDescent="0.25">
      <c r="A1913" s="49" t="s">
        <v>465</v>
      </c>
      <c r="B1913" s="72" t="s">
        <v>8</v>
      </c>
      <c r="C1913" s="11">
        <v>8114414</v>
      </c>
      <c r="D1913" s="11">
        <v>-25084</v>
      </c>
      <c r="E1913" s="11">
        <v>0</v>
      </c>
      <c r="F1913" s="11">
        <v>0</v>
      </c>
      <c r="G1913" s="11">
        <v>0</v>
      </c>
      <c r="H1913" s="11">
        <v>8089330</v>
      </c>
      <c r="I1913" s="11">
        <v>-7718640</v>
      </c>
      <c r="J1913" s="11">
        <v>370690</v>
      </c>
      <c r="K1913" s="11">
        <v>21370</v>
      </c>
      <c r="L1913" s="11">
        <v>-21370</v>
      </c>
      <c r="M1913" s="11">
        <v>0</v>
      </c>
      <c r="N1913" s="11">
        <v>370690</v>
      </c>
    </row>
    <row r="1914" spans="1:14" ht="15.75" x14ac:dyDescent="0.25">
      <c r="A1914" s="49" t="s">
        <v>464</v>
      </c>
      <c r="B1914" s="72" t="s">
        <v>8</v>
      </c>
      <c r="C1914" s="11">
        <v>102420</v>
      </c>
      <c r="D1914" s="11">
        <v>-179</v>
      </c>
      <c r="E1914" s="11">
        <v>0</v>
      </c>
      <c r="F1914" s="11">
        <v>0</v>
      </c>
      <c r="G1914" s="11">
        <v>0</v>
      </c>
      <c r="H1914" s="11">
        <v>102241</v>
      </c>
      <c r="I1914" s="11">
        <v>-100937</v>
      </c>
      <c r="J1914" s="11">
        <v>1304</v>
      </c>
      <c r="K1914" s="11">
        <v>0</v>
      </c>
      <c r="L1914" s="11">
        <v>0</v>
      </c>
      <c r="M1914" s="11">
        <v>0</v>
      </c>
      <c r="N1914" s="11">
        <v>1304</v>
      </c>
    </row>
    <row r="1915" spans="1:14" ht="15.75" x14ac:dyDescent="0.25">
      <c r="A1915" s="49" t="s">
        <v>463</v>
      </c>
      <c r="B1915" s="72" t="s">
        <v>8</v>
      </c>
      <c r="C1915" s="11">
        <v>104750</v>
      </c>
      <c r="D1915" s="11">
        <v>0</v>
      </c>
      <c r="E1915" s="11">
        <v>0</v>
      </c>
      <c r="F1915" s="11">
        <v>0</v>
      </c>
      <c r="G1915" s="11">
        <v>0</v>
      </c>
      <c r="H1915" s="11">
        <v>104750</v>
      </c>
      <c r="I1915" s="11">
        <v>-87573</v>
      </c>
      <c r="J1915" s="11">
        <v>17177</v>
      </c>
      <c r="K1915" s="11">
        <v>0</v>
      </c>
      <c r="L1915" s="11">
        <v>0</v>
      </c>
      <c r="M1915" s="11">
        <v>0</v>
      </c>
      <c r="N1915" s="11">
        <v>17177</v>
      </c>
    </row>
    <row r="1916" spans="1:14" ht="15.75" x14ac:dyDescent="0.25">
      <c r="A1916" s="49" t="s">
        <v>462</v>
      </c>
      <c r="B1916" s="72" t="s">
        <v>8</v>
      </c>
      <c r="C1916" s="11">
        <v>50650</v>
      </c>
      <c r="D1916" s="11">
        <v>-2327</v>
      </c>
      <c r="E1916" s="11">
        <v>0</v>
      </c>
      <c r="F1916" s="11">
        <v>0</v>
      </c>
      <c r="G1916" s="11">
        <v>0</v>
      </c>
      <c r="H1916" s="11">
        <v>48323</v>
      </c>
      <c r="I1916" s="11">
        <v>-24823</v>
      </c>
      <c r="J1916" s="11">
        <v>23500</v>
      </c>
      <c r="K1916" s="11">
        <v>0</v>
      </c>
      <c r="L1916" s="11">
        <v>0</v>
      </c>
      <c r="M1916" s="11">
        <v>0</v>
      </c>
      <c r="N1916" s="11">
        <v>23500</v>
      </c>
    </row>
    <row r="1917" spans="1:14" ht="15.75" x14ac:dyDescent="0.25">
      <c r="A1917" s="49" t="s">
        <v>461</v>
      </c>
      <c r="B1917" s="72" t="s">
        <v>8</v>
      </c>
      <c r="C1917" s="11">
        <v>104820005</v>
      </c>
      <c r="D1917" s="11">
        <v>-31536120</v>
      </c>
      <c r="E1917" s="11">
        <v>0</v>
      </c>
      <c r="F1917" s="11">
        <v>0</v>
      </c>
      <c r="G1917" s="11">
        <v>0</v>
      </c>
      <c r="H1917" s="11">
        <v>73283885</v>
      </c>
      <c r="I1917" s="11">
        <v>-73283885</v>
      </c>
      <c r="J1917" s="11">
        <v>0</v>
      </c>
      <c r="K1917" s="11">
        <v>7212859</v>
      </c>
      <c r="L1917" s="11">
        <v>-7208774</v>
      </c>
      <c r="M1917" s="11">
        <v>4085</v>
      </c>
      <c r="N1917" s="11">
        <v>-4085</v>
      </c>
    </row>
    <row r="1918" spans="1:14" ht="15.75" x14ac:dyDescent="0.25">
      <c r="A1918" s="49" t="s">
        <v>460</v>
      </c>
      <c r="B1918" s="72" t="s">
        <v>8</v>
      </c>
      <c r="C1918" s="11">
        <v>656365573</v>
      </c>
      <c r="D1918" s="11">
        <v>-27811142</v>
      </c>
      <c r="E1918" s="11">
        <v>0</v>
      </c>
      <c r="F1918" s="11">
        <v>0</v>
      </c>
      <c r="G1918" s="11">
        <v>0</v>
      </c>
      <c r="H1918" s="11">
        <v>628554431</v>
      </c>
      <c r="I1918" s="11">
        <v>-606636320</v>
      </c>
      <c r="J1918" s="11">
        <v>21918111</v>
      </c>
      <c r="K1918" s="11">
        <v>79899770</v>
      </c>
      <c r="L1918" s="11">
        <v>-78486492</v>
      </c>
      <c r="M1918" s="11">
        <v>1413278</v>
      </c>
      <c r="N1918" s="11">
        <v>20504833</v>
      </c>
    </row>
    <row r="1919" spans="1:14" ht="15.75" x14ac:dyDescent="0.25">
      <c r="A1919" s="49" t="s">
        <v>459</v>
      </c>
      <c r="B1919" s="72" t="s">
        <v>8</v>
      </c>
      <c r="C1919" s="11">
        <v>44252583</v>
      </c>
      <c r="D1919" s="11">
        <v>-690224</v>
      </c>
      <c r="E1919" s="11">
        <v>0</v>
      </c>
      <c r="F1919" s="11">
        <v>0</v>
      </c>
      <c r="G1919" s="11">
        <v>0</v>
      </c>
      <c r="H1919" s="11">
        <v>43562359</v>
      </c>
      <c r="I1919" s="11">
        <v>-42809965</v>
      </c>
      <c r="J1919" s="11">
        <v>752394</v>
      </c>
      <c r="K1919" s="11">
        <v>115797</v>
      </c>
      <c r="L1919" s="11">
        <v>-61893</v>
      </c>
      <c r="M1919" s="11">
        <v>53904</v>
      </c>
      <c r="N1919" s="11">
        <v>698490</v>
      </c>
    </row>
    <row r="1920" spans="1:14" ht="15.75" x14ac:dyDescent="0.25">
      <c r="A1920" s="49" t="s">
        <v>458</v>
      </c>
      <c r="B1920" s="72" t="s">
        <v>8</v>
      </c>
      <c r="C1920" s="11">
        <v>11259931</v>
      </c>
      <c r="D1920" s="11">
        <v>-41452</v>
      </c>
      <c r="E1920" s="11">
        <v>0</v>
      </c>
      <c r="F1920" s="11">
        <v>0</v>
      </c>
      <c r="G1920" s="11">
        <v>0</v>
      </c>
      <c r="H1920" s="11">
        <v>11218479</v>
      </c>
      <c r="I1920" s="11">
        <v>-9075280</v>
      </c>
      <c r="J1920" s="11">
        <v>2143199</v>
      </c>
      <c r="K1920" s="11">
        <v>0</v>
      </c>
      <c r="L1920" s="11">
        <v>0</v>
      </c>
      <c r="M1920" s="11">
        <v>0</v>
      </c>
      <c r="N1920" s="11">
        <v>2143199</v>
      </c>
    </row>
    <row r="1921" spans="1:14" ht="15.75" x14ac:dyDescent="0.25">
      <c r="A1921" s="49" t="s">
        <v>457</v>
      </c>
      <c r="B1921" s="72" t="s">
        <v>8</v>
      </c>
      <c r="C1921" s="11">
        <v>19016</v>
      </c>
      <c r="D1921" s="11">
        <v>0</v>
      </c>
      <c r="E1921" s="11">
        <v>0</v>
      </c>
      <c r="F1921" s="11">
        <v>0</v>
      </c>
      <c r="G1921" s="11">
        <v>0</v>
      </c>
      <c r="H1921" s="11">
        <v>19016</v>
      </c>
      <c r="I1921" s="11">
        <v>-19016</v>
      </c>
      <c r="J1921" s="11">
        <v>0</v>
      </c>
      <c r="K1921" s="11">
        <v>0</v>
      </c>
      <c r="L1921" s="11">
        <v>0</v>
      </c>
      <c r="M1921" s="11">
        <v>0</v>
      </c>
      <c r="N1921" s="11">
        <v>0</v>
      </c>
    </row>
    <row r="1922" spans="1:14" ht="15.75" x14ac:dyDescent="0.25">
      <c r="A1922" s="49" t="s">
        <v>456</v>
      </c>
      <c r="B1922" s="72" t="s">
        <v>8</v>
      </c>
      <c r="C1922" s="11">
        <v>4694</v>
      </c>
      <c r="D1922" s="11">
        <v>0</v>
      </c>
      <c r="E1922" s="11">
        <v>0</v>
      </c>
      <c r="F1922" s="11">
        <v>0</v>
      </c>
      <c r="G1922" s="11">
        <v>0</v>
      </c>
      <c r="H1922" s="11">
        <v>4694</v>
      </c>
      <c r="I1922" s="11">
        <v>-4694</v>
      </c>
      <c r="J1922" s="11">
        <v>0</v>
      </c>
      <c r="K1922" s="11">
        <v>0</v>
      </c>
      <c r="L1922" s="11">
        <v>0</v>
      </c>
      <c r="M1922" s="11">
        <v>0</v>
      </c>
      <c r="N1922" s="11">
        <v>0</v>
      </c>
    </row>
    <row r="1923" spans="1:14" ht="15.75" x14ac:dyDescent="0.25">
      <c r="A1923" s="49" t="s">
        <v>455</v>
      </c>
      <c r="B1923" s="72" t="s">
        <v>8</v>
      </c>
      <c r="C1923" s="11">
        <v>1413157</v>
      </c>
      <c r="D1923" s="11">
        <v>-8145</v>
      </c>
      <c r="E1923" s="11">
        <v>0</v>
      </c>
      <c r="F1923" s="11">
        <v>0</v>
      </c>
      <c r="G1923" s="11">
        <v>0</v>
      </c>
      <c r="H1923" s="11">
        <v>1405012</v>
      </c>
      <c r="I1923" s="11">
        <v>-524040</v>
      </c>
      <c r="J1923" s="11">
        <v>880972</v>
      </c>
      <c r="K1923" s="11">
        <v>0</v>
      </c>
      <c r="L1923" s="11">
        <v>0</v>
      </c>
      <c r="M1923" s="11">
        <v>0</v>
      </c>
      <c r="N1923" s="11">
        <v>880972</v>
      </c>
    </row>
    <row r="1924" spans="1:14" ht="15.75" x14ac:dyDescent="0.25">
      <c r="A1924" s="49" t="s">
        <v>454</v>
      </c>
      <c r="B1924" s="72" t="s">
        <v>8</v>
      </c>
      <c r="C1924" s="11">
        <v>69346968</v>
      </c>
      <c r="D1924" s="11">
        <v>-2640625</v>
      </c>
      <c r="E1924" s="11">
        <v>0</v>
      </c>
      <c r="F1924" s="11">
        <v>0</v>
      </c>
      <c r="G1924" s="11">
        <v>0</v>
      </c>
      <c r="H1924" s="11">
        <v>66706343</v>
      </c>
      <c r="I1924" s="11">
        <v>-62154335</v>
      </c>
      <c r="J1924" s="11">
        <v>4552008</v>
      </c>
      <c r="K1924" s="11">
        <v>1153572</v>
      </c>
      <c r="L1924" s="11">
        <v>-289805</v>
      </c>
      <c r="M1924" s="11">
        <v>863767</v>
      </c>
      <c r="N1924" s="11">
        <v>3688241</v>
      </c>
    </row>
    <row r="1925" spans="1:14" ht="15.75" x14ac:dyDescent="0.25">
      <c r="A1925" s="49" t="s">
        <v>453</v>
      </c>
      <c r="B1925" s="72" t="s">
        <v>8</v>
      </c>
      <c r="C1925" s="11">
        <v>4601852</v>
      </c>
      <c r="D1925" s="11">
        <v>-10042</v>
      </c>
      <c r="E1925" s="11">
        <v>0</v>
      </c>
      <c r="F1925" s="11">
        <v>0</v>
      </c>
      <c r="G1925" s="11">
        <v>0</v>
      </c>
      <c r="H1925" s="11">
        <v>4591810</v>
      </c>
      <c r="I1925" s="11">
        <v>-3174257</v>
      </c>
      <c r="J1925" s="11">
        <v>1417553</v>
      </c>
      <c r="K1925" s="11">
        <v>0</v>
      </c>
      <c r="L1925" s="11">
        <v>0</v>
      </c>
      <c r="M1925" s="11">
        <v>0</v>
      </c>
      <c r="N1925" s="11">
        <v>1417553</v>
      </c>
    </row>
    <row r="1926" spans="1:14" ht="15.75" x14ac:dyDescent="0.25">
      <c r="A1926" s="49" t="s">
        <v>452</v>
      </c>
      <c r="B1926" s="72" t="s">
        <v>8</v>
      </c>
      <c r="C1926" s="11">
        <v>34395509</v>
      </c>
      <c r="D1926" s="11">
        <v>-68136</v>
      </c>
      <c r="E1926" s="11">
        <v>0</v>
      </c>
      <c r="F1926" s="11">
        <v>0</v>
      </c>
      <c r="G1926" s="11">
        <v>0</v>
      </c>
      <c r="H1926" s="11">
        <v>34327373</v>
      </c>
      <c r="I1926" s="11">
        <v>-28730715</v>
      </c>
      <c r="J1926" s="11">
        <v>5596658</v>
      </c>
      <c r="K1926" s="11">
        <v>35553</v>
      </c>
      <c r="L1926" s="11">
        <v>-11081</v>
      </c>
      <c r="M1926" s="11">
        <v>24472</v>
      </c>
      <c r="N1926" s="11">
        <v>5572186</v>
      </c>
    </row>
    <row r="1927" spans="1:14" ht="15.75" x14ac:dyDescent="0.25">
      <c r="A1927" s="49" t="s">
        <v>451</v>
      </c>
      <c r="B1927" s="72" t="s">
        <v>8</v>
      </c>
      <c r="C1927" s="11">
        <v>1520006</v>
      </c>
      <c r="D1927" s="11">
        <v>-3949</v>
      </c>
      <c r="E1927" s="11">
        <v>0</v>
      </c>
      <c r="F1927" s="11">
        <v>0</v>
      </c>
      <c r="G1927" s="11">
        <v>0</v>
      </c>
      <c r="H1927" s="11">
        <v>1516057</v>
      </c>
      <c r="I1927" s="11">
        <v>-1251003</v>
      </c>
      <c r="J1927" s="11">
        <v>265054</v>
      </c>
      <c r="K1927" s="11">
        <v>0</v>
      </c>
      <c r="L1927" s="11">
        <v>0</v>
      </c>
      <c r="M1927" s="11">
        <v>0</v>
      </c>
      <c r="N1927" s="11">
        <v>265054</v>
      </c>
    </row>
    <row r="1928" spans="1:14" ht="15.75" x14ac:dyDescent="0.25">
      <c r="A1928" s="49" t="s">
        <v>450</v>
      </c>
      <c r="B1928" s="72" t="s">
        <v>8</v>
      </c>
      <c r="C1928" s="11">
        <v>5686155</v>
      </c>
      <c r="D1928" s="11">
        <v>-390665</v>
      </c>
      <c r="E1928" s="11">
        <v>0</v>
      </c>
      <c r="F1928" s="11">
        <v>0</v>
      </c>
      <c r="G1928" s="11">
        <v>0</v>
      </c>
      <c r="H1928" s="11">
        <v>5295490</v>
      </c>
      <c r="I1928" s="11">
        <v>-3974444</v>
      </c>
      <c r="J1928" s="11">
        <v>1321046</v>
      </c>
      <c r="K1928" s="11">
        <v>15158</v>
      </c>
      <c r="L1928" s="11">
        <v>-15158</v>
      </c>
      <c r="M1928" s="11">
        <v>0</v>
      </c>
      <c r="N1928" s="11">
        <v>1321046</v>
      </c>
    </row>
    <row r="1929" spans="1:14" ht="15.75" x14ac:dyDescent="0.25">
      <c r="A1929" s="49" t="s">
        <v>449</v>
      </c>
      <c r="B1929" s="72" t="s">
        <v>8</v>
      </c>
      <c r="C1929" s="11">
        <v>125819</v>
      </c>
      <c r="D1929" s="11">
        <v>-431</v>
      </c>
      <c r="E1929" s="11">
        <v>0</v>
      </c>
      <c r="F1929" s="11">
        <v>0</v>
      </c>
      <c r="G1929" s="11">
        <v>0</v>
      </c>
      <c r="H1929" s="11">
        <v>125388</v>
      </c>
      <c r="I1929" s="11">
        <v>-125388</v>
      </c>
      <c r="J1929" s="11">
        <v>0</v>
      </c>
      <c r="K1929" s="11">
        <v>0</v>
      </c>
      <c r="L1929" s="11">
        <v>0</v>
      </c>
      <c r="M1929" s="11">
        <v>0</v>
      </c>
      <c r="N1929" s="11">
        <v>0</v>
      </c>
    </row>
    <row r="1930" spans="1:14" ht="15.75" x14ac:dyDescent="0.25">
      <c r="A1930" s="49" t="s">
        <v>448</v>
      </c>
      <c r="B1930" s="72" t="s">
        <v>8</v>
      </c>
      <c r="C1930" s="11">
        <v>17588583</v>
      </c>
      <c r="D1930" s="11">
        <v>-967177</v>
      </c>
      <c r="E1930" s="11">
        <v>0</v>
      </c>
      <c r="F1930" s="11">
        <v>0</v>
      </c>
      <c r="G1930" s="11">
        <v>0</v>
      </c>
      <c r="H1930" s="11">
        <v>16621406</v>
      </c>
      <c r="I1930" s="11">
        <v>-16621406</v>
      </c>
      <c r="J1930" s="11">
        <v>0</v>
      </c>
      <c r="K1930" s="11">
        <v>771168</v>
      </c>
      <c r="L1930" s="11">
        <v>-766067</v>
      </c>
      <c r="M1930" s="11">
        <v>5101</v>
      </c>
      <c r="N1930" s="11">
        <v>-5101</v>
      </c>
    </row>
    <row r="1931" spans="1:14" ht="15.75" x14ac:dyDescent="0.25">
      <c r="A1931" s="49" t="s">
        <v>447</v>
      </c>
      <c r="B1931" s="72" t="s">
        <v>8</v>
      </c>
      <c r="C1931" s="11">
        <v>35755017</v>
      </c>
      <c r="D1931" s="11">
        <v>-796009</v>
      </c>
      <c r="E1931" s="11">
        <v>0</v>
      </c>
      <c r="F1931" s="11">
        <v>0</v>
      </c>
      <c r="G1931" s="11">
        <v>0</v>
      </c>
      <c r="H1931" s="11">
        <v>34959008</v>
      </c>
      <c r="I1931" s="11">
        <v>-34399493</v>
      </c>
      <c r="J1931" s="11">
        <v>559515</v>
      </c>
      <c r="K1931" s="11">
        <v>3451433</v>
      </c>
      <c r="L1931" s="11">
        <v>-3445888</v>
      </c>
      <c r="M1931" s="11">
        <v>5545</v>
      </c>
      <c r="N1931" s="11">
        <v>553970</v>
      </c>
    </row>
    <row r="1932" spans="1:14" ht="15.75" x14ac:dyDescent="0.25">
      <c r="A1932" s="49" t="s">
        <v>446</v>
      </c>
      <c r="B1932" s="72" t="s">
        <v>8</v>
      </c>
      <c r="C1932" s="11">
        <v>4066647</v>
      </c>
      <c r="D1932" s="11">
        <v>-60527</v>
      </c>
      <c r="E1932" s="11">
        <v>0</v>
      </c>
      <c r="F1932" s="11">
        <v>0</v>
      </c>
      <c r="G1932" s="11">
        <v>0</v>
      </c>
      <c r="H1932" s="11">
        <v>4006120</v>
      </c>
      <c r="I1932" s="11">
        <v>-3340154</v>
      </c>
      <c r="J1932" s="11">
        <v>665966</v>
      </c>
      <c r="K1932" s="11">
        <v>21005</v>
      </c>
      <c r="L1932" s="11">
        <v>-4892</v>
      </c>
      <c r="M1932" s="11">
        <v>16113</v>
      </c>
      <c r="N1932" s="11">
        <v>649853</v>
      </c>
    </row>
    <row r="1933" spans="1:14" ht="15.75" x14ac:dyDescent="0.25">
      <c r="A1933" s="49" t="s">
        <v>445</v>
      </c>
      <c r="B1933" s="72" t="s">
        <v>8</v>
      </c>
      <c r="C1933" s="11">
        <v>414679</v>
      </c>
      <c r="D1933" s="11">
        <v>-1710</v>
      </c>
      <c r="E1933" s="11">
        <v>0</v>
      </c>
      <c r="F1933" s="11">
        <v>0</v>
      </c>
      <c r="G1933" s="11">
        <v>0</v>
      </c>
      <c r="H1933" s="11">
        <v>412969</v>
      </c>
      <c r="I1933" s="11">
        <v>-365456</v>
      </c>
      <c r="J1933" s="11">
        <v>47513</v>
      </c>
      <c r="K1933" s="11">
        <v>0</v>
      </c>
      <c r="L1933" s="11">
        <v>0</v>
      </c>
      <c r="M1933" s="11">
        <v>0</v>
      </c>
      <c r="N1933" s="11">
        <v>47513</v>
      </c>
    </row>
    <row r="1934" spans="1:14" ht="15.75" x14ac:dyDescent="0.25">
      <c r="A1934" s="49" t="s">
        <v>444</v>
      </c>
      <c r="B1934" s="72" t="s">
        <v>8</v>
      </c>
      <c r="C1934" s="11">
        <v>48210</v>
      </c>
      <c r="D1934" s="11">
        <v>-1000</v>
      </c>
      <c r="E1934" s="11">
        <v>0</v>
      </c>
      <c r="F1934" s="11">
        <v>0</v>
      </c>
      <c r="G1934" s="11">
        <v>0</v>
      </c>
      <c r="H1934" s="11">
        <v>47210</v>
      </c>
      <c r="I1934" s="11">
        <v>-47210</v>
      </c>
      <c r="J1934" s="11">
        <v>0</v>
      </c>
      <c r="K1934" s="11">
        <v>1262</v>
      </c>
      <c r="L1934" s="11">
        <v>0</v>
      </c>
      <c r="M1934" s="11">
        <v>1262</v>
      </c>
      <c r="N1934" s="11">
        <v>-1262</v>
      </c>
    </row>
    <row r="1935" spans="1:14" ht="15.75" x14ac:dyDescent="0.25">
      <c r="A1935" s="49" t="s">
        <v>443</v>
      </c>
      <c r="B1935" s="72" t="s">
        <v>8</v>
      </c>
      <c r="C1935" s="11">
        <v>30951861</v>
      </c>
      <c r="D1935" s="11">
        <v>-8515432</v>
      </c>
      <c r="E1935" s="11">
        <v>0</v>
      </c>
      <c r="F1935" s="11">
        <v>0</v>
      </c>
      <c r="G1935" s="11">
        <v>0</v>
      </c>
      <c r="H1935" s="11">
        <v>22436429</v>
      </c>
      <c r="I1935" s="11">
        <v>-22436429</v>
      </c>
      <c r="J1935" s="11">
        <v>0</v>
      </c>
      <c r="K1935" s="11">
        <v>2282611</v>
      </c>
      <c r="L1935" s="11">
        <v>-2230871</v>
      </c>
      <c r="M1935" s="11">
        <v>51740</v>
      </c>
      <c r="N1935" s="11">
        <v>-51740</v>
      </c>
    </row>
    <row r="1936" spans="1:14" ht="15.75" x14ac:dyDescent="0.25">
      <c r="A1936" s="49" t="s">
        <v>442</v>
      </c>
      <c r="B1936" s="72" t="s">
        <v>8</v>
      </c>
      <c r="C1936" s="11">
        <v>185178440</v>
      </c>
      <c r="D1936" s="11">
        <v>-18970781</v>
      </c>
      <c r="E1936" s="11">
        <v>0</v>
      </c>
      <c r="F1936" s="11">
        <v>0</v>
      </c>
      <c r="G1936" s="11">
        <v>0</v>
      </c>
      <c r="H1936" s="11">
        <v>166207659</v>
      </c>
      <c r="I1936" s="11">
        <v>-166207659</v>
      </c>
      <c r="J1936" s="11">
        <v>0</v>
      </c>
      <c r="K1936" s="11">
        <v>14535490</v>
      </c>
      <c r="L1936" s="11">
        <v>-14534025</v>
      </c>
      <c r="M1936" s="11">
        <v>1465</v>
      </c>
      <c r="N1936" s="11">
        <v>-1465</v>
      </c>
    </row>
    <row r="1937" spans="1:14" ht="15.75" x14ac:dyDescent="0.25">
      <c r="A1937" s="49" t="s">
        <v>441</v>
      </c>
      <c r="B1937" s="72" t="s">
        <v>8</v>
      </c>
      <c r="C1937" s="11">
        <v>2367954</v>
      </c>
      <c r="D1937" s="11">
        <v>-20927</v>
      </c>
      <c r="E1937" s="11">
        <v>0</v>
      </c>
      <c r="F1937" s="11">
        <v>0</v>
      </c>
      <c r="G1937" s="11">
        <v>0</v>
      </c>
      <c r="H1937" s="11">
        <v>2347027</v>
      </c>
      <c r="I1937" s="11">
        <v>-2347027</v>
      </c>
      <c r="J1937" s="11">
        <v>0</v>
      </c>
      <c r="K1937" s="11">
        <v>0</v>
      </c>
      <c r="L1937" s="11">
        <v>0</v>
      </c>
      <c r="M1937" s="11">
        <v>0</v>
      </c>
      <c r="N1937" s="11">
        <v>0</v>
      </c>
    </row>
    <row r="1938" spans="1:14" ht="15.75" x14ac:dyDescent="0.25">
      <c r="A1938" s="49" t="s">
        <v>440</v>
      </c>
      <c r="B1938" s="72" t="s">
        <v>8</v>
      </c>
      <c r="C1938" s="11">
        <v>403720</v>
      </c>
      <c r="D1938" s="11">
        <v>-89702</v>
      </c>
      <c r="E1938" s="11">
        <v>0</v>
      </c>
      <c r="F1938" s="11">
        <v>0</v>
      </c>
      <c r="G1938" s="11">
        <v>0</v>
      </c>
      <c r="H1938" s="11">
        <v>314018</v>
      </c>
      <c r="I1938" s="11">
        <v>-295644</v>
      </c>
      <c r="J1938" s="11">
        <v>18374</v>
      </c>
      <c r="K1938" s="11">
        <v>71335</v>
      </c>
      <c r="L1938" s="11">
        <v>-71335</v>
      </c>
      <c r="M1938" s="11">
        <v>0</v>
      </c>
      <c r="N1938" s="11">
        <v>18374</v>
      </c>
    </row>
    <row r="1939" spans="1:14" ht="15.75" x14ac:dyDescent="0.25">
      <c r="A1939" s="49" t="s">
        <v>439</v>
      </c>
      <c r="B1939" s="72" t="s">
        <v>8</v>
      </c>
      <c r="C1939" s="11">
        <v>6938998</v>
      </c>
      <c r="D1939" s="11">
        <v>-449603</v>
      </c>
      <c r="E1939" s="11">
        <v>0</v>
      </c>
      <c r="F1939" s="11">
        <v>0</v>
      </c>
      <c r="G1939" s="11">
        <v>0</v>
      </c>
      <c r="H1939" s="11">
        <v>6489395</v>
      </c>
      <c r="I1939" s="11">
        <v>-6489395</v>
      </c>
      <c r="J1939" s="11">
        <v>0</v>
      </c>
      <c r="K1939" s="11">
        <v>329839</v>
      </c>
      <c r="L1939" s="11">
        <v>-329839</v>
      </c>
      <c r="M1939" s="11">
        <v>0</v>
      </c>
      <c r="N1939" s="11">
        <v>0</v>
      </c>
    </row>
    <row r="1940" spans="1:14" ht="15.75" x14ac:dyDescent="0.25">
      <c r="A1940" s="49" t="s">
        <v>438</v>
      </c>
      <c r="B1940" s="72" t="s">
        <v>8</v>
      </c>
      <c r="C1940" s="11">
        <v>11541156</v>
      </c>
      <c r="D1940" s="11">
        <v>-171597</v>
      </c>
      <c r="E1940" s="11">
        <v>0</v>
      </c>
      <c r="F1940" s="11">
        <v>0</v>
      </c>
      <c r="G1940" s="11">
        <v>0</v>
      </c>
      <c r="H1940" s="11">
        <v>11369559</v>
      </c>
      <c r="I1940" s="11">
        <v>-10894246</v>
      </c>
      <c r="J1940" s="11">
        <v>475313</v>
      </c>
      <c r="K1940" s="11">
        <v>47259</v>
      </c>
      <c r="L1940" s="11">
        <v>-32391</v>
      </c>
      <c r="M1940" s="11">
        <v>14868</v>
      </c>
      <c r="N1940" s="11">
        <v>460445</v>
      </c>
    </row>
    <row r="1941" spans="1:14" ht="15.75" x14ac:dyDescent="0.25">
      <c r="A1941" s="49" t="s">
        <v>437</v>
      </c>
      <c r="B1941" s="72" t="s">
        <v>8</v>
      </c>
      <c r="C1941" s="11">
        <v>1200387687</v>
      </c>
      <c r="D1941" s="11">
        <v>-1414891</v>
      </c>
      <c r="E1941" s="11">
        <v>0</v>
      </c>
      <c r="F1941" s="11">
        <v>0</v>
      </c>
      <c r="G1941" s="11">
        <v>0</v>
      </c>
      <c r="H1941" s="11">
        <v>1198972796</v>
      </c>
      <c r="I1941" s="11">
        <v>-1182985729</v>
      </c>
      <c r="J1941" s="11">
        <v>15987067</v>
      </c>
      <c r="K1941" s="11">
        <v>0</v>
      </c>
      <c r="L1941" s="11">
        <v>0</v>
      </c>
      <c r="M1941" s="11">
        <v>0</v>
      </c>
      <c r="N1941" s="11">
        <v>15987067</v>
      </c>
    </row>
    <row r="1942" spans="1:14" ht="15.75" x14ac:dyDescent="0.25">
      <c r="A1942" s="49" t="s">
        <v>436</v>
      </c>
      <c r="B1942" s="72" t="s">
        <v>8</v>
      </c>
      <c r="C1942" s="11">
        <v>74348976</v>
      </c>
      <c r="D1942" s="11">
        <v>-156444</v>
      </c>
      <c r="E1942" s="11">
        <v>0</v>
      </c>
      <c r="F1942" s="11">
        <v>0</v>
      </c>
      <c r="G1942" s="11">
        <v>0</v>
      </c>
      <c r="H1942" s="11">
        <v>74192532</v>
      </c>
      <c r="I1942" s="11">
        <v>-69857272</v>
      </c>
      <c r="J1942" s="11">
        <v>4335260</v>
      </c>
      <c r="K1942" s="11">
        <v>0</v>
      </c>
      <c r="L1942" s="11">
        <v>0</v>
      </c>
      <c r="M1942" s="11">
        <v>0</v>
      </c>
      <c r="N1942" s="11">
        <v>4335260</v>
      </c>
    </row>
    <row r="1943" spans="1:14" ht="15.75" x14ac:dyDescent="0.25">
      <c r="A1943" s="49" t="s">
        <v>435</v>
      </c>
      <c r="B1943" s="72" t="s">
        <v>8</v>
      </c>
      <c r="C1943" s="11">
        <v>2042212719</v>
      </c>
      <c r="D1943" s="11">
        <v>-25076385</v>
      </c>
      <c r="E1943" s="11">
        <v>0</v>
      </c>
      <c r="F1943" s="11">
        <v>0</v>
      </c>
      <c r="G1943" s="11">
        <v>0</v>
      </c>
      <c r="H1943" s="11">
        <v>2017136334</v>
      </c>
      <c r="I1943" s="11">
        <v>-1388391938</v>
      </c>
      <c r="J1943" s="11">
        <v>628744396</v>
      </c>
      <c r="K1943" s="11">
        <v>0</v>
      </c>
      <c r="L1943" s="11">
        <v>0</v>
      </c>
      <c r="M1943" s="11">
        <v>0</v>
      </c>
      <c r="N1943" s="11">
        <v>628744396</v>
      </c>
    </row>
    <row r="1944" spans="1:14" ht="15.75" x14ac:dyDescent="0.25">
      <c r="A1944" s="49" t="s">
        <v>434</v>
      </c>
      <c r="B1944" s="72" t="s">
        <v>8</v>
      </c>
      <c r="C1944" s="11">
        <v>746724148</v>
      </c>
      <c r="D1944" s="11">
        <v>-437854311</v>
      </c>
      <c r="E1944" s="11">
        <v>0</v>
      </c>
      <c r="F1944" s="11">
        <v>0</v>
      </c>
      <c r="G1944" s="11">
        <v>0</v>
      </c>
      <c r="H1944" s="11">
        <v>308869837</v>
      </c>
      <c r="I1944" s="11">
        <v>-290467527</v>
      </c>
      <c r="J1944" s="11">
        <v>18402310</v>
      </c>
      <c r="K1944" s="11">
        <v>33381975</v>
      </c>
      <c r="L1944" s="11">
        <v>-28903095</v>
      </c>
      <c r="M1944" s="11">
        <v>4478880</v>
      </c>
      <c r="N1944" s="11">
        <v>13923430</v>
      </c>
    </row>
    <row r="1945" spans="1:14" ht="15.75" x14ac:dyDescent="0.25">
      <c r="A1945" s="49" t="s">
        <v>433</v>
      </c>
      <c r="B1945" s="72" t="s">
        <v>8</v>
      </c>
      <c r="C1945" s="11">
        <v>163151</v>
      </c>
      <c r="D1945" s="11">
        <v>-7456</v>
      </c>
      <c r="E1945" s="11">
        <v>0</v>
      </c>
      <c r="F1945" s="11">
        <v>0</v>
      </c>
      <c r="G1945" s="11">
        <v>0</v>
      </c>
      <c r="H1945" s="11">
        <v>155695</v>
      </c>
      <c r="I1945" s="11">
        <v>-155695</v>
      </c>
      <c r="J1945" s="11">
        <v>0</v>
      </c>
      <c r="K1945" s="11">
        <v>0</v>
      </c>
      <c r="L1945" s="11">
        <v>0</v>
      </c>
      <c r="M1945" s="11">
        <v>0</v>
      </c>
      <c r="N1945" s="11">
        <v>0</v>
      </c>
    </row>
    <row r="1946" spans="1:14" ht="15.75" x14ac:dyDescent="0.25">
      <c r="A1946" s="49" t="s">
        <v>432</v>
      </c>
      <c r="B1946" s="72" t="s">
        <v>8</v>
      </c>
      <c r="C1946" s="11">
        <v>133680292</v>
      </c>
      <c r="D1946" s="11">
        <v>-8251931</v>
      </c>
      <c r="E1946" s="11">
        <v>0</v>
      </c>
      <c r="F1946" s="11">
        <v>0</v>
      </c>
      <c r="G1946" s="11">
        <v>0</v>
      </c>
      <c r="H1946" s="11">
        <v>125428361</v>
      </c>
      <c r="I1946" s="11">
        <v>-114312230</v>
      </c>
      <c r="J1946" s="11">
        <v>11116131</v>
      </c>
      <c r="K1946" s="11">
        <v>9085873</v>
      </c>
      <c r="L1946" s="11">
        <v>-8881424</v>
      </c>
      <c r="M1946" s="11">
        <v>204449</v>
      </c>
      <c r="N1946" s="11">
        <v>10911682</v>
      </c>
    </row>
    <row r="1947" spans="1:14" ht="15.75" x14ac:dyDescent="0.25">
      <c r="A1947" s="49" t="s">
        <v>431</v>
      </c>
      <c r="B1947" s="72" t="s">
        <v>8</v>
      </c>
      <c r="C1947" s="11">
        <v>65912803</v>
      </c>
      <c r="D1947" s="11">
        <v>-1984032</v>
      </c>
      <c r="E1947" s="11">
        <v>0</v>
      </c>
      <c r="F1947" s="11">
        <v>0</v>
      </c>
      <c r="G1947" s="11">
        <v>0</v>
      </c>
      <c r="H1947" s="11">
        <v>63928771</v>
      </c>
      <c r="I1947" s="11">
        <v>-49918064</v>
      </c>
      <c r="J1947" s="11">
        <v>14010707</v>
      </c>
      <c r="K1947" s="11">
        <v>1000</v>
      </c>
      <c r="L1947" s="11">
        <v>-1000</v>
      </c>
      <c r="M1947" s="11">
        <v>0</v>
      </c>
      <c r="N1947" s="11">
        <v>14010707</v>
      </c>
    </row>
    <row r="1948" spans="1:14" ht="15.75" x14ac:dyDescent="0.25">
      <c r="A1948" s="49" t="s">
        <v>430</v>
      </c>
      <c r="B1948" s="72" t="s">
        <v>8</v>
      </c>
      <c r="C1948" s="11">
        <v>71086438</v>
      </c>
      <c r="D1948" s="11">
        <v>-905661</v>
      </c>
      <c r="E1948" s="11">
        <v>0</v>
      </c>
      <c r="F1948" s="11">
        <v>0</v>
      </c>
      <c r="G1948" s="11">
        <v>0</v>
      </c>
      <c r="H1948" s="11">
        <v>70180777</v>
      </c>
      <c r="I1948" s="11">
        <v>-69086597</v>
      </c>
      <c r="J1948" s="11">
        <v>1094180</v>
      </c>
      <c r="K1948" s="11">
        <v>39705</v>
      </c>
      <c r="L1948" s="11">
        <v>-20998</v>
      </c>
      <c r="M1948" s="11">
        <v>18707</v>
      </c>
      <c r="N1948" s="11">
        <v>1075473</v>
      </c>
    </row>
    <row r="1949" spans="1:14" ht="15.75" x14ac:dyDescent="0.25">
      <c r="A1949" s="49" t="s">
        <v>429</v>
      </c>
      <c r="B1949" s="72" t="s">
        <v>8</v>
      </c>
      <c r="C1949" s="11">
        <v>1076223</v>
      </c>
      <c r="D1949" s="11">
        <v>-533364</v>
      </c>
      <c r="E1949" s="11">
        <v>0</v>
      </c>
      <c r="F1949" s="11">
        <v>0</v>
      </c>
      <c r="G1949" s="11">
        <v>0</v>
      </c>
      <c r="H1949" s="11">
        <v>542859</v>
      </c>
      <c r="I1949" s="11">
        <v>-248366</v>
      </c>
      <c r="J1949" s="11">
        <v>294493</v>
      </c>
      <c r="K1949" s="11">
        <v>0</v>
      </c>
      <c r="L1949" s="11">
        <v>0</v>
      </c>
      <c r="M1949" s="11">
        <v>0</v>
      </c>
      <c r="N1949" s="11">
        <v>294493</v>
      </c>
    </row>
    <row r="1950" spans="1:14" ht="15.75" x14ac:dyDescent="0.25">
      <c r="A1950" s="49" t="s">
        <v>428</v>
      </c>
      <c r="B1950" s="72" t="s">
        <v>8</v>
      </c>
      <c r="C1950" s="11">
        <v>12988600</v>
      </c>
      <c r="D1950" s="11">
        <v>-93233</v>
      </c>
      <c r="E1950" s="11">
        <v>0</v>
      </c>
      <c r="F1950" s="11">
        <v>0</v>
      </c>
      <c r="G1950" s="11">
        <v>0</v>
      </c>
      <c r="H1950" s="11">
        <v>12895367</v>
      </c>
      <c r="I1950" s="11">
        <v>-10122002</v>
      </c>
      <c r="J1950" s="11">
        <v>2773365</v>
      </c>
      <c r="K1950" s="11">
        <v>0</v>
      </c>
      <c r="L1950" s="11">
        <v>0</v>
      </c>
      <c r="M1950" s="11">
        <v>0</v>
      </c>
      <c r="N1950" s="11">
        <v>2773365</v>
      </c>
    </row>
    <row r="1951" spans="1:14" ht="15.75" x14ac:dyDescent="0.25">
      <c r="A1951" s="49" t="s">
        <v>427</v>
      </c>
      <c r="B1951" s="72" t="s">
        <v>8</v>
      </c>
      <c r="C1951" s="11">
        <v>85503212.079999998</v>
      </c>
      <c r="D1951" s="11">
        <v>-12767162.189999999</v>
      </c>
      <c r="E1951" s="11">
        <v>0</v>
      </c>
      <c r="F1951" s="11">
        <v>0</v>
      </c>
      <c r="G1951" s="11">
        <v>-1573</v>
      </c>
      <c r="H1951" s="11">
        <v>72734476.890000001</v>
      </c>
      <c r="I1951" s="11">
        <v>-71103512.890000001</v>
      </c>
      <c r="J1951" s="11">
        <v>1630964</v>
      </c>
      <c r="K1951" s="11">
        <v>481580</v>
      </c>
      <c r="L1951" s="11">
        <v>-464161</v>
      </c>
      <c r="M1951" s="11">
        <v>17419</v>
      </c>
      <c r="N1951" s="11">
        <v>1613545</v>
      </c>
    </row>
    <row r="1952" spans="1:14" ht="15.75" x14ac:dyDescent="0.25">
      <c r="A1952" s="49" t="s">
        <v>426</v>
      </c>
      <c r="B1952" s="72" t="s">
        <v>8</v>
      </c>
      <c r="C1952" s="11">
        <v>21555796</v>
      </c>
      <c r="D1952" s="11">
        <v>-1863397</v>
      </c>
      <c r="E1952" s="11">
        <v>0</v>
      </c>
      <c r="F1952" s="11">
        <v>0</v>
      </c>
      <c r="G1952" s="11">
        <v>0</v>
      </c>
      <c r="H1952" s="11">
        <v>19692399</v>
      </c>
      <c r="I1952" s="11">
        <v>-18923377</v>
      </c>
      <c r="J1952" s="11">
        <v>769022</v>
      </c>
      <c r="K1952" s="11">
        <v>2123420</v>
      </c>
      <c r="L1952" s="11">
        <v>-2122565</v>
      </c>
      <c r="M1952" s="11">
        <v>855</v>
      </c>
      <c r="N1952" s="11">
        <v>768167</v>
      </c>
    </row>
    <row r="1953" spans="1:14" ht="15.75" x14ac:dyDescent="0.25">
      <c r="A1953" s="49" t="s">
        <v>425</v>
      </c>
      <c r="B1953" s="72" t="s">
        <v>8</v>
      </c>
      <c r="C1953" s="11">
        <v>13160712</v>
      </c>
      <c r="D1953" s="11">
        <v>-509133</v>
      </c>
      <c r="E1953" s="11">
        <v>0</v>
      </c>
      <c r="F1953" s="11">
        <v>0</v>
      </c>
      <c r="G1953" s="11">
        <v>0</v>
      </c>
      <c r="H1953" s="11">
        <v>12651579</v>
      </c>
      <c r="I1953" s="11">
        <v>-12651579</v>
      </c>
      <c r="J1953" s="11">
        <v>0</v>
      </c>
      <c r="K1953" s="11">
        <v>1708709</v>
      </c>
      <c r="L1953" s="11">
        <v>-1707974</v>
      </c>
      <c r="M1953" s="11">
        <v>735</v>
      </c>
      <c r="N1953" s="11">
        <v>-735</v>
      </c>
    </row>
    <row r="1954" spans="1:14" ht="15.75" x14ac:dyDescent="0.25">
      <c r="A1954" s="49" t="s">
        <v>424</v>
      </c>
      <c r="B1954" s="72" t="s">
        <v>8</v>
      </c>
      <c r="C1954" s="11">
        <v>108562560</v>
      </c>
      <c r="D1954" s="11">
        <v>-4812694</v>
      </c>
      <c r="E1954" s="11">
        <v>0</v>
      </c>
      <c r="F1954" s="11">
        <v>0</v>
      </c>
      <c r="G1954" s="11">
        <v>0</v>
      </c>
      <c r="H1954" s="11">
        <v>103749866</v>
      </c>
      <c r="I1954" s="11">
        <v>-100897108</v>
      </c>
      <c r="J1954" s="11">
        <v>2852758</v>
      </c>
      <c r="K1954" s="11">
        <v>7596068</v>
      </c>
      <c r="L1954" s="11">
        <v>-7561469</v>
      </c>
      <c r="M1954" s="11">
        <v>34599</v>
      </c>
      <c r="N1954" s="11">
        <v>2818159</v>
      </c>
    </row>
    <row r="1955" spans="1:14" ht="15.75" x14ac:dyDescent="0.25">
      <c r="A1955" s="49" t="s">
        <v>423</v>
      </c>
      <c r="B1955" s="72" t="s">
        <v>8</v>
      </c>
      <c r="C1955" s="11">
        <v>2420514</v>
      </c>
      <c r="D1955" s="11">
        <v>-289866</v>
      </c>
      <c r="E1955" s="11">
        <v>0</v>
      </c>
      <c r="F1955" s="11">
        <v>0</v>
      </c>
      <c r="G1955" s="11">
        <v>0</v>
      </c>
      <c r="H1955" s="11">
        <v>2130648</v>
      </c>
      <c r="I1955" s="11">
        <v>-2130648</v>
      </c>
      <c r="J1955" s="11">
        <v>0</v>
      </c>
      <c r="K1955" s="11">
        <v>197708</v>
      </c>
      <c r="L1955" s="11">
        <v>-196429</v>
      </c>
      <c r="M1955" s="11">
        <v>1279</v>
      </c>
      <c r="N1955" s="11">
        <v>-1279</v>
      </c>
    </row>
    <row r="1956" spans="1:14" ht="15.75" x14ac:dyDescent="0.25">
      <c r="A1956" s="49" t="s">
        <v>422</v>
      </c>
      <c r="B1956" s="72" t="s">
        <v>8</v>
      </c>
      <c r="C1956" s="11">
        <v>15059105</v>
      </c>
      <c r="D1956" s="11">
        <v>-80201</v>
      </c>
      <c r="E1956" s="11">
        <v>0</v>
      </c>
      <c r="F1956" s="11">
        <v>0</v>
      </c>
      <c r="G1956" s="11">
        <v>0</v>
      </c>
      <c r="H1956" s="11">
        <v>14978904</v>
      </c>
      <c r="I1956" s="11">
        <v>-11237128</v>
      </c>
      <c r="J1956" s="11">
        <v>3741776</v>
      </c>
      <c r="K1956" s="11">
        <v>291847</v>
      </c>
      <c r="L1956" s="11">
        <v>-290352</v>
      </c>
      <c r="M1956" s="11">
        <v>1495</v>
      </c>
      <c r="N1956" s="11">
        <v>3740281</v>
      </c>
    </row>
    <row r="1957" spans="1:14" ht="15.75" x14ac:dyDescent="0.25">
      <c r="A1957" s="49" t="s">
        <v>421</v>
      </c>
      <c r="B1957" s="72" t="s">
        <v>8</v>
      </c>
      <c r="C1957" s="11">
        <v>344311</v>
      </c>
      <c r="D1957" s="11">
        <v>-30543</v>
      </c>
      <c r="E1957" s="11">
        <v>0</v>
      </c>
      <c r="F1957" s="11">
        <v>0</v>
      </c>
      <c r="G1957" s="11">
        <v>0</v>
      </c>
      <c r="H1957" s="11">
        <v>313768</v>
      </c>
      <c r="I1957" s="11">
        <v>-313768</v>
      </c>
      <c r="J1957" s="11">
        <v>0</v>
      </c>
      <c r="K1957" s="11">
        <v>35462</v>
      </c>
      <c r="L1957" s="11">
        <v>-35462</v>
      </c>
      <c r="M1957" s="11">
        <v>0</v>
      </c>
      <c r="N1957" s="11">
        <v>0</v>
      </c>
    </row>
    <row r="1958" spans="1:14" ht="15.75" x14ac:dyDescent="0.25">
      <c r="A1958" s="49" t="s">
        <v>420</v>
      </c>
      <c r="B1958" s="72" t="s">
        <v>8</v>
      </c>
      <c r="C1958" s="11">
        <v>19610898</v>
      </c>
      <c r="D1958" s="11">
        <v>-2022515</v>
      </c>
      <c r="E1958" s="11">
        <v>0</v>
      </c>
      <c r="F1958" s="11">
        <v>0</v>
      </c>
      <c r="G1958" s="11">
        <v>0</v>
      </c>
      <c r="H1958" s="11">
        <v>17588383</v>
      </c>
      <c r="I1958" s="11">
        <v>-17238599</v>
      </c>
      <c r="J1958" s="11">
        <v>349784</v>
      </c>
      <c r="K1958" s="11">
        <v>3380692</v>
      </c>
      <c r="L1958" s="11">
        <v>-3377205</v>
      </c>
      <c r="M1958" s="11">
        <v>3487</v>
      </c>
      <c r="N1958" s="11">
        <v>346297</v>
      </c>
    </row>
    <row r="1959" spans="1:14" ht="15.75" x14ac:dyDescent="0.25">
      <c r="A1959" s="49" t="s">
        <v>419</v>
      </c>
      <c r="B1959" s="72" t="s">
        <v>8</v>
      </c>
      <c r="C1959" s="11">
        <v>31329</v>
      </c>
      <c r="D1959" s="11">
        <v>-729</v>
      </c>
      <c r="E1959" s="11">
        <v>0</v>
      </c>
      <c r="F1959" s="11">
        <v>0</v>
      </c>
      <c r="G1959" s="11">
        <v>0</v>
      </c>
      <c r="H1959" s="11">
        <v>30600</v>
      </c>
      <c r="I1959" s="11">
        <v>-30600</v>
      </c>
      <c r="J1959" s="11">
        <v>0</v>
      </c>
      <c r="K1959" s="11">
        <v>0</v>
      </c>
      <c r="L1959" s="11">
        <v>0</v>
      </c>
      <c r="M1959" s="11">
        <v>0</v>
      </c>
      <c r="N1959" s="11">
        <v>0</v>
      </c>
    </row>
    <row r="1960" spans="1:14" ht="15.75" x14ac:dyDescent="0.25">
      <c r="A1960" s="49" t="s">
        <v>418</v>
      </c>
      <c r="B1960" s="72" t="s">
        <v>8</v>
      </c>
      <c r="C1960" s="11">
        <v>245793353</v>
      </c>
      <c r="D1960" s="11">
        <v>-4421331</v>
      </c>
      <c r="E1960" s="11">
        <v>0</v>
      </c>
      <c r="F1960" s="11">
        <v>0</v>
      </c>
      <c r="G1960" s="11">
        <v>0</v>
      </c>
      <c r="H1960" s="11">
        <v>241372022</v>
      </c>
      <c r="I1960" s="11">
        <v>-229029939</v>
      </c>
      <c r="J1960" s="11">
        <v>12342083</v>
      </c>
      <c r="K1960" s="11">
        <v>4048866</v>
      </c>
      <c r="L1960" s="11">
        <v>-3859033</v>
      </c>
      <c r="M1960" s="11">
        <v>189833</v>
      </c>
      <c r="N1960" s="11">
        <v>12152250</v>
      </c>
    </row>
    <row r="1961" spans="1:14" ht="15.75" x14ac:dyDescent="0.25">
      <c r="A1961" s="49" t="s">
        <v>417</v>
      </c>
      <c r="B1961" s="72" t="s">
        <v>8</v>
      </c>
      <c r="C1961" s="11">
        <v>20310413</v>
      </c>
      <c r="D1961" s="11">
        <v>-54320</v>
      </c>
      <c r="E1961" s="11">
        <v>0</v>
      </c>
      <c r="F1961" s="11">
        <v>0</v>
      </c>
      <c r="G1961" s="11">
        <v>0</v>
      </c>
      <c r="H1961" s="11">
        <v>20256093</v>
      </c>
      <c r="I1961" s="11">
        <v>-14307373</v>
      </c>
      <c r="J1961" s="11">
        <v>5948720</v>
      </c>
      <c r="K1961" s="11">
        <v>0</v>
      </c>
      <c r="L1961" s="11">
        <v>0</v>
      </c>
      <c r="M1961" s="11">
        <v>0</v>
      </c>
      <c r="N1961" s="11">
        <v>5948720</v>
      </c>
    </row>
    <row r="1962" spans="1:14" ht="15.75" x14ac:dyDescent="0.25">
      <c r="A1962" s="49" t="s">
        <v>416</v>
      </c>
      <c r="B1962" s="72" t="s">
        <v>8</v>
      </c>
      <c r="C1962" s="11">
        <v>37245</v>
      </c>
      <c r="D1962" s="11">
        <v>-286</v>
      </c>
      <c r="E1962" s="11">
        <v>0</v>
      </c>
      <c r="F1962" s="11">
        <v>0</v>
      </c>
      <c r="G1962" s="11">
        <v>0</v>
      </c>
      <c r="H1962" s="11">
        <v>36959</v>
      </c>
      <c r="I1962" s="11">
        <v>-35888</v>
      </c>
      <c r="J1962" s="11">
        <v>1071</v>
      </c>
      <c r="K1962" s="11">
        <v>0</v>
      </c>
      <c r="L1962" s="11">
        <v>0</v>
      </c>
      <c r="M1962" s="11">
        <v>0</v>
      </c>
      <c r="N1962" s="11">
        <v>1071</v>
      </c>
    </row>
    <row r="1963" spans="1:14" ht="15.75" x14ac:dyDescent="0.25">
      <c r="A1963" s="49" t="s">
        <v>415</v>
      </c>
      <c r="B1963" s="72" t="s">
        <v>8</v>
      </c>
      <c r="C1963" s="11">
        <v>12314005</v>
      </c>
      <c r="D1963" s="11">
        <v>-698611</v>
      </c>
      <c r="E1963" s="11">
        <v>0</v>
      </c>
      <c r="F1963" s="11">
        <v>0</v>
      </c>
      <c r="G1963" s="11">
        <v>0</v>
      </c>
      <c r="H1963" s="11">
        <v>11615394</v>
      </c>
      <c r="I1963" s="11">
        <v>-11226746</v>
      </c>
      <c r="J1963" s="11">
        <v>388648</v>
      </c>
      <c r="K1963" s="11">
        <v>0</v>
      </c>
      <c r="L1963" s="11">
        <v>0</v>
      </c>
      <c r="M1963" s="11">
        <v>0</v>
      </c>
      <c r="N1963" s="11">
        <v>388648</v>
      </c>
    </row>
    <row r="1964" spans="1:14" ht="15.75" x14ac:dyDescent="0.25">
      <c r="A1964" s="49" t="s">
        <v>414</v>
      </c>
      <c r="B1964" s="72" t="s">
        <v>8</v>
      </c>
      <c r="C1964" s="11">
        <v>251746855</v>
      </c>
      <c r="D1964" s="11">
        <v>-19609226</v>
      </c>
      <c r="E1964" s="11">
        <v>0</v>
      </c>
      <c r="F1964" s="11">
        <v>0</v>
      </c>
      <c r="G1964" s="11">
        <v>0</v>
      </c>
      <c r="H1964" s="11">
        <v>232137629</v>
      </c>
      <c r="I1964" s="11">
        <v>-214705601</v>
      </c>
      <c r="J1964" s="11">
        <v>17432028</v>
      </c>
      <c r="K1964" s="11">
        <v>19638791</v>
      </c>
      <c r="L1964" s="11">
        <v>-18187163</v>
      </c>
      <c r="M1964" s="11">
        <v>1451628</v>
      </c>
      <c r="N1964" s="11">
        <v>15980400</v>
      </c>
    </row>
    <row r="1965" spans="1:14" ht="15.75" x14ac:dyDescent="0.25">
      <c r="A1965" s="49" t="s">
        <v>413</v>
      </c>
      <c r="B1965" s="72" t="s">
        <v>8</v>
      </c>
      <c r="C1965" s="11">
        <v>78056407</v>
      </c>
      <c r="D1965" s="11">
        <v>-11645359</v>
      </c>
      <c r="E1965" s="11">
        <v>0</v>
      </c>
      <c r="F1965" s="11">
        <v>0</v>
      </c>
      <c r="G1965" s="11">
        <v>0</v>
      </c>
      <c r="H1965" s="11">
        <v>66411048</v>
      </c>
      <c r="I1965" s="11">
        <v>-64923809</v>
      </c>
      <c r="J1965" s="11">
        <v>1487239</v>
      </c>
      <c r="K1965" s="11">
        <v>6006567</v>
      </c>
      <c r="L1965" s="11">
        <v>-5979842</v>
      </c>
      <c r="M1965" s="11">
        <v>26725</v>
      </c>
      <c r="N1965" s="11">
        <v>1460514</v>
      </c>
    </row>
    <row r="1966" spans="1:14" ht="15.75" x14ac:dyDescent="0.25">
      <c r="A1966" s="49" t="s">
        <v>412</v>
      </c>
      <c r="B1966" s="72" t="s">
        <v>8</v>
      </c>
      <c r="C1966" s="11">
        <v>27053875</v>
      </c>
      <c r="D1966" s="11">
        <v>-5347745</v>
      </c>
      <c r="E1966" s="11">
        <v>0</v>
      </c>
      <c r="F1966" s="11">
        <v>0</v>
      </c>
      <c r="G1966" s="11">
        <v>0</v>
      </c>
      <c r="H1966" s="11">
        <v>21706130</v>
      </c>
      <c r="I1966" s="11">
        <v>-21706130</v>
      </c>
      <c r="J1966" s="11">
        <v>0</v>
      </c>
      <c r="K1966" s="11">
        <v>1091058</v>
      </c>
      <c r="L1966" s="11">
        <v>-1079780</v>
      </c>
      <c r="M1966" s="11">
        <v>11278</v>
      </c>
      <c r="N1966" s="11">
        <v>-11278</v>
      </c>
    </row>
    <row r="1967" spans="1:14" ht="15.75" x14ac:dyDescent="0.25">
      <c r="A1967" s="49" t="s">
        <v>411</v>
      </c>
      <c r="B1967" s="72" t="s">
        <v>8</v>
      </c>
      <c r="C1967" s="11">
        <v>33171167</v>
      </c>
      <c r="D1967" s="11">
        <v>-4403591</v>
      </c>
      <c r="E1967" s="11">
        <v>0</v>
      </c>
      <c r="F1967" s="11">
        <v>0</v>
      </c>
      <c r="G1967" s="11">
        <v>0</v>
      </c>
      <c r="H1967" s="11">
        <v>28767576</v>
      </c>
      <c r="I1967" s="11">
        <v>-28757160</v>
      </c>
      <c r="J1967" s="11">
        <v>10416</v>
      </c>
      <c r="K1967" s="11">
        <v>231160</v>
      </c>
      <c r="L1967" s="11">
        <v>-225329</v>
      </c>
      <c r="M1967" s="11">
        <v>5831</v>
      </c>
      <c r="N1967" s="11">
        <v>4585</v>
      </c>
    </row>
    <row r="1968" spans="1:14" ht="15.75" x14ac:dyDescent="0.25">
      <c r="A1968" s="49" t="s">
        <v>410</v>
      </c>
      <c r="B1968" s="72" t="s">
        <v>8</v>
      </c>
      <c r="C1968" s="11">
        <v>56184502</v>
      </c>
      <c r="D1968" s="11">
        <v>-2859437</v>
      </c>
      <c r="E1968" s="11">
        <v>0</v>
      </c>
      <c r="F1968" s="11">
        <v>0</v>
      </c>
      <c r="G1968" s="11">
        <v>0</v>
      </c>
      <c r="H1968" s="11">
        <v>53325065</v>
      </c>
      <c r="I1968" s="11">
        <v>-47625669</v>
      </c>
      <c r="J1968" s="11">
        <v>5699396</v>
      </c>
      <c r="K1968" s="11">
        <v>441775</v>
      </c>
      <c r="L1968" s="11">
        <v>-437972</v>
      </c>
      <c r="M1968" s="11">
        <v>3803</v>
      </c>
      <c r="N1968" s="11">
        <v>5695593</v>
      </c>
    </row>
    <row r="1969" spans="1:14" ht="15.75" x14ac:dyDescent="0.25">
      <c r="A1969" s="49" t="s">
        <v>409</v>
      </c>
      <c r="B1969" s="72" t="s">
        <v>8</v>
      </c>
      <c r="C1969" s="11">
        <v>8636084</v>
      </c>
      <c r="D1969" s="11">
        <v>-563584</v>
      </c>
      <c r="E1969" s="11">
        <v>0</v>
      </c>
      <c r="F1969" s="11">
        <v>0</v>
      </c>
      <c r="G1969" s="11">
        <v>0</v>
      </c>
      <c r="H1969" s="11">
        <v>8072500</v>
      </c>
      <c r="I1969" s="11">
        <v>-8072500</v>
      </c>
      <c r="J1969" s="11">
        <v>0</v>
      </c>
      <c r="K1969" s="11">
        <v>1310091</v>
      </c>
      <c r="L1969" s="11">
        <v>-1310091</v>
      </c>
      <c r="M1969" s="11">
        <v>0</v>
      </c>
      <c r="N1969" s="11">
        <v>0</v>
      </c>
    </row>
    <row r="1970" spans="1:14" ht="15.75" x14ac:dyDescent="0.25">
      <c r="A1970" s="49" t="s">
        <v>408</v>
      </c>
      <c r="B1970" s="72" t="s">
        <v>8</v>
      </c>
      <c r="C1970" s="11">
        <v>1084193</v>
      </c>
      <c r="D1970" s="11">
        <v>-289889</v>
      </c>
      <c r="E1970" s="11">
        <v>0</v>
      </c>
      <c r="F1970" s="11">
        <v>0</v>
      </c>
      <c r="G1970" s="11">
        <v>0</v>
      </c>
      <c r="H1970" s="11">
        <v>794304</v>
      </c>
      <c r="I1970" s="11">
        <v>-482910</v>
      </c>
      <c r="J1970" s="11">
        <v>311394</v>
      </c>
      <c r="K1970" s="11">
        <v>1000</v>
      </c>
      <c r="L1970" s="11">
        <v>-1000</v>
      </c>
      <c r="M1970" s="11">
        <v>0</v>
      </c>
      <c r="N1970" s="11">
        <v>311394</v>
      </c>
    </row>
    <row r="1971" spans="1:14" ht="15.75" x14ac:dyDescent="0.25">
      <c r="A1971" s="49" t="s">
        <v>407</v>
      </c>
      <c r="B1971" s="72" t="s">
        <v>8</v>
      </c>
      <c r="C1971" s="11">
        <v>110631</v>
      </c>
      <c r="D1971" s="11">
        <v>-33513</v>
      </c>
      <c r="E1971" s="11">
        <v>0</v>
      </c>
      <c r="F1971" s="11">
        <v>0</v>
      </c>
      <c r="G1971" s="11">
        <v>0</v>
      </c>
      <c r="H1971" s="11">
        <v>77118</v>
      </c>
      <c r="I1971" s="11">
        <v>-77118</v>
      </c>
      <c r="J1971" s="11">
        <v>0</v>
      </c>
      <c r="K1971" s="11">
        <v>0</v>
      </c>
      <c r="L1971" s="11">
        <v>0</v>
      </c>
      <c r="M1971" s="11">
        <v>0</v>
      </c>
      <c r="N1971" s="11">
        <v>0</v>
      </c>
    </row>
    <row r="1972" spans="1:14" ht="15.75" x14ac:dyDescent="0.25">
      <c r="A1972" s="49" t="s">
        <v>406</v>
      </c>
      <c r="B1972" s="72" t="s">
        <v>8</v>
      </c>
      <c r="C1972" s="11">
        <v>121335</v>
      </c>
      <c r="D1972" s="11">
        <v>0</v>
      </c>
      <c r="E1972" s="11">
        <v>0</v>
      </c>
      <c r="F1972" s="11">
        <v>0</v>
      </c>
      <c r="G1972" s="11">
        <v>0</v>
      </c>
      <c r="H1972" s="11">
        <v>121335</v>
      </c>
      <c r="I1972" s="11">
        <v>-121335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</row>
    <row r="1973" spans="1:14" ht="15.75" x14ac:dyDescent="0.25">
      <c r="A1973" s="49" t="s">
        <v>405</v>
      </c>
      <c r="B1973" s="72" t="s">
        <v>8</v>
      </c>
      <c r="C1973" s="11">
        <v>166266</v>
      </c>
      <c r="D1973" s="11">
        <v>-2703</v>
      </c>
      <c r="E1973" s="11">
        <v>0</v>
      </c>
      <c r="F1973" s="11">
        <v>0</v>
      </c>
      <c r="G1973" s="11">
        <v>0</v>
      </c>
      <c r="H1973" s="11">
        <v>163563</v>
      </c>
      <c r="I1973" s="11">
        <v>-159298</v>
      </c>
      <c r="J1973" s="11">
        <v>4265</v>
      </c>
      <c r="K1973" s="11">
        <v>0</v>
      </c>
      <c r="L1973" s="11">
        <v>0</v>
      </c>
      <c r="M1973" s="11">
        <v>0</v>
      </c>
      <c r="N1973" s="11">
        <v>4265</v>
      </c>
    </row>
    <row r="1974" spans="1:14" ht="15.75" x14ac:dyDescent="0.25">
      <c r="A1974" s="49" t="s">
        <v>404</v>
      </c>
      <c r="B1974" s="72" t="s">
        <v>8</v>
      </c>
      <c r="C1974" s="11">
        <v>30281104</v>
      </c>
      <c r="D1974" s="11">
        <v>-374758</v>
      </c>
      <c r="E1974" s="11">
        <v>0</v>
      </c>
      <c r="F1974" s="11">
        <v>0</v>
      </c>
      <c r="G1974" s="11">
        <v>0</v>
      </c>
      <c r="H1974" s="11">
        <v>29906346</v>
      </c>
      <c r="I1974" s="11">
        <v>-29130771</v>
      </c>
      <c r="J1974" s="11">
        <v>775575</v>
      </c>
      <c r="K1974" s="11">
        <v>1477144</v>
      </c>
      <c r="L1974" s="11">
        <v>-1454247</v>
      </c>
      <c r="M1974" s="11">
        <v>22897</v>
      </c>
      <c r="N1974" s="11">
        <v>752678</v>
      </c>
    </row>
    <row r="1975" spans="1:14" ht="15.75" x14ac:dyDescent="0.25">
      <c r="A1975" s="49" t="s">
        <v>403</v>
      </c>
      <c r="B1975" s="72" t="s">
        <v>8</v>
      </c>
      <c r="C1975" s="11">
        <v>851828</v>
      </c>
      <c r="D1975" s="11">
        <v>-115</v>
      </c>
      <c r="E1975" s="11">
        <v>0</v>
      </c>
      <c r="F1975" s="11">
        <v>0</v>
      </c>
      <c r="G1975" s="11">
        <v>0</v>
      </c>
      <c r="H1975" s="11">
        <v>851713</v>
      </c>
      <c r="I1975" s="11">
        <v>-512742</v>
      </c>
      <c r="J1975" s="11">
        <v>338971</v>
      </c>
      <c r="K1975" s="11">
        <v>0</v>
      </c>
      <c r="L1975" s="11">
        <v>0</v>
      </c>
      <c r="M1975" s="11">
        <v>0</v>
      </c>
      <c r="N1975" s="11">
        <v>338971</v>
      </c>
    </row>
    <row r="1976" spans="1:14" ht="15.75" x14ac:dyDescent="0.25">
      <c r="A1976" s="49" t="s">
        <v>402</v>
      </c>
      <c r="B1976" s="72" t="s">
        <v>8</v>
      </c>
      <c r="C1976" s="11">
        <v>368039</v>
      </c>
      <c r="D1976" s="11">
        <v>0</v>
      </c>
      <c r="E1976" s="11">
        <v>0</v>
      </c>
      <c r="F1976" s="11">
        <v>0</v>
      </c>
      <c r="G1976" s="11">
        <v>0</v>
      </c>
      <c r="H1976" s="11">
        <v>368039</v>
      </c>
      <c r="I1976" s="11">
        <v>-357085</v>
      </c>
      <c r="J1976" s="11">
        <v>10954</v>
      </c>
      <c r="K1976" s="11">
        <v>0</v>
      </c>
      <c r="L1976" s="11">
        <v>0</v>
      </c>
      <c r="M1976" s="11">
        <v>0</v>
      </c>
      <c r="N1976" s="11">
        <v>10954</v>
      </c>
    </row>
    <row r="1977" spans="1:14" ht="15.75" x14ac:dyDescent="0.25">
      <c r="A1977" s="49" t="s">
        <v>401</v>
      </c>
      <c r="B1977" s="72" t="s">
        <v>8</v>
      </c>
      <c r="C1977" s="11">
        <v>1818639</v>
      </c>
      <c r="D1977" s="11">
        <v>0</v>
      </c>
      <c r="E1977" s="11">
        <v>-13905</v>
      </c>
      <c r="F1977" s="11">
        <v>0</v>
      </c>
      <c r="G1977" s="11">
        <v>-1216</v>
      </c>
      <c r="H1977" s="11">
        <v>1803518</v>
      </c>
      <c r="I1977" s="11">
        <v>0</v>
      </c>
      <c r="J1977" s="11">
        <v>1803518</v>
      </c>
      <c r="K1977" s="11">
        <v>0</v>
      </c>
      <c r="L1977" s="11">
        <v>0</v>
      </c>
      <c r="M1977" s="11">
        <v>0</v>
      </c>
      <c r="N1977" s="11">
        <v>1803518</v>
      </c>
    </row>
    <row r="1978" spans="1:14" ht="15.75" x14ac:dyDescent="0.25">
      <c r="A1978" s="49" t="s">
        <v>400</v>
      </c>
      <c r="B1978" s="72" t="s">
        <v>8</v>
      </c>
      <c r="C1978" s="11">
        <v>18282120</v>
      </c>
      <c r="D1978" s="11">
        <v>-542545</v>
      </c>
      <c r="E1978" s="11">
        <v>0</v>
      </c>
      <c r="F1978" s="11">
        <v>0</v>
      </c>
      <c r="G1978" s="11">
        <v>0</v>
      </c>
      <c r="H1978" s="11">
        <v>17739575</v>
      </c>
      <c r="I1978" s="11">
        <v>-17739575</v>
      </c>
      <c r="J1978" s="11">
        <v>0</v>
      </c>
      <c r="K1978" s="11">
        <v>2173857</v>
      </c>
      <c r="L1978" s="11">
        <v>-2146528</v>
      </c>
      <c r="M1978" s="11">
        <v>27329</v>
      </c>
      <c r="N1978" s="11">
        <v>-27329</v>
      </c>
    </row>
    <row r="1979" spans="1:14" ht="15.75" x14ac:dyDescent="0.25">
      <c r="A1979" s="49" t="s">
        <v>399</v>
      </c>
      <c r="B1979" s="72" t="s">
        <v>8</v>
      </c>
      <c r="C1979" s="11">
        <v>2190203</v>
      </c>
      <c r="D1979" s="11">
        <v>4373</v>
      </c>
      <c r="E1979" s="11">
        <v>0</v>
      </c>
      <c r="F1979" s="11">
        <v>0</v>
      </c>
      <c r="G1979" s="11">
        <v>0</v>
      </c>
      <c r="H1979" s="11">
        <v>2194576</v>
      </c>
      <c r="I1979" s="11">
        <v>-2194576</v>
      </c>
      <c r="J1979" s="11">
        <v>0</v>
      </c>
      <c r="K1979" s="11">
        <v>120824</v>
      </c>
      <c r="L1979" s="11">
        <v>-120824</v>
      </c>
      <c r="M1979" s="11">
        <v>0</v>
      </c>
      <c r="N1979" s="11">
        <v>0</v>
      </c>
    </row>
    <row r="1980" spans="1:14" ht="15.75" x14ac:dyDescent="0.25">
      <c r="A1980" s="49" t="s">
        <v>398</v>
      </c>
      <c r="B1980" s="72" t="s">
        <v>8</v>
      </c>
      <c r="C1980" s="11">
        <v>14729226</v>
      </c>
      <c r="D1980" s="11">
        <v>-2228605</v>
      </c>
      <c r="E1980" s="11">
        <v>0</v>
      </c>
      <c r="F1980" s="11">
        <v>0</v>
      </c>
      <c r="G1980" s="11">
        <v>0</v>
      </c>
      <c r="H1980" s="11">
        <v>12500621</v>
      </c>
      <c r="I1980" s="11">
        <v>-12500621</v>
      </c>
      <c r="J1980" s="11">
        <v>0</v>
      </c>
      <c r="K1980" s="11">
        <v>4319099</v>
      </c>
      <c r="L1980" s="11">
        <v>-4315840</v>
      </c>
      <c r="M1980" s="11">
        <v>3259</v>
      </c>
      <c r="N1980" s="11">
        <v>-3259</v>
      </c>
    </row>
    <row r="1981" spans="1:14" ht="15.75" x14ac:dyDescent="0.25">
      <c r="A1981" s="49" t="s">
        <v>397</v>
      </c>
      <c r="B1981" s="72" t="s">
        <v>8</v>
      </c>
      <c r="C1981" s="11">
        <v>30317802</v>
      </c>
      <c r="D1981" s="11">
        <v>-213198</v>
      </c>
      <c r="E1981" s="11">
        <v>0</v>
      </c>
      <c r="F1981" s="11">
        <v>0</v>
      </c>
      <c r="G1981" s="11">
        <v>0</v>
      </c>
      <c r="H1981" s="11">
        <v>30104604</v>
      </c>
      <c r="I1981" s="11">
        <v>-29585118</v>
      </c>
      <c r="J1981" s="11">
        <v>519486</v>
      </c>
      <c r="K1981" s="11">
        <v>0</v>
      </c>
      <c r="L1981" s="11">
        <v>0</v>
      </c>
      <c r="M1981" s="11">
        <v>0</v>
      </c>
      <c r="N1981" s="11">
        <v>519486</v>
      </c>
    </row>
    <row r="1982" spans="1:14" ht="15.75" x14ac:dyDescent="0.25">
      <c r="A1982" s="49" t="s">
        <v>396</v>
      </c>
      <c r="B1982" s="72" t="s">
        <v>8</v>
      </c>
      <c r="C1982" s="11">
        <v>256620</v>
      </c>
      <c r="D1982" s="11">
        <v>0</v>
      </c>
      <c r="E1982" s="11">
        <v>0</v>
      </c>
      <c r="F1982" s="11">
        <v>0</v>
      </c>
      <c r="G1982" s="11">
        <v>0</v>
      </c>
      <c r="H1982" s="11">
        <v>256620</v>
      </c>
      <c r="I1982" s="11">
        <v>-256620</v>
      </c>
      <c r="J1982" s="11">
        <v>0</v>
      </c>
      <c r="K1982" s="11">
        <v>0</v>
      </c>
      <c r="L1982" s="11">
        <v>0</v>
      </c>
      <c r="M1982" s="11">
        <v>0</v>
      </c>
      <c r="N1982" s="11">
        <v>0</v>
      </c>
    </row>
    <row r="1983" spans="1:14" ht="15.75" x14ac:dyDescent="0.25">
      <c r="A1983" s="49" t="s">
        <v>395</v>
      </c>
      <c r="B1983" s="72" t="s">
        <v>8</v>
      </c>
      <c r="C1983" s="11">
        <v>349636</v>
      </c>
      <c r="D1983" s="11">
        <v>-134</v>
      </c>
      <c r="E1983" s="11">
        <v>0</v>
      </c>
      <c r="F1983" s="11">
        <v>0</v>
      </c>
      <c r="G1983" s="11">
        <v>0</v>
      </c>
      <c r="H1983" s="11">
        <v>349502</v>
      </c>
      <c r="I1983" s="11">
        <v>-349502</v>
      </c>
      <c r="J1983" s="11">
        <v>0</v>
      </c>
      <c r="K1983" s="11">
        <v>0</v>
      </c>
      <c r="L1983" s="11">
        <v>0</v>
      </c>
      <c r="M1983" s="11">
        <v>0</v>
      </c>
      <c r="N1983" s="11">
        <v>0</v>
      </c>
    </row>
    <row r="1984" spans="1:14" ht="15.75" x14ac:dyDescent="0.25">
      <c r="A1984" s="49" t="s">
        <v>394</v>
      </c>
      <c r="B1984" s="72" t="s">
        <v>8</v>
      </c>
      <c r="C1984" s="11">
        <v>743922</v>
      </c>
      <c r="D1984" s="11">
        <v>-237</v>
      </c>
      <c r="E1984" s="11">
        <v>0</v>
      </c>
      <c r="F1984" s="11">
        <v>0</v>
      </c>
      <c r="G1984" s="11">
        <v>0</v>
      </c>
      <c r="H1984" s="11">
        <v>743685</v>
      </c>
      <c r="I1984" s="11">
        <v>-743685</v>
      </c>
      <c r="J1984" s="11">
        <v>0</v>
      </c>
      <c r="K1984" s="11">
        <v>0</v>
      </c>
      <c r="L1984" s="11">
        <v>0</v>
      </c>
      <c r="M1984" s="11">
        <v>0</v>
      </c>
      <c r="N1984" s="11">
        <v>0</v>
      </c>
    </row>
    <row r="1985" spans="1:14" ht="15.75" x14ac:dyDescent="0.25">
      <c r="A1985" s="49" t="s">
        <v>393</v>
      </c>
      <c r="B1985" s="72" t="s">
        <v>8</v>
      </c>
      <c r="C1985" s="11">
        <v>762895</v>
      </c>
      <c r="D1985" s="11">
        <v>-1147</v>
      </c>
      <c r="E1985" s="11">
        <v>0</v>
      </c>
      <c r="F1985" s="11">
        <v>0</v>
      </c>
      <c r="G1985" s="11">
        <v>0</v>
      </c>
      <c r="H1985" s="11">
        <v>761748</v>
      </c>
      <c r="I1985" s="11">
        <v>-760474</v>
      </c>
      <c r="J1985" s="11">
        <v>1274</v>
      </c>
      <c r="K1985" s="11">
        <v>0</v>
      </c>
      <c r="L1985" s="11">
        <v>0</v>
      </c>
      <c r="M1985" s="11">
        <v>0</v>
      </c>
      <c r="N1985" s="11">
        <v>1274</v>
      </c>
    </row>
    <row r="1986" spans="1:14" ht="15.75" x14ac:dyDescent="0.25">
      <c r="A1986" s="49" t="s">
        <v>392</v>
      </c>
      <c r="B1986" s="72" t="s">
        <v>8</v>
      </c>
      <c r="C1986" s="11">
        <v>11598433</v>
      </c>
      <c r="D1986" s="11">
        <v>-119835</v>
      </c>
      <c r="E1986" s="11">
        <v>0</v>
      </c>
      <c r="F1986" s="11">
        <v>0</v>
      </c>
      <c r="G1986" s="11">
        <v>0</v>
      </c>
      <c r="H1986" s="11">
        <v>11478598</v>
      </c>
      <c r="I1986" s="11">
        <v>-9701227</v>
      </c>
      <c r="J1986" s="11">
        <v>1777371</v>
      </c>
      <c r="K1986" s="11">
        <v>0</v>
      </c>
      <c r="L1986" s="11">
        <v>0</v>
      </c>
      <c r="M1986" s="11">
        <v>0</v>
      </c>
      <c r="N1986" s="11">
        <v>1777371</v>
      </c>
    </row>
    <row r="1987" spans="1:14" ht="15.75" x14ac:dyDescent="0.25">
      <c r="A1987" s="49" t="s">
        <v>391</v>
      </c>
      <c r="B1987" s="72" t="s">
        <v>8</v>
      </c>
      <c r="C1987" s="11">
        <v>45123014</v>
      </c>
      <c r="D1987" s="11">
        <v>-2122425</v>
      </c>
      <c r="E1987" s="11">
        <v>0</v>
      </c>
      <c r="F1987" s="11">
        <v>0</v>
      </c>
      <c r="G1987" s="11">
        <v>0</v>
      </c>
      <c r="H1987" s="11">
        <v>43000589</v>
      </c>
      <c r="I1987" s="11">
        <v>-43000589</v>
      </c>
      <c r="J1987" s="11">
        <v>0</v>
      </c>
      <c r="K1987" s="11">
        <v>8239002</v>
      </c>
      <c r="L1987" s="11">
        <v>-4713521</v>
      </c>
      <c r="M1987" s="11">
        <v>3525481</v>
      </c>
      <c r="N1987" s="11">
        <v>-3525481</v>
      </c>
    </row>
    <row r="1988" spans="1:14" ht="15.75" x14ac:dyDescent="0.25">
      <c r="A1988" s="49" t="s">
        <v>390</v>
      </c>
      <c r="B1988" s="72" t="s">
        <v>8</v>
      </c>
      <c r="C1988" s="11">
        <v>7177883</v>
      </c>
      <c r="D1988" s="11">
        <v>-42845</v>
      </c>
      <c r="E1988" s="11">
        <v>0</v>
      </c>
      <c r="F1988" s="11">
        <v>0</v>
      </c>
      <c r="G1988" s="11">
        <v>0</v>
      </c>
      <c r="H1988" s="11">
        <v>7135038</v>
      </c>
      <c r="I1988" s="11">
        <v>-6852184</v>
      </c>
      <c r="J1988" s="11">
        <v>282854</v>
      </c>
      <c r="K1988" s="11">
        <v>84663</v>
      </c>
      <c r="L1988" s="11">
        <v>-39385</v>
      </c>
      <c r="M1988" s="11">
        <v>45278</v>
      </c>
      <c r="N1988" s="11">
        <v>237576</v>
      </c>
    </row>
    <row r="1989" spans="1:14" ht="15.75" x14ac:dyDescent="0.25">
      <c r="A1989" s="49" t="s">
        <v>389</v>
      </c>
      <c r="B1989" s="72" t="s">
        <v>8</v>
      </c>
      <c r="C1989" s="11">
        <v>80830331</v>
      </c>
      <c r="D1989" s="11">
        <v>-46359512</v>
      </c>
      <c r="E1989" s="11">
        <v>0</v>
      </c>
      <c r="F1989" s="11">
        <v>0</v>
      </c>
      <c r="G1989" s="11">
        <v>0</v>
      </c>
      <c r="H1989" s="11">
        <v>34470819</v>
      </c>
      <c r="I1989" s="11">
        <v>-33768013</v>
      </c>
      <c r="J1989" s="11">
        <v>702806</v>
      </c>
      <c r="K1989" s="11">
        <v>45662510</v>
      </c>
      <c r="L1989" s="11">
        <v>-8552916</v>
      </c>
      <c r="M1989" s="11">
        <v>37109594</v>
      </c>
      <c r="N1989" s="11">
        <v>-36406788</v>
      </c>
    </row>
    <row r="1990" spans="1:14" ht="15.75" x14ac:dyDescent="0.25">
      <c r="A1990" s="49" t="s">
        <v>388</v>
      </c>
      <c r="B1990" s="72" t="s">
        <v>8</v>
      </c>
      <c r="C1990" s="11">
        <v>2858888</v>
      </c>
      <c r="D1990" s="11">
        <v>-76322</v>
      </c>
      <c r="E1990" s="11">
        <v>0</v>
      </c>
      <c r="F1990" s="11">
        <v>0</v>
      </c>
      <c r="G1990" s="11">
        <v>0</v>
      </c>
      <c r="H1990" s="11">
        <v>2782566</v>
      </c>
      <c r="I1990" s="11">
        <v>-2468778</v>
      </c>
      <c r="J1990" s="11">
        <v>313788</v>
      </c>
      <c r="K1990" s="11">
        <v>568858</v>
      </c>
      <c r="L1990" s="11">
        <v>-568858</v>
      </c>
      <c r="M1990" s="11">
        <v>0</v>
      </c>
      <c r="N1990" s="11">
        <v>313788</v>
      </c>
    </row>
    <row r="1991" spans="1:14" ht="15.75" x14ac:dyDescent="0.25">
      <c r="A1991" s="49" t="s">
        <v>387</v>
      </c>
      <c r="B1991" s="72" t="s">
        <v>8</v>
      </c>
      <c r="C1991" s="11">
        <v>514145</v>
      </c>
      <c r="D1991" s="11">
        <v>-1365</v>
      </c>
      <c r="E1991" s="11">
        <v>0</v>
      </c>
      <c r="F1991" s="11">
        <v>0</v>
      </c>
      <c r="G1991" s="11">
        <v>0</v>
      </c>
      <c r="H1991" s="11">
        <v>512780</v>
      </c>
      <c r="I1991" s="11">
        <v>-281965</v>
      </c>
      <c r="J1991" s="11">
        <v>230815</v>
      </c>
      <c r="K1991" s="11">
        <v>0</v>
      </c>
      <c r="L1991" s="11">
        <v>0</v>
      </c>
      <c r="M1991" s="11">
        <v>0</v>
      </c>
      <c r="N1991" s="11">
        <v>230815</v>
      </c>
    </row>
    <row r="1992" spans="1:14" ht="15.75" x14ac:dyDescent="0.25">
      <c r="A1992" s="49" t="s">
        <v>386</v>
      </c>
      <c r="B1992" s="72" t="s">
        <v>8</v>
      </c>
      <c r="C1992" s="11">
        <v>79043638</v>
      </c>
      <c r="D1992" s="11">
        <v>-1187594</v>
      </c>
      <c r="E1992" s="11">
        <v>0</v>
      </c>
      <c r="F1992" s="11">
        <v>0</v>
      </c>
      <c r="G1992" s="11">
        <v>0</v>
      </c>
      <c r="H1992" s="11">
        <v>77856044</v>
      </c>
      <c r="I1992" s="11">
        <v>-73443315</v>
      </c>
      <c r="J1992" s="11">
        <v>4412729</v>
      </c>
      <c r="K1992" s="11">
        <v>3552127</v>
      </c>
      <c r="L1992" s="11">
        <v>-3503635</v>
      </c>
      <c r="M1992" s="11">
        <v>48492</v>
      </c>
      <c r="N1992" s="11">
        <v>4364237</v>
      </c>
    </row>
    <row r="1993" spans="1:14" ht="15.75" x14ac:dyDescent="0.25">
      <c r="A1993" s="49" t="s">
        <v>385</v>
      </c>
      <c r="B1993" s="72" t="s">
        <v>8</v>
      </c>
      <c r="C1993" s="11">
        <v>396813</v>
      </c>
      <c r="D1993" s="11">
        <v>-4999</v>
      </c>
      <c r="E1993" s="11">
        <v>0</v>
      </c>
      <c r="F1993" s="11">
        <v>0</v>
      </c>
      <c r="G1993" s="11">
        <v>0</v>
      </c>
      <c r="H1993" s="11">
        <v>391814</v>
      </c>
      <c r="I1993" s="11">
        <v>-385535</v>
      </c>
      <c r="J1993" s="11">
        <v>6279</v>
      </c>
      <c r="K1993" s="11">
        <v>0</v>
      </c>
      <c r="L1993" s="11">
        <v>0</v>
      </c>
      <c r="M1993" s="11">
        <v>0</v>
      </c>
      <c r="N1993" s="11">
        <v>6279</v>
      </c>
    </row>
    <row r="1994" spans="1:14" ht="15.75" x14ac:dyDescent="0.25">
      <c r="A1994" s="49" t="s">
        <v>384</v>
      </c>
      <c r="B1994" s="72" t="s">
        <v>8</v>
      </c>
      <c r="C1994" s="11">
        <v>28780005.48</v>
      </c>
      <c r="D1994" s="11">
        <v>-7481567.4799999995</v>
      </c>
      <c r="E1994" s="11">
        <v>0</v>
      </c>
      <c r="F1994" s="11">
        <v>0</v>
      </c>
      <c r="G1994" s="11">
        <v>0</v>
      </c>
      <c r="H1994" s="11">
        <v>21298438</v>
      </c>
      <c r="I1994" s="11">
        <v>-20190303</v>
      </c>
      <c r="J1994" s="11">
        <v>1108135</v>
      </c>
      <c r="K1994" s="11">
        <v>6695548</v>
      </c>
      <c r="L1994" s="11">
        <v>-6695548</v>
      </c>
      <c r="M1994" s="11">
        <v>0</v>
      </c>
      <c r="N1994" s="11">
        <v>1108135</v>
      </c>
    </row>
    <row r="1995" spans="1:14" ht="15.75" x14ac:dyDescent="0.25">
      <c r="A1995" s="49" t="s">
        <v>383</v>
      </c>
      <c r="B1995" s="72" t="s">
        <v>8</v>
      </c>
      <c r="C1995" s="11">
        <v>46200726</v>
      </c>
      <c r="D1995" s="11">
        <v>-520916</v>
      </c>
      <c r="E1995" s="11">
        <v>0</v>
      </c>
      <c r="F1995" s="11">
        <v>0</v>
      </c>
      <c r="G1995" s="11">
        <v>0</v>
      </c>
      <c r="H1995" s="11">
        <v>45679810</v>
      </c>
      <c r="I1995" s="11">
        <v>-43230237</v>
      </c>
      <c r="J1995" s="11">
        <v>2449573</v>
      </c>
      <c r="K1995" s="11">
        <v>1556657</v>
      </c>
      <c r="L1995" s="11">
        <v>-1463741</v>
      </c>
      <c r="M1995" s="11">
        <v>92916</v>
      </c>
      <c r="N1995" s="11">
        <v>2356657</v>
      </c>
    </row>
    <row r="1996" spans="1:14" ht="15.75" x14ac:dyDescent="0.25">
      <c r="A1996" s="49" t="s">
        <v>382</v>
      </c>
      <c r="B1996" s="72" t="s">
        <v>8</v>
      </c>
      <c r="C1996" s="11">
        <v>6000437</v>
      </c>
      <c r="D1996" s="11">
        <v>-952910</v>
      </c>
      <c r="E1996" s="11">
        <v>0</v>
      </c>
      <c r="F1996" s="11">
        <v>0</v>
      </c>
      <c r="G1996" s="11">
        <v>0</v>
      </c>
      <c r="H1996" s="11">
        <v>5047527</v>
      </c>
      <c r="I1996" s="11">
        <v>-5047527</v>
      </c>
      <c r="J1996" s="11">
        <v>0</v>
      </c>
      <c r="K1996" s="11">
        <v>675966</v>
      </c>
      <c r="L1996" s="11">
        <v>-675724</v>
      </c>
      <c r="M1996" s="11">
        <v>242</v>
      </c>
      <c r="N1996" s="11">
        <v>-242</v>
      </c>
    </row>
    <row r="1997" spans="1:14" ht="15.75" x14ac:dyDescent="0.25">
      <c r="A1997" s="49" t="s">
        <v>381</v>
      </c>
      <c r="B1997" s="72" t="s">
        <v>8</v>
      </c>
      <c r="C1997" s="11">
        <v>212437234</v>
      </c>
      <c r="D1997" s="11">
        <v>-204572067</v>
      </c>
      <c r="E1997" s="11">
        <v>0</v>
      </c>
      <c r="F1997" s="11">
        <v>0</v>
      </c>
      <c r="G1997" s="11">
        <v>0</v>
      </c>
      <c r="H1997" s="11">
        <v>7865167</v>
      </c>
      <c r="I1997" s="11">
        <v>-7861907</v>
      </c>
      <c r="J1997" s="11">
        <v>3260</v>
      </c>
      <c r="K1997" s="11">
        <v>47922</v>
      </c>
      <c r="L1997" s="11">
        <v>-47909</v>
      </c>
      <c r="M1997" s="11">
        <v>13</v>
      </c>
      <c r="N1997" s="11">
        <v>3247</v>
      </c>
    </row>
    <row r="1998" spans="1:14" ht="15.75" x14ac:dyDescent="0.25">
      <c r="A1998" s="49" t="s">
        <v>380</v>
      </c>
      <c r="B1998" s="72" t="s">
        <v>8</v>
      </c>
      <c r="C1998" s="11">
        <v>49968376</v>
      </c>
      <c r="D1998" s="11">
        <v>-583783</v>
      </c>
      <c r="E1998" s="11">
        <v>0</v>
      </c>
      <c r="F1998" s="11">
        <v>0</v>
      </c>
      <c r="G1998" s="11">
        <v>0</v>
      </c>
      <c r="H1998" s="11">
        <v>49384593</v>
      </c>
      <c r="I1998" s="11">
        <v>-49384593</v>
      </c>
      <c r="J1998" s="11">
        <v>0</v>
      </c>
      <c r="K1998" s="11">
        <v>1124177</v>
      </c>
      <c r="L1998" s="11">
        <v>-1124177</v>
      </c>
      <c r="M1998" s="11">
        <v>0</v>
      </c>
      <c r="N1998" s="11">
        <v>0</v>
      </c>
    </row>
    <row r="1999" spans="1:14" ht="15.75" x14ac:dyDescent="0.25">
      <c r="A1999" s="49" t="s">
        <v>379</v>
      </c>
      <c r="B1999" s="72" t="s">
        <v>8</v>
      </c>
      <c r="C1999" s="11">
        <v>16154353</v>
      </c>
      <c r="D1999" s="11">
        <v>-1882906</v>
      </c>
      <c r="E1999" s="11">
        <v>0</v>
      </c>
      <c r="F1999" s="11">
        <v>0</v>
      </c>
      <c r="G1999" s="11">
        <v>0</v>
      </c>
      <c r="H1999" s="11">
        <v>14271447</v>
      </c>
      <c r="I1999" s="11">
        <v>-14271447</v>
      </c>
      <c r="J1999" s="11">
        <v>0</v>
      </c>
      <c r="K1999" s="11">
        <v>2598165</v>
      </c>
      <c r="L1999" s="11">
        <v>-2598165</v>
      </c>
      <c r="M1999" s="11">
        <v>0</v>
      </c>
      <c r="N1999" s="11">
        <v>0</v>
      </c>
    </row>
    <row r="2000" spans="1:14" ht="15.75" x14ac:dyDescent="0.25">
      <c r="A2000" s="49" t="s">
        <v>378</v>
      </c>
      <c r="B2000" s="72" t="s">
        <v>8</v>
      </c>
      <c r="C2000" s="11">
        <v>18030110</v>
      </c>
      <c r="D2000" s="11">
        <v>-246802</v>
      </c>
      <c r="E2000" s="11">
        <v>0</v>
      </c>
      <c r="F2000" s="11">
        <v>0</v>
      </c>
      <c r="G2000" s="11">
        <v>0</v>
      </c>
      <c r="H2000" s="11">
        <v>17783308</v>
      </c>
      <c r="I2000" s="11">
        <v>-17783308</v>
      </c>
      <c r="J2000" s="11">
        <v>0</v>
      </c>
      <c r="K2000" s="11">
        <v>32613</v>
      </c>
      <c r="L2000" s="11">
        <v>-11790</v>
      </c>
      <c r="M2000" s="11">
        <v>20823</v>
      </c>
      <c r="N2000" s="11">
        <v>-20823</v>
      </c>
    </row>
    <row r="2001" spans="1:14" ht="15.75" x14ac:dyDescent="0.25">
      <c r="A2001" s="49" t="s">
        <v>377</v>
      </c>
      <c r="B2001" s="72" t="s">
        <v>8</v>
      </c>
      <c r="C2001" s="11">
        <v>23146222</v>
      </c>
      <c r="D2001" s="11">
        <v>-149500</v>
      </c>
      <c r="E2001" s="11">
        <v>-1296</v>
      </c>
      <c r="F2001" s="11">
        <v>0</v>
      </c>
      <c r="G2001" s="11">
        <v>0</v>
      </c>
      <c r="H2001" s="11">
        <v>22995426</v>
      </c>
      <c r="I2001" s="11">
        <v>-17480071</v>
      </c>
      <c r="J2001" s="11">
        <v>5515355</v>
      </c>
      <c r="K2001" s="11">
        <v>42826</v>
      </c>
      <c r="L2001" s="11">
        <v>-40423</v>
      </c>
      <c r="M2001" s="11">
        <v>2403</v>
      </c>
      <c r="N2001" s="11">
        <v>5512952</v>
      </c>
    </row>
    <row r="2002" spans="1:14" ht="15.75" x14ac:dyDescent="0.25">
      <c r="A2002" s="49" t="s">
        <v>376</v>
      </c>
      <c r="B2002" s="72" t="s">
        <v>8</v>
      </c>
      <c r="C2002" s="11">
        <v>71056485</v>
      </c>
      <c r="D2002" s="11">
        <v>-32419133</v>
      </c>
      <c r="E2002" s="11">
        <v>0</v>
      </c>
      <c r="F2002" s="11">
        <v>0</v>
      </c>
      <c r="G2002" s="11">
        <v>0</v>
      </c>
      <c r="H2002" s="11">
        <v>38637352</v>
      </c>
      <c r="I2002" s="11">
        <v>-38637352</v>
      </c>
      <c r="J2002" s="11">
        <v>0</v>
      </c>
      <c r="K2002" s="11">
        <v>10276466</v>
      </c>
      <c r="L2002" s="11">
        <v>-10150044</v>
      </c>
      <c r="M2002" s="11">
        <v>126422</v>
      </c>
      <c r="N2002" s="11">
        <v>-126422</v>
      </c>
    </row>
    <row r="2003" spans="1:14" ht="15.75" x14ac:dyDescent="0.25">
      <c r="A2003" s="49" t="s">
        <v>375</v>
      </c>
      <c r="B2003" s="72" t="s">
        <v>8</v>
      </c>
      <c r="C2003" s="11">
        <v>141570</v>
      </c>
      <c r="D2003" s="11">
        <v>0</v>
      </c>
      <c r="E2003" s="11">
        <v>0</v>
      </c>
      <c r="F2003" s="11">
        <v>0</v>
      </c>
      <c r="G2003" s="11">
        <v>0</v>
      </c>
      <c r="H2003" s="11">
        <v>141570</v>
      </c>
      <c r="I2003" s="11">
        <v>-28076</v>
      </c>
      <c r="J2003" s="11">
        <v>113494</v>
      </c>
      <c r="K2003" s="11">
        <v>0</v>
      </c>
      <c r="L2003" s="11">
        <v>0</v>
      </c>
      <c r="M2003" s="11">
        <v>0</v>
      </c>
      <c r="N2003" s="11">
        <v>113494</v>
      </c>
    </row>
    <row r="2004" spans="1:14" ht="15.75" x14ac:dyDescent="0.25">
      <c r="A2004" s="49" t="s">
        <v>374</v>
      </c>
      <c r="B2004" s="72" t="s">
        <v>8</v>
      </c>
      <c r="C2004" s="11">
        <v>5857659</v>
      </c>
      <c r="D2004" s="11">
        <v>-1078359</v>
      </c>
      <c r="E2004" s="11">
        <v>0</v>
      </c>
      <c r="F2004" s="11">
        <v>0</v>
      </c>
      <c r="G2004" s="11">
        <v>0</v>
      </c>
      <c r="H2004" s="11">
        <v>4779300</v>
      </c>
      <c r="I2004" s="11">
        <v>-4779300</v>
      </c>
      <c r="J2004" s="11">
        <v>0</v>
      </c>
      <c r="K2004" s="11">
        <v>453628</v>
      </c>
      <c r="L2004" s="11">
        <v>-453359</v>
      </c>
      <c r="M2004" s="11">
        <v>269</v>
      </c>
      <c r="N2004" s="11">
        <v>-269</v>
      </c>
    </row>
    <row r="2005" spans="1:14" ht="15.75" x14ac:dyDescent="0.25">
      <c r="A2005" s="49" t="s">
        <v>373</v>
      </c>
      <c r="B2005" s="72" t="s">
        <v>8</v>
      </c>
      <c r="C2005" s="11">
        <v>14432342</v>
      </c>
      <c r="D2005" s="11">
        <v>-178265</v>
      </c>
      <c r="E2005" s="11">
        <v>0</v>
      </c>
      <c r="F2005" s="11">
        <v>0</v>
      </c>
      <c r="G2005" s="11">
        <v>0</v>
      </c>
      <c r="H2005" s="11">
        <v>14254077</v>
      </c>
      <c r="I2005" s="11">
        <v>-14254077</v>
      </c>
      <c r="J2005" s="11">
        <v>0</v>
      </c>
      <c r="K2005" s="11">
        <v>450964</v>
      </c>
      <c r="L2005" s="11">
        <v>-450763</v>
      </c>
      <c r="M2005" s="11">
        <v>201</v>
      </c>
      <c r="N2005" s="11">
        <v>-201</v>
      </c>
    </row>
    <row r="2006" spans="1:14" ht="15.75" x14ac:dyDescent="0.25">
      <c r="A2006" s="49" t="s">
        <v>372</v>
      </c>
      <c r="B2006" s="72" t="s">
        <v>8</v>
      </c>
      <c r="C2006" s="11">
        <v>47028154</v>
      </c>
      <c r="D2006" s="11">
        <v>-233285</v>
      </c>
      <c r="E2006" s="11">
        <v>0</v>
      </c>
      <c r="F2006" s="11">
        <v>0</v>
      </c>
      <c r="G2006" s="11">
        <v>0</v>
      </c>
      <c r="H2006" s="11">
        <v>46794869</v>
      </c>
      <c r="I2006" s="11">
        <v>-46291741</v>
      </c>
      <c r="J2006" s="11">
        <v>503128</v>
      </c>
      <c r="K2006" s="11">
        <v>1408461</v>
      </c>
      <c r="L2006" s="11">
        <v>-1404898</v>
      </c>
      <c r="M2006" s="11">
        <v>3563</v>
      </c>
      <c r="N2006" s="11">
        <v>499565</v>
      </c>
    </row>
    <row r="2007" spans="1:14" ht="15.75" x14ac:dyDescent="0.25">
      <c r="A2007" s="49" t="s">
        <v>371</v>
      </c>
      <c r="B2007" s="72" t="s">
        <v>8</v>
      </c>
      <c r="C2007" s="11">
        <v>204632892</v>
      </c>
      <c r="D2007" s="11">
        <v>-77847180</v>
      </c>
      <c r="E2007" s="11">
        <v>0</v>
      </c>
      <c r="F2007" s="11">
        <v>0</v>
      </c>
      <c r="G2007" s="11">
        <v>0</v>
      </c>
      <c r="H2007" s="11">
        <v>126785712</v>
      </c>
      <c r="I2007" s="11">
        <v>-126068314</v>
      </c>
      <c r="J2007" s="11">
        <v>717398</v>
      </c>
      <c r="K2007" s="11">
        <v>6748858</v>
      </c>
      <c r="L2007" s="11">
        <v>-6748858</v>
      </c>
      <c r="M2007" s="11">
        <v>0</v>
      </c>
      <c r="N2007" s="11">
        <v>717398</v>
      </c>
    </row>
    <row r="2008" spans="1:14" ht="15.75" x14ac:dyDescent="0.25">
      <c r="A2008" s="49" t="s">
        <v>370</v>
      </c>
      <c r="B2008" s="72" t="s">
        <v>8</v>
      </c>
      <c r="C2008" s="11">
        <v>601071</v>
      </c>
      <c r="D2008" s="11">
        <v>-1361</v>
      </c>
      <c r="E2008" s="11">
        <v>0</v>
      </c>
      <c r="F2008" s="11">
        <v>0</v>
      </c>
      <c r="G2008" s="11">
        <v>0</v>
      </c>
      <c r="H2008" s="11">
        <v>599710</v>
      </c>
      <c r="I2008" s="11">
        <v>-599710</v>
      </c>
      <c r="J2008" s="11">
        <v>0</v>
      </c>
      <c r="K2008" s="11">
        <v>0</v>
      </c>
      <c r="L2008" s="11">
        <v>0</v>
      </c>
      <c r="M2008" s="11">
        <v>0</v>
      </c>
      <c r="N2008" s="11">
        <v>0</v>
      </c>
    </row>
    <row r="2009" spans="1:14" ht="15.75" x14ac:dyDescent="0.25">
      <c r="A2009" s="49" t="s">
        <v>369</v>
      </c>
      <c r="B2009" s="72" t="s">
        <v>8</v>
      </c>
      <c r="C2009" s="11">
        <v>1090452</v>
      </c>
      <c r="D2009" s="11">
        <v>-5824</v>
      </c>
      <c r="E2009" s="11">
        <v>0</v>
      </c>
      <c r="F2009" s="11">
        <v>0</v>
      </c>
      <c r="G2009" s="11">
        <v>0</v>
      </c>
      <c r="H2009" s="11">
        <v>1084628</v>
      </c>
      <c r="I2009" s="11">
        <v>-565735</v>
      </c>
      <c r="J2009" s="11">
        <v>518893</v>
      </c>
      <c r="K2009" s="11">
        <v>0</v>
      </c>
      <c r="L2009" s="11">
        <v>0</v>
      </c>
      <c r="M2009" s="11">
        <v>0</v>
      </c>
      <c r="N2009" s="11">
        <v>518893</v>
      </c>
    </row>
    <row r="2010" spans="1:14" ht="15.75" x14ac:dyDescent="0.25">
      <c r="A2010" s="49" t="s">
        <v>368</v>
      </c>
      <c r="B2010" s="72" t="s">
        <v>8</v>
      </c>
      <c r="C2010" s="11">
        <v>92628</v>
      </c>
      <c r="D2010" s="11">
        <v>-7131</v>
      </c>
      <c r="E2010" s="11">
        <v>0</v>
      </c>
      <c r="F2010" s="11">
        <v>0</v>
      </c>
      <c r="G2010" s="11">
        <v>0</v>
      </c>
      <c r="H2010" s="11">
        <v>85497</v>
      </c>
      <c r="I2010" s="11">
        <v>-85497</v>
      </c>
      <c r="J2010" s="11">
        <v>0</v>
      </c>
      <c r="K2010" s="11">
        <v>0</v>
      </c>
      <c r="L2010" s="11">
        <v>0</v>
      </c>
      <c r="M2010" s="11">
        <v>0</v>
      </c>
      <c r="N2010" s="11">
        <v>0</v>
      </c>
    </row>
    <row r="2011" spans="1:14" ht="15.75" x14ac:dyDescent="0.25">
      <c r="A2011" s="49" t="s">
        <v>367</v>
      </c>
      <c r="B2011" s="72" t="s">
        <v>8</v>
      </c>
      <c r="C2011" s="11">
        <v>52655</v>
      </c>
      <c r="D2011" s="11">
        <v>0</v>
      </c>
      <c r="E2011" s="11">
        <v>0</v>
      </c>
      <c r="F2011" s="11">
        <v>0</v>
      </c>
      <c r="G2011" s="11">
        <v>0</v>
      </c>
      <c r="H2011" s="11">
        <v>52655</v>
      </c>
      <c r="I2011" s="11">
        <v>-52655</v>
      </c>
      <c r="J2011" s="11">
        <v>0</v>
      </c>
      <c r="K2011" s="11">
        <v>0</v>
      </c>
      <c r="L2011" s="11">
        <v>0</v>
      </c>
      <c r="M2011" s="11">
        <v>0</v>
      </c>
      <c r="N2011" s="11">
        <v>0</v>
      </c>
    </row>
    <row r="2012" spans="1:14" ht="15.75" x14ac:dyDescent="0.25">
      <c r="A2012" s="49" t="s">
        <v>366</v>
      </c>
      <c r="B2012" s="72" t="s">
        <v>8</v>
      </c>
      <c r="C2012" s="11">
        <v>270787138</v>
      </c>
      <c r="D2012" s="11">
        <v>-40690929</v>
      </c>
      <c r="E2012" s="11">
        <v>0</v>
      </c>
      <c r="F2012" s="11">
        <v>0</v>
      </c>
      <c r="G2012" s="11">
        <v>0</v>
      </c>
      <c r="H2012" s="11">
        <v>230096209</v>
      </c>
      <c r="I2012" s="11">
        <v>-216102202</v>
      </c>
      <c r="J2012" s="11">
        <v>13994007</v>
      </c>
      <c r="K2012" s="11">
        <v>9383320</v>
      </c>
      <c r="L2012" s="11">
        <v>-7673961</v>
      </c>
      <c r="M2012" s="11">
        <v>1709359</v>
      </c>
      <c r="N2012" s="11">
        <v>12284648</v>
      </c>
    </row>
    <row r="2013" spans="1:14" ht="15.75" x14ac:dyDescent="0.25">
      <c r="A2013" s="49" t="s">
        <v>365</v>
      </c>
      <c r="B2013" s="72" t="s">
        <v>8</v>
      </c>
      <c r="C2013" s="11">
        <v>20779957</v>
      </c>
      <c r="D2013" s="11">
        <v>-1866247</v>
      </c>
      <c r="E2013" s="11">
        <v>0</v>
      </c>
      <c r="F2013" s="11">
        <v>0</v>
      </c>
      <c r="G2013" s="11">
        <v>0</v>
      </c>
      <c r="H2013" s="11">
        <v>18913710</v>
      </c>
      <c r="I2013" s="11">
        <v>-12624714</v>
      </c>
      <c r="J2013" s="11">
        <v>6288996</v>
      </c>
      <c r="K2013" s="11">
        <v>0</v>
      </c>
      <c r="L2013" s="11">
        <v>0</v>
      </c>
      <c r="M2013" s="11">
        <v>0</v>
      </c>
      <c r="N2013" s="11">
        <v>6288996</v>
      </c>
    </row>
    <row r="2014" spans="1:14" ht="15.75" x14ac:dyDescent="0.25">
      <c r="A2014" s="49" t="s">
        <v>364</v>
      </c>
      <c r="B2014" s="72" t="s">
        <v>8</v>
      </c>
      <c r="C2014" s="11">
        <v>385721</v>
      </c>
      <c r="D2014" s="11">
        <v>0</v>
      </c>
      <c r="E2014" s="11">
        <v>0</v>
      </c>
      <c r="F2014" s="11">
        <v>0</v>
      </c>
      <c r="G2014" s="11">
        <v>0</v>
      </c>
      <c r="H2014" s="11">
        <v>385721</v>
      </c>
      <c r="I2014" s="11">
        <v>-249722</v>
      </c>
      <c r="J2014" s="11">
        <v>135999</v>
      </c>
      <c r="K2014" s="11">
        <v>0</v>
      </c>
      <c r="L2014" s="11">
        <v>0</v>
      </c>
      <c r="M2014" s="11">
        <v>0</v>
      </c>
      <c r="N2014" s="11">
        <v>135999</v>
      </c>
    </row>
    <row r="2015" spans="1:14" ht="15.75" x14ac:dyDescent="0.25">
      <c r="A2015" s="49" t="s">
        <v>363</v>
      </c>
      <c r="B2015" s="72" t="s">
        <v>8</v>
      </c>
      <c r="C2015" s="11">
        <v>1036950</v>
      </c>
      <c r="D2015" s="11">
        <v>-6280</v>
      </c>
      <c r="E2015" s="11">
        <v>0</v>
      </c>
      <c r="F2015" s="11">
        <v>0</v>
      </c>
      <c r="G2015" s="11">
        <v>0</v>
      </c>
      <c r="H2015" s="11">
        <v>1030670</v>
      </c>
      <c r="I2015" s="11">
        <v>-786540</v>
      </c>
      <c r="J2015" s="11">
        <v>244130</v>
      </c>
      <c r="K2015" s="11">
        <v>0</v>
      </c>
      <c r="L2015" s="11">
        <v>0</v>
      </c>
      <c r="M2015" s="11">
        <v>0</v>
      </c>
      <c r="N2015" s="11">
        <v>244130</v>
      </c>
    </row>
    <row r="2016" spans="1:14" ht="15.75" x14ac:dyDescent="0.25">
      <c r="A2016" s="52" t="s">
        <v>362</v>
      </c>
      <c r="B2016" s="53" t="s">
        <v>8</v>
      </c>
      <c r="C2016" s="19">
        <f>SUBTOTAL(109,School[(C)
Program
Costs])</f>
        <v>9235610308.5599995</v>
      </c>
      <c r="D2016" s="19">
        <f>SUBTOTAL(109,School[(D)
Prior Period Adjustments])</f>
        <v>-1258731108.6700001</v>
      </c>
      <c r="E2016" s="19">
        <f>SUBTOTAL(109,School[(E)
Current Period Desk 
Reviews])</f>
        <v>-15201</v>
      </c>
      <c r="F2016" s="19">
        <f>SUBTOTAL(109,School[(F)
Current Period 
Final 
Audits])</f>
        <v>-26423533</v>
      </c>
      <c r="G2016" s="19">
        <f>SUBTOTAL(109,School[(G)
Current Period 
Other Adjustments])</f>
        <v>-2789</v>
      </c>
      <c r="H2016" s="19">
        <f>SUBTOTAL(109,School[(H)
Net Program Costs
Sum (C through G)])</f>
        <v>7950437676.8900003</v>
      </c>
      <c r="I2016" s="19">
        <f>SUBTOTAL(109,School[(I)
Payments
 and Offsets])</f>
        <v>-7023231535.8900003</v>
      </c>
      <c r="J2016" s="19">
        <f>SUBTOTAL(109,School[(J)
Accounts Payable Balance
(H + I)])</f>
        <v>927206141</v>
      </c>
      <c r="K2016" s="19">
        <f>SUBTOTAL(109,School[(K)
Established 
Accounts Receivable])</f>
        <v>321844305</v>
      </c>
      <c r="L2016" s="19">
        <f>SUBTOTAL(109,School[(L)
Recovered
 Accounts Receivable])</f>
        <v>-270139105</v>
      </c>
      <c r="M2016" s="19">
        <f>SUBTOTAL(109,School[(M)
Accounts Receivable Balance
(K + L)])</f>
        <v>51705200</v>
      </c>
      <c r="N2016" s="19">
        <f>SUBTOTAL(109,School[(N)
Net Balance
(J minus M)])</f>
        <v>875500941</v>
      </c>
    </row>
    <row r="2017" spans="1:14" ht="15.75" x14ac:dyDescent="0.25">
      <c r="A2017" s="17" t="s">
        <v>30</v>
      </c>
      <c r="B2017" s="54"/>
      <c r="C2017" s="55"/>
      <c r="D2017" s="55"/>
      <c r="E2017" s="55"/>
      <c r="F2017" s="55"/>
      <c r="G2017" s="55"/>
      <c r="H2017" s="55"/>
      <c r="I2017" s="55"/>
      <c r="J2017" s="55"/>
      <c r="K2017" s="55"/>
      <c r="L2017" s="55"/>
      <c r="M2017" s="55"/>
      <c r="N2017" s="55"/>
    </row>
  </sheetData>
  <printOptions horizontalCentered="1"/>
  <pageMargins left="0.45" right="0.45" top="0.25" bottom="0.75" header="0.4" footer="0.3"/>
  <pageSetup scale="45" firstPageNumber="39" orientation="landscape" useFirstPageNumber="1" r:id="rId1"/>
  <headerFooter>
    <oddFooter>&amp;LSchool Districts&amp;R&amp;P of &amp;N</oddFooter>
  </headerFooter>
  <rowBreaks count="7" manualBreakCount="7">
    <brk id="189" max="13" man="1"/>
    <brk id="457" max="13" man="1"/>
    <brk id="748" max="13" man="1"/>
    <brk id="1341" max="13" man="1"/>
    <brk id="1382" max="13" man="1"/>
    <brk id="1645" max="13" man="1"/>
    <brk id="1783" max="13" man="1"/>
  </rowBreaks>
  <tableParts count="12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7"/>
  <sheetViews>
    <sheetView zoomScale="90" zoomScaleNormal="90" workbookViewId="0">
      <selection activeCell="F142" sqref="F142"/>
    </sheetView>
  </sheetViews>
  <sheetFormatPr defaultRowHeight="15" x14ac:dyDescent="0.25"/>
  <cols>
    <col min="1" max="1" width="54.140625" customWidth="1"/>
    <col min="2" max="2" width="19.28515625" bestFit="1" customWidth="1"/>
    <col min="3" max="3" width="19.42578125" customWidth="1"/>
    <col min="4" max="4" width="18.7109375" customWidth="1"/>
    <col min="5" max="5" width="13.5703125" bestFit="1" customWidth="1"/>
    <col min="6" max="6" width="15.42578125" bestFit="1" customWidth="1"/>
    <col min="7" max="7" width="15.5703125" customWidth="1"/>
    <col min="8" max="8" width="20.140625" customWidth="1"/>
    <col min="9" max="9" width="19.7109375" customWidth="1"/>
    <col min="10" max="11" width="18.28515625" bestFit="1" customWidth="1"/>
    <col min="12" max="12" width="17" customWidth="1"/>
    <col min="13" max="13" width="15.85546875" customWidth="1"/>
    <col min="14" max="14" width="17.42578125" customWidth="1"/>
    <col min="15" max="15" width="7.7109375" customWidth="1"/>
  </cols>
  <sheetData>
    <row r="1" spans="1:14" ht="99.95" customHeight="1" x14ac:dyDescent="0.25">
      <c r="A1" s="33" t="s">
        <v>31</v>
      </c>
      <c r="B1" s="34"/>
      <c r="C1" s="35"/>
      <c r="D1" s="35"/>
      <c r="E1" s="36"/>
      <c r="F1" s="36"/>
      <c r="G1" s="36"/>
      <c r="H1" s="36"/>
      <c r="I1" s="36"/>
      <c r="J1" s="36"/>
      <c r="K1" s="37"/>
      <c r="L1" s="37"/>
      <c r="M1" s="37"/>
      <c r="N1" s="38"/>
    </row>
    <row r="2" spans="1:14" ht="78.75" x14ac:dyDescent="0.25">
      <c r="A2" s="39" t="s">
        <v>32</v>
      </c>
      <c r="B2" s="40" t="s">
        <v>33</v>
      </c>
      <c r="C2" s="41" t="s">
        <v>34</v>
      </c>
      <c r="D2" s="41" t="s">
        <v>35</v>
      </c>
      <c r="E2" s="42" t="s">
        <v>36</v>
      </c>
      <c r="F2" s="42" t="s">
        <v>37</v>
      </c>
      <c r="G2" s="42" t="s">
        <v>38</v>
      </c>
      <c r="H2" s="43" t="s">
        <v>39</v>
      </c>
      <c r="I2" s="44" t="s">
        <v>40</v>
      </c>
      <c r="J2" s="44" t="s">
        <v>41</v>
      </c>
      <c r="K2" s="42" t="s">
        <v>42</v>
      </c>
      <c r="L2" s="44" t="s">
        <v>43</v>
      </c>
      <c r="M2" s="44" t="s">
        <v>44</v>
      </c>
      <c r="N2" s="45" t="s">
        <v>45</v>
      </c>
    </row>
    <row r="3" spans="1:14" ht="15.75" x14ac:dyDescent="0.25">
      <c r="A3" s="46" t="s">
        <v>682</v>
      </c>
      <c r="B3" s="47" t="s">
        <v>57</v>
      </c>
      <c r="C3" s="48">
        <v>357087</v>
      </c>
      <c r="D3" s="48">
        <v>-974</v>
      </c>
      <c r="E3" s="48">
        <v>0</v>
      </c>
      <c r="F3" s="48">
        <v>0</v>
      </c>
      <c r="G3" s="48">
        <v>0</v>
      </c>
      <c r="H3" s="48">
        <v>356113</v>
      </c>
      <c r="I3" s="48">
        <v>-356113</v>
      </c>
      <c r="J3" s="48">
        <v>0</v>
      </c>
      <c r="K3" s="48">
        <v>36307</v>
      </c>
      <c r="L3" s="48">
        <v>-36307</v>
      </c>
      <c r="M3" s="48">
        <v>0</v>
      </c>
      <c r="N3" s="48">
        <v>0</v>
      </c>
    </row>
    <row r="4" spans="1:14" ht="15.75" x14ac:dyDescent="0.25">
      <c r="A4" s="49" t="s">
        <v>682</v>
      </c>
      <c r="B4" s="50" t="s">
        <v>58</v>
      </c>
      <c r="C4" s="51">
        <v>98949</v>
      </c>
      <c r="D4" s="51">
        <v>-379</v>
      </c>
      <c r="E4" s="51">
        <v>0</v>
      </c>
      <c r="F4" s="51">
        <v>0</v>
      </c>
      <c r="G4" s="51">
        <v>0</v>
      </c>
      <c r="H4" s="51">
        <v>98570</v>
      </c>
      <c r="I4" s="51">
        <v>-98570</v>
      </c>
      <c r="J4" s="51">
        <v>0</v>
      </c>
      <c r="K4" s="51">
        <v>98949</v>
      </c>
      <c r="L4" s="51">
        <v>-98949</v>
      </c>
      <c r="M4" s="51">
        <v>0</v>
      </c>
      <c r="N4" s="51">
        <v>0</v>
      </c>
    </row>
    <row r="5" spans="1:14" ht="15.75" x14ac:dyDescent="0.25">
      <c r="A5" s="49" t="s">
        <v>682</v>
      </c>
      <c r="B5" s="50" t="s">
        <v>61</v>
      </c>
      <c r="C5" s="51">
        <v>227108</v>
      </c>
      <c r="D5" s="51">
        <v>-298</v>
      </c>
      <c r="E5" s="51">
        <v>0</v>
      </c>
      <c r="F5" s="51">
        <v>0</v>
      </c>
      <c r="G5" s="51">
        <v>0</v>
      </c>
      <c r="H5" s="51">
        <v>226810</v>
      </c>
      <c r="I5" s="51">
        <v>-226810</v>
      </c>
      <c r="J5" s="51">
        <v>0</v>
      </c>
      <c r="K5" s="51">
        <v>7628</v>
      </c>
      <c r="L5" s="51">
        <v>-7628</v>
      </c>
      <c r="M5" s="51">
        <v>0</v>
      </c>
      <c r="N5" s="51">
        <v>0</v>
      </c>
    </row>
    <row r="6" spans="1:14" ht="15.75" x14ac:dyDescent="0.25">
      <c r="A6" s="52" t="s">
        <v>647</v>
      </c>
      <c r="B6" s="53" t="s">
        <v>8</v>
      </c>
      <c r="C6" s="19">
        <f>SUBTOTAL(109,Program231[(C)
Program
Costs])</f>
        <v>683144</v>
      </c>
      <c r="D6" s="19">
        <f>SUBTOTAL(109,Program231[(D)
Prior Period Adjustments])</f>
        <v>-1651</v>
      </c>
      <c r="E6" s="19">
        <f>SUBTOTAL(109,Program231[(E)
Current Period Desk 
Reviews])</f>
        <v>0</v>
      </c>
      <c r="F6" s="19">
        <f>SUBTOTAL(109,Program231[(F)
Current Period 
Final 
Audits])</f>
        <v>0</v>
      </c>
      <c r="G6" s="19">
        <f>SUBTOTAL(109,Program231[(G)
Current Period 
Other Adjustments])</f>
        <v>0</v>
      </c>
      <c r="H6" s="19">
        <f>SUBTOTAL(109,Program231[(H)
Net Program Costs
Sum (C through G)])</f>
        <v>681493</v>
      </c>
      <c r="I6" s="19">
        <f>SUBTOTAL(109,Program231[(I)
Payments
 and Offsets])</f>
        <v>-681493</v>
      </c>
      <c r="J6" s="19">
        <f>SUBTOTAL(109,Program231[(J)
Accounts Payable Balance
(H + I)])</f>
        <v>0</v>
      </c>
      <c r="K6" s="19">
        <f>SUBTOTAL(109,Program231[(K)
Established 
Accounts Receivable])</f>
        <v>142884</v>
      </c>
      <c r="L6" s="19">
        <f>SUBTOTAL(109,Program231[(L)
Recovered
 Accounts Receivable])</f>
        <v>-142884</v>
      </c>
      <c r="M6" s="19">
        <f>SUBTOTAL(109,Program231[(M)
Accounts Receivable Balance
(K + L)])</f>
        <v>0</v>
      </c>
      <c r="N6" s="19">
        <f>SUBTOTAL(109,Program231[(N)
Net Balance
(J minus M)])</f>
        <v>0</v>
      </c>
    </row>
    <row r="7" spans="1:14" ht="15.75" x14ac:dyDescent="0.25">
      <c r="A7" s="17" t="s">
        <v>13</v>
      </c>
      <c r="B7" s="54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pans="1:14" ht="78.75" x14ac:dyDescent="0.25">
      <c r="A8" s="39" t="s">
        <v>32</v>
      </c>
      <c r="B8" s="40" t="s">
        <v>33</v>
      </c>
      <c r="C8" s="41" t="s">
        <v>34</v>
      </c>
      <c r="D8" s="41" t="s">
        <v>35</v>
      </c>
      <c r="E8" s="42" t="s">
        <v>36</v>
      </c>
      <c r="F8" s="42" t="s">
        <v>37</v>
      </c>
      <c r="G8" s="42" t="s">
        <v>38</v>
      </c>
      <c r="H8" s="43" t="s">
        <v>39</v>
      </c>
      <c r="I8" s="44" t="s">
        <v>40</v>
      </c>
      <c r="J8" s="44" t="s">
        <v>41</v>
      </c>
      <c r="K8" s="42" t="s">
        <v>42</v>
      </c>
      <c r="L8" s="44" t="s">
        <v>43</v>
      </c>
      <c r="M8" s="44" t="s">
        <v>44</v>
      </c>
      <c r="N8" s="45" t="s">
        <v>45</v>
      </c>
    </row>
    <row r="9" spans="1:14" ht="15.75" x14ac:dyDescent="0.25">
      <c r="A9" s="46" t="s">
        <v>681</v>
      </c>
      <c r="B9" s="47" t="s">
        <v>83</v>
      </c>
      <c r="C9" s="48">
        <v>37135</v>
      </c>
      <c r="D9" s="48">
        <v>-3131</v>
      </c>
      <c r="E9" s="48">
        <v>0</v>
      </c>
      <c r="F9" s="48">
        <v>0</v>
      </c>
      <c r="G9" s="48">
        <v>0</v>
      </c>
      <c r="H9" s="48">
        <v>34004</v>
      </c>
      <c r="I9" s="48">
        <v>-34004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</row>
    <row r="10" spans="1:14" ht="15.75" x14ac:dyDescent="0.25">
      <c r="A10" s="49" t="s">
        <v>681</v>
      </c>
      <c r="B10" s="50" t="s">
        <v>48</v>
      </c>
      <c r="C10" s="51">
        <v>38850</v>
      </c>
      <c r="D10" s="51">
        <v>0</v>
      </c>
      <c r="E10" s="51">
        <v>0</v>
      </c>
      <c r="F10" s="51">
        <v>0</v>
      </c>
      <c r="G10" s="51">
        <v>0</v>
      </c>
      <c r="H10" s="51">
        <v>38850</v>
      </c>
      <c r="I10" s="51">
        <v>-38850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</row>
    <row r="11" spans="1:14" ht="15.75" x14ac:dyDescent="0.25">
      <c r="A11" s="49" t="s">
        <v>681</v>
      </c>
      <c r="B11" s="50" t="s">
        <v>49</v>
      </c>
      <c r="C11" s="51">
        <v>40531</v>
      </c>
      <c r="D11" s="51">
        <v>0</v>
      </c>
      <c r="E11" s="51">
        <v>0</v>
      </c>
      <c r="F11" s="51">
        <v>0</v>
      </c>
      <c r="G11" s="51">
        <v>0</v>
      </c>
      <c r="H11" s="51">
        <v>40531</v>
      </c>
      <c r="I11" s="51">
        <v>-40531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</row>
    <row r="12" spans="1:14" ht="15.75" x14ac:dyDescent="0.25">
      <c r="A12" s="49" t="s">
        <v>681</v>
      </c>
      <c r="B12" s="50" t="s">
        <v>50</v>
      </c>
      <c r="C12" s="51">
        <v>65092</v>
      </c>
      <c r="D12" s="51">
        <v>0</v>
      </c>
      <c r="E12" s="51">
        <v>0</v>
      </c>
      <c r="F12" s="51">
        <v>0</v>
      </c>
      <c r="G12" s="51">
        <v>0</v>
      </c>
      <c r="H12" s="51">
        <v>65092</v>
      </c>
      <c r="I12" s="51">
        <v>-65092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</row>
    <row r="13" spans="1:14" ht="15.75" x14ac:dyDescent="0.25">
      <c r="A13" s="49" t="s">
        <v>681</v>
      </c>
      <c r="B13" s="50" t="s">
        <v>51</v>
      </c>
      <c r="C13" s="51">
        <v>108534</v>
      </c>
      <c r="D13" s="51">
        <v>-922</v>
      </c>
      <c r="E13" s="51">
        <v>0</v>
      </c>
      <c r="F13" s="51">
        <v>0</v>
      </c>
      <c r="G13" s="51">
        <v>0</v>
      </c>
      <c r="H13" s="51">
        <v>107612</v>
      </c>
      <c r="I13" s="51">
        <v>-104977</v>
      </c>
      <c r="J13" s="51">
        <v>2635</v>
      </c>
      <c r="K13" s="51">
        <v>0</v>
      </c>
      <c r="L13" s="51">
        <v>0</v>
      </c>
      <c r="M13" s="51">
        <v>0</v>
      </c>
      <c r="N13" s="51">
        <v>2635</v>
      </c>
    </row>
    <row r="14" spans="1:14" ht="15.75" x14ac:dyDescent="0.25">
      <c r="A14" s="49" t="s">
        <v>681</v>
      </c>
      <c r="B14" s="50" t="s">
        <v>52</v>
      </c>
      <c r="C14" s="51">
        <v>88280</v>
      </c>
      <c r="D14" s="51">
        <v>-4857</v>
      </c>
      <c r="E14" s="51">
        <v>0</v>
      </c>
      <c r="F14" s="51">
        <v>0</v>
      </c>
      <c r="G14" s="51">
        <v>0</v>
      </c>
      <c r="H14" s="51">
        <v>83423</v>
      </c>
      <c r="I14" s="51">
        <v>-81632</v>
      </c>
      <c r="J14" s="51">
        <v>1791</v>
      </c>
      <c r="K14" s="51">
        <v>0</v>
      </c>
      <c r="L14" s="51">
        <v>0</v>
      </c>
      <c r="M14" s="51">
        <v>0</v>
      </c>
      <c r="N14" s="51">
        <v>1791</v>
      </c>
    </row>
    <row r="15" spans="1:14" ht="15.75" x14ac:dyDescent="0.25">
      <c r="A15" s="49" t="s">
        <v>681</v>
      </c>
      <c r="B15" s="50" t="s">
        <v>53</v>
      </c>
      <c r="C15" s="51">
        <v>53505</v>
      </c>
      <c r="D15" s="51">
        <v>-5186</v>
      </c>
      <c r="E15" s="51">
        <v>0</v>
      </c>
      <c r="F15" s="51">
        <v>0</v>
      </c>
      <c r="G15" s="51">
        <v>0</v>
      </c>
      <c r="H15" s="51">
        <v>48319</v>
      </c>
      <c r="I15" s="51">
        <v>-48319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</row>
    <row r="16" spans="1:14" ht="15.75" x14ac:dyDescent="0.25">
      <c r="A16" s="49" t="s">
        <v>681</v>
      </c>
      <c r="B16" s="50" t="s">
        <v>54</v>
      </c>
      <c r="C16" s="51">
        <v>49367</v>
      </c>
      <c r="D16" s="51">
        <v>-4806</v>
      </c>
      <c r="E16" s="51">
        <v>0</v>
      </c>
      <c r="F16" s="51">
        <v>0</v>
      </c>
      <c r="G16" s="51">
        <v>0</v>
      </c>
      <c r="H16" s="51">
        <v>44561</v>
      </c>
      <c r="I16" s="51">
        <v>-44561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</row>
    <row r="17" spans="1:14" ht="15.75" x14ac:dyDescent="0.25">
      <c r="A17" s="49" t="s">
        <v>681</v>
      </c>
      <c r="B17" s="50" t="s">
        <v>55</v>
      </c>
      <c r="C17" s="51">
        <v>49649</v>
      </c>
      <c r="D17" s="51">
        <v>-4826</v>
      </c>
      <c r="E17" s="51">
        <v>0</v>
      </c>
      <c r="F17" s="51">
        <v>0</v>
      </c>
      <c r="G17" s="51">
        <v>0</v>
      </c>
      <c r="H17" s="51">
        <v>44823</v>
      </c>
      <c r="I17" s="51">
        <v>-44823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</row>
    <row r="18" spans="1:14" ht="15.75" x14ac:dyDescent="0.25">
      <c r="A18" s="49" t="s">
        <v>681</v>
      </c>
      <c r="B18" s="50" t="s">
        <v>56</v>
      </c>
      <c r="C18" s="51">
        <v>53980</v>
      </c>
      <c r="D18" s="51">
        <v>-5240</v>
      </c>
      <c r="E18" s="51">
        <v>0</v>
      </c>
      <c r="F18" s="51">
        <v>0</v>
      </c>
      <c r="G18" s="51">
        <v>0</v>
      </c>
      <c r="H18" s="51">
        <v>48740</v>
      </c>
      <c r="I18" s="51">
        <v>-48740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</row>
    <row r="19" spans="1:14" ht="15.75" x14ac:dyDescent="0.25">
      <c r="A19" s="49" t="s">
        <v>681</v>
      </c>
      <c r="B19" s="50" t="s">
        <v>57</v>
      </c>
      <c r="C19" s="51">
        <v>50058</v>
      </c>
      <c r="D19" s="51">
        <v>-4943</v>
      </c>
      <c r="E19" s="51">
        <v>0</v>
      </c>
      <c r="F19" s="51">
        <v>0</v>
      </c>
      <c r="G19" s="51">
        <v>0</v>
      </c>
      <c r="H19" s="51">
        <v>45115</v>
      </c>
      <c r="I19" s="51">
        <v>-45115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</row>
    <row r="20" spans="1:14" ht="15.75" x14ac:dyDescent="0.25">
      <c r="A20" s="49" t="s">
        <v>681</v>
      </c>
      <c r="B20" s="50" t="s">
        <v>58</v>
      </c>
      <c r="C20" s="51">
        <v>15787</v>
      </c>
      <c r="D20" s="51">
        <v>-1404</v>
      </c>
      <c r="E20" s="51">
        <v>0</v>
      </c>
      <c r="F20" s="51">
        <v>0</v>
      </c>
      <c r="G20" s="51">
        <v>0</v>
      </c>
      <c r="H20" s="51">
        <v>14383</v>
      </c>
      <c r="I20" s="51">
        <v>-14383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</row>
    <row r="21" spans="1:14" ht="15.75" x14ac:dyDescent="0.25">
      <c r="A21" s="97" t="s">
        <v>646</v>
      </c>
      <c r="B21" s="98" t="s">
        <v>8</v>
      </c>
      <c r="C21" s="99">
        <f>SUBTOTAL(109,Program270[(C)
Program
Costs])</f>
        <v>650768</v>
      </c>
      <c r="D21" s="99">
        <f>SUBTOTAL(109,Program270[(D)
Prior Period Adjustments])</f>
        <v>-35315</v>
      </c>
      <c r="E21" s="99">
        <f>SUBTOTAL(109,Program270[(E)
Current Period Desk 
Reviews])</f>
        <v>0</v>
      </c>
      <c r="F21" s="99">
        <f>SUBTOTAL(109,Program270[(F)
Current Period 
Final 
Audits])</f>
        <v>0</v>
      </c>
      <c r="G21" s="99">
        <f>SUBTOTAL(109,Program270[(G)
Current Period 
Other Adjustments])</f>
        <v>0</v>
      </c>
      <c r="H21" s="99">
        <f>SUBTOTAL(109,Program270[(H)
Net Program Costs
Sum (C through G)])</f>
        <v>615453</v>
      </c>
      <c r="I21" s="99">
        <f>SUBTOTAL(109,Program270[(I)
Payments
 and Offsets])</f>
        <v>-611027</v>
      </c>
      <c r="J21" s="99">
        <f>SUBTOTAL(109,Program270[(J)
Accounts Payable Balance
(H + I)])</f>
        <v>4426</v>
      </c>
      <c r="K21" s="99">
        <f>SUBTOTAL(109,Program270[(K)
Established 
Accounts Receivable])</f>
        <v>0</v>
      </c>
      <c r="L21" s="99">
        <f>SUBTOTAL(109,Program270[(L)
Recovered
 Accounts Receivable])</f>
        <v>0</v>
      </c>
      <c r="M21" s="99">
        <f>SUBTOTAL(109,Program270[(M)
Accounts Receivable Balance
(K + L)])</f>
        <v>0</v>
      </c>
      <c r="N21" s="99">
        <f>SUBTOTAL(109,Program270[(N)
Net Balance
(J minus M)])</f>
        <v>4426</v>
      </c>
    </row>
    <row r="22" spans="1:14" ht="15.75" x14ac:dyDescent="0.25">
      <c r="A22" s="17" t="s">
        <v>13</v>
      </c>
      <c r="B22" s="54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ht="78.75" x14ac:dyDescent="0.25">
      <c r="A23" s="39" t="s">
        <v>32</v>
      </c>
      <c r="B23" s="40" t="s">
        <v>33</v>
      </c>
      <c r="C23" s="41" t="s">
        <v>34</v>
      </c>
      <c r="D23" s="41" t="s">
        <v>35</v>
      </c>
      <c r="E23" s="42" t="s">
        <v>36</v>
      </c>
      <c r="F23" s="42" t="s">
        <v>37</v>
      </c>
      <c r="G23" s="42" t="s">
        <v>38</v>
      </c>
      <c r="H23" s="43" t="s">
        <v>39</v>
      </c>
      <c r="I23" s="44" t="s">
        <v>40</v>
      </c>
      <c r="J23" s="44" t="s">
        <v>41</v>
      </c>
      <c r="K23" s="42" t="s">
        <v>42</v>
      </c>
      <c r="L23" s="44" t="s">
        <v>43</v>
      </c>
      <c r="M23" s="44" t="s">
        <v>44</v>
      </c>
      <c r="N23" s="45" t="s">
        <v>45</v>
      </c>
    </row>
    <row r="24" spans="1:14" ht="15.75" x14ac:dyDescent="0.25">
      <c r="A24" s="46" t="s">
        <v>680</v>
      </c>
      <c r="B24" s="47" t="s">
        <v>83</v>
      </c>
      <c r="C24" s="48">
        <v>14216</v>
      </c>
      <c r="D24" s="48">
        <v>-971</v>
      </c>
      <c r="E24" s="48">
        <v>0</v>
      </c>
      <c r="F24" s="48">
        <v>0</v>
      </c>
      <c r="G24" s="48">
        <v>0</v>
      </c>
      <c r="H24" s="48">
        <v>13245</v>
      </c>
      <c r="I24" s="48">
        <v>-13245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</row>
    <row r="25" spans="1:14" ht="15.75" x14ac:dyDescent="0.25">
      <c r="A25" s="49" t="s">
        <v>680</v>
      </c>
      <c r="B25" s="50" t="s">
        <v>48</v>
      </c>
      <c r="C25" s="51">
        <v>16592</v>
      </c>
      <c r="D25" s="51">
        <v>-444</v>
      </c>
      <c r="E25" s="51">
        <v>0</v>
      </c>
      <c r="F25" s="51">
        <v>0</v>
      </c>
      <c r="G25" s="51">
        <v>0</v>
      </c>
      <c r="H25" s="51">
        <v>16148</v>
      </c>
      <c r="I25" s="51">
        <v>-16148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</row>
    <row r="26" spans="1:14" ht="15.75" x14ac:dyDescent="0.25">
      <c r="A26" s="49" t="s">
        <v>680</v>
      </c>
      <c r="B26" s="50" t="s">
        <v>49</v>
      </c>
      <c r="C26" s="51">
        <v>21339</v>
      </c>
      <c r="D26" s="51">
        <v>-703</v>
      </c>
      <c r="E26" s="51">
        <v>0</v>
      </c>
      <c r="F26" s="51">
        <v>0</v>
      </c>
      <c r="G26" s="51">
        <v>0</v>
      </c>
      <c r="H26" s="51">
        <v>20636</v>
      </c>
      <c r="I26" s="51">
        <v>-20636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</row>
    <row r="27" spans="1:14" ht="15.75" x14ac:dyDescent="0.25">
      <c r="A27" s="49" t="s">
        <v>680</v>
      </c>
      <c r="B27" s="50" t="s">
        <v>50</v>
      </c>
      <c r="C27" s="51">
        <v>25762</v>
      </c>
      <c r="D27" s="51">
        <v>-2207</v>
      </c>
      <c r="E27" s="51">
        <v>0</v>
      </c>
      <c r="F27" s="51">
        <v>0</v>
      </c>
      <c r="G27" s="51">
        <v>0</v>
      </c>
      <c r="H27" s="51">
        <v>23555</v>
      </c>
      <c r="I27" s="51">
        <v>-21884</v>
      </c>
      <c r="J27" s="51">
        <v>1671</v>
      </c>
      <c r="K27" s="51">
        <v>0</v>
      </c>
      <c r="L27" s="51">
        <v>0</v>
      </c>
      <c r="M27" s="51">
        <v>0</v>
      </c>
      <c r="N27" s="51">
        <v>1671</v>
      </c>
    </row>
    <row r="28" spans="1:14" ht="15.75" x14ac:dyDescent="0.25">
      <c r="A28" s="49" t="s">
        <v>680</v>
      </c>
      <c r="B28" s="50" t="s">
        <v>51</v>
      </c>
      <c r="C28" s="51">
        <v>26063</v>
      </c>
      <c r="D28" s="51">
        <v>-2219</v>
      </c>
      <c r="E28" s="51">
        <v>0</v>
      </c>
      <c r="F28" s="51">
        <v>0</v>
      </c>
      <c r="G28" s="51">
        <v>0</v>
      </c>
      <c r="H28" s="51">
        <v>23844</v>
      </c>
      <c r="I28" s="51">
        <v>-22129</v>
      </c>
      <c r="J28" s="51">
        <v>1715</v>
      </c>
      <c r="K28" s="51">
        <v>0</v>
      </c>
      <c r="L28" s="51">
        <v>0</v>
      </c>
      <c r="M28" s="51">
        <v>0</v>
      </c>
      <c r="N28" s="51">
        <v>1715</v>
      </c>
    </row>
    <row r="29" spans="1:14" ht="15.75" x14ac:dyDescent="0.25">
      <c r="A29" s="49" t="s">
        <v>680</v>
      </c>
      <c r="B29" s="50" t="s">
        <v>52</v>
      </c>
      <c r="C29" s="51">
        <v>23638</v>
      </c>
      <c r="D29" s="51">
        <v>-2056</v>
      </c>
      <c r="E29" s="51">
        <v>0</v>
      </c>
      <c r="F29" s="51">
        <v>0</v>
      </c>
      <c r="G29" s="51">
        <v>0</v>
      </c>
      <c r="H29" s="51">
        <v>21582</v>
      </c>
      <c r="I29" s="51">
        <v>-19807</v>
      </c>
      <c r="J29" s="51">
        <v>1775</v>
      </c>
      <c r="K29" s="51">
        <v>0</v>
      </c>
      <c r="L29" s="51">
        <v>0</v>
      </c>
      <c r="M29" s="51">
        <v>0</v>
      </c>
      <c r="N29" s="51">
        <v>1775</v>
      </c>
    </row>
    <row r="30" spans="1:14" ht="15.75" x14ac:dyDescent="0.25">
      <c r="A30" s="49" t="s">
        <v>680</v>
      </c>
      <c r="B30" s="50" t="s">
        <v>53</v>
      </c>
      <c r="C30" s="51">
        <v>22542</v>
      </c>
      <c r="D30" s="51">
        <v>-1925</v>
      </c>
      <c r="E30" s="51">
        <v>0</v>
      </c>
      <c r="F30" s="51">
        <v>0</v>
      </c>
      <c r="G30" s="51">
        <v>0</v>
      </c>
      <c r="H30" s="51">
        <v>20617</v>
      </c>
      <c r="I30" s="51">
        <v>-20617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</row>
    <row r="31" spans="1:14" ht="15.75" x14ac:dyDescent="0.25">
      <c r="A31" s="49" t="s">
        <v>680</v>
      </c>
      <c r="B31" s="50" t="s">
        <v>54</v>
      </c>
      <c r="C31" s="51">
        <v>20072</v>
      </c>
      <c r="D31" s="51">
        <v>-1692</v>
      </c>
      <c r="E31" s="51">
        <v>0</v>
      </c>
      <c r="F31" s="51">
        <v>0</v>
      </c>
      <c r="G31" s="51">
        <v>0</v>
      </c>
      <c r="H31" s="51">
        <v>18380</v>
      </c>
      <c r="I31" s="51">
        <v>-18380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</row>
    <row r="32" spans="1:14" ht="15.75" x14ac:dyDescent="0.25">
      <c r="A32" s="49" t="s">
        <v>680</v>
      </c>
      <c r="B32" s="50" t="s">
        <v>55</v>
      </c>
      <c r="C32" s="51">
        <v>23783</v>
      </c>
      <c r="D32" s="51">
        <v>-1317</v>
      </c>
      <c r="E32" s="51">
        <v>0</v>
      </c>
      <c r="F32" s="51">
        <v>0</v>
      </c>
      <c r="G32" s="51">
        <v>0</v>
      </c>
      <c r="H32" s="51">
        <v>22466</v>
      </c>
      <c r="I32" s="51">
        <v>-22466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</row>
    <row r="33" spans="1:14" ht="15.75" x14ac:dyDescent="0.25">
      <c r="A33" s="49" t="s">
        <v>680</v>
      </c>
      <c r="B33" s="50" t="s">
        <v>56</v>
      </c>
      <c r="C33" s="51">
        <v>24018</v>
      </c>
      <c r="D33" s="51">
        <v>-1379</v>
      </c>
      <c r="E33" s="51">
        <v>0</v>
      </c>
      <c r="F33" s="51">
        <v>0</v>
      </c>
      <c r="G33" s="51">
        <v>0</v>
      </c>
      <c r="H33" s="51">
        <v>22639</v>
      </c>
      <c r="I33" s="51">
        <v>-22639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</row>
    <row r="34" spans="1:14" ht="15.75" x14ac:dyDescent="0.25">
      <c r="A34" s="49" t="s">
        <v>680</v>
      </c>
      <c r="B34" s="50" t="s">
        <v>57</v>
      </c>
      <c r="C34" s="51">
        <v>15033</v>
      </c>
      <c r="D34" s="51">
        <v>-665</v>
      </c>
      <c r="E34" s="51">
        <v>0</v>
      </c>
      <c r="F34" s="51">
        <v>0</v>
      </c>
      <c r="G34" s="51">
        <v>0</v>
      </c>
      <c r="H34" s="51">
        <v>14368</v>
      </c>
      <c r="I34" s="51">
        <v>-14368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</row>
    <row r="35" spans="1:14" ht="15.75" x14ac:dyDescent="0.25">
      <c r="A35" s="52" t="s">
        <v>645</v>
      </c>
      <c r="B35" s="53" t="s">
        <v>8</v>
      </c>
      <c r="C35" s="19">
        <f>SUBTOTAL(109,Program302[(C)
Program
Costs])</f>
        <v>233058</v>
      </c>
      <c r="D35" s="19">
        <f>SUBTOTAL(109,Program302[(D)
Prior Period Adjustments])</f>
        <v>-15578</v>
      </c>
      <c r="E35" s="19">
        <f>SUBTOTAL(109,Program302[(E)
Current Period Desk 
Reviews])</f>
        <v>0</v>
      </c>
      <c r="F35" s="19">
        <f>SUBTOTAL(109,Program302[(F)
Current Period 
Final 
Audits])</f>
        <v>0</v>
      </c>
      <c r="G35" s="19">
        <f>SUBTOTAL(109,Program302[(G)
Current Period 
Other Adjustments])</f>
        <v>0</v>
      </c>
      <c r="H35" s="19">
        <f>SUBTOTAL(109,Program302[(H)
Net Program Costs
Sum (C through G)])</f>
        <v>217480</v>
      </c>
      <c r="I35" s="19">
        <f>SUBTOTAL(109,Program302[(I)
Payments
 and Offsets])</f>
        <v>-212319</v>
      </c>
      <c r="J35" s="19">
        <f>SUBTOTAL(109,Program302[(J)
Accounts Payable Balance
(H + I)])</f>
        <v>5161</v>
      </c>
      <c r="K35" s="19">
        <f>SUBTOTAL(109,Program302[(K)
Established 
Accounts Receivable])</f>
        <v>0</v>
      </c>
      <c r="L35" s="19">
        <f>SUBTOTAL(109,Program302[(L)
Recovered
 Accounts Receivable])</f>
        <v>0</v>
      </c>
      <c r="M35" s="19">
        <f>SUBTOTAL(109,Program302[(M)
Accounts Receivable Balance
(K + L)])</f>
        <v>0</v>
      </c>
      <c r="N35" s="19">
        <f>SUBTOTAL(109,Program302[(N)
Net Balance
(J minus M)])</f>
        <v>5161</v>
      </c>
    </row>
    <row r="36" spans="1:14" ht="15.75" x14ac:dyDescent="0.25">
      <c r="A36" s="17" t="s">
        <v>13</v>
      </c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1:14" ht="78.75" x14ac:dyDescent="0.25">
      <c r="A37" s="39" t="s">
        <v>32</v>
      </c>
      <c r="B37" s="40" t="s">
        <v>33</v>
      </c>
      <c r="C37" s="41" t="s">
        <v>34</v>
      </c>
      <c r="D37" s="41" t="s">
        <v>35</v>
      </c>
      <c r="E37" s="42" t="s">
        <v>36</v>
      </c>
      <c r="F37" s="42" t="s">
        <v>37</v>
      </c>
      <c r="G37" s="42" t="s">
        <v>38</v>
      </c>
      <c r="H37" s="43" t="s">
        <v>39</v>
      </c>
      <c r="I37" s="44" t="s">
        <v>40</v>
      </c>
      <c r="J37" s="44" t="s">
        <v>41</v>
      </c>
      <c r="K37" s="42" t="s">
        <v>42</v>
      </c>
      <c r="L37" s="44" t="s">
        <v>43</v>
      </c>
      <c r="M37" s="44" t="s">
        <v>44</v>
      </c>
      <c r="N37" s="45" t="s">
        <v>45</v>
      </c>
    </row>
    <row r="38" spans="1:14" ht="15.75" x14ac:dyDescent="0.25">
      <c r="A38" s="46" t="s">
        <v>679</v>
      </c>
      <c r="B38" s="47" t="s">
        <v>81</v>
      </c>
      <c r="C38" s="48">
        <v>71187</v>
      </c>
      <c r="D38" s="48">
        <v>-3242</v>
      </c>
      <c r="E38" s="48">
        <v>0</v>
      </c>
      <c r="F38" s="48">
        <v>0</v>
      </c>
      <c r="G38" s="48">
        <v>0</v>
      </c>
      <c r="H38" s="48">
        <v>67945</v>
      </c>
      <c r="I38" s="48">
        <v>-67945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</row>
    <row r="39" spans="1:14" ht="15.75" x14ac:dyDescent="0.25">
      <c r="A39" s="49" t="s">
        <v>679</v>
      </c>
      <c r="B39" s="50" t="s">
        <v>82</v>
      </c>
      <c r="C39" s="51">
        <v>37109</v>
      </c>
      <c r="D39" s="51">
        <v>-3279</v>
      </c>
      <c r="E39" s="51">
        <v>0</v>
      </c>
      <c r="F39" s="51">
        <v>0</v>
      </c>
      <c r="G39" s="51">
        <v>0</v>
      </c>
      <c r="H39" s="51">
        <v>33830</v>
      </c>
      <c r="I39" s="51">
        <v>-33830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</row>
    <row r="40" spans="1:14" ht="15.75" x14ac:dyDescent="0.25">
      <c r="A40" s="49" t="s">
        <v>679</v>
      </c>
      <c r="B40" s="50" t="s">
        <v>83</v>
      </c>
      <c r="C40" s="51">
        <v>65572</v>
      </c>
      <c r="D40" s="51">
        <v>-4419</v>
      </c>
      <c r="E40" s="51">
        <v>0</v>
      </c>
      <c r="F40" s="51">
        <v>0</v>
      </c>
      <c r="G40" s="51">
        <v>0</v>
      </c>
      <c r="H40" s="51">
        <v>61153</v>
      </c>
      <c r="I40" s="51">
        <v>-61153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</row>
    <row r="41" spans="1:14" ht="15.75" x14ac:dyDescent="0.25">
      <c r="A41" s="49" t="s">
        <v>679</v>
      </c>
      <c r="B41" s="50" t="s">
        <v>48</v>
      </c>
      <c r="C41" s="51">
        <v>11498</v>
      </c>
      <c r="D41" s="51">
        <v>-1150</v>
      </c>
      <c r="E41" s="51">
        <v>0</v>
      </c>
      <c r="F41" s="51">
        <v>0</v>
      </c>
      <c r="G41" s="51">
        <v>0</v>
      </c>
      <c r="H41" s="51">
        <v>10348</v>
      </c>
      <c r="I41" s="51">
        <v>-10348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</row>
    <row r="42" spans="1:14" ht="15.75" x14ac:dyDescent="0.25">
      <c r="A42" s="49" t="s">
        <v>679</v>
      </c>
      <c r="B42" s="50" t="s">
        <v>51</v>
      </c>
      <c r="C42" s="51">
        <v>2382</v>
      </c>
      <c r="D42" s="51">
        <v>-238</v>
      </c>
      <c r="E42" s="51">
        <v>0</v>
      </c>
      <c r="F42" s="51">
        <v>0</v>
      </c>
      <c r="G42" s="51">
        <v>0</v>
      </c>
      <c r="H42" s="51">
        <v>2144</v>
      </c>
      <c r="I42" s="51">
        <v>-2144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</row>
    <row r="43" spans="1:14" ht="15.75" x14ac:dyDescent="0.25">
      <c r="A43" s="49" t="s">
        <v>679</v>
      </c>
      <c r="B43" s="50" t="s">
        <v>56</v>
      </c>
      <c r="C43" s="51">
        <v>3231</v>
      </c>
      <c r="D43" s="51">
        <v>-323</v>
      </c>
      <c r="E43" s="51">
        <v>0</v>
      </c>
      <c r="F43" s="51">
        <v>0</v>
      </c>
      <c r="G43" s="51">
        <v>0</v>
      </c>
      <c r="H43" s="51">
        <v>2908</v>
      </c>
      <c r="I43" s="51">
        <v>-2908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</row>
    <row r="44" spans="1:14" ht="15.75" x14ac:dyDescent="0.25">
      <c r="A44" s="52" t="s">
        <v>644</v>
      </c>
      <c r="B44" s="53" t="s">
        <v>8</v>
      </c>
      <c r="C44" s="19">
        <f>SUBTOTAL(109,Program355[(C)
Program
Costs])</f>
        <v>190979</v>
      </c>
      <c r="D44" s="19">
        <f>SUBTOTAL(109,Program355[(D)
Prior Period Adjustments])</f>
        <v>-12651</v>
      </c>
      <c r="E44" s="19">
        <f>SUBTOTAL(109,Program355[(E)
Current Period Desk 
Reviews])</f>
        <v>0</v>
      </c>
      <c r="F44" s="19">
        <f>SUBTOTAL(109,Program355[(F)
Current Period 
Final 
Audits])</f>
        <v>0</v>
      </c>
      <c r="G44" s="19">
        <f>SUBTOTAL(109,Program355[(G)
Current Period 
Other Adjustments])</f>
        <v>0</v>
      </c>
      <c r="H44" s="19">
        <f>SUBTOTAL(109,Program355[(H)
Net Program Costs
Sum (C through G)])</f>
        <v>178328</v>
      </c>
      <c r="I44" s="19">
        <f>SUBTOTAL(109,Program355[(I)
Payments
 and Offsets])</f>
        <v>-178328</v>
      </c>
      <c r="J44" s="19">
        <f>SUBTOTAL(109,Program355[(J)
Accounts Payable Balance
(H + I)])</f>
        <v>0</v>
      </c>
      <c r="K44" s="19">
        <f>SUBTOTAL(109,Program355[(K)
Established 
Accounts Receivable])</f>
        <v>0</v>
      </c>
      <c r="L44" s="19">
        <f>SUBTOTAL(109,Program355[(L)
Recovered
 Accounts Receivable])</f>
        <v>0</v>
      </c>
      <c r="M44" s="19">
        <f>SUBTOTAL(109,Program355[(M)
Accounts Receivable Balance
(K + L)])</f>
        <v>0</v>
      </c>
      <c r="N44" s="19">
        <f>SUBTOTAL(109,Program355[(N)
Net Balance
(J minus M)])</f>
        <v>0</v>
      </c>
    </row>
    <row r="45" spans="1:14" ht="15.75" x14ac:dyDescent="0.25">
      <c r="A45" s="17" t="s">
        <v>13</v>
      </c>
      <c r="B45" s="54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</row>
    <row r="46" spans="1:14" ht="78.75" x14ac:dyDescent="0.25">
      <c r="A46" s="39" t="s">
        <v>32</v>
      </c>
      <c r="B46" s="40" t="s">
        <v>33</v>
      </c>
      <c r="C46" s="41" t="s">
        <v>34</v>
      </c>
      <c r="D46" s="41" t="s">
        <v>35</v>
      </c>
      <c r="E46" s="42" t="s">
        <v>36</v>
      </c>
      <c r="F46" s="42" t="s">
        <v>37</v>
      </c>
      <c r="G46" s="42" t="s">
        <v>38</v>
      </c>
      <c r="H46" s="43" t="s">
        <v>39</v>
      </c>
      <c r="I46" s="44" t="s">
        <v>40</v>
      </c>
      <c r="J46" s="44" t="s">
        <v>41</v>
      </c>
      <c r="K46" s="42" t="s">
        <v>42</v>
      </c>
      <c r="L46" s="44" t="s">
        <v>43</v>
      </c>
      <c r="M46" s="44" t="s">
        <v>44</v>
      </c>
      <c r="N46" s="45" t="s">
        <v>45</v>
      </c>
    </row>
    <row r="47" spans="1:14" ht="30" x14ac:dyDescent="0.25">
      <c r="A47" s="67" t="s">
        <v>678</v>
      </c>
      <c r="B47" s="57" t="s">
        <v>83</v>
      </c>
      <c r="C47" s="58">
        <v>32039</v>
      </c>
      <c r="D47" s="58">
        <v>-1310</v>
      </c>
      <c r="E47" s="58">
        <v>0</v>
      </c>
      <c r="F47" s="58">
        <v>0</v>
      </c>
      <c r="G47" s="58">
        <v>0</v>
      </c>
      <c r="H47" s="58">
        <v>30729</v>
      </c>
      <c r="I47" s="58">
        <v>-30729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</row>
    <row r="48" spans="1:14" ht="30" x14ac:dyDescent="0.25">
      <c r="A48" s="68" t="s">
        <v>678</v>
      </c>
      <c r="B48" s="60" t="s">
        <v>48</v>
      </c>
      <c r="C48" s="61">
        <v>41326</v>
      </c>
      <c r="D48" s="61">
        <v>-476</v>
      </c>
      <c r="E48" s="61">
        <v>0</v>
      </c>
      <c r="F48" s="61">
        <v>0</v>
      </c>
      <c r="G48" s="61">
        <v>0</v>
      </c>
      <c r="H48" s="61">
        <v>40850</v>
      </c>
      <c r="I48" s="61">
        <v>-40850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</row>
    <row r="49" spans="1:14" ht="30" x14ac:dyDescent="0.25">
      <c r="A49" s="68" t="s">
        <v>678</v>
      </c>
      <c r="B49" s="60" t="s">
        <v>49</v>
      </c>
      <c r="C49" s="61">
        <v>26681</v>
      </c>
      <c r="D49" s="61">
        <v>0</v>
      </c>
      <c r="E49" s="61">
        <v>0</v>
      </c>
      <c r="F49" s="61">
        <v>0</v>
      </c>
      <c r="G49" s="61">
        <v>0</v>
      </c>
      <c r="H49" s="61">
        <v>26681</v>
      </c>
      <c r="I49" s="61">
        <v>-26681</v>
      </c>
      <c r="J49" s="61">
        <v>0</v>
      </c>
      <c r="K49" s="61">
        <v>0</v>
      </c>
      <c r="L49" s="61">
        <v>0</v>
      </c>
      <c r="M49" s="61">
        <v>0</v>
      </c>
      <c r="N49" s="61">
        <v>0</v>
      </c>
    </row>
    <row r="50" spans="1:14" ht="30" x14ac:dyDescent="0.25">
      <c r="A50" s="68" t="s">
        <v>678</v>
      </c>
      <c r="B50" s="60" t="s">
        <v>50</v>
      </c>
      <c r="C50" s="61">
        <v>115826</v>
      </c>
      <c r="D50" s="61">
        <v>0</v>
      </c>
      <c r="E50" s="61">
        <v>0</v>
      </c>
      <c r="F50" s="61">
        <v>0</v>
      </c>
      <c r="G50" s="61">
        <v>0</v>
      </c>
      <c r="H50" s="61">
        <v>115826</v>
      </c>
      <c r="I50" s="61">
        <v>-115826</v>
      </c>
      <c r="J50" s="61">
        <v>0</v>
      </c>
      <c r="K50" s="61">
        <v>0</v>
      </c>
      <c r="L50" s="61">
        <v>0</v>
      </c>
      <c r="M50" s="61">
        <v>0</v>
      </c>
      <c r="N50" s="61">
        <v>0</v>
      </c>
    </row>
    <row r="51" spans="1:14" ht="30" x14ac:dyDescent="0.25">
      <c r="A51" s="68" t="s">
        <v>678</v>
      </c>
      <c r="B51" s="60" t="s">
        <v>51</v>
      </c>
      <c r="C51" s="61">
        <v>66588</v>
      </c>
      <c r="D51" s="61">
        <v>-1084</v>
      </c>
      <c r="E51" s="61">
        <v>0</v>
      </c>
      <c r="F51" s="61">
        <v>0</v>
      </c>
      <c r="G51" s="61">
        <v>0</v>
      </c>
      <c r="H51" s="61">
        <v>65504</v>
      </c>
      <c r="I51" s="61">
        <v>-63745</v>
      </c>
      <c r="J51" s="61">
        <v>1759</v>
      </c>
      <c r="K51" s="61">
        <v>0</v>
      </c>
      <c r="L51" s="61">
        <v>0</v>
      </c>
      <c r="M51" s="61">
        <v>0</v>
      </c>
      <c r="N51" s="61">
        <v>1759</v>
      </c>
    </row>
    <row r="52" spans="1:14" ht="30" x14ac:dyDescent="0.25">
      <c r="A52" s="68" t="s">
        <v>678</v>
      </c>
      <c r="B52" s="60" t="s">
        <v>52</v>
      </c>
      <c r="C52" s="61">
        <v>58915</v>
      </c>
      <c r="D52" s="61">
        <v>-1018</v>
      </c>
      <c r="E52" s="61">
        <v>0</v>
      </c>
      <c r="F52" s="61">
        <v>0</v>
      </c>
      <c r="G52" s="61">
        <v>0</v>
      </c>
      <c r="H52" s="61">
        <v>57897</v>
      </c>
      <c r="I52" s="61">
        <v>-56416</v>
      </c>
      <c r="J52" s="61">
        <v>1481</v>
      </c>
      <c r="K52" s="61">
        <v>0</v>
      </c>
      <c r="L52" s="61">
        <v>0</v>
      </c>
      <c r="M52" s="61">
        <v>0</v>
      </c>
      <c r="N52" s="61">
        <v>1481</v>
      </c>
    </row>
    <row r="53" spans="1:14" ht="30" x14ac:dyDescent="0.25">
      <c r="A53" s="68" t="s">
        <v>678</v>
      </c>
      <c r="B53" s="60" t="s">
        <v>53</v>
      </c>
      <c r="C53" s="61">
        <v>56328</v>
      </c>
      <c r="D53" s="61">
        <v>-958</v>
      </c>
      <c r="E53" s="61">
        <v>0</v>
      </c>
      <c r="F53" s="61">
        <v>0</v>
      </c>
      <c r="G53" s="61">
        <v>0</v>
      </c>
      <c r="H53" s="61">
        <v>55370</v>
      </c>
      <c r="I53" s="61">
        <v>-55370</v>
      </c>
      <c r="J53" s="61">
        <v>0</v>
      </c>
      <c r="K53" s="61">
        <v>0</v>
      </c>
      <c r="L53" s="61">
        <v>0</v>
      </c>
      <c r="M53" s="61">
        <v>0</v>
      </c>
      <c r="N53" s="61">
        <v>0</v>
      </c>
    </row>
    <row r="54" spans="1:14" ht="30" x14ac:dyDescent="0.25">
      <c r="A54" s="68" t="s">
        <v>678</v>
      </c>
      <c r="B54" s="60" t="s">
        <v>54</v>
      </c>
      <c r="C54" s="61">
        <v>45632</v>
      </c>
      <c r="D54" s="61">
        <v>-806</v>
      </c>
      <c r="E54" s="61">
        <v>0</v>
      </c>
      <c r="F54" s="61">
        <v>0</v>
      </c>
      <c r="G54" s="61">
        <v>0</v>
      </c>
      <c r="H54" s="61">
        <v>44826</v>
      </c>
      <c r="I54" s="61">
        <v>-44826</v>
      </c>
      <c r="J54" s="61">
        <v>0</v>
      </c>
      <c r="K54" s="61">
        <v>0</v>
      </c>
      <c r="L54" s="61">
        <v>0</v>
      </c>
      <c r="M54" s="61">
        <v>0</v>
      </c>
      <c r="N54" s="61">
        <v>0</v>
      </c>
    </row>
    <row r="55" spans="1:14" ht="30" x14ac:dyDescent="0.25">
      <c r="A55" s="68" t="s">
        <v>678</v>
      </c>
      <c r="B55" s="60" t="s">
        <v>55</v>
      </c>
      <c r="C55" s="61">
        <v>42224</v>
      </c>
      <c r="D55" s="61">
        <v>-679</v>
      </c>
      <c r="E55" s="61">
        <v>0</v>
      </c>
      <c r="F55" s="61">
        <v>0</v>
      </c>
      <c r="G55" s="61">
        <v>0</v>
      </c>
      <c r="H55" s="61">
        <v>41545</v>
      </c>
      <c r="I55" s="61">
        <v>-41545</v>
      </c>
      <c r="J55" s="61">
        <v>0</v>
      </c>
      <c r="K55" s="61">
        <v>0</v>
      </c>
      <c r="L55" s="61">
        <v>0</v>
      </c>
      <c r="M55" s="61">
        <v>0</v>
      </c>
      <c r="N55" s="61">
        <v>0</v>
      </c>
    </row>
    <row r="56" spans="1:14" ht="30" x14ac:dyDescent="0.25">
      <c r="A56" s="68" t="s">
        <v>678</v>
      </c>
      <c r="B56" s="60" t="s">
        <v>56</v>
      </c>
      <c r="C56" s="61">
        <v>61337</v>
      </c>
      <c r="D56" s="61">
        <v>-1060</v>
      </c>
      <c r="E56" s="61">
        <v>0</v>
      </c>
      <c r="F56" s="61">
        <v>0</v>
      </c>
      <c r="G56" s="61">
        <v>0</v>
      </c>
      <c r="H56" s="61">
        <v>60277</v>
      </c>
      <c r="I56" s="61">
        <v>-60277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</row>
    <row r="57" spans="1:14" ht="30" x14ac:dyDescent="0.25">
      <c r="A57" s="68" t="s">
        <v>678</v>
      </c>
      <c r="B57" s="60" t="s">
        <v>57</v>
      </c>
      <c r="C57" s="61">
        <v>44506</v>
      </c>
      <c r="D57" s="61">
        <v>-1159</v>
      </c>
      <c r="E57" s="61">
        <v>0</v>
      </c>
      <c r="F57" s="61">
        <v>0</v>
      </c>
      <c r="G57" s="61">
        <v>0</v>
      </c>
      <c r="H57" s="61">
        <v>43347</v>
      </c>
      <c r="I57" s="61">
        <v>-43347</v>
      </c>
      <c r="J57" s="61">
        <v>0</v>
      </c>
      <c r="K57" s="61">
        <v>0</v>
      </c>
      <c r="L57" s="61">
        <v>0</v>
      </c>
      <c r="M57" s="61">
        <v>0</v>
      </c>
      <c r="N57" s="61">
        <v>0</v>
      </c>
    </row>
    <row r="58" spans="1:14" ht="15.75" x14ac:dyDescent="0.25">
      <c r="A58" s="52" t="s">
        <v>643</v>
      </c>
      <c r="B58" s="53" t="s">
        <v>8</v>
      </c>
      <c r="C58" s="19">
        <f>SUBTOTAL(109,Program287[(C)
Program
Costs])</f>
        <v>591402</v>
      </c>
      <c r="D58" s="19">
        <f>SUBTOTAL(109,Program287[(D)
Prior Period Adjustments])</f>
        <v>-8550</v>
      </c>
      <c r="E58" s="19">
        <f>SUBTOTAL(109,Program287[(E)
Current Period Desk 
Reviews])</f>
        <v>0</v>
      </c>
      <c r="F58" s="19">
        <f>SUBTOTAL(109,Program287[(F)
Current Period 
Final 
Audits])</f>
        <v>0</v>
      </c>
      <c r="G58" s="19">
        <f>SUBTOTAL(109,Program287[(G)
Current Period 
Other Adjustments])</f>
        <v>0</v>
      </c>
      <c r="H58" s="19">
        <f>SUBTOTAL(109,Program287[(H)
Net Program Costs
Sum (C through G)])</f>
        <v>582852</v>
      </c>
      <c r="I58" s="19">
        <f>SUBTOTAL(109,Program287[(I)
Payments
 and Offsets])</f>
        <v>-579612</v>
      </c>
      <c r="J58" s="19">
        <f>SUBTOTAL(109,Program287[(J)
Accounts Payable Balance
(H + I)])</f>
        <v>3240</v>
      </c>
      <c r="K58" s="19">
        <f>SUBTOTAL(109,Program287[(K)
Established 
Accounts Receivable])</f>
        <v>0</v>
      </c>
      <c r="L58" s="19">
        <f>SUBTOTAL(109,Program287[(L)
Recovered
 Accounts Receivable])</f>
        <v>0</v>
      </c>
      <c r="M58" s="19">
        <f>SUBTOTAL(109,Program287[(M)
Accounts Receivable Balance
(K + L)])</f>
        <v>0</v>
      </c>
      <c r="N58" s="19">
        <f>SUBTOTAL(109,Program287[(N)
Net Balance
(J minus M)])</f>
        <v>3240</v>
      </c>
    </row>
    <row r="59" spans="1:14" ht="15.75" x14ac:dyDescent="0.25">
      <c r="A59" s="17" t="s">
        <v>13</v>
      </c>
      <c r="B59" s="54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</row>
    <row r="60" spans="1:14" ht="78.75" x14ac:dyDescent="0.25">
      <c r="A60" s="39" t="s">
        <v>32</v>
      </c>
      <c r="B60" s="40" t="s">
        <v>33</v>
      </c>
      <c r="C60" s="41" t="s">
        <v>34</v>
      </c>
      <c r="D60" s="41" t="s">
        <v>35</v>
      </c>
      <c r="E60" s="42" t="s">
        <v>36</v>
      </c>
      <c r="F60" s="42" t="s">
        <v>37</v>
      </c>
      <c r="G60" s="42" t="s">
        <v>38</v>
      </c>
      <c r="H60" s="43" t="s">
        <v>39</v>
      </c>
      <c r="I60" s="44" t="s">
        <v>40</v>
      </c>
      <c r="J60" s="44" t="s">
        <v>41</v>
      </c>
      <c r="K60" s="42" t="s">
        <v>42</v>
      </c>
      <c r="L60" s="44" t="s">
        <v>43</v>
      </c>
      <c r="M60" s="44" t="s">
        <v>44</v>
      </c>
      <c r="N60" s="45" t="s">
        <v>45</v>
      </c>
    </row>
    <row r="61" spans="1:14" ht="30" x14ac:dyDescent="0.25">
      <c r="A61" s="67" t="s">
        <v>677</v>
      </c>
      <c r="B61" s="57" t="s">
        <v>80</v>
      </c>
      <c r="C61" s="58">
        <v>55538</v>
      </c>
      <c r="D61" s="58">
        <v>-817</v>
      </c>
      <c r="E61" s="58">
        <v>0</v>
      </c>
      <c r="F61" s="58">
        <v>0</v>
      </c>
      <c r="G61" s="58">
        <v>0</v>
      </c>
      <c r="H61" s="58">
        <v>54721</v>
      </c>
      <c r="I61" s="58">
        <v>-8356</v>
      </c>
      <c r="J61" s="58">
        <v>46365</v>
      </c>
      <c r="K61" s="58">
        <v>0</v>
      </c>
      <c r="L61" s="58">
        <v>0</v>
      </c>
      <c r="M61" s="58">
        <v>0</v>
      </c>
      <c r="N61" s="58">
        <v>46365</v>
      </c>
    </row>
    <row r="62" spans="1:14" ht="30" x14ac:dyDescent="0.25">
      <c r="A62" s="68" t="s">
        <v>677</v>
      </c>
      <c r="B62" s="60" t="s">
        <v>81</v>
      </c>
      <c r="C62" s="61">
        <v>499939</v>
      </c>
      <c r="D62" s="61">
        <v>-10998</v>
      </c>
      <c r="E62" s="61">
        <v>0</v>
      </c>
      <c r="F62" s="61">
        <v>0</v>
      </c>
      <c r="G62" s="61">
        <v>0</v>
      </c>
      <c r="H62" s="61">
        <v>488941</v>
      </c>
      <c r="I62" s="61">
        <v>-439154</v>
      </c>
      <c r="J62" s="61">
        <v>49787</v>
      </c>
      <c r="K62" s="61">
        <v>0</v>
      </c>
      <c r="L62" s="61">
        <v>0</v>
      </c>
      <c r="M62" s="61">
        <v>0</v>
      </c>
      <c r="N62" s="61">
        <v>49787</v>
      </c>
    </row>
    <row r="63" spans="1:14" ht="30" x14ac:dyDescent="0.25">
      <c r="A63" s="68" t="s">
        <v>677</v>
      </c>
      <c r="B63" s="60" t="s">
        <v>82</v>
      </c>
      <c r="C63" s="61">
        <v>389697</v>
      </c>
      <c r="D63" s="61">
        <v>-156544</v>
      </c>
      <c r="E63" s="61">
        <v>0</v>
      </c>
      <c r="F63" s="61">
        <v>0</v>
      </c>
      <c r="G63" s="61">
        <v>0</v>
      </c>
      <c r="H63" s="61">
        <v>233153</v>
      </c>
      <c r="I63" s="61">
        <v>-161629</v>
      </c>
      <c r="J63" s="61">
        <v>71524</v>
      </c>
      <c r="K63" s="61">
        <v>0</v>
      </c>
      <c r="L63" s="61">
        <v>0</v>
      </c>
      <c r="M63" s="61">
        <v>0</v>
      </c>
      <c r="N63" s="61">
        <v>71524</v>
      </c>
    </row>
    <row r="64" spans="1:14" ht="30" x14ac:dyDescent="0.25">
      <c r="A64" s="68" t="s">
        <v>677</v>
      </c>
      <c r="B64" s="60" t="s">
        <v>83</v>
      </c>
      <c r="C64" s="61">
        <v>3701922</v>
      </c>
      <c r="D64" s="61">
        <v>-57572</v>
      </c>
      <c r="E64" s="61">
        <v>0</v>
      </c>
      <c r="F64" s="61">
        <v>0</v>
      </c>
      <c r="G64" s="61">
        <v>0</v>
      </c>
      <c r="H64" s="61">
        <v>3644350</v>
      </c>
      <c r="I64" s="61">
        <v>-3444323</v>
      </c>
      <c r="J64" s="61">
        <v>200027</v>
      </c>
      <c r="K64" s="61">
        <v>0</v>
      </c>
      <c r="L64" s="61">
        <v>0</v>
      </c>
      <c r="M64" s="61">
        <v>0</v>
      </c>
      <c r="N64" s="61">
        <v>200027</v>
      </c>
    </row>
    <row r="65" spans="1:14" ht="30" x14ac:dyDescent="0.25">
      <c r="A65" s="68" t="s">
        <v>677</v>
      </c>
      <c r="B65" s="60" t="s">
        <v>48</v>
      </c>
      <c r="C65" s="61">
        <v>4306698</v>
      </c>
      <c r="D65" s="61">
        <v>-502459</v>
      </c>
      <c r="E65" s="61">
        <v>0</v>
      </c>
      <c r="F65" s="61">
        <v>0</v>
      </c>
      <c r="G65" s="61">
        <v>0</v>
      </c>
      <c r="H65" s="61">
        <v>3804239</v>
      </c>
      <c r="I65" s="61">
        <v>-3701869</v>
      </c>
      <c r="J65" s="61">
        <v>102370</v>
      </c>
      <c r="K65" s="61">
        <v>0</v>
      </c>
      <c r="L65" s="61">
        <v>0</v>
      </c>
      <c r="M65" s="61">
        <v>0</v>
      </c>
      <c r="N65" s="61">
        <v>102370</v>
      </c>
    </row>
    <row r="66" spans="1:14" ht="30" x14ac:dyDescent="0.25">
      <c r="A66" s="68" t="s">
        <v>677</v>
      </c>
      <c r="B66" s="60" t="s">
        <v>49</v>
      </c>
      <c r="C66" s="61">
        <v>5746296</v>
      </c>
      <c r="D66" s="61">
        <v>-1178490</v>
      </c>
      <c r="E66" s="61">
        <v>0</v>
      </c>
      <c r="F66" s="61">
        <v>0</v>
      </c>
      <c r="G66" s="61">
        <v>0</v>
      </c>
      <c r="H66" s="61">
        <v>4567806</v>
      </c>
      <c r="I66" s="61">
        <v>-4468686</v>
      </c>
      <c r="J66" s="61">
        <v>99120</v>
      </c>
      <c r="K66" s="61">
        <v>4602</v>
      </c>
      <c r="L66" s="61">
        <v>0</v>
      </c>
      <c r="M66" s="61">
        <v>4602</v>
      </c>
      <c r="N66" s="61">
        <v>94518</v>
      </c>
    </row>
    <row r="67" spans="1:14" ht="30" x14ac:dyDescent="0.25">
      <c r="A67" s="68" t="s">
        <v>677</v>
      </c>
      <c r="B67" s="60" t="s">
        <v>50</v>
      </c>
      <c r="C67" s="61">
        <v>5478620</v>
      </c>
      <c r="D67" s="61">
        <v>-635387</v>
      </c>
      <c r="E67" s="61">
        <v>0</v>
      </c>
      <c r="F67" s="61">
        <v>0</v>
      </c>
      <c r="G67" s="61">
        <v>0</v>
      </c>
      <c r="H67" s="61">
        <v>4843233</v>
      </c>
      <c r="I67" s="61">
        <v>-4708029</v>
      </c>
      <c r="J67" s="61">
        <v>135204</v>
      </c>
      <c r="K67" s="61">
        <v>0</v>
      </c>
      <c r="L67" s="61">
        <v>0</v>
      </c>
      <c r="M67" s="61">
        <v>0</v>
      </c>
      <c r="N67" s="61">
        <v>135204</v>
      </c>
    </row>
    <row r="68" spans="1:14" ht="30" x14ac:dyDescent="0.25">
      <c r="A68" s="68" t="s">
        <v>677</v>
      </c>
      <c r="B68" s="60" t="s">
        <v>51</v>
      </c>
      <c r="C68" s="61">
        <v>6523744</v>
      </c>
      <c r="D68" s="61">
        <v>-958997</v>
      </c>
      <c r="E68" s="61">
        <v>0</v>
      </c>
      <c r="F68" s="61">
        <v>0</v>
      </c>
      <c r="G68" s="61">
        <v>0</v>
      </c>
      <c r="H68" s="61">
        <v>5564747</v>
      </c>
      <c r="I68" s="61">
        <v>-5411087</v>
      </c>
      <c r="J68" s="61">
        <v>153660</v>
      </c>
      <c r="K68" s="61">
        <v>87483</v>
      </c>
      <c r="L68" s="61">
        <v>-87483</v>
      </c>
      <c r="M68" s="61">
        <v>0</v>
      </c>
      <c r="N68" s="61">
        <v>153660</v>
      </c>
    </row>
    <row r="69" spans="1:14" ht="30" x14ac:dyDescent="0.25">
      <c r="A69" s="68" t="s">
        <v>677</v>
      </c>
      <c r="B69" s="60" t="s">
        <v>52</v>
      </c>
      <c r="C69" s="61">
        <v>6306735</v>
      </c>
      <c r="D69" s="61">
        <v>-642433</v>
      </c>
      <c r="E69" s="61">
        <v>0</v>
      </c>
      <c r="F69" s="61">
        <v>0</v>
      </c>
      <c r="G69" s="61">
        <v>0</v>
      </c>
      <c r="H69" s="61">
        <v>5664302</v>
      </c>
      <c r="I69" s="61">
        <v>-5664302</v>
      </c>
      <c r="J69" s="61">
        <v>0</v>
      </c>
      <c r="K69" s="61">
        <v>36197</v>
      </c>
      <c r="L69" s="61">
        <v>-36197</v>
      </c>
      <c r="M69" s="61">
        <v>0</v>
      </c>
      <c r="N69" s="61">
        <v>0</v>
      </c>
    </row>
    <row r="70" spans="1:14" ht="30" x14ac:dyDescent="0.25">
      <c r="A70" s="68" t="s">
        <v>677</v>
      </c>
      <c r="B70" s="60" t="s">
        <v>53</v>
      </c>
      <c r="C70" s="61">
        <v>6212694</v>
      </c>
      <c r="D70" s="61">
        <v>-1264113</v>
      </c>
      <c r="E70" s="61">
        <v>0</v>
      </c>
      <c r="F70" s="61">
        <v>0</v>
      </c>
      <c r="G70" s="61">
        <v>0</v>
      </c>
      <c r="H70" s="61">
        <v>4948581</v>
      </c>
      <c r="I70" s="61">
        <v>-4948581</v>
      </c>
      <c r="J70" s="61">
        <v>0</v>
      </c>
      <c r="K70" s="61">
        <v>10557</v>
      </c>
      <c r="L70" s="61">
        <v>-10557</v>
      </c>
      <c r="M70" s="61">
        <v>0</v>
      </c>
      <c r="N70" s="61">
        <v>0</v>
      </c>
    </row>
    <row r="71" spans="1:14" ht="30" x14ac:dyDescent="0.25">
      <c r="A71" s="68" t="s">
        <v>677</v>
      </c>
      <c r="B71" s="60" t="s">
        <v>54</v>
      </c>
      <c r="C71" s="61">
        <v>7806456</v>
      </c>
      <c r="D71" s="61">
        <v>-529197</v>
      </c>
      <c r="E71" s="61">
        <v>0</v>
      </c>
      <c r="F71" s="61">
        <v>0</v>
      </c>
      <c r="G71" s="61">
        <v>0</v>
      </c>
      <c r="H71" s="61">
        <v>7277259</v>
      </c>
      <c r="I71" s="61">
        <v>-7277259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</row>
    <row r="72" spans="1:14" ht="30" x14ac:dyDescent="0.25">
      <c r="A72" s="68" t="s">
        <v>677</v>
      </c>
      <c r="B72" s="60" t="s">
        <v>55</v>
      </c>
      <c r="C72" s="61">
        <v>8081212</v>
      </c>
      <c r="D72" s="61">
        <v>-609955</v>
      </c>
      <c r="E72" s="61">
        <v>0</v>
      </c>
      <c r="F72" s="61">
        <v>0</v>
      </c>
      <c r="G72" s="61">
        <v>0</v>
      </c>
      <c r="H72" s="61">
        <v>7471257</v>
      </c>
      <c r="I72" s="61">
        <v>-7471257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</row>
    <row r="73" spans="1:14" ht="30" x14ac:dyDescent="0.25">
      <c r="A73" s="68" t="s">
        <v>677</v>
      </c>
      <c r="B73" s="60" t="s">
        <v>56</v>
      </c>
      <c r="C73" s="61">
        <v>8297802</v>
      </c>
      <c r="D73" s="61">
        <v>-456633</v>
      </c>
      <c r="E73" s="61">
        <v>0</v>
      </c>
      <c r="F73" s="61">
        <v>0</v>
      </c>
      <c r="G73" s="61">
        <v>0</v>
      </c>
      <c r="H73" s="61">
        <v>7841169</v>
      </c>
      <c r="I73" s="61">
        <v>-7841169</v>
      </c>
      <c r="J73" s="61">
        <v>0</v>
      </c>
      <c r="K73" s="61">
        <v>595489</v>
      </c>
      <c r="L73" s="61">
        <v>-371172</v>
      </c>
      <c r="M73" s="61">
        <v>224317</v>
      </c>
      <c r="N73" s="61">
        <v>-224317</v>
      </c>
    </row>
    <row r="74" spans="1:14" ht="30" x14ac:dyDescent="0.25">
      <c r="A74" s="68" t="s">
        <v>677</v>
      </c>
      <c r="B74" s="60" t="s">
        <v>57</v>
      </c>
      <c r="C74" s="61">
        <v>9289780</v>
      </c>
      <c r="D74" s="61">
        <v>-178225</v>
      </c>
      <c r="E74" s="61">
        <v>0</v>
      </c>
      <c r="F74" s="61">
        <v>0</v>
      </c>
      <c r="G74" s="61">
        <v>0</v>
      </c>
      <c r="H74" s="61">
        <v>9111555</v>
      </c>
      <c r="I74" s="61">
        <v>-9111555</v>
      </c>
      <c r="J74" s="61">
        <v>0</v>
      </c>
      <c r="K74" s="61">
        <v>974170</v>
      </c>
      <c r="L74" s="61">
        <v>-940305</v>
      </c>
      <c r="M74" s="61">
        <v>33865</v>
      </c>
      <c r="N74" s="61">
        <v>-33865</v>
      </c>
    </row>
    <row r="75" spans="1:14" ht="30" x14ac:dyDescent="0.25">
      <c r="A75" s="68" t="s">
        <v>677</v>
      </c>
      <c r="B75" s="60" t="s">
        <v>58</v>
      </c>
      <c r="C75" s="61">
        <v>8631354</v>
      </c>
      <c r="D75" s="61">
        <v>-242680</v>
      </c>
      <c r="E75" s="61">
        <v>0</v>
      </c>
      <c r="F75" s="61">
        <v>0</v>
      </c>
      <c r="G75" s="61">
        <v>0</v>
      </c>
      <c r="H75" s="61">
        <v>8388674</v>
      </c>
      <c r="I75" s="61">
        <v>-8388674</v>
      </c>
      <c r="J75" s="61">
        <v>0</v>
      </c>
      <c r="K75" s="61">
        <v>381699</v>
      </c>
      <c r="L75" s="61">
        <v>-381699</v>
      </c>
      <c r="M75" s="61">
        <v>0</v>
      </c>
      <c r="N75" s="61">
        <v>0</v>
      </c>
    </row>
    <row r="76" spans="1:14" ht="30" x14ac:dyDescent="0.25">
      <c r="A76" s="68" t="s">
        <v>677</v>
      </c>
      <c r="B76" s="60" t="s">
        <v>59</v>
      </c>
      <c r="C76" s="61">
        <v>8033652</v>
      </c>
      <c r="D76" s="61">
        <v>-65339</v>
      </c>
      <c r="E76" s="61">
        <v>0</v>
      </c>
      <c r="F76" s="61">
        <v>0</v>
      </c>
      <c r="G76" s="61">
        <v>0</v>
      </c>
      <c r="H76" s="61">
        <v>7968313</v>
      </c>
      <c r="I76" s="61">
        <v>-7968313</v>
      </c>
      <c r="J76" s="61">
        <v>0</v>
      </c>
      <c r="K76" s="61">
        <v>380799</v>
      </c>
      <c r="L76" s="61">
        <v>-380799</v>
      </c>
      <c r="M76" s="61">
        <v>0</v>
      </c>
      <c r="N76" s="61">
        <v>0</v>
      </c>
    </row>
    <row r="77" spans="1:14" ht="30" x14ac:dyDescent="0.25">
      <c r="A77" s="68" t="s">
        <v>677</v>
      </c>
      <c r="B77" s="60" t="s">
        <v>60</v>
      </c>
      <c r="C77" s="61">
        <v>1392741</v>
      </c>
      <c r="D77" s="61">
        <v>-63495</v>
      </c>
      <c r="E77" s="61">
        <v>0</v>
      </c>
      <c r="F77" s="61">
        <v>0</v>
      </c>
      <c r="G77" s="61">
        <v>0</v>
      </c>
      <c r="H77" s="61">
        <v>1329246</v>
      </c>
      <c r="I77" s="61">
        <v>-1329246</v>
      </c>
      <c r="J77" s="61">
        <v>0</v>
      </c>
      <c r="K77" s="61">
        <v>63495</v>
      </c>
      <c r="L77" s="61">
        <v>-63495</v>
      </c>
      <c r="M77" s="61">
        <v>0</v>
      </c>
      <c r="N77" s="61">
        <v>0</v>
      </c>
    </row>
    <row r="78" spans="1:14" ht="30" x14ac:dyDescent="0.25">
      <c r="A78" s="68" t="s">
        <v>677</v>
      </c>
      <c r="B78" s="60" t="s">
        <v>61</v>
      </c>
      <c r="C78" s="61">
        <v>2133308</v>
      </c>
      <c r="D78" s="61">
        <v>-680391</v>
      </c>
      <c r="E78" s="61">
        <v>0</v>
      </c>
      <c r="F78" s="61">
        <v>0</v>
      </c>
      <c r="G78" s="61">
        <v>0</v>
      </c>
      <c r="H78" s="61">
        <v>1452917</v>
      </c>
      <c r="I78" s="61">
        <v>-1452917</v>
      </c>
      <c r="J78" s="61">
        <v>0</v>
      </c>
      <c r="K78" s="61">
        <v>550342</v>
      </c>
      <c r="L78" s="61">
        <v>-550342</v>
      </c>
      <c r="M78" s="61">
        <v>0</v>
      </c>
      <c r="N78" s="61">
        <v>0</v>
      </c>
    </row>
    <row r="79" spans="1:14" ht="30" x14ac:dyDescent="0.25">
      <c r="A79" s="68" t="s">
        <v>677</v>
      </c>
      <c r="B79" s="60" t="s">
        <v>62</v>
      </c>
      <c r="C79" s="61">
        <v>539049</v>
      </c>
      <c r="D79" s="61">
        <v>-347737</v>
      </c>
      <c r="E79" s="61">
        <v>0</v>
      </c>
      <c r="F79" s="61">
        <v>0</v>
      </c>
      <c r="G79" s="61">
        <v>0</v>
      </c>
      <c r="H79" s="61">
        <v>191312</v>
      </c>
      <c r="I79" s="61">
        <v>-191312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</row>
    <row r="80" spans="1:14" ht="30" x14ac:dyDescent="0.25">
      <c r="A80" s="68" t="s">
        <v>677</v>
      </c>
      <c r="B80" s="60" t="s">
        <v>63</v>
      </c>
      <c r="C80" s="61">
        <v>1372430</v>
      </c>
      <c r="D80" s="61">
        <v>-200414</v>
      </c>
      <c r="E80" s="61">
        <v>0</v>
      </c>
      <c r="F80" s="61">
        <v>0</v>
      </c>
      <c r="G80" s="61">
        <v>0</v>
      </c>
      <c r="H80" s="61">
        <v>1172016</v>
      </c>
      <c r="I80" s="61">
        <v>-1172016</v>
      </c>
      <c r="J80" s="61">
        <v>0</v>
      </c>
      <c r="K80" s="61">
        <v>6719</v>
      </c>
      <c r="L80" s="61">
        <v>-6719</v>
      </c>
      <c r="M80" s="61">
        <v>0</v>
      </c>
      <c r="N80" s="61">
        <v>0</v>
      </c>
    </row>
    <row r="81" spans="1:14" ht="30" x14ac:dyDescent="0.25">
      <c r="A81" s="68" t="s">
        <v>677</v>
      </c>
      <c r="B81" s="60" t="s">
        <v>64</v>
      </c>
      <c r="C81" s="61">
        <v>4447317</v>
      </c>
      <c r="D81" s="61">
        <v>0</v>
      </c>
      <c r="E81" s="61">
        <v>0</v>
      </c>
      <c r="F81" s="61">
        <v>0</v>
      </c>
      <c r="G81" s="61">
        <v>0</v>
      </c>
      <c r="H81" s="61">
        <v>4447317</v>
      </c>
      <c r="I81" s="61">
        <v>-4447317</v>
      </c>
      <c r="J81" s="61">
        <v>0</v>
      </c>
      <c r="K81" s="61">
        <v>282560</v>
      </c>
      <c r="L81" s="61">
        <v>-282560</v>
      </c>
      <c r="M81" s="61">
        <v>0</v>
      </c>
      <c r="N81" s="61">
        <v>0</v>
      </c>
    </row>
    <row r="82" spans="1:14" ht="15.75" x14ac:dyDescent="0.25">
      <c r="A82" s="52" t="s">
        <v>642</v>
      </c>
      <c r="B82" s="53" t="s">
        <v>8</v>
      </c>
      <c r="C82" s="19">
        <f>SUBTOTAL(109,Program232[(C)
Program
Costs])</f>
        <v>99246984</v>
      </c>
      <c r="D82" s="19">
        <f>SUBTOTAL(109,Program232[(D)
Prior Period Adjustments])</f>
        <v>-8781876</v>
      </c>
      <c r="E82" s="19">
        <f>SUBTOTAL(109,Program232[(E)
Current Period Desk 
Reviews])</f>
        <v>0</v>
      </c>
      <c r="F82" s="19">
        <f>SUBTOTAL(109,Program232[(F)
Current Period 
Final 
Audits])</f>
        <v>0</v>
      </c>
      <c r="G82" s="19">
        <f>SUBTOTAL(109,Program232[(G)
Current Period 
Other Adjustments])</f>
        <v>0</v>
      </c>
      <c r="H82" s="19">
        <f>SUBTOTAL(109,Program232[(H)
Net Program Costs
Sum (C through G)])</f>
        <v>90465108</v>
      </c>
      <c r="I82" s="19">
        <f>SUBTOTAL(109,Program232[(I)
Payments
 and Offsets])</f>
        <v>-89607051</v>
      </c>
      <c r="J82" s="19">
        <f>SUBTOTAL(109,Program232[(J)
Accounts Payable Balance
(H + I)])</f>
        <v>858057</v>
      </c>
      <c r="K82" s="19">
        <f>SUBTOTAL(109,Program232[(K)
Established 
Accounts Receivable])</f>
        <v>3374112</v>
      </c>
      <c r="L82" s="19">
        <f>SUBTOTAL(109,Program232[(L)
Recovered
 Accounts Receivable])</f>
        <v>-3111328</v>
      </c>
      <c r="M82" s="19">
        <f>SUBTOTAL(109,Program232[(M)
Accounts Receivable Balance
(K + L)])</f>
        <v>262784</v>
      </c>
      <c r="N82" s="19">
        <f>SUBTOTAL(109,Program232[(N)
Net Balance
(J minus M)])</f>
        <v>595273</v>
      </c>
    </row>
    <row r="83" spans="1:14" ht="15.75" x14ac:dyDescent="0.25">
      <c r="A83" s="17" t="s">
        <v>13</v>
      </c>
      <c r="B83" s="54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</row>
    <row r="84" spans="1:14" ht="78.75" x14ac:dyDescent="0.25">
      <c r="A84" s="39" t="s">
        <v>32</v>
      </c>
      <c r="B84" s="40" t="s">
        <v>33</v>
      </c>
      <c r="C84" s="41" t="s">
        <v>34</v>
      </c>
      <c r="D84" s="41" t="s">
        <v>35</v>
      </c>
      <c r="E84" s="42" t="s">
        <v>36</v>
      </c>
      <c r="F84" s="42" t="s">
        <v>37</v>
      </c>
      <c r="G84" s="42" t="s">
        <v>38</v>
      </c>
      <c r="H84" s="43" t="s">
        <v>39</v>
      </c>
      <c r="I84" s="44" t="s">
        <v>40</v>
      </c>
      <c r="J84" s="44" t="s">
        <v>41</v>
      </c>
      <c r="K84" s="42" t="s">
        <v>42</v>
      </c>
      <c r="L84" s="44" t="s">
        <v>43</v>
      </c>
      <c r="M84" s="44" t="s">
        <v>44</v>
      </c>
      <c r="N84" s="45" t="s">
        <v>45</v>
      </c>
    </row>
    <row r="85" spans="1:14" ht="15.75" x14ac:dyDescent="0.25">
      <c r="A85" s="46" t="s">
        <v>676</v>
      </c>
      <c r="B85" s="47" t="s">
        <v>83</v>
      </c>
      <c r="C85" s="48">
        <v>147278</v>
      </c>
      <c r="D85" s="48">
        <v>-5308</v>
      </c>
      <c r="E85" s="48">
        <v>0</v>
      </c>
      <c r="F85" s="48">
        <v>0</v>
      </c>
      <c r="G85" s="48">
        <v>0</v>
      </c>
      <c r="H85" s="48">
        <v>141970</v>
      </c>
      <c r="I85" s="48">
        <v>-86745</v>
      </c>
      <c r="J85" s="48">
        <v>55225</v>
      </c>
      <c r="K85" s="48">
        <v>0</v>
      </c>
      <c r="L85" s="48">
        <v>0</v>
      </c>
      <c r="M85" s="48">
        <v>0</v>
      </c>
      <c r="N85" s="48">
        <v>55225</v>
      </c>
    </row>
    <row r="86" spans="1:14" ht="15.75" x14ac:dyDescent="0.25">
      <c r="A86" s="49" t="s">
        <v>676</v>
      </c>
      <c r="B86" s="50" t="s">
        <v>48</v>
      </c>
      <c r="C86" s="51">
        <v>84270</v>
      </c>
      <c r="D86" s="51">
        <v>-4572</v>
      </c>
      <c r="E86" s="51">
        <v>0</v>
      </c>
      <c r="F86" s="51">
        <v>0</v>
      </c>
      <c r="G86" s="51">
        <v>0</v>
      </c>
      <c r="H86" s="51">
        <v>79698</v>
      </c>
      <c r="I86" s="51">
        <v>-79698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</row>
    <row r="87" spans="1:14" ht="15.75" x14ac:dyDescent="0.25">
      <c r="A87" s="49" t="s">
        <v>676</v>
      </c>
      <c r="B87" s="50" t="s">
        <v>49</v>
      </c>
      <c r="C87" s="51">
        <v>84907</v>
      </c>
      <c r="D87" s="51">
        <v>-4919</v>
      </c>
      <c r="E87" s="51">
        <v>0</v>
      </c>
      <c r="F87" s="51">
        <v>0</v>
      </c>
      <c r="G87" s="51">
        <v>0</v>
      </c>
      <c r="H87" s="51">
        <v>79988</v>
      </c>
      <c r="I87" s="51">
        <v>-79988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</row>
    <row r="88" spans="1:14" ht="15.75" x14ac:dyDescent="0.25">
      <c r="A88" s="49" t="s">
        <v>676</v>
      </c>
      <c r="B88" s="50" t="s">
        <v>50</v>
      </c>
      <c r="C88" s="51">
        <v>95999</v>
      </c>
      <c r="D88" s="51">
        <v>-6191</v>
      </c>
      <c r="E88" s="51">
        <v>0</v>
      </c>
      <c r="F88" s="51">
        <v>0</v>
      </c>
      <c r="G88" s="51">
        <v>0</v>
      </c>
      <c r="H88" s="51">
        <v>89808</v>
      </c>
      <c r="I88" s="51">
        <v>-89808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</row>
    <row r="89" spans="1:14" ht="15.75" x14ac:dyDescent="0.25">
      <c r="A89" s="49" t="s">
        <v>676</v>
      </c>
      <c r="B89" s="50" t="s">
        <v>51</v>
      </c>
      <c r="C89" s="51">
        <v>103604</v>
      </c>
      <c r="D89" s="51">
        <v>-7869</v>
      </c>
      <c r="E89" s="51">
        <v>0</v>
      </c>
      <c r="F89" s="51">
        <v>0</v>
      </c>
      <c r="G89" s="51">
        <v>0</v>
      </c>
      <c r="H89" s="51">
        <v>95735</v>
      </c>
      <c r="I89" s="51">
        <v>-95735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</row>
    <row r="90" spans="1:14" ht="15.75" x14ac:dyDescent="0.25">
      <c r="A90" s="49" t="s">
        <v>676</v>
      </c>
      <c r="B90" s="50" t="s">
        <v>52</v>
      </c>
      <c r="C90" s="51">
        <v>47673</v>
      </c>
      <c r="D90" s="51">
        <v>-2388</v>
      </c>
      <c r="E90" s="51">
        <v>0</v>
      </c>
      <c r="F90" s="51">
        <v>0</v>
      </c>
      <c r="G90" s="51">
        <v>0</v>
      </c>
      <c r="H90" s="51">
        <v>45285</v>
      </c>
      <c r="I90" s="51">
        <v>-45285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</row>
    <row r="91" spans="1:14" ht="15.75" x14ac:dyDescent="0.25">
      <c r="A91" s="49" t="s">
        <v>676</v>
      </c>
      <c r="B91" s="50" t="s">
        <v>53</v>
      </c>
      <c r="C91" s="51">
        <v>20425</v>
      </c>
      <c r="D91" s="51">
        <v>-354</v>
      </c>
      <c r="E91" s="51">
        <v>0</v>
      </c>
      <c r="F91" s="51">
        <v>0</v>
      </c>
      <c r="G91" s="51">
        <v>0</v>
      </c>
      <c r="H91" s="51">
        <v>20071</v>
      </c>
      <c r="I91" s="51">
        <v>-20071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</row>
    <row r="92" spans="1:14" ht="15.75" x14ac:dyDescent="0.25">
      <c r="A92" s="49" t="s">
        <v>676</v>
      </c>
      <c r="B92" s="50" t="s">
        <v>54</v>
      </c>
      <c r="C92" s="51">
        <v>16835</v>
      </c>
      <c r="D92" s="51">
        <v>-878</v>
      </c>
      <c r="E92" s="51">
        <v>0</v>
      </c>
      <c r="F92" s="51">
        <v>0</v>
      </c>
      <c r="G92" s="51">
        <v>0</v>
      </c>
      <c r="H92" s="51">
        <v>15957</v>
      </c>
      <c r="I92" s="51">
        <v>-15957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</row>
    <row r="93" spans="1:14" ht="15.75" x14ac:dyDescent="0.25">
      <c r="A93" s="49" t="s">
        <v>676</v>
      </c>
      <c r="B93" s="50" t="s">
        <v>55</v>
      </c>
      <c r="C93" s="51">
        <v>16653</v>
      </c>
      <c r="D93" s="51">
        <v>-870</v>
      </c>
      <c r="E93" s="51">
        <v>0</v>
      </c>
      <c r="F93" s="51">
        <v>0</v>
      </c>
      <c r="G93" s="51">
        <v>0</v>
      </c>
      <c r="H93" s="51">
        <v>15783</v>
      </c>
      <c r="I93" s="51">
        <v>-15783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</row>
    <row r="94" spans="1:14" ht="15.75" x14ac:dyDescent="0.25">
      <c r="A94" s="49" t="s">
        <v>676</v>
      </c>
      <c r="B94" s="50" t="s">
        <v>56</v>
      </c>
      <c r="C94" s="51">
        <v>17334</v>
      </c>
      <c r="D94" s="51">
        <v>-809</v>
      </c>
      <c r="E94" s="51">
        <v>0</v>
      </c>
      <c r="F94" s="51">
        <v>0</v>
      </c>
      <c r="G94" s="51">
        <v>0</v>
      </c>
      <c r="H94" s="51">
        <v>16525</v>
      </c>
      <c r="I94" s="51">
        <v>-16525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</row>
    <row r="95" spans="1:14" ht="15.75" x14ac:dyDescent="0.25">
      <c r="A95" s="49" t="s">
        <v>676</v>
      </c>
      <c r="B95" s="50" t="s">
        <v>57</v>
      </c>
      <c r="C95" s="51">
        <v>17134</v>
      </c>
      <c r="D95" s="51">
        <v>-661</v>
      </c>
      <c r="E95" s="51">
        <v>0</v>
      </c>
      <c r="F95" s="51">
        <v>0</v>
      </c>
      <c r="G95" s="51">
        <v>0</v>
      </c>
      <c r="H95" s="51">
        <v>16473</v>
      </c>
      <c r="I95" s="51">
        <v>-16473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</row>
    <row r="96" spans="1:14" ht="15.75" x14ac:dyDescent="0.25">
      <c r="A96" s="52" t="s">
        <v>641</v>
      </c>
      <c r="B96" s="53" t="s">
        <v>8</v>
      </c>
      <c r="C96" s="19">
        <f>SUBTOTAL(109,Program332[(C)
Program
Costs])</f>
        <v>652112</v>
      </c>
      <c r="D96" s="19">
        <f>SUBTOTAL(109,Program332[(D)
Prior Period Adjustments])</f>
        <v>-34819</v>
      </c>
      <c r="E96" s="19">
        <f>SUBTOTAL(109,Program332[(E)
Current Period Desk 
Reviews])</f>
        <v>0</v>
      </c>
      <c r="F96" s="19">
        <f>SUBTOTAL(109,Program332[(F)
Current Period 
Final 
Audits])</f>
        <v>0</v>
      </c>
      <c r="G96" s="19">
        <f>SUBTOTAL(109,Program332[(G)
Current Period 
Other Adjustments])</f>
        <v>0</v>
      </c>
      <c r="H96" s="19">
        <f>SUBTOTAL(109,Program332[(H)
Net Program Costs
Sum (C through G)])</f>
        <v>617293</v>
      </c>
      <c r="I96" s="19">
        <f>SUBTOTAL(109,Program332[(I)
Payments
 and Offsets])</f>
        <v>-562068</v>
      </c>
      <c r="J96" s="19">
        <f>SUBTOTAL(109,Program332[(J)
Accounts Payable Balance
(H + I)])</f>
        <v>55225</v>
      </c>
      <c r="K96" s="19">
        <f>SUBTOTAL(109,Program332[(K)
Established 
Accounts Receivable])</f>
        <v>0</v>
      </c>
      <c r="L96" s="19">
        <f>SUBTOTAL(109,Program332[(L)
Recovered
 Accounts Receivable])</f>
        <v>0</v>
      </c>
      <c r="M96" s="19">
        <f>SUBTOTAL(109,Program332[(M)
Accounts Receivable Balance
(K + L)])</f>
        <v>0</v>
      </c>
      <c r="N96" s="19">
        <f>SUBTOTAL(109,Program332[(N)
Net Balance
(J minus M)])</f>
        <v>55225</v>
      </c>
    </row>
    <row r="97" spans="1:14" ht="15.75" x14ac:dyDescent="0.25">
      <c r="A97" s="17" t="s">
        <v>13</v>
      </c>
      <c r="B97" s="54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</row>
    <row r="98" spans="1:14" ht="78.75" x14ac:dyDescent="0.25">
      <c r="A98" s="39" t="s">
        <v>32</v>
      </c>
      <c r="B98" s="40" t="s">
        <v>33</v>
      </c>
      <c r="C98" s="41" t="s">
        <v>34</v>
      </c>
      <c r="D98" s="41" t="s">
        <v>35</v>
      </c>
      <c r="E98" s="42" t="s">
        <v>36</v>
      </c>
      <c r="F98" s="42" t="s">
        <v>37</v>
      </c>
      <c r="G98" s="42" t="s">
        <v>38</v>
      </c>
      <c r="H98" s="43" t="s">
        <v>39</v>
      </c>
      <c r="I98" s="44" t="s">
        <v>40</v>
      </c>
      <c r="J98" s="44" t="s">
        <v>41</v>
      </c>
      <c r="K98" s="42" t="s">
        <v>42</v>
      </c>
      <c r="L98" s="44" t="s">
        <v>43</v>
      </c>
      <c r="M98" s="44" t="s">
        <v>44</v>
      </c>
      <c r="N98" s="45" t="s">
        <v>45</v>
      </c>
    </row>
    <row r="99" spans="1:14" ht="45" x14ac:dyDescent="0.25">
      <c r="A99" s="67" t="s">
        <v>675</v>
      </c>
      <c r="B99" s="57" t="s">
        <v>57</v>
      </c>
      <c r="C99" s="58">
        <v>337813</v>
      </c>
      <c r="D99" s="58">
        <v>0</v>
      </c>
      <c r="E99" s="58">
        <v>0</v>
      </c>
      <c r="F99" s="58">
        <v>0</v>
      </c>
      <c r="G99" s="58">
        <v>0</v>
      </c>
      <c r="H99" s="58">
        <v>337813</v>
      </c>
      <c r="I99" s="58">
        <v>-337813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</row>
    <row r="100" spans="1:14" ht="15.75" x14ac:dyDescent="0.25">
      <c r="A100" s="52" t="s">
        <v>640</v>
      </c>
      <c r="B100" s="53" t="s">
        <v>8</v>
      </c>
      <c r="C100" s="19">
        <f>SUBTOTAL(109,Program338[(C)
Program
Costs])</f>
        <v>337813</v>
      </c>
      <c r="D100" s="19">
        <f>SUBTOTAL(109,Program338[(D)
Prior Period Adjustments])</f>
        <v>0</v>
      </c>
      <c r="E100" s="19">
        <f>SUBTOTAL(109,Program338[(E)
Current Period Desk 
Reviews])</f>
        <v>0</v>
      </c>
      <c r="F100" s="19">
        <f>SUBTOTAL(109,Program338[(F)
Current Period 
Final 
Audits])</f>
        <v>0</v>
      </c>
      <c r="G100" s="19">
        <f>SUBTOTAL(109,Program338[(G)
Current Period 
Other Adjustments])</f>
        <v>0</v>
      </c>
      <c r="H100" s="19">
        <f>SUBTOTAL(109,Program338[(H)
Net Program Costs
Sum (C through G)])</f>
        <v>337813</v>
      </c>
      <c r="I100" s="19">
        <f>SUBTOTAL(109,Program338[(I)
Payments
 and Offsets])</f>
        <v>-337813</v>
      </c>
      <c r="J100" s="19">
        <f>SUBTOTAL(109,Program338[(J)
Accounts Payable Balance
(H + I)])</f>
        <v>0</v>
      </c>
      <c r="K100" s="19">
        <f>SUBTOTAL(109,Program338[(K)
Established 
Accounts Receivable])</f>
        <v>0</v>
      </c>
      <c r="L100" s="19">
        <f>SUBTOTAL(109,Program338[(L)
Recovered
 Accounts Receivable])</f>
        <v>0</v>
      </c>
      <c r="M100" s="19">
        <f>SUBTOTAL(109,Program338[(M)
Accounts Receivable Balance
(K + L)])</f>
        <v>0</v>
      </c>
      <c r="N100" s="19">
        <f>SUBTOTAL(109,Program338[(N)
Net Balance
(J minus M)])</f>
        <v>0</v>
      </c>
    </row>
    <row r="101" spans="1:14" ht="15.75" x14ac:dyDescent="0.25">
      <c r="A101" s="17" t="s">
        <v>13</v>
      </c>
      <c r="B101" s="54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</row>
    <row r="102" spans="1:14" ht="78.75" x14ac:dyDescent="0.25">
      <c r="A102" s="39" t="s">
        <v>32</v>
      </c>
      <c r="B102" s="40" t="s">
        <v>33</v>
      </c>
      <c r="C102" s="41" t="s">
        <v>34</v>
      </c>
      <c r="D102" s="41" t="s">
        <v>35</v>
      </c>
      <c r="E102" s="42" t="s">
        <v>36</v>
      </c>
      <c r="F102" s="42" t="s">
        <v>37</v>
      </c>
      <c r="G102" s="42" t="s">
        <v>38</v>
      </c>
      <c r="H102" s="43" t="s">
        <v>39</v>
      </c>
      <c r="I102" s="44" t="s">
        <v>40</v>
      </c>
      <c r="J102" s="44" t="s">
        <v>41</v>
      </c>
      <c r="K102" s="42" t="s">
        <v>42</v>
      </c>
      <c r="L102" s="44" t="s">
        <v>43</v>
      </c>
      <c r="M102" s="44" t="s">
        <v>44</v>
      </c>
      <c r="N102" s="45" t="s">
        <v>45</v>
      </c>
    </row>
    <row r="103" spans="1:14" ht="45" x14ac:dyDescent="0.25">
      <c r="A103" s="67" t="s">
        <v>674</v>
      </c>
      <c r="B103" s="57" t="s">
        <v>56</v>
      </c>
      <c r="C103" s="58">
        <v>359825</v>
      </c>
      <c r="D103" s="58">
        <v>0</v>
      </c>
      <c r="E103" s="58">
        <v>0</v>
      </c>
      <c r="F103" s="58">
        <v>0</v>
      </c>
      <c r="G103" s="58">
        <v>0</v>
      </c>
      <c r="H103" s="58">
        <v>359825</v>
      </c>
      <c r="I103" s="58">
        <v>-359825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</row>
    <row r="104" spans="1:14" ht="15.75" x14ac:dyDescent="0.25">
      <c r="A104" s="52" t="s">
        <v>639</v>
      </c>
      <c r="B104" s="53" t="s">
        <v>8</v>
      </c>
      <c r="C104" s="19">
        <f>SUBTOTAL(109,Program339[(C)
Program
Costs])</f>
        <v>359825</v>
      </c>
      <c r="D104" s="19">
        <f>SUBTOTAL(109,Program339[(D)
Prior Period Adjustments])</f>
        <v>0</v>
      </c>
      <c r="E104" s="19">
        <f>SUBTOTAL(109,Program339[(E)
Current Period Desk 
Reviews])</f>
        <v>0</v>
      </c>
      <c r="F104" s="19">
        <f>SUBTOTAL(109,Program339[(F)
Current Period 
Final 
Audits])</f>
        <v>0</v>
      </c>
      <c r="G104" s="19">
        <f>SUBTOTAL(109,Program339[(G)
Current Period 
Other Adjustments])</f>
        <v>0</v>
      </c>
      <c r="H104" s="19">
        <f>SUBTOTAL(109,Program339[(H)
Net Program Costs
Sum (C through G)])</f>
        <v>359825</v>
      </c>
      <c r="I104" s="19">
        <f>SUBTOTAL(109,Program339[(I)
Payments
 and Offsets])</f>
        <v>-359825</v>
      </c>
      <c r="J104" s="19">
        <f>SUBTOTAL(109,Program339[(J)
Accounts Payable Balance
(H + I)])</f>
        <v>0</v>
      </c>
      <c r="K104" s="19">
        <f>SUBTOTAL(109,Program339[(K)
Established 
Accounts Receivable])</f>
        <v>0</v>
      </c>
      <c r="L104" s="19">
        <f>SUBTOTAL(109,Program339[(L)
Recovered
 Accounts Receivable])</f>
        <v>0</v>
      </c>
      <c r="M104" s="19">
        <f>SUBTOTAL(109,Program339[(M)
Accounts Receivable Balance
(K + L)])</f>
        <v>0</v>
      </c>
      <c r="N104" s="19">
        <f>SUBTOTAL(109,Program339[(N)
Net Balance
(J minus M)])</f>
        <v>0</v>
      </c>
    </row>
    <row r="105" spans="1:14" ht="15.75" x14ac:dyDescent="0.25">
      <c r="A105" s="17" t="s">
        <v>13</v>
      </c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</row>
    <row r="106" spans="1:14" ht="78.75" x14ac:dyDescent="0.25">
      <c r="A106" s="39" t="s">
        <v>32</v>
      </c>
      <c r="B106" s="40" t="s">
        <v>33</v>
      </c>
      <c r="C106" s="41" t="s">
        <v>34</v>
      </c>
      <c r="D106" s="41" t="s">
        <v>35</v>
      </c>
      <c r="E106" s="42" t="s">
        <v>36</v>
      </c>
      <c r="F106" s="42" t="s">
        <v>37</v>
      </c>
      <c r="G106" s="42" t="s">
        <v>38</v>
      </c>
      <c r="H106" s="43" t="s">
        <v>39</v>
      </c>
      <c r="I106" s="44" t="s">
        <v>40</v>
      </c>
      <c r="J106" s="44" t="s">
        <v>41</v>
      </c>
      <c r="K106" s="42" t="s">
        <v>42</v>
      </c>
      <c r="L106" s="44" t="s">
        <v>43</v>
      </c>
      <c r="M106" s="44" t="s">
        <v>44</v>
      </c>
      <c r="N106" s="45" t="s">
        <v>45</v>
      </c>
    </row>
    <row r="107" spans="1:14" ht="45" x14ac:dyDescent="0.25">
      <c r="A107" s="67" t="s">
        <v>673</v>
      </c>
      <c r="B107" s="57" t="s">
        <v>83</v>
      </c>
      <c r="C107" s="58">
        <v>713298</v>
      </c>
      <c r="D107" s="58">
        <v>0</v>
      </c>
      <c r="E107" s="58">
        <v>0</v>
      </c>
      <c r="F107" s="58">
        <v>0</v>
      </c>
      <c r="G107" s="58">
        <v>0</v>
      </c>
      <c r="H107" s="58">
        <v>713298</v>
      </c>
      <c r="I107" s="58">
        <v>-713298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</row>
    <row r="108" spans="1:14" ht="45" x14ac:dyDescent="0.25">
      <c r="A108" s="68" t="s">
        <v>673</v>
      </c>
      <c r="B108" s="60" t="s">
        <v>48</v>
      </c>
      <c r="C108" s="61">
        <v>543779</v>
      </c>
      <c r="D108" s="61">
        <v>0</v>
      </c>
      <c r="E108" s="61">
        <v>0</v>
      </c>
      <c r="F108" s="61">
        <v>0</v>
      </c>
      <c r="G108" s="61">
        <v>0</v>
      </c>
      <c r="H108" s="61">
        <v>543779</v>
      </c>
      <c r="I108" s="61">
        <v>-543779</v>
      </c>
      <c r="J108" s="61">
        <v>0</v>
      </c>
      <c r="K108" s="61">
        <v>0</v>
      </c>
      <c r="L108" s="61">
        <v>0</v>
      </c>
      <c r="M108" s="61">
        <v>0</v>
      </c>
      <c r="N108" s="61">
        <v>0</v>
      </c>
    </row>
    <row r="109" spans="1:14" ht="45" x14ac:dyDescent="0.25">
      <c r="A109" s="68" t="s">
        <v>673</v>
      </c>
      <c r="B109" s="60" t="s">
        <v>49</v>
      </c>
      <c r="C109" s="61">
        <v>631179</v>
      </c>
      <c r="D109" s="61">
        <v>0</v>
      </c>
      <c r="E109" s="61">
        <v>0</v>
      </c>
      <c r="F109" s="61">
        <v>0</v>
      </c>
      <c r="G109" s="61">
        <v>0</v>
      </c>
      <c r="H109" s="61">
        <v>631179</v>
      </c>
      <c r="I109" s="61">
        <v>-631179</v>
      </c>
      <c r="J109" s="61">
        <v>0</v>
      </c>
      <c r="K109" s="61">
        <v>0</v>
      </c>
      <c r="L109" s="61">
        <v>0</v>
      </c>
      <c r="M109" s="61">
        <v>0</v>
      </c>
      <c r="N109" s="61">
        <v>0</v>
      </c>
    </row>
    <row r="110" spans="1:14" ht="45" x14ac:dyDescent="0.25">
      <c r="A110" s="68" t="s">
        <v>673</v>
      </c>
      <c r="B110" s="60" t="s">
        <v>50</v>
      </c>
      <c r="C110" s="61">
        <v>670349</v>
      </c>
      <c r="D110" s="61">
        <v>0</v>
      </c>
      <c r="E110" s="61">
        <v>0</v>
      </c>
      <c r="F110" s="61">
        <v>0</v>
      </c>
      <c r="G110" s="61">
        <v>0</v>
      </c>
      <c r="H110" s="61">
        <v>670349</v>
      </c>
      <c r="I110" s="61">
        <v>-670349</v>
      </c>
      <c r="J110" s="61">
        <v>0</v>
      </c>
      <c r="K110" s="61">
        <v>0</v>
      </c>
      <c r="L110" s="61">
        <v>0</v>
      </c>
      <c r="M110" s="61">
        <v>0</v>
      </c>
      <c r="N110" s="61">
        <v>0</v>
      </c>
    </row>
    <row r="111" spans="1:14" ht="45" x14ac:dyDescent="0.25">
      <c r="A111" s="68" t="s">
        <v>673</v>
      </c>
      <c r="B111" s="60" t="s">
        <v>51</v>
      </c>
      <c r="C111" s="61">
        <v>767662</v>
      </c>
      <c r="D111" s="61">
        <v>0</v>
      </c>
      <c r="E111" s="61">
        <v>0</v>
      </c>
      <c r="F111" s="61">
        <v>0</v>
      </c>
      <c r="G111" s="61">
        <v>0</v>
      </c>
      <c r="H111" s="61">
        <v>767662</v>
      </c>
      <c r="I111" s="61">
        <v>-767662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</row>
    <row r="112" spans="1:14" ht="45" x14ac:dyDescent="0.25">
      <c r="A112" s="68" t="s">
        <v>673</v>
      </c>
      <c r="B112" s="60" t="s">
        <v>52</v>
      </c>
      <c r="C112" s="61">
        <v>608266</v>
      </c>
      <c r="D112" s="61">
        <v>0</v>
      </c>
      <c r="E112" s="61">
        <v>0</v>
      </c>
      <c r="F112" s="61">
        <v>0</v>
      </c>
      <c r="G112" s="61">
        <v>0</v>
      </c>
      <c r="H112" s="61">
        <v>608266</v>
      </c>
      <c r="I112" s="61">
        <v>-608266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</row>
    <row r="113" spans="1:14" ht="45" x14ac:dyDescent="0.25">
      <c r="A113" s="68" t="s">
        <v>673</v>
      </c>
      <c r="B113" s="60" t="s">
        <v>53</v>
      </c>
      <c r="C113" s="61">
        <v>520883</v>
      </c>
      <c r="D113" s="61">
        <v>0</v>
      </c>
      <c r="E113" s="61">
        <v>0</v>
      </c>
      <c r="F113" s="61">
        <v>0</v>
      </c>
      <c r="G113" s="61">
        <v>0</v>
      </c>
      <c r="H113" s="61">
        <v>520883</v>
      </c>
      <c r="I113" s="61">
        <v>-520883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</row>
    <row r="114" spans="1:14" ht="45" x14ac:dyDescent="0.25">
      <c r="A114" s="68" t="s">
        <v>673</v>
      </c>
      <c r="B114" s="60" t="s">
        <v>54</v>
      </c>
      <c r="C114" s="61">
        <v>428683</v>
      </c>
      <c r="D114" s="61">
        <v>0</v>
      </c>
      <c r="E114" s="61">
        <v>0</v>
      </c>
      <c r="F114" s="61">
        <v>0</v>
      </c>
      <c r="G114" s="61">
        <v>0</v>
      </c>
      <c r="H114" s="61">
        <v>428683</v>
      </c>
      <c r="I114" s="61">
        <v>-428683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</row>
    <row r="115" spans="1:14" ht="45" x14ac:dyDescent="0.25">
      <c r="A115" s="68" t="s">
        <v>673</v>
      </c>
      <c r="B115" s="60" t="s">
        <v>55</v>
      </c>
      <c r="C115" s="61">
        <v>465471</v>
      </c>
      <c r="D115" s="61">
        <v>0</v>
      </c>
      <c r="E115" s="61">
        <v>0</v>
      </c>
      <c r="F115" s="61">
        <v>0</v>
      </c>
      <c r="G115" s="61">
        <v>0</v>
      </c>
      <c r="H115" s="61">
        <v>465471</v>
      </c>
      <c r="I115" s="61">
        <v>-465471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</row>
    <row r="116" spans="1:14" ht="15.75" x14ac:dyDescent="0.25">
      <c r="A116" s="52" t="s">
        <v>638</v>
      </c>
      <c r="B116" s="53" t="s">
        <v>8</v>
      </c>
      <c r="C116" s="19">
        <f>SUBTOTAL(109,Program340[(C)
Program
Costs])</f>
        <v>5349570</v>
      </c>
      <c r="D116" s="19">
        <f>SUBTOTAL(109,Program340[(D)
Prior Period Adjustments])</f>
        <v>0</v>
      </c>
      <c r="E116" s="19">
        <f>SUBTOTAL(109,Program340[(E)
Current Period Desk 
Reviews])</f>
        <v>0</v>
      </c>
      <c r="F116" s="19">
        <f>SUBTOTAL(109,Program340[(F)
Current Period 
Final 
Audits])</f>
        <v>0</v>
      </c>
      <c r="G116" s="19">
        <f>SUBTOTAL(109,Program340[(G)
Current Period 
Other Adjustments])</f>
        <v>0</v>
      </c>
      <c r="H116" s="19">
        <f>SUBTOTAL(109,Program340[(H)
Net Program Costs
Sum (C through G)])</f>
        <v>5349570</v>
      </c>
      <c r="I116" s="19">
        <f>SUBTOTAL(109,Program340[(I)
Payments
 and Offsets])</f>
        <v>-5349570</v>
      </c>
      <c r="J116" s="19">
        <f>SUBTOTAL(109,Program340[(J)
Accounts Payable Balance
(H + I)])</f>
        <v>0</v>
      </c>
      <c r="K116" s="19">
        <f>SUBTOTAL(109,Program340[(K)
Established 
Accounts Receivable])</f>
        <v>0</v>
      </c>
      <c r="L116" s="19">
        <f>SUBTOTAL(109,Program340[(L)
Recovered
 Accounts Receivable])</f>
        <v>0</v>
      </c>
      <c r="M116" s="19">
        <f>SUBTOTAL(109,Program340[(M)
Accounts Receivable Balance
(K + L)])</f>
        <v>0</v>
      </c>
      <c r="N116" s="19">
        <f>SUBTOTAL(109,Program340[(N)
Net Balance
(J minus M)])</f>
        <v>0</v>
      </c>
    </row>
    <row r="117" spans="1:14" ht="15.75" x14ac:dyDescent="0.25">
      <c r="A117" s="17" t="s">
        <v>13</v>
      </c>
      <c r="B117" s="54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  <row r="118" spans="1:14" ht="78.75" x14ac:dyDescent="0.25">
      <c r="A118" s="39" t="s">
        <v>32</v>
      </c>
      <c r="B118" s="40" t="s">
        <v>33</v>
      </c>
      <c r="C118" s="41" t="s">
        <v>34</v>
      </c>
      <c r="D118" s="41" t="s">
        <v>35</v>
      </c>
      <c r="E118" s="42" t="s">
        <v>36</v>
      </c>
      <c r="F118" s="42" t="s">
        <v>37</v>
      </c>
      <c r="G118" s="42" t="s">
        <v>38</v>
      </c>
      <c r="H118" s="43" t="s">
        <v>39</v>
      </c>
      <c r="I118" s="44" t="s">
        <v>40</v>
      </c>
      <c r="J118" s="44" t="s">
        <v>41</v>
      </c>
      <c r="K118" s="42" t="s">
        <v>42</v>
      </c>
      <c r="L118" s="44" t="s">
        <v>43</v>
      </c>
      <c r="M118" s="44" t="s">
        <v>44</v>
      </c>
      <c r="N118" s="45" t="s">
        <v>45</v>
      </c>
    </row>
    <row r="119" spans="1:14" ht="30" x14ac:dyDescent="0.25">
      <c r="A119" s="67" t="s">
        <v>672</v>
      </c>
      <c r="B119" s="57" t="s">
        <v>57</v>
      </c>
      <c r="C119" s="58">
        <v>59447</v>
      </c>
      <c r="D119" s="58">
        <v>0</v>
      </c>
      <c r="E119" s="58">
        <v>0</v>
      </c>
      <c r="F119" s="58">
        <v>0</v>
      </c>
      <c r="G119" s="58">
        <v>0</v>
      </c>
      <c r="H119" s="58">
        <v>59447</v>
      </c>
      <c r="I119" s="58">
        <v>-59447</v>
      </c>
      <c r="J119" s="58">
        <v>0</v>
      </c>
      <c r="K119" s="58">
        <v>0</v>
      </c>
      <c r="L119" s="58">
        <v>0</v>
      </c>
      <c r="M119" s="58">
        <v>0</v>
      </c>
      <c r="N119" s="58">
        <v>0</v>
      </c>
    </row>
    <row r="120" spans="1:14" ht="15.75" x14ac:dyDescent="0.25">
      <c r="A120" s="52" t="s">
        <v>637</v>
      </c>
      <c r="B120" s="53" t="s">
        <v>8</v>
      </c>
      <c r="C120" s="19">
        <f>SUBTOTAL(109,Program343[(C)
Program
Costs])</f>
        <v>59447</v>
      </c>
      <c r="D120" s="19">
        <f>SUBTOTAL(109,Program343[(D)
Prior Period Adjustments])</f>
        <v>0</v>
      </c>
      <c r="E120" s="19">
        <f>SUBTOTAL(109,Program343[(E)
Current Period Desk 
Reviews])</f>
        <v>0</v>
      </c>
      <c r="F120" s="19">
        <f>SUBTOTAL(109,Program343[(F)
Current Period 
Final 
Audits])</f>
        <v>0</v>
      </c>
      <c r="G120" s="19">
        <f>SUBTOTAL(109,Program343[(G)
Current Period 
Other Adjustments])</f>
        <v>0</v>
      </c>
      <c r="H120" s="19">
        <f>SUBTOTAL(109,Program343[(H)
Net Program Costs
Sum (C through G)])</f>
        <v>59447</v>
      </c>
      <c r="I120" s="19">
        <f>SUBTOTAL(109,Program343[(I)
Payments
 and Offsets])</f>
        <v>-59447</v>
      </c>
      <c r="J120" s="19">
        <f>SUBTOTAL(109,Program343[(J)
Accounts Payable Balance
(H + I)])</f>
        <v>0</v>
      </c>
      <c r="K120" s="19">
        <f>SUBTOTAL(109,Program343[(K)
Established 
Accounts Receivable])</f>
        <v>0</v>
      </c>
      <c r="L120" s="19">
        <f>SUBTOTAL(109,Program343[(L)
Recovered
 Accounts Receivable])</f>
        <v>0</v>
      </c>
      <c r="M120" s="19">
        <f>SUBTOTAL(109,Program343[(M)
Accounts Receivable Balance
(K + L)])</f>
        <v>0</v>
      </c>
      <c r="N120" s="19">
        <f>SUBTOTAL(109,Program343[(N)
Net Balance
(J minus M)])</f>
        <v>0</v>
      </c>
    </row>
    <row r="121" spans="1:14" ht="15.75" x14ac:dyDescent="0.25">
      <c r="A121" s="17" t="s">
        <v>13</v>
      </c>
      <c r="B121" s="54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</row>
    <row r="122" spans="1:14" ht="78.75" x14ac:dyDescent="0.25">
      <c r="A122" s="39" t="s">
        <v>32</v>
      </c>
      <c r="B122" s="40" t="s">
        <v>33</v>
      </c>
      <c r="C122" s="41" t="s">
        <v>34</v>
      </c>
      <c r="D122" s="41" t="s">
        <v>35</v>
      </c>
      <c r="E122" s="42" t="s">
        <v>36</v>
      </c>
      <c r="F122" s="42" t="s">
        <v>37</v>
      </c>
      <c r="G122" s="42" t="s">
        <v>38</v>
      </c>
      <c r="H122" s="43" t="s">
        <v>39</v>
      </c>
      <c r="I122" s="44" t="s">
        <v>40</v>
      </c>
      <c r="J122" s="44" t="s">
        <v>41</v>
      </c>
      <c r="K122" s="42" t="s">
        <v>42</v>
      </c>
      <c r="L122" s="44" t="s">
        <v>43</v>
      </c>
      <c r="M122" s="44" t="s">
        <v>44</v>
      </c>
      <c r="N122" s="45" t="s">
        <v>45</v>
      </c>
    </row>
    <row r="123" spans="1:14" ht="30" x14ac:dyDescent="0.25">
      <c r="A123" s="67" t="s">
        <v>671</v>
      </c>
      <c r="B123" s="57" t="s">
        <v>83</v>
      </c>
      <c r="C123" s="58">
        <v>738982</v>
      </c>
      <c r="D123" s="58">
        <v>0</v>
      </c>
      <c r="E123" s="58">
        <v>0</v>
      </c>
      <c r="F123" s="58">
        <v>0</v>
      </c>
      <c r="G123" s="58">
        <v>0</v>
      </c>
      <c r="H123" s="58">
        <v>738982</v>
      </c>
      <c r="I123" s="58">
        <v>-738982</v>
      </c>
      <c r="J123" s="58">
        <v>0</v>
      </c>
      <c r="K123" s="58">
        <v>0</v>
      </c>
      <c r="L123" s="58">
        <v>0</v>
      </c>
      <c r="M123" s="58">
        <v>0</v>
      </c>
      <c r="N123" s="58">
        <v>0</v>
      </c>
    </row>
    <row r="124" spans="1:14" ht="30" x14ac:dyDescent="0.25">
      <c r="A124" s="68" t="s">
        <v>671</v>
      </c>
      <c r="B124" s="60" t="s">
        <v>48</v>
      </c>
      <c r="C124" s="61">
        <v>521888</v>
      </c>
      <c r="D124" s="61">
        <v>0</v>
      </c>
      <c r="E124" s="61">
        <v>0</v>
      </c>
      <c r="F124" s="61">
        <v>0</v>
      </c>
      <c r="G124" s="61">
        <v>0</v>
      </c>
      <c r="H124" s="61">
        <v>521888</v>
      </c>
      <c r="I124" s="61">
        <v>-521888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</row>
    <row r="125" spans="1:14" ht="30" x14ac:dyDescent="0.25">
      <c r="A125" s="68" t="s">
        <v>671</v>
      </c>
      <c r="B125" s="60" t="s">
        <v>49</v>
      </c>
      <c r="C125" s="61">
        <v>303687</v>
      </c>
      <c r="D125" s="61">
        <v>0</v>
      </c>
      <c r="E125" s="61">
        <v>0</v>
      </c>
      <c r="F125" s="61">
        <v>0</v>
      </c>
      <c r="G125" s="61">
        <v>0</v>
      </c>
      <c r="H125" s="61">
        <v>303687</v>
      </c>
      <c r="I125" s="61">
        <v>-303687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</row>
    <row r="126" spans="1:14" ht="30" x14ac:dyDescent="0.25">
      <c r="A126" s="68" t="s">
        <v>671</v>
      </c>
      <c r="B126" s="60" t="s">
        <v>50</v>
      </c>
      <c r="C126" s="61">
        <v>282236</v>
      </c>
      <c r="D126" s="61">
        <v>0</v>
      </c>
      <c r="E126" s="61">
        <v>0</v>
      </c>
      <c r="F126" s="61">
        <v>0</v>
      </c>
      <c r="G126" s="61">
        <v>0</v>
      </c>
      <c r="H126" s="61">
        <v>282236</v>
      </c>
      <c r="I126" s="61">
        <v>-282236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</row>
    <row r="127" spans="1:14" ht="30" x14ac:dyDescent="0.25">
      <c r="A127" s="68" t="s">
        <v>671</v>
      </c>
      <c r="B127" s="60" t="s">
        <v>51</v>
      </c>
      <c r="C127" s="61">
        <v>234687</v>
      </c>
      <c r="D127" s="61">
        <v>0</v>
      </c>
      <c r="E127" s="61">
        <v>0</v>
      </c>
      <c r="F127" s="61">
        <v>0</v>
      </c>
      <c r="G127" s="61">
        <v>0</v>
      </c>
      <c r="H127" s="61">
        <v>234687</v>
      </c>
      <c r="I127" s="61">
        <v>-234687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</row>
    <row r="128" spans="1:14" ht="30" x14ac:dyDescent="0.25">
      <c r="A128" s="68" t="s">
        <v>671</v>
      </c>
      <c r="B128" s="60" t="s">
        <v>52</v>
      </c>
      <c r="C128" s="61">
        <v>148442</v>
      </c>
      <c r="D128" s="61">
        <v>0</v>
      </c>
      <c r="E128" s="61">
        <v>0</v>
      </c>
      <c r="F128" s="61">
        <v>0</v>
      </c>
      <c r="G128" s="61">
        <v>0</v>
      </c>
      <c r="H128" s="61">
        <v>148442</v>
      </c>
      <c r="I128" s="61">
        <v>-148442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</row>
    <row r="129" spans="1:14" ht="30" x14ac:dyDescent="0.25">
      <c r="A129" s="68" t="s">
        <v>671</v>
      </c>
      <c r="B129" s="60" t="s">
        <v>53</v>
      </c>
      <c r="C129" s="61">
        <v>151470</v>
      </c>
      <c r="D129" s="61">
        <v>0</v>
      </c>
      <c r="E129" s="61">
        <v>0</v>
      </c>
      <c r="F129" s="61">
        <v>0</v>
      </c>
      <c r="G129" s="61">
        <v>0</v>
      </c>
      <c r="H129" s="61">
        <v>151470</v>
      </c>
      <c r="I129" s="61">
        <v>-151470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</row>
    <row r="130" spans="1:14" ht="30" x14ac:dyDescent="0.25">
      <c r="A130" s="68" t="s">
        <v>671</v>
      </c>
      <c r="B130" s="60" t="s">
        <v>54</v>
      </c>
      <c r="C130" s="61">
        <v>177070</v>
      </c>
      <c r="D130" s="61">
        <v>0</v>
      </c>
      <c r="E130" s="61">
        <v>0</v>
      </c>
      <c r="F130" s="61">
        <v>0</v>
      </c>
      <c r="G130" s="61">
        <v>0</v>
      </c>
      <c r="H130" s="61">
        <v>177070</v>
      </c>
      <c r="I130" s="61">
        <v>-177070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</row>
    <row r="131" spans="1:14" ht="30" x14ac:dyDescent="0.25">
      <c r="A131" s="68" t="s">
        <v>671</v>
      </c>
      <c r="B131" s="60" t="s">
        <v>55</v>
      </c>
      <c r="C131" s="61">
        <v>25065</v>
      </c>
      <c r="D131" s="61">
        <v>0</v>
      </c>
      <c r="E131" s="61">
        <v>0</v>
      </c>
      <c r="F131" s="61">
        <v>0</v>
      </c>
      <c r="G131" s="61">
        <v>0</v>
      </c>
      <c r="H131" s="61">
        <v>25065</v>
      </c>
      <c r="I131" s="61">
        <v>-25065</v>
      </c>
      <c r="J131" s="61">
        <v>0</v>
      </c>
      <c r="K131" s="61">
        <v>0</v>
      </c>
      <c r="L131" s="61">
        <v>0</v>
      </c>
      <c r="M131" s="61">
        <v>0</v>
      </c>
      <c r="N131" s="61">
        <v>0</v>
      </c>
    </row>
    <row r="132" spans="1:14" ht="30" x14ac:dyDescent="0.25">
      <c r="A132" s="68" t="s">
        <v>671</v>
      </c>
      <c r="B132" s="60" t="s">
        <v>56</v>
      </c>
      <c r="C132" s="61">
        <v>130582</v>
      </c>
      <c r="D132" s="61">
        <v>0</v>
      </c>
      <c r="E132" s="61">
        <v>0</v>
      </c>
      <c r="F132" s="61">
        <v>0</v>
      </c>
      <c r="G132" s="61">
        <v>0</v>
      </c>
      <c r="H132" s="61">
        <v>130582</v>
      </c>
      <c r="I132" s="61">
        <v>-130582</v>
      </c>
      <c r="J132" s="61">
        <v>0</v>
      </c>
      <c r="K132" s="61">
        <v>0</v>
      </c>
      <c r="L132" s="61">
        <v>0</v>
      </c>
      <c r="M132" s="61">
        <v>0</v>
      </c>
      <c r="N132" s="61">
        <v>0</v>
      </c>
    </row>
    <row r="133" spans="1:14" ht="15.75" x14ac:dyDescent="0.25">
      <c r="A133" s="52" t="s">
        <v>636</v>
      </c>
      <c r="B133" s="53" t="s">
        <v>8</v>
      </c>
      <c r="C133" s="19">
        <f>SUBTOTAL(109,Program344[(C)
Program
Costs])</f>
        <v>2714109</v>
      </c>
      <c r="D133" s="19">
        <f>SUBTOTAL(109,Program344[(D)
Prior Period Adjustments])</f>
        <v>0</v>
      </c>
      <c r="E133" s="19">
        <f>SUBTOTAL(109,Program344[(E)
Current Period Desk 
Reviews])</f>
        <v>0</v>
      </c>
      <c r="F133" s="19">
        <f>SUBTOTAL(109,Program344[(F)
Current Period 
Final 
Audits])</f>
        <v>0</v>
      </c>
      <c r="G133" s="19">
        <f>SUBTOTAL(109,Program344[(G)
Current Period 
Other Adjustments])</f>
        <v>0</v>
      </c>
      <c r="H133" s="19">
        <f>SUBTOTAL(109,Program344[(H)
Net Program Costs
Sum (C through G)])</f>
        <v>2714109</v>
      </c>
      <c r="I133" s="19">
        <f>SUBTOTAL(109,Program344[(I)
Payments
 and Offsets])</f>
        <v>-2714109</v>
      </c>
      <c r="J133" s="19">
        <f>SUBTOTAL(109,Program344[(J)
Accounts Payable Balance
(H + I)])</f>
        <v>0</v>
      </c>
      <c r="K133" s="19">
        <f>SUBTOTAL(109,Program344[(K)
Established 
Accounts Receivable])</f>
        <v>0</v>
      </c>
      <c r="L133" s="19">
        <f>SUBTOTAL(109,Program344[(L)
Recovered
 Accounts Receivable])</f>
        <v>0</v>
      </c>
      <c r="M133" s="19">
        <f>SUBTOTAL(109,Program344[(M)
Accounts Receivable Balance
(K + L)])</f>
        <v>0</v>
      </c>
      <c r="N133" s="19">
        <f>SUBTOTAL(109,Program344[(N)
Net Balance
(J minus M)])</f>
        <v>0</v>
      </c>
    </row>
    <row r="134" spans="1:14" ht="15.75" x14ac:dyDescent="0.25">
      <c r="A134" s="17" t="s">
        <v>13</v>
      </c>
      <c r="B134" s="54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</row>
    <row r="135" spans="1:14" ht="78.75" x14ac:dyDescent="0.25">
      <c r="A135" s="39" t="s">
        <v>32</v>
      </c>
      <c r="B135" s="40" t="s">
        <v>33</v>
      </c>
      <c r="C135" s="41" t="s">
        <v>34</v>
      </c>
      <c r="D135" s="41" t="s">
        <v>35</v>
      </c>
      <c r="E135" s="42" t="s">
        <v>36</v>
      </c>
      <c r="F135" s="42" t="s">
        <v>37</v>
      </c>
      <c r="G135" s="42" t="s">
        <v>38</v>
      </c>
      <c r="H135" s="43" t="s">
        <v>39</v>
      </c>
      <c r="I135" s="44" t="s">
        <v>40</v>
      </c>
      <c r="J135" s="44" t="s">
        <v>41</v>
      </c>
      <c r="K135" s="42" t="s">
        <v>42</v>
      </c>
      <c r="L135" s="44" t="s">
        <v>43</v>
      </c>
      <c r="M135" s="44" t="s">
        <v>44</v>
      </c>
      <c r="N135" s="45" t="s">
        <v>45</v>
      </c>
    </row>
    <row r="136" spans="1:14" ht="30" x14ac:dyDescent="0.25">
      <c r="A136" s="67" t="s">
        <v>670</v>
      </c>
      <c r="B136" s="62" t="s">
        <v>80</v>
      </c>
      <c r="C136" s="63">
        <v>331143</v>
      </c>
      <c r="D136" s="63">
        <v>-10000</v>
      </c>
      <c r="E136" s="63">
        <v>0</v>
      </c>
      <c r="F136" s="63">
        <v>0</v>
      </c>
      <c r="G136" s="63">
        <v>0</v>
      </c>
      <c r="H136" s="63">
        <v>321143</v>
      </c>
      <c r="I136" s="63">
        <v>-121251</v>
      </c>
      <c r="J136" s="63">
        <v>199892</v>
      </c>
      <c r="K136" s="63">
        <v>0</v>
      </c>
      <c r="L136" s="63">
        <v>0</v>
      </c>
      <c r="M136" s="63">
        <v>0</v>
      </c>
      <c r="N136" s="63">
        <v>199892</v>
      </c>
    </row>
    <row r="137" spans="1:14" ht="30" x14ac:dyDescent="0.25">
      <c r="A137" s="68" t="s">
        <v>670</v>
      </c>
      <c r="B137" s="65" t="s">
        <v>81</v>
      </c>
      <c r="C137" s="66">
        <v>510065</v>
      </c>
      <c r="D137" s="66">
        <v>-119529</v>
      </c>
      <c r="E137" s="66">
        <v>0</v>
      </c>
      <c r="F137" s="66">
        <v>0</v>
      </c>
      <c r="G137" s="66">
        <v>0</v>
      </c>
      <c r="H137" s="66">
        <v>390536</v>
      </c>
      <c r="I137" s="66">
        <v>-241191</v>
      </c>
      <c r="J137" s="66">
        <v>149345</v>
      </c>
      <c r="K137" s="66">
        <v>0</v>
      </c>
      <c r="L137" s="66">
        <v>0</v>
      </c>
      <c r="M137" s="66">
        <v>0</v>
      </c>
      <c r="N137" s="66">
        <v>149345</v>
      </c>
    </row>
    <row r="138" spans="1:14" ht="30" x14ac:dyDescent="0.25">
      <c r="A138" s="68" t="s">
        <v>670</v>
      </c>
      <c r="B138" s="65" t="s">
        <v>82</v>
      </c>
      <c r="C138" s="66">
        <v>536777</v>
      </c>
      <c r="D138" s="66">
        <v>0</v>
      </c>
      <c r="E138" s="66">
        <v>0</v>
      </c>
      <c r="F138" s="66">
        <v>0</v>
      </c>
      <c r="G138" s="66">
        <v>0</v>
      </c>
      <c r="H138" s="66">
        <v>536777</v>
      </c>
      <c r="I138" s="66">
        <v>-237059</v>
      </c>
      <c r="J138" s="66">
        <v>299718</v>
      </c>
      <c r="K138" s="66">
        <v>0</v>
      </c>
      <c r="L138" s="66">
        <v>0</v>
      </c>
      <c r="M138" s="66">
        <v>0</v>
      </c>
      <c r="N138" s="66">
        <v>299718</v>
      </c>
    </row>
    <row r="139" spans="1:14" ht="30" x14ac:dyDescent="0.25">
      <c r="A139" s="68" t="s">
        <v>670</v>
      </c>
      <c r="B139" s="65" t="s">
        <v>83</v>
      </c>
      <c r="C139" s="66">
        <v>5089165</v>
      </c>
      <c r="D139" s="66">
        <v>-1864365</v>
      </c>
      <c r="E139" s="66">
        <v>0</v>
      </c>
      <c r="F139" s="66">
        <v>0</v>
      </c>
      <c r="G139" s="66">
        <v>0</v>
      </c>
      <c r="H139" s="66">
        <v>3224800</v>
      </c>
      <c r="I139" s="66">
        <v>-2793676</v>
      </c>
      <c r="J139" s="66">
        <v>431124</v>
      </c>
      <c r="K139" s="66">
        <v>0</v>
      </c>
      <c r="L139" s="66">
        <v>0</v>
      </c>
      <c r="M139" s="66">
        <v>0</v>
      </c>
      <c r="N139" s="66">
        <v>431124</v>
      </c>
    </row>
    <row r="140" spans="1:14" ht="30" x14ac:dyDescent="0.25">
      <c r="A140" s="68" t="s">
        <v>670</v>
      </c>
      <c r="B140" s="65" t="s">
        <v>48</v>
      </c>
      <c r="C140" s="66">
        <v>16823236</v>
      </c>
      <c r="D140" s="66">
        <v>-11301204</v>
      </c>
      <c r="E140" s="66">
        <v>0</v>
      </c>
      <c r="F140" s="66">
        <v>0</v>
      </c>
      <c r="G140" s="66">
        <v>0</v>
      </c>
      <c r="H140" s="66">
        <v>5522032</v>
      </c>
      <c r="I140" s="66">
        <v>-4696717</v>
      </c>
      <c r="J140" s="66">
        <v>825315</v>
      </c>
      <c r="K140" s="66">
        <v>0</v>
      </c>
      <c r="L140" s="66">
        <v>0</v>
      </c>
      <c r="M140" s="66">
        <v>0</v>
      </c>
      <c r="N140" s="66">
        <v>825315</v>
      </c>
    </row>
    <row r="141" spans="1:14" ht="30" x14ac:dyDescent="0.25">
      <c r="A141" s="68" t="s">
        <v>670</v>
      </c>
      <c r="B141" s="65" t="s">
        <v>49</v>
      </c>
      <c r="C141" s="66">
        <v>21490595</v>
      </c>
      <c r="D141" s="66">
        <v>-14195739</v>
      </c>
      <c r="E141" s="66">
        <v>0</v>
      </c>
      <c r="F141" s="66">
        <v>0</v>
      </c>
      <c r="G141" s="66">
        <v>0</v>
      </c>
      <c r="H141" s="66">
        <v>7294856</v>
      </c>
      <c r="I141" s="66">
        <v>-6709311</v>
      </c>
      <c r="J141" s="66">
        <v>585545</v>
      </c>
      <c r="K141" s="66">
        <v>1598277</v>
      </c>
      <c r="L141" s="66">
        <v>0</v>
      </c>
      <c r="M141" s="66">
        <v>1598277</v>
      </c>
      <c r="N141" s="66">
        <v>-1012732</v>
      </c>
    </row>
    <row r="142" spans="1:14" ht="30" x14ac:dyDescent="0.25">
      <c r="A142" s="68" t="s">
        <v>670</v>
      </c>
      <c r="B142" s="65" t="s">
        <v>50</v>
      </c>
      <c r="C142" s="66">
        <v>29214710</v>
      </c>
      <c r="D142" s="66">
        <v>-20192611</v>
      </c>
      <c r="E142" s="66">
        <v>0</v>
      </c>
      <c r="F142" s="66">
        <v>0</v>
      </c>
      <c r="G142" s="66">
        <v>0</v>
      </c>
      <c r="H142" s="66">
        <v>9022099</v>
      </c>
      <c r="I142" s="66">
        <v>-8333024</v>
      </c>
      <c r="J142" s="66">
        <v>689075</v>
      </c>
      <c r="K142" s="66">
        <v>1993995</v>
      </c>
      <c r="L142" s="66">
        <v>0</v>
      </c>
      <c r="M142" s="66">
        <v>1993995</v>
      </c>
      <c r="N142" s="66">
        <v>-1304920</v>
      </c>
    </row>
    <row r="143" spans="1:14" ht="30" x14ac:dyDescent="0.25">
      <c r="A143" s="68" t="s">
        <v>670</v>
      </c>
      <c r="B143" s="65" t="s">
        <v>51</v>
      </c>
      <c r="C143" s="66">
        <v>25861614</v>
      </c>
      <c r="D143" s="66">
        <v>-18880506</v>
      </c>
      <c r="E143" s="66">
        <v>0</v>
      </c>
      <c r="F143" s="66">
        <v>0</v>
      </c>
      <c r="G143" s="66">
        <v>0</v>
      </c>
      <c r="H143" s="66">
        <v>6981108</v>
      </c>
      <c r="I143" s="66">
        <v>-5991522</v>
      </c>
      <c r="J143" s="66">
        <v>989586</v>
      </c>
      <c r="K143" s="66">
        <v>0</v>
      </c>
      <c r="L143" s="66">
        <v>0</v>
      </c>
      <c r="M143" s="66">
        <v>0</v>
      </c>
      <c r="N143" s="66">
        <v>989586</v>
      </c>
    </row>
    <row r="144" spans="1:14" ht="30" x14ac:dyDescent="0.25">
      <c r="A144" s="68" t="s">
        <v>670</v>
      </c>
      <c r="B144" s="65" t="s">
        <v>52</v>
      </c>
      <c r="C144" s="66">
        <v>18174399</v>
      </c>
      <c r="D144" s="66">
        <v>-13925899</v>
      </c>
      <c r="E144" s="66">
        <v>0</v>
      </c>
      <c r="F144" s="66">
        <v>0</v>
      </c>
      <c r="G144" s="66">
        <v>0</v>
      </c>
      <c r="H144" s="66">
        <v>4248500</v>
      </c>
      <c r="I144" s="66">
        <v>-3796742</v>
      </c>
      <c r="J144" s="66">
        <v>451758</v>
      </c>
      <c r="K144" s="66">
        <v>0</v>
      </c>
      <c r="L144" s="66">
        <v>0</v>
      </c>
      <c r="M144" s="66">
        <v>0</v>
      </c>
      <c r="N144" s="66">
        <v>451758</v>
      </c>
    </row>
    <row r="145" spans="1:14" ht="30" x14ac:dyDescent="0.25">
      <c r="A145" s="68" t="s">
        <v>670</v>
      </c>
      <c r="B145" s="65" t="s">
        <v>53</v>
      </c>
      <c r="C145" s="66">
        <v>20403643</v>
      </c>
      <c r="D145" s="66">
        <v>-14616191</v>
      </c>
      <c r="E145" s="66">
        <v>0</v>
      </c>
      <c r="F145" s="66">
        <v>0</v>
      </c>
      <c r="G145" s="66">
        <v>0</v>
      </c>
      <c r="H145" s="66">
        <v>5787452</v>
      </c>
      <c r="I145" s="66">
        <v>-5787452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</row>
    <row r="146" spans="1:14" ht="30" x14ac:dyDescent="0.25">
      <c r="A146" s="68" t="s">
        <v>670</v>
      </c>
      <c r="B146" s="65" t="s">
        <v>54</v>
      </c>
      <c r="C146" s="66">
        <v>19628117</v>
      </c>
      <c r="D146" s="66">
        <v>-14082003</v>
      </c>
      <c r="E146" s="66">
        <v>0</v>
      </c>
      <c r="F146" s="66">
        <v>0</v>
      </c>
      <c r="G146" s="66">
        <v>0</v>
      </c>
      <c r="H146" s="66">
        <v>5546114</v>
      </c>
      <c r="I146" s="66">
        <v>-5546114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</row>
    <row r="147" spans="1:14" ht="30" x14ac:dyDescent="0.25">
      <c r="A147" s="68" t="s">
        <v>670</v>
      </c>
      <c r="B147" s="65" t="s">
        <v>55</v>
      </c>
      <c r="C147" s="66">
        <v>19981734</v>
      </c>
      <c r="D147" s="66">
        <v>-14199532</v>
      </c>
      <c r="E147" s="66">
        <v>0</v>
      </c>
      <c r="F147" s="66">
        <v>0</v>
      </c>
      <c r="G147" s="66">
        <v>0</v>
      </c>
      <c r="H147" s="66">
        <v>5782202</v>
      </c>
      <c r="I147" s="66">
        <v>-5782202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</row>
    <row r="148" spans="1:14" ht="30" x14ac:dyDescent="0.25">
      <c r="A148" s="68" t="s">
        <v>670</v>
      </c>
      <c r="B148" s="65" t="s">
        <v>56</v>
      </c>
      <c r="C148" s="66">
        <v>21772841</v>
      </c>
      <c r="D148" s="66">
        <v>-14884156</v>
      </c>
      <c r="E148" s="66">
        <v>0</v>
      </c>
      <c r="F148" s="66">
        <v>0</v>
      </c>
      <c r="G148" s="66">
        <v>0</v>
      </c>
      <c r="H148" s="66">
        <v>6888685</v>
      </c>
      <c r="I148" s="66">
        <v>-6888685</v>
      </c>
      <c r="J148" s="66">
        <v>0</v>
      </c>
      <c r="K148" s="66">
        <v>858809</v>
      </c>
      <c r="L148" s="66">
        <v>-858809</v>
      </c>
      <c r="M148" s="66">
        <v>0</v>
      </c>
      <c r="N148" s="66">
        <v>0</v>
      </c>
    </row>
    <row r="149" spans="1:14" ht="30" x14ac:dyDescent="0.25">
      <c r="A149" s="68" t="s">
        <v>670</v>
      </c>
      <c r="B149" s="65" t="s">
        <v>57</v>
      </c>
      <c r="C149" s="66">
        <v>20305630</v>
      </c>
      <c r="D149" s="66">
        <v>-14144217</v>
      </c>
      <c r="E149" s="66">
        <v>0</v>
      </c>
      <c r="F149" s="66">
        <v>0</v>
      </c>
      <c r="G149" s="66">
        <v>0</v>
      </c>
      <c r="H149" s="66">
        <v>6161413</v>
      </c>
      <c r="I149" s="66">
        <v>-6161413</v>
      </c>
      <c r="J149" s="66">
        <v>0</v>
      </c>
      <c r="K149" s="66">
        <v>370613</v>
      </c>
      <c r="L149" s="66">
        <v>-370613</v>
      </c>
      <c r="M149" s="66">
        <v>0</v>
      </c>
      <c r="N149" s="66">
        <v>0</v>
      </c>
    </row>
    <row r="150" spans="1:14" ht="30" x14ac:dyDescent="0.25">
      <c r="A150" s="68" t="s">
        <v>670</v>
      </c>
      <c r="B150" s="65" t="s">
        <v>58</v>
      </c>
      <c r="C150" s="66">
        <v>18341342</v>
      </c>
      <c r="D150" s="66">
        <v>-12765244</v>
      </c>
      <c r="E150" s="66">
        <v>0</v>
      </c>
      <c r="F150" s="66">
        <v>0</v>
      </c>
      <c r="G150" s="66">
        <v>0</v>
      </c>
      <c r="H150" s="66">
        <v>5576098</v>
      </c>
      <c r="I150" s="66">
        <v>-5576098</v>
      </c>
      <c r="J150" s="66">
        <v>0</v>
      </c>
      <c r="K150" s="66">
        <v>377292</v>
      </c>
      <c r="L150" s="66">
        <v>-377292</v>
      </c>
      <c r="M150" s="66">
        <v>0</v>
      </c>
      <c r="N150" s="66">
        <v>0</v>
      </c>
    </row>
    <row r="151" spans="1:14" ht="30" x14ac:dyDescent="0.25">
      <c r="A151" s="68" t="s">
        <v>670</v>
      </c>
      <c r="B151" s="65" t="s">
        <v>59</v>
      </c>
      <c r="C151" s="66">
        <v>16334148</v>
      </c>
      <c r="D151" s="66">
        <v>-11319736</v>
      </c>
      <c r="E151" s="66">
        <v>0</v>
      </c>
      <c r="F151" s="66">
        <v>0</v>
      </c>
      <c r="G151" s="66">
        <v>0</v>
      </c>
      <c r="H151" s="66">
        <v>5014412</v>
      </c>
      <c r="I151" s="66">
        <v>-5014412</v>
      </c>
      <c r="J151" s="66">
        <v>0</v>
      </c>
      <c r="K151" s="66">
        <v>1149825</v>
      </c>
      <c r="L151" s="66">
        <v>-1149825</v>
      </c>
      <c r="M151" s="66">
        <v>0</v>
      </c>
      <c r="N151" s="66">
        <v>0</v>
      </c>
    </row>
    <row r="152" spans="1:14" ht="30" x14ac:dyDescent="0.25">
      <c r="A152" s="68" t="s">
        <v>670</v>
      </c>
      <c r="B152" s="65" t="s">
        <v>60</v>
      </c>
      <c r="C152" s="66">
        <v>12050951</v>
      </c>
      <c r="D152" s="66">
        <v>-8603579</v>
      </c>
      <c r="E152" s="66">
        <v>0</v>
      </c>
      <c r="F152" s="66">
        <v>0</v>
      </c>
      <c r="G152" s="66">
        <v>0</v>
      </c>
      <c r="H152" s="66">
        <v>3447372</v>
      </c>
      <c r="I152" s="66">
        <v>-3447372</v>
      </c>
      <c r="J152" s="66">
        <v>0</v>
      </c>
      <c r="K152" s="66">
        <v>2446054</v>
      </c>
      <c r="L152" s="66">
        <v>-1758445</v>
      </c>
      <c r="M152" s="66">
        <v>687609</v>
      </c>
      <c r="N152" s="66">
        <v>-687609</v>
      </c>
    </row>
    <row r="153" spans="1:14" ht="15.75" x14ac:dyDescent="0.25">
      <c r="A153" s="52" t="s">
        <v>635</v>
      </c>
      <c r="B153" s="96" t="s">
        <v>8</v>
      </c>
      <c r="C153" s="95">
        <f>SUBTOTAL(109,Program267[(C)
Program
Costs])</f>
        <v>266850110</v>
      </c>
      <c r="D153" s="95">
        <f>SUBTOTAL(109,Program267[(D)
Prior Period Adjustments])</f>
        <v>-185104511</v>
      </c>
      <c r="E153" s="95">
        <f>SUBTOTAL(109,Program267[(E)
Current Period Desk 
Reviews])</f>
        <v>0</v>
      </c>
      <c r="F153" s="95">
        <f>SUBTOTAL(109,Program267[(F)
Current Period 
Final 
Audits])</f>
        <v>0</v>
      </c>
      <c r="G153" s="95">
        <f>SUBTOTAL(109,Program267[(G)
Current Period 
Other Adjustments])</f>
        <v>0</v>
      </c>
      <c r="H153" s="95">
        <f>SUBTOTAL(109,Program267[(H)
Net Program Costs
Sum (C through G)])</f>
        <v>81745599</v>
      </c>
      <c r="I153" s="95">
        <f>SUBTOTAL(109,Program267[(I)
Payments
 and Offsets])</f>
        <v>-77124241</v>
      </c>
      <c r="J153" s="95">
        <f>SUBTOTAL(109,Program267[(J)
Accounts Payable Balance
(H + I)])</f>
        <v>4621358</v>
      </c>
      <c r="K153" s="95">
        <f>SUBTOTAL(109,Program267[(K)
Established 
Accounts Receivable])</f>
        <v>8794865</v>
      </c>
      <c r="L153" s="95">
        <f>SUBTOTAL(109,Program267[(L)
Recovered
 Accounts Receivable])</f>
        <v>-4514984</v>
      </c>
      <c r="M153" s="95">
        <f>SUBTOTAL(109,Program267[(M)
Accounts Receivable Balance
(K + L)])</f>
        <v>4279881</v>
      </c>
      <c r="N153" s="95">
        <f>SUBTOTAL(109,Program267[(N)
Net Balance
(J minus M)])</f>
        <v>341477</v>
      </c>
    </row>
    <row r="154" spans="1:14" ht="15.75" x14ac:dyDescent="0.25">
      <c r="A154" s="17" t="s">
        <v>13</v>
      </c>
      <c r="B154" s="54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78.75" x14ac:dyDescent="0.25">
      <c r="A155" s="39" t="s">
        <v>32</v>
      </c>
      <c r="B155" s="40" t="s">
        <v>33</v>
      </c>
      <c r="C155" s="41" t="s">
        <v>34</v>
      </c>
      <c r="D155" s="41" t="s">
        <v>35</v>
      </c>
      <c r="E155" s="42" t="s">
        <v>36</v>
      </c>
      <c r="F155" s="42" t="s">
        <v>37</v>
      </c>
      <c r="G155" s="42" t="s">
        <v>38</v>
      </c>
      <c r="H155" s="43" t="s">
        <v>39</v>
      </c>
      <c r="I155" s="44" t="s">
        <v>40</v>
      </c>
      <c r="J155" s="44" t="s">
        <v>41</v>
      </c>
      <c r="K155" s="42" t="s">
        <v>42</v>
      </c>
      <c r="L155" s="44" t="s">
        <v>43</v>
      </c>
      <c r="M155" s="44" t="s">
        <v>44</v>
      </c>
      <c r="N155" s="45" t="s">
        <v>45</v>
      </c>
    </row>
    <row r="156" spans="1:14" ht="15.75" x14ac:dyDescent="0.25">
      <c r="A156" s="46" t="s">
        <v>669</v>
      </c>
      <c r="B156" s="47" t="s">
        <v>55</v>
      </c>
      <c r="C156" s="48">
        <v>4739</v>
      </c>
      <c r="D156" s="48">
        <v>0</v>
      </c>
      <c r="E156" s="48">
        <v>0</v>
      </c>
      <c r="F156" s="48">
        <v>0</v>
      </c>
      <c r="G156" s="48">
        <v>0</v>
      </c>
      <c r="H156" s="48">
        <v>4739</v>
      </c>
      <c r="I156" s="48">
        <v>-4739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</row>
    <row r="157" spans="1:14" ht="15.75" x14ac:dyDescent="0.25">
      <c r="A157" s="49" t="s">
        <v>669</v>
      </c>
      <c r="B157" s="50" t="s">
        <v>56</v>
      </c>
      <c r="C157" s="51">
        <v>1383</v>
      </c>
      <c r="D157" s="51">
        <v>0</v>
      </c>
      <c r="E157" s="51">
        <v>0</v>
      </c>
      <c r="F157" s="51">
        <v>0</v>
      </c>
      <c r="G157" s="51">
        <v>0</v>
      </c>
      <c r="H157" s="51">
        <v>1383</v>
      </c>
      <c r="I157" s="51">
        <v>-1383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</row>
    <row r="158" spans="1:14" ht="15.75" x14ac:dyDescent="0.25">
      <c r="A158" s="49" t="s">
        <v>669</v>
      </c>
      <c r="B158" s="50" t="s">
        <v>57</v>
      </c>
      <c r="C158" s="51">
        <v>6341</v>
      </c>
      <c r="D158" s="51">
        <v>-216</v>
      </c>
      <c r="E158" s="51">
        <v>0</v>
      </c>
      <c r="F158" s="51">
        <v>0</v>
      </c>
      <c r="G158" s="51">
        <v>0</v>
      </c>
      <c r="H158" s="51">
        <v>6125</v>
      </c>
      <c r="I158" s="51">
        <v>-6125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</row>
    <row r="159" spans="1:14" ht="15.75" x14ac:dyDescent="0.25">
      <c r="A159" s="49" t="s">
        <v>669</v>
      </c>
      <c r="B159" s="50" t="s">
        <v>58</v>
      </c>
      <c r="C159" s="51">
        <v>22608</v>
      </c>
      <c r="D159" s="51">
        <v>0</v>
      </c>
      <c r="E159" s="51">
        <v>0</v>
      </c>
      <c r="F159" s="51">
        <v>0</v>
      </c>
      <c r="G159" s="51">
        <v>0</v>
      </c>
      <c r="H159" s="51">
        <v>22608</v>
      </c>
      <c r="I159" s="51">
        <v>-22608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</row>
    <row r="160" spans="1:14" ht="15.75" x14ac:dyDescent="0.25">
      <c r="A160" s="52" t="s">
        <v>634</v>
      </c>
      <c r="B160" s="53" t="s">
        <v>8</v>
      </c>
      <c r="C160" s="19">
        <f>SUBTOTAL(109,Program243[(C)
Program
Costs])</f>
        <v>35071</v>
      </c>
      <c r="D160" s="19">
        <f>SUBTOTAL(109,Program243[(D)
Prior Period Adjustments])</f>
        <v>-216</v>
      </c>
      <c r="E160" s="19">
        <f>SUBTOTAL(109,Program243[(E)
Current Period Desk 
Reviews])</f>
        <v>0</v>
      </c>
      <c r="F160" s="19">
        <f>SUBTOTAL(109,Program243[(F)
Current Period 
Final 
Audits])</f>
        <v>0</v>
      </c>
      <c r="G160" s="19">
        <f>SUBTOTAL(109,Program243[(G)
Current Period 
Other Adjustments])</f>
        <v>0</v>
      </c>
      <c r="H160" s="19">
        <f>SUBTOTAL(109,Program243[(H)
Net Program Costs
Sum (C through G)])</f>
        <v>34855</v>
      </c>
      <c r="I160" s="19">
        <f>SUBTOTAL(109,Program243[(I)
Payments
 and Offsets])</f>
        <v>-34855</v>
      </c>
      <c r="J160" s="19">
        <f>SUBTOTAL(109,Program243[(J)
Accounts Payable Balance
(H + I)])</f>
        <v>0</v>
      </c>
      <c r="K160" s="19">
        <f>SUBTOTAL(109,Program243[(K)
Established 
Accounts Receivable])</f>
        <v>0</v>
      </c>
      <c r="L160" s="19">
        <f>SUBTOTAL(109,Program243[(L)
Recovered
 Accounts Receivable])</f>
        <v>0</v>
      </c>
      <c r="M160" s="19">
        <f>SUBTOTAL(109,Program243[(M)
Accounts Receivable Balance
(K + L)])</f>
        <v>0</v>
      </c>
      <c r="N160" s="19">
        <f>SUBTOTAL(109,Program243[(N)
Net Balance
(J minus M)])</f>
        <v>0</v>
      </c>
    </row>
    <row r="161" spans="1:14" ht="15.75" x14ac:dyDescent="0.25">
      <c r="A161" s="17" t="s">
        <v>13</v>
      </c>
      <c r="B161" s="54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</row>
    <row r="162" spans="1:14" ht="78.75" x14ac:dyDescent="0.25">
      <c r="A162" s="39" t="s">
        <v>32</v>
      </c>
      <c r="B162" s="40" t="s">
        <v>33</v>
      </c>
      <c r="C162" s="41" t="s">
        <v>34</v>
      </c>
      <c r="D162" s="41" t="s">
        <v>35</v>
      </c>
      <c r="E162" s="42" t="s">
        <v>36</v>
      </c>
      <c r="F162" s="42" t="s">
        <v>37</v>
      </c>
      <c r="G162" s="42" t="s">
        <v>38</v>
      </c>
      <c r="H162" s="43" t="s">
        <v>39</v>
      </c>
      <c r="I162" s="44" t="s">
        <v>40</v>
      </c>
      <c r="J162" s="44" t="s">
        <v>41</v>
      </c>
      <c r="K162" s="42" t="s">
        <v>42</v>
      </c>
      <c r="L162" s="44" t="s">
        <v>43</v>
      </c>
      <c r="M162" s="44" t="s">
        <v>44</v>
      </c>
      <c r="N162" s="45" t="s">
        <v>45</v>
      </c>
    </row>
    <row r="163" spans="1:14" ht="30" x14ac:dyDescent="0.25">
      <c r="A163" s="67" t="s">
        <v>668</v>
      </c>
      <c r="B163" s="57" t="s">
        <v>58</v>
      </c>
      <c r="C163" s="58">
        <v>417</v>
      </c>
      <c r="D163" s="58">
        <v>0</v>
      </c>
      <c r="E163" s="58">
        <v>0</v>
      </c>
      <c r="F163" s="58">
        <v>0</v>
      </c>
      <c r="G163" s="58">
        <v>0</v>
      </c>
      <c r="H163" s="58">
        <v>417</v>
      </c>
      <c r="I163" s="58">
        <v>-417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</row>
    <row r="164" spans="1:14" ht="30" x14ac:dyDescent="0.25">
      <c r="A164" s="68" t="s">
        <v>668</v>
      </c>
      <c r="B164" s="60" t="s">
        <v>59</v>
      </c>
      <c r="C164" s="61">
        <v>453</v>
      </c>
      <c r="D164" s="61">
        <v>0</v>
      </c>
      <c r="E164" s="61">
        <v>0</v>
      </c>
      <c r="F164" s="61">
        <v>0</v>
      </c>
      <c r="G164" s="61">
        <v>0</v>
      </c>
      <c r="H164" s="61">
        <v>453</v>
      </c>
      <c r="I164" s="61">
        <v>-453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</row>
    <row r="165" spans="1:14" ht="30" x14ac:dyDescent="0.25">
      <c r="A165" s="68" t="s">
        <v>668</v>
      </c>
      <c r="B165" s="60" t="s">
        <v>60</v>
      </c>
      <c r="C165" s="61">
        <v>462</v>
      </c>
      <c r="D165" s="61">
        <v>0</v>
      </c>
      <c r="E165" s="61">
        <v>0</v>
      </c>
      <c r="F165" s="61">
        <v>0</v>
      </c>
      <c r="G165" s="61">
        <v>0</v>
      </c>
      <c r="H165" s="61">
        <v>462</v>
      </c>
      <c r="I165" s="61">
        <v>-462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</row>
    <row r="166" spans="1:14" ht="30" x14ac:dyDescent="0.25">
      <c r="A166" s="68" t="s">
        <v>668</v>
      </c>
      <c r="B166" s="60" t="s">
        <v>61</v>
      </c>
      <c r="C166" s="61">
        <v>3479</v>
      </c>
      <c r="D166" s="61">
        <v>0</v>
      </c>
      <c r="E166" s="61">
        <v>0</v>
      </c>
      <c r="F166" s="61">
        <v>0</v>
      </c>
      <c r="G166" s="61">
        <v>0</v>
      </c>
      <c r="H166" s="61">
        <v>3479</v>
      </c>
      <c r="I166" s="61">
        <v>-3479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</row>
    <row r="167" spans="1:14" ht="15.75" x14ac:dyDescent="0.25">
      <c r="A167" s="52" t="s">
        <v>633</v>
      </c>
      <c r="B167" s="53" t="s">
        <v>8</v>
      </c>
      <c r="C167" s="19">
        <f>SUBTOTAL(109,Program233[(C)
Program
Costs])</f>
        <v>4811</v>
      </c>
      <c r="D167" s="19">
        <f>SUBTOTAL(109,Program233[(D)
Prior Period Adjustments])</f>
        <v>0</v>
      </c>
      <c r="E167" s="19">
        <f>SUBTOTAL(109,Program233[(E)
Current Period Desk 
Reviews])</f>
        <v>0</v>
      </c>
      <c r="F167" s="19">
        <f>SUBTOTAL(109,Program233[(F)
Current Period 
Final 
Audits])</f>
        <v>0</v>
      </c>
      <c r="G167" s="19">
        <f>SUBTOTAL(109,Program233[(G)
Current Period 
Other Adjustments])</f>
        <v>0</v>
      </c>
      <c r="H167" s="19">
        <f>SUBTOTAL(109,Program233[(H)
Net Program Costs
Sum (C through G)])</f>
        <v>4811</v>
      </c>
      <c r="I167" s="19">
        <f>SUBTOTAL(109,Program233[(I)
Payments
 and Offsets])</f>
        <v>-4811</v>
      </c>
      <c r="J167" s="19">
        <f>SUBTOTAL(109,Program233[(J)
Accounts Payable Balance
(H + I)])</f>
        <v>0</v>
      </c>
      <c r="K167" s="19">
        <f>SUBTOTAL(109,Program233[(K)
Established 
Accounts Receivable])</f>
        <v>0</v>
      </c>
      <c r="L167" s="19">
        <f>SUBTOTAL(109,Program233[(L)
Recovered
 Accounts Receivable])</f>
        <v>0</v>
      </c>
      <c r="M167" s="19">
        <f>SUBTOTAL(109,Program233[(M)
Accounts Receivable Balance
(K + L)])</f>
        <v>0</v>
      </c>
      <c r="N167" s="19">
        <f>SUBTOTAL(109,Program233[(N)
Net Balance
(J minus M)])</f>
        <v>0</v>
      </c>
    </row>
    <row r="168" spans="1:14" ht="15.75" x14ac:dyDescent="0.25">
      <c r="A168" s="17" t="s">
        <v>13</v>
      </c>
      <c r="B168" s="54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</row>
    <row r="169" spans="1:14" ht="78.75" x14ac:dyDescent="0.25">
      <c r="A169" s="39" t="s">
        <v>32</v>
      </c>
      <c r="B169" s="40" t="s">
        <v>33</v>
      </c>
      <c r="C169" s="41" t="s">
        <v>34</v>
      </c>
      <c r="D169" s="41" t="s">
        <v>35</v>
      </c>
      <c r="E169" s="42" t="s">
        <v>36</v>
      </c>
      <c r="F169" s="42" t="s">
        <v>37</v>
      </c>
      <c r="G169" s="42" t="s">
        <v>38</v>
      </c>
      <c r="H169" s="43" t="s">
        <v>39</v>
      </c>
      <c r="I169" s="44" t="s">
        <v>40</v>
      </c>
      <c r="J169" s="44" t="s">
        <v>41</v>
      </c>
      <c r="K169" s="42" t="s">
        <v>42</v>
      </c>
      <c r="L169" s="44" t="s">
        <v>43</v>
      </c>
      <c r="M169" s="44" t="s">
        <v>44</v>
      </c>
      <c r="N169" s="45" t="s">
        <v>45</v>
      </c>
    </row>
    <row r="170" spans="1:14" ht="15.75" x14ac:dyDescent="0.25">
      <c r="A170" s="46" t="s">
        <v>667</v>
      </c>
      <c r="B170" s="47" t="s">
        <v>61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207365</v>
      </c>
      <c r="L170" s="48">
        <v>-207365</v>
      </c>
      <c r="M170" s="48">
        <v>0</v>
      </c>
      <c r="N170" s="48">
        <v>0</v>
      </c>
    </row>
    <row r="171" spans="1:14" ht="15.75" x14ac:dyDescent="0.25">
      <c r="A171" s="49" t="s">
        <v>667</v>
      </c>
      <c r="B171" s="50" t="s">
        <v>64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54545</v>
      </c>
      <c r="L171" s="51">
        <v>-54545</v>
      </c>
      <c r="M171" s="51">
        <v>0</v>
      </c>
      <c r="N171" s="51">
        <v>0</v>
      </c>
    </row>
    <row r="172" spans="1:14" ht="15.75" x14ac:dyDescent="0.25">
      <c r="A172" s="49" t="s">
        <v>667</v>
      </c>
      <c r="B172" s="50" t="s">
        <v>65</v>
      </c>
      <c r="C172" s="51">
        <v>1886992</v>
      </c>
      <c r="D172" s="51">
        <v>-109419</v>
      </c>
      <c r="E172" s="51">
        <v>0</v>
      </c>
      <c r="F172" s="51">
        <v>0</v>
      </c>
      <c r="G172" s="51">
        <v>0</v>
      </c>
      <c r="H172" s="51">
        <v>1777573</v>
      </c>
      <c r="I172" s="51">
        <v>-1777573</v>
      </c>
      <c r="J172" s="51">
        <v>0</v>
      </c>
      <c r="K172" s="51">
        <v>2291</v>
      </c>
      <c r="L172" s="51">
        <v>-2291</v>
      </c>
      <c r="M172" s="51">
        <v>0</v>
      </c>
      <c r="N172" s="51">
        <v>0</v>
      </c>
    </row>
    <row r="173" spans="1:14" ht="15.75" x14ac:dyDescent="0.25">
      <c r="A173" s="49" t="s">
        <v>667</v>
      </c>
      <c r="B173" s="50" t="s">
        <v>66</v>
      </c>
      <c r="C173" s="51">
        <v>1269423</v>
      </c>
      <c r="D173" s="51">
        <v>-138446</v>
      </c>
      <c r="E173" s="51">
        <v>0</v>
      </c>
      <c r="F173" s="51">
        <v>0</v>
      </c>
      <c r="G173" s="51">
        <v>0</v>
      </c>
      <c r="H173" s="51">
        <v>1130977</v>
      </c>
      <c r="I173" s="51">
        <v>-1130977</v>
      </c>
      <c r="J173" s="51">
        <v>0</v>
      </c>
      <c r="K173" s="51">
        <v>119762</v>
      </c>
      <c r="L173" s="51">
        <v>-119762</v>
      </c>
      <c r="M173" s="51">
        <v>0</v>
      </c>
      <c r="N173" s="51">
        <v>0</v>
      </c>
    </row>
    <row r="174" spans="1:14" ht="15.75" x14ac:dyDescent="0.25">
      <c r="A174" s="49" t="s">
        <v>667</v>
      </c>
      <c r="B174" s="50" t="s">
        <v>67</v>
      </c>
      <c r="C174" s="51">
        <v>1398712</v>
      </c>
      <c r="D174" s="51">
        <v>39750</v>
      </c>
      <c r="E174" s="51">
        <v>0</v>
      </c>
      <c r="F174" s="51">
        <v>0</v>
      </c>
      <c r="G174" s="51">
        <v>0</v>
      </c>
      <c r="H174" s="51">
        <v>1438462</v>
      </c>
      <c r="I174" s="51">
        <v>-1438462</v>
      </c>
      <c r="J174" s="51">
        <v>0</v>
      </c>
      <c r="K174" s="51">
        <v>89698</v>
      </c>
      <c r="L174" s="51">
        <v>-89698</v>
      </c>
      <c r="M174" s="51">
        <v>0</v>
      </c>
      <c r="N174" s="51">
        <v>0</v>
      </c>
    </row>
    <row r="175" spans="1:14" ht="15.75" x14ac:dyDescent="0.25">
      <c r="A175" s="49" t="s">
        <v>667</v>
      </c>
      <c r="B175" s="50" t="s">
        <v>68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68964</v>
      </c>
      <c r="L175" s="51">
        <v>-68964</v>
      </c>
      <c r="M175" s="51">
        <v>0</v>
      </c>
      <c r="N175" s="51">
        <v>0</v>
      </c>
    </row>
    <row r="176" spans="1:14" ht="15.75" x14ac:dyDescent="0.25">
      <c r="A176" s="49" t="s">
        <v>667</v>
      </c>
      <c r="B176" s="50" t="s">
        <v>69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14486</v>
      </c>
      <c r="L176" s="51">
        <v>-14486</v>
      </c>
      <c r="M176" s="51">
        <v>0</v>
      </c>
      <c r="N176" s="51">
        <v>0</v>
      </c>
    </row>
    <row r="177" spans="1:14" ht="15.75" x14ac:dyDescent="0.25">
      <c r="A177" s="52" t="s">
        <v>632</v>
      </c>
      <c r="B177" s="53" t="s">
        <v>8</v>
      </c>
      <c r="C177" s="19">
        <f>SUBTOTAL(109,Program029[(C)
Program
Costs])</f>
        <v>4555127</v>
      </c>
      <c r="D177" s="19">
        <f>SUBTOTAL(109,Program029[(D)
Prior Period Adjustments])</f>
        <v>-208115</v>
      </c>
      <c r="E177" s="19">
        <f>SUBTOTAL(109,Program029[(E)
Current Period Desk 
Reviews])</f>
        <v>0</v>
      </c>
      <c r="F177" s="19">
        <f>SUBTOTAL(109,Program029[(F)
Current Period 
Final 
Audits])</f>
        <v>0</v>
      </c>
      <c r="G177" s="19">
        <f>SUBTOTAL(109,Program029[(G)
Current Period 
Other Adjustments])</f>
        <v>0</v>
      </c>
      <c r="H177" s="19">
        <f>SUBTOTAL(109,Program029[(H)
Net Program Costs
Sum (C through G)])</f>
        <v>4347012</v>
      </c>
      <c r="I177" s="19">
        <f>SUBTOTAL(109,Program029[(I)
Payments
 and Offsets])</f>
        <v>-4347012</v>
      </c>
      <c r="J177" s="19">
        <f>SUBTOTAL(109,Program029[(J)
Accounts Payable Balance
(H + I)])</f>
        <v>0</v>
      </c>
      <c r="K177" s="19">
        <f>SUBTOTAL(109,Program029[(K)
Established 
Accounts Receivable])</f>
        <v>557111</v>
      </c>
      <c r="L177" s="19">
        <f>SUBTOTAL(109,Program029[(L)
Recovered
 Accounts Receivable])</f>
        <v>-557111</v>
      </c>
      <c r="M177" s="19">
        <f>SUBTOTAL(109,Program029[(M)
Accounts Receivable Balance
(K + L)])</f>
        <v>0</v>
      </c>
      <c r="N177" s="19">
        <f>SUBTOTAL(109,Program029[(N)
Net Balance
(J minus M)])</f>
        <v>0</v>
      </c>
    </row>
    <row r="178" spans="1:14" ht="15.75" x14ac:dyDescent="0.25">
      <c r="A178" s="17" t="s">
        <v>13</v>
      </c>
      <c r="B178" s="54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</row>
    <row r="179" spans="1:14" ht="78.75" x14ac:dyDescent="0.25">
      <c r="A179" s="39" t="s">
        <v>32</v>
      </c>
      <c r="B179" s="40" t="s">
        <v>33</v>
      </c>
      <c r="C179" s="41" t="s">
        <v>34</v>
      </c>
      <c r="D179" s="41" t="s">
        <v>35</v>
      </c>
      <c r="E179" s="42" t="s">
        <v>36</v>
      </c>
      <c r="F179" s="42" t="s">
        <v>37</v>
      </c>
      <c r="G179" s="42" t="s">
        <v>38</v>
      </c>
      <c r="H179" s="43" t="s">
        <v>39</v>
      </c>
      <c r="I179" s="44" t="s">
        <v>40</v>
      </c>
      <c r="J179" s="44" t="s">
        <v>41</v>
      </c>
      <c r="K179" s="42" t="s">
        <v>42</v>
      </c>
      <c r="L179" s="44" t="s">
        <v>43</v>
      </c>
      <c r="M179" s="44" t="s">
        <v>44</v>
      </c>
      <c r="N179" s="45" t="s">
        <v>45</v>
      </c>
    </row>
    <row r="180" spans="1:14" ht="30" x14ac:dyDescent="0.25">
      <c r="A180" s="67" t="s">
        <v>666</v>
      </c>
      <c r="B180" s="57" t="s">
        <v>82</v>
      </c>
      <c r="C180" s="58">
        <v>560276</v>
      </c>
      <c r="D180" s="58">
        <v>0</v>
      </c>
      <c r="E180" s="58">
        <v>0</v>
      </c>
      <c r="F180" s="58">
        <v>0</v>
      </c>
      <c r="G180" s="58">
        <v>0</v>
      </c>
      <c r="H180" s="58">
        <v>560276</v>
      </c>
      <c r="I180" s="58">
        <v>-560276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</row>
    <row r="181" spans="1:14" ht="30" x14ac:dyDescent="0.25">
      <c r="A181" s="68" t="s">
        <v>666</v>
      </c>
      <c r="B181" s="60" t="s">
        <v>83</v>
      </c>
      <c r="C181" s="61">
        <v>5160663</v>
      </c>
      <c r="D181" s="61">
        <v>-72337</v>
      </c>
      <c r="E181" s="61">
        <v>0</v>
      </c>
      <c r="F181" s="61">
        <v>0</v>
      </c>
      <c r="G181" s="61">
        <v>0</v>
      </c>
      <c r="H181" s="61">
        <v>5088326</v>
      </c>
      <c r="I181" s="61">
        <v>-4654500</v>
      </c>
      <c r="J181" s="61">
        <v>433826</v>
      </c>
      <c r="K181" s="61">
        <v>0</v>
      </c>
      <c r="L181" s="61">
        <v>0</v>
      </c>
      <c r="M181" s="61">
        <v>0</v>
      </c>
      <c r="N181" s="61">
        <v>433826</v>
      </c>
    </row>
    <row r="182" spans="1:14" ht="30" x14ac:dyDescent="0.25">
      <c r="A182" s="68" t="s">
        <v>666</v>
      </c>
      <c r="B182" s="60" t="s">
        <v>48</v>
      </c>
      <c r="C182" s="61">
        <v>6094165</v>
      </c>
      <c r="D182" s="61">
        <v>-458030</v>
      </c>
      <c r="E182" s="61">
        <v>0</v>
      </c>
      <c r="F182" s="61">
        <v>0</v>
      </c>
      <c r="G182" s="61">
        <v>0</v>
      </c>
      <c r="H182" s="61">
        <v>5636135</v>
      </c>
      <c r="I182" s="61">
        <v>-5636135</v>
      </c>
      <c r="J182" s="61">
        <v>0</v>
      </c>
      <c r="K182" s="61">
        <v>0</v>
      </c>
      <c r="L182" s="61">
        <v>0</v>
      </c>
      <c r="M182" s="61">
        <v>0</v>
      </c>
      <c r="N182" s="61">
        <v>0</v>
      </c>
    </row>
    <row r="183" spans="1:14" ht="30" x14ac:dyDescent="0.25">
      <c r="A183" s="68" t="s">
        <v>666</v>
      </c>
      <c r="B183" s="60" t="s">
        <v>49</v>
      </c>
      <c r="C183" s="61">
        <v>4954132</v>
      </c>
      <c r="D183" s="61">
        <v>-1887766</v>
      </c>
      <c r="E183" s="61">
        <v>0</v>
      </c>
      <c r="F183" s="61">
        <v>0</v>
      </c>
      <c r="G183" s="61">
        <v>0</v>
      </c>
      <c r="H183" s="61">
        <v>3066366</v>
      </c>
      <c r="I183" s="61">
        <v>-3066366</v>
      </c>
      <c r="J183" s="61">
        <v>0</v>
      </c>
      <c r="K183" s="61">
        <v>1619834</v>
      </c>
      <c r="L183" s="61">
        <v>-258603</v>
      </c>
      <c r="M183" s="61">
        <v>1361231</v>
      </c>
      <c r="N183" s="61">
        <v>-1361231</v>
      </c>
    </row>
    <row r="184" spans="1:14" ht="30" x14ac:dyDescent="0.25">
      <c r="A184" s="68" t="s">
        <v>666</v>
      </c>
      <c r="B184" s="60" t="s">
        <v>50</v>
      </c>
      <c r="C184" s="61">
        <v>7214867</v>
      </c>
      <c r="D184" s="61">
        <v>-4476886</v>
      </c>
      <c r="E184" s="61">
        <v>0</v>
      </c>
      <c r="F184" s="61">
        <v>0</v>
      </c>
      <c r="G184" s="61">
        <v>0</v>
      </c>
      <c r="H184" s="61">
        <v>2737981</v>
      </c>
      <c r="I184" s="61">
        <v>-2737981</v>
      </c>
      <c r="J184" s="61">
        <v>0</v>
      </c>
      <c r="K184" s="61">
        <v>3372799</v>
      </c>
      <c r="L184" s="61">
        <v>-384373</v>
      </c>
      <c r="M184" s="61">
        <v>2988426</v>
      </c>
      <c r="N184" s="61">
        <v>-2988426</v>
      </c>
    </row>
    <row r="185" spans="1:14" ht="30" x14ac:dyDescent="0.25">
      <c r="A185" s="68" t="s">
        <v>666</v>
      </c>
      <c r="B185" s="60" t="s">
        <v>51</v>
      </c>
      <c r="C185" s="61">
        <v>7628146</v>
      </c>
      <c r="D185" s="61">
        <v>-5075107</v>
      </c>
      <c r="E185" s="61">
        <v>0</v>
      </c>
      <c r="F185" s="61">
        <v>0</v>
      </c>
      <c r="G185" s="61">
        <v>0</v>
      </c>
      <c r="H185" s="61">
        <v>2553039</v>
      </c>
      <c r="I185" s="61">
        <v>-2553039</v>
      </c>
      <c r="J185" s="61">
        <v>0</v>
      </c>
      <c r="K185" s="61">
        <v>2583827</v>
      </c>
      <c r="L185" s="61">
        <v>-926649</v>
      </c>
      <c r="M185" s="61">
        <v>1657178</v>
      </c>
      <c r="N185" s="61">
        <v>-1657178</v>
      </c>
    </row>
    <row r="186" spans="1:14" ht="30" x14ac:dyDescent="0.25">
      <c r="A186" s="68" t="s">
        <v>666</v>
      </c>
      <c r="B186" s="60" t="s">
        <v>52</v>
      </c>
      <c r="C186" s="61">
        <v>6612012</v>
      </c>
      <c r="D186" s="61">
        <v>-4494798</v>
      </c>
      <c r="E186" s="61">
        <v>0</v>
      </c>
      <c r="F186" s="61">
        <v>0</v>
      </c>
      <c r="G186" s="61">
        <v>0</v>
      </c>
      <c r="H186" s="61">
        <v>2117214</v>
      </c>
      <c r="I186" s="61">
        <v>-2079660</v>
      </c>
      <c r="J186" s="61">
        <v>37554</v>
      </c>
      <c r="K186" s="61">
        <v>3094765</v>
      </c>
      <c r="L186" s="61">
        <v>-2027098</v>
      </c>
      <c r="M186" s="61">
        <v>1067667</v>
      </c>
      <c r="N186" s="61">
        <v>-1030113</v>
      </c>
    </row>
    <row r="187" spans="1:14" ht="30" x14ac:dyDescent="0.25">
      <c r="A187" s="68" t="s">
        <v>666</v>
      </c>
      <c r="B187" s="60" t="s">
        <v>53</v>
      </c>
      <c r="C187" s="61">
        <v>9800727</v>
      </c>
      <c r="D187" s="61">
        <v>-6502175</v>
      </c>
      <c r="E187" s="61">
        <v>0</v>
      </c>
      <c r="F187" s="61">
        <v>0</v>
      </c>
      <c r="G187" s="61">
        <v>0</v>
      </c>
      <c r="H187" s="61">
        <v>3298552</v>
      </c>
      <c r="I187" s="61">
        <v>-3211845</v>
      </c>
      <c r="J187" s="61">
        <v>86707</v>
      </c>
      <c r="K187" s="61">
        <v>0</v>
      </c>
      <c r="L187" s="61">
        <v>0</v>
      </c>
      <c r="M187" s="61">
        <v>0</v>
      </c>
      <c r="N187" s="61">
        <v>86707</v>
      </c>
    </row>
    <row r="188" spans="1:14" ht="30" x14ac:dyDescent="0.25">
      <c r="A188" s="68" t="s">
        <v>666</v>
      </c>
      <c r="B188" s="60" t="s">
        <v>54</v>
      </c>
      <c r="C188" s="61">
        <v>11698470</v>
      </c>
      <c r="D188" s="61">
        <v>-4661214</v>
      </c>
      <c r="E188" s="61">
        <v>0</v>
      </c>
      <c r="F188" s="61">
        <v>0</v>
      </c>
      <c r="G188" s="61">
        <v>0</v>
      </c>
      <c r="H188" s="61">
        <v>7037256</v>
      </c>
      <c r="I188" s="61">
        <v>-7037256</v>
      </c>
      <c r="J188" s="61">
        <v>0</v>
      </c>
      <c r="K188" s="61">
        <v>0</v>
      </c>
      <c r="L188" s="61">
        <v>0</v>
      </c>
      <c r="M188" s="61">
        <v>0</v>
      </c>
      <c r="N188" s="61">
        <v>0</v>
      </c>
    </row>
    <row r="189" spans="1:14" ht="30" x14ac:dyDescent="0.25">
      <c r="A189" s="68" t="s">
        <v>666</v>
      </c>
      <c r="B189" s="60" t="s">
        <v>55</v>
      </c>
      <c r="C189" s="61">
        <v>10545681</v>
      </c>
      <c r="D189" s="61">
        <v>-4931295</v>
      </c>
      <c r="E189" s="61">
        <v>0</v>
      </c>
      <c r="F189" s="61">
        <v>0</v>
      </c>
      <c r="G189" s="61">
        <v>0</v>
      </c>
      <c r="H189" s="61">
        <v>5614386</v>
      </c>
      <c r="I189" s="61">
        <v>-5614386</v>
      </c>
      <c r="J189" s="61">
        <v>0</v>
      </c>
      <c r="K189" s="61">
        <v>0</v>
      </c>
      <c r="L189" s="61">
        <v>0</v>
      </c>
      <c r="M189" s="61">
        <v>0</v>
      </c>
      <c r="N189" s="61">
        <v>0</v>
      </c>
    </row>
    <row r="190" spans="1:14" ht="30" x14ac:dyDescent="0.25">
      <c r="A190" s="68" t="s">
        <v>666</v>
      </c>
      <c r="B190" s="60" t="s">
        <v>56</v>
      </c>
      <c r="C190" s="61">
        <v>10906124</v>
      </c>
      <c r="D190" s="61">
        <v>-5466968</v>
      </c>
      <c r="E190" s="61">
        <v>0</v>
      </c>
      <c r="F190" s="61">
        <v>0</v>
      </c>
      <c r="G190" s="61">
        <v>0</v>
      </c>
      <c r="H190" s="61">
        <v>5439156</v>
      </c>
      <c r="I190" s="61">
        <v>-5439156</v>
      </c>
      <c r="J190" s="61">
        <v>0</v>
      </c>
      <c r="K190" s="61">
        <v>3547273</v>
      </c>
      <c r="L190" s="61">
        <v>-2826984</v>
      </c>
      <c r="M190" s="61">
        <v>720289</v>
      </c>
      <c r="N190" s="61">
        <v>-720289</v>
      </c>
    </row>
    <row r="191" spans="1:14" ht="30" x14ac:dyDescent="0.25">
      <c r="A191" s="68" t="s">
        <v>666</v>
      </c>
      <c r="B191" s="60" t="s">
        <v>57</v>
      </c>
      <c r="C191" s="61">
        <v>10412000</v>
      </c>
      <c r="D191" s="61">
        <v>-5532036</v>
      </c>
      <c r="E191" s="61">
        <v>0</v>
      </c>
      <c r="F191" s="61">
        <v>0</v>
      </c>
      <c r="G191" s="61">
        <v>0</v>
      </c>
      <c r="H191" s="61">
        <v>4879964</v>
      </c>
      <c r="I191" s="61">
        <v>-4879964</v>
      </c>
      <c r="J191" s="61">
        <v>0</v>
      </c>
      <c r="K191" s="61">
        <v>1191500</v>
      </c>
      <c r="L191" s="61">
        <v>-934750</v>
      </c>
      <c r="M191" s="61">
        <v>256750</v>
      </c>
      <c r="N191" s="61">
        <v>-256750</v>
      </c>
    </row>
    <row r="192" spans="1:14" ht="30" x14ac:dyDescent="0.25">
      <c r="A192" s="68" t="s">
        <v>666</v>
      </c>
      <c r="B192" s="60" t="s">
        <v>58</v>
      </c>
      <c r="C192" s="61">
        <v>8808913</v>
      </c>
      <c r="D192" s="61">
        <v>-3335198</v>
      </c>
      <c r="E192" s="61">
        <v>0</v>
      </c>
      <c r="F192" s="61">
        <v>0</v>
      </c>
      <c r="G192" s="61">
        <v>0</v>
      </c>
      <c r="H192" s="61">
        <v>5473715</v>
      </c>
      <c r="I192" s="61">
        <v>-5473715</v>
      </c>
      <c r="J192" s="61">
        <v>0</v>
      </c>
      <c r="K192" s="61">
        <v>434702</v>
      </c>
      <c r="L192" s="61">
        <v>-434702</v>
      </c>
      <c r="M192" s="61">
        <v>0</v>
      </c>
      <c r="N192" s="61">
        <v>0</v>
      </c>
    </row>
    <row r="193" spans="1:14" ht="30" x14ac:dyDescent="0.25">
      <c r="A193" s="68" t="s">
        <v>666</v>
      </c>
      <c r="B193" s="60" t="s">
        <v>59</v>
      </c>
      <c r="C193" s="61">
        <v>7400300</v>
      </c>
      <c r="D193" s="61">
        <v>-1892358</v>
      </c>
      <c r="E193" s="61">
        <v>0</v>
      </c>
      <c r="F193" s="61">
        <v>0</v>
      </c>
      <c r="G193" s="61">
        <v>0</v>
      </c>
      <c r="H193" s="61">
        <v>5507942</v>
      </c>
      <c r="I193" s="61">
        <v>-5507942</v>
      </c>
      <c r="J193" s="61">
        <v>0</v>
      </c>
      <c r="K193" s="61">
        <v>1808894</v>
      </c>
      <c r="L193" s="61">
        <v>-1808894</v>
      </c>
      <c r="M193" s="61">
        <v>0</v>
      </c>
      <c r="N193" s="61">
        <v>0</v>
      </c>
    </row>
    <row r="194" spans="1:14" ht="30" x14ac:dyDescent="0.25">
      <c r="A194" s="68" t="s">
        <v>666</v>
      </c>
      <c r="B194" s="60" t="s">
        <v>60</v>
      </c>
      <c r="C194" s="61">
        <v>6659460</v>
      </c>
      <c r="D194" s="61">
        <v>-790180</v>
      </c>
      <c r="E194" s="61">
        <v>0</v>
      </c>
      <c r="F194" s="61">
        <v>0</v>
      </c>
      <c r="G194" s="61">
        <v>0</v>
      </c>
      <c r="H194" s="61">
        <v>5869280</v>
      </c>
      <c r="I194" s="61">
        <v>-5869280</v>
      </c>
      <c r="J194" s="61">
        <v>0</v>
      </c>
      <c r="K194" s="61">
        <v>625570</v>
      </c>
      <c r="L194" s="61">
        <v>-625570</v>
      </c>
      <c r="M194" s="61">
        <v>0</v>
      </c>
      <c r="N194" s="61">
        <v>0</v>
      </c>
    </row>
    <row r="195" spans="1:14" ht="30" x14ac:dyDescent="0.25">
      <c r="A195" s="68" t="s">
        <v>666</v>
      </c>
      <c r="B195" s="60" t="s">
        <v>61</v>
      </c>
      <c r="C195" s="61">
        <v>6285774</v>
      </c>
      <c r="D195" s="61">
        <v>-668370</v>
      </c>
      <c r="E195" s="61">
        <v>0</v>
      </c>
      <c r="F195" s="61">
        <v>0</v>
      </c>
      <c r="G195" s="61">
        <v>0</v>
      </c>
      <c r="H195" s="61">
        <v>5617404</v>
      </c>
      <c r="I195" s="61">
        <v>-5617404</v>
      </c>
      <c r="J195" s="61">
        <v>0</v>
      </c>
      <c r="K195" s="61">
        <v>606532</v>
      </c>
      <c r="L195" s="61">
        <v>-606532</v>
      </c>
      <c r="M195" s="61">
        <v>0</v>
      </c>
      <c r="N195" s="61">
        <v>0</v>
      </c>
    </row>
    <row r="196" spans="1:14" ht="30" x14ac:dyDescent="0.25">
      <c r="A196" s="68" t="s">
        <v>666</v>
      </c>
      <c r="B196" s="60" t="s">
        <v>62</v>
      </c>
      <c r="C196" s="61">
        <v>4035295</v>
      </c>
      <c r="D196" s="61">
        <v>-10426</v>
      </c>
      <c r="E196" s="61">
        <v>0</v>
      </c>
      <c r="F196" s="61">
        <v>0</v>
      </c>
      <c r="G196" s="61">
        <v>0</v>
      </c>
      <c r="H196" s="61">
        <v>4024869</v>
      </c>
      <c r="I196" s="61">
        <v>-4024869</v>
      </c>
      <c r="J196" s="61">
        <v>0</v>
      </c>
      <c r="K196" s="61">
        <v>20577</v>
      </c>
      <c r="L196" s="61">
        <v>-20577</v>
      </c>
      <c r="M196" s="61">
        <v>0</v>
      </c>
      <c r="N196" s="61">
        <v>0</v>
      </c>
    </row>
    <row r="197" spans="1:14" ht="30" x14ac:dyDescent="0.25">
      <c r="A197" s="68" t="s">
        <v>666</v>
      </c>
      <c r="B197" s="60" t="s">
        <v>63</v>
      </c>
      <c r="C197" s="61">
        <v>3009910</v>
      </c>
      <c r="D197" s="61">
        <v>-6000</v>
      </c>
      <c r="E197" s="61">
        <v>0</v>
      </c>
      <c r="F197" s="61">
        <v>0</v>
      </c>
      <c r="G197" s="61">
        <v>0</v>
      </c>
      <c r="H197" s="61">
        <v>3003910</v>
      </c>
      <c r="I197" s="61">
        <v>-3003910</v>
      </c>
      <c r="J197" s="61">
        <v>0</v>
      </c>
      <c r="K197" s="61">
        <v>79190</v>
      </c>
      <c r="L197" s="61">
        <v>-79190</v>
      </c>
      <c r="M197" s="61">
        <v>0</v>
      </c>
      <c r="N197" s="61">
        <v>0</v>
      </c>
    </row>
    <row r="198" spans="1:14" ht="30" x14ac:dyDescent="0.25">
      <c r="A198" s="68" t="s">
        <v>666</v>
      </c>
      <c r="B198" s="60" t="s">
        <v>64</v>
      </c>
      <c r="C198" s="61">
        <v>2802144</v>
      </c>
      <c r="D198" s="61">
        <v>-4924</v>
      </c>
      <c r="E198" s="61">
        <v>0</v>
      </c>
      <c r="F198" s="61">
        <v>0</v>
      </c>
      <c r="G198" s="61">
        <v>0</v>
      </c>
      <c r="H198" s="61">
        <v>2797220</v>
      </c>
      <c r="I198" s="61">
        <v>-2797220</v>
      </c>
      <c r="J198" s="61">
        <v>0</v>
      </c>
      <c r="K198" s="61">
        <v>4664</v>
      </c>
      <c r="L198" s="61">
        <v>-4664</v>
      </c>
      <c r="M198" s="61">
        <v>0</v>
      </c>
      <c r="N198" s="61">
        <v>0</v>
      </c>
    </row>
    <row r="199" spans="1:14" ht="15.75" x14ac:dyDescent="0.25">
      <c r="A199" s="52" t="s">
        <v>631</v>
      </c>
      <c r="B199" s="53" t="s">
        <v>8</v>
      </c>
      <c r="C199" s="19">
        <f>SUBTOTAL(109,Program234[(C)
Program
Costs])</f>
        <v>130589059</v>
      </c>
      <c r="D199" s="19">
        <f>SUBTOTAL(109,Program234[(D)
Prior Period Adjustments])</f>
        <v>-50266068</v>
      </c>
      <c r="E199" s="19">
        <f>SUBTOTAL(109,Program234[(E)
Current Period Desk 
Reviews])</f>
        <v>0</v>
      </c>
      <c r="F199" s="19">
        <f>SUBTOTAL(109,Program234[(F)
Current Period 
Final 
Audits])</f>
        <v>0</v>
      </c>
      <c r="G199" s="19">
        <f>SUBTOTAL(109,Program234[(G)
Current Period 
Other Adjustments])</f>
        <v>0</v>
      </c>
      <c r="H199" s="19">
        <f>SUBTOTAL(109,Program234[(H)
Net Program Costs
Sum (C through G)])</f>
        <v>80322991</v>
      </c>
      <c r="I199" s="19">
        <f>SUBTOTAL(109,Program234[(I)
Payments
 and Offsets])</f>
        <v>-79764904</v>
      </c>
      <c r="J199" s="19">
        <f>SUBTOTAL(109,Program234[(J)
Accounts Payable Balance
(H + I)])</f>
        <v>558087</v>
      </c>
      <c r="K199" s="19">
        <f>SUBTOTAL(109,Program234[(K)
Established 
Accounts Receivable])</f>
        <v>18990127</v>
      </c>
      <c r="L199" s="19">
        <f>SUBTOTAL(109,Program234[(L)
Recovered
 Accounts Receivable])</f>
        <v>-10938586</v>
      </c>
      <c r="M199" s="19">
        <f>SUBTOTAL(109,Program234[(M)
Accounts Receivable Balance
(K + L)])</f>
        <v>8051541</v>
      </c>
      <c r="N199" s="19">
        <f>SUBTOTAL(109,Program234[(N)
Net Balance
(J minus M)])</f>
        <v>-7493454</v>
      </c>
    </row>
    <row r="200" spans="1:14" ht="15.75" x14ac:dyDescent="0.25">
      <c r="A200" s="17" t="s">
        <v>13</v>
      </c>
      <c r="B200" s="54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</row>
    <row r="201" spans="1:14" ht="78.75" x14ac:dyDescent="0.25">
      <c r="A201" s="39" t="s">
        <v>32</v>
      </c>
      <c r="B201" s="40" t="s">
        <v>33</v>
      </c>
      <c r="C201" s="41" t="s">
        <v>34</v>
      </c>
      <c r="D201" s="41" t="s">
        <v>35</v>
      </c>
      <c r="E201" s="42" t="s">
        <v>36</v>
      </c>
      <c r="F201" s="42" t="s">
        <v>37</v>
      </c>
      <c r="G201" s="42" t="s">
        <v>38</v>
      </c>
      <c r="H201" s="43" t="s">
        <v>39</v>
      </c>
      <c r="I201" s="44" t="s">
        <v>40</v>
      </c>
      <c r="J201" s="44" t="s">
        <v>41</v>
      </c>
      <c r="K201" s="42" t="s">
        <v>42</v>
      </c>
      <c r="L201" s="44" t="s">
        <v>43</v>
      </c>
      <c r="M201" s="44" t="s">
        <v>44</v>
      </c>
      <c r="N201" s="45" t="s">
        <v>45</v>
      </c>
    </row>
    <row r="202" spans="1:14" ht="15.75" x14ac:dyDescent="0.25">
      <c r="A202" s="46" t="s">
        <v>665</v>
      </c>
      <c r="B202" s="47" t="s">
        <v>48</v>
      </c>
      <c r="C202" s="48">
        <v>475560</v>
      </c>
      <c r="D202" s="48">
        <v>-182626</v>
      </c>
      <c r="E202" s="48">
        <v>0</v>
      </c>
      <c r="F202" s="48">
        <v>0</v>
      </c>
      <c r="G202" s="48">
        <v>0</v>
      </c>
      <c r="H202" s="48">
        <v>292934</v>
      </c>
      <c r="I202" s="48">
        <v>-269889</v>
      </c>
      <c r="J202" s="48">
        <v>23045</v>
      </c>
      <c r="K202" s="48">
        <v>0</v>
      </c>
      <c r="L202" s="48">
        <v>0</v>
      </c>
      <c r="M202" s="48">
        <v>0</v>
      </c>
      <c r="N202" s="48">
        <v>23045</v>
      </c>
    </row>
    <row r="203" spans="1:14" ht="15.75" x14ac:dyDescent="0.25">
      <c r="A203" s="49" t="s">
        <v>665</v>
      </c>
      <c r="B203" s="50" t="s">
        <v>49</v>
      </c>
      <c r="C203" s="51">
        <v>2239287</v>
      </c>
      <c r="D203" s="51">
        <v>-1233245</v>
      </c>
      <c r="E203" s="51">
        <v>0</v>
      </c>
      <c r="F203" s="51">
        <v>0</v>
      </c>
      <c r="G203" s="51">
        <v>0</v>
      </c>
      <c r="H203" s="51">
        <v>1006042</v>
      </c>
      <c r="I203" s="51">
        <v>-922624</v>
      </c>
      <c r="J203" s="51">
        <v>83418</v>
      </c>
      <c r="K203" s="51">
        <v>0</v>
      </c>
      <c r="L203" s="51">
        <v>0</v>
      </c>
      <c r="M203" s="51">
        <v>0</v>
      </c>
      <c r="N203" s="51">
        <v>83418</v>
      </c>
    </row>
    <row r="204" spans="1:14" ht="15.75" x14ac:dyDescent="0.25">
      <c r="A204" s="49" t="s">
        <v>665</v>
      </c>
      <c r="B204" s="50" t="s">
        <v>50</v>
      </c>
      <c r="C204" s="51">
        <v>6540790</v>
      </c>
      <c r="D204" s="51">
        <v>-5259265</v>
      </c>
      <c r="E204" s="51">
        <v>0</v>
      </c>
      <c r="F204" s="51">
        <v>0</v>
      </c>
      <c r="G204" s="51">
        <v>0</v>
      </c>
      <c r="H204" s="51">
        <v>1281525</v>
      </c>
      <c r="I204" s="51">
        <v>-1201370</v>
      </c>
      <c r="J204" s="51">
        <v>80155</v>
      </c>
      <c r="K204" s="51">
        <v>0</v>
      </c>
      <c r="L204" s="51">
        <v>0</v>
      </c>
      <c r="M204" s="51">
        <v>0</v>
      </c>
      <c r="N204" s="51">
        <v>80155</v>
      </c>
    </row>
    <row r="205" spans="1:14" ht="15.75" x14ac:dyDescent="0.25">
      <c r="A205" s="49" t="s">
        <v>665</v>
      </c>
      <c r="B205" s="50" t="s">
        <v>51</v>
      </c>
      <c r="C205" s="51">
        <v>5339834</v>
      </c>
      <c r="D205" s="51">
        <v>-4416165</v>
      </c>
      <c r="E205" s="51">
        <v>0</v>
      </c>
      <c r="F205" s="51">
        <v>0</v>
      </c>
      <c r="G205" s="51">
        <v>0</v>
      </c>
      <c r="H205" s="51">
        <v>923669</v>
      </c>
      <c r="I205" s="51">
        <v>-848634</v>
      </c>
      <c r="J205" s="51">
        <v>75035</v>
      </c>
      <c r="K205" s="51">
        <v>0</v>
      </c>
      <c r="L205" s="51">
        <v>0</v>
      </c>
      <c r="M205" s="51">
        <v>0</v>
      </c>
      <c r="N205" s="51">
        <v>75035</v>
      </c>
    </row>
    <row r="206" spans="1:14" ht="15.75" x14ac:dyDescent="0.25">
      <c r="A206" s="49" t="s">
        <v>665</v>
      </c>
      <c r="B206" s="50" t="s">
        <v>52</v>
      </c>
      <c r="C206" s="51">
        <v>4787465</v>
      </c>
      <c r="D206" s="51">
        <v>-3828135</v>
      </c>
      <c r="E206" s="51">
        <v>0</v>
      </c>
      <c r="F206" s="51">
        <v>0</v>
      </c>
      <c r="G206" s="51">
        <v>0</v>
      </c>
      <c r="H206" s="51">
        <v>959330</v>
      </c>
      <c r="I206" s="51">
        <v>-959330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</row>
    <row r="207" spans="1:14" ht="15.75" x14ac:dyDescent="0.25">
      <c r="A207" s="49" t="s">
        <v>665</v>
      </c>
      <c r="B207" s="50" t="s">
        <v>53</v>
      </c>
      <c r="C207" s="51">
        <v>4856263</v>
      </c>
      <c r="D207" s="51">
        <v>-3938754</v>
      </c>
      <c r="E207" s="51">
        <v>0</v>
      </c>
      <c r="F207" s="51">
        <v>0</v>
      </c>
      <c r="G207" s="51">
        <v>0</v>
      </c>
      <c r="H207" s="51">
        <v>917509</v>
      </c>
      <c r="I207" s="51">
        <v>-917509</v>
      </c>
      <c r="J207" s="51">
        <v>0</v>
      </c>
      <c r="K207" s="51">
        <v>33794</v>
      </c>
      <c r="L207" s="51">
        <v>-33794</v>
      </c>
      <c r="M207" s="51">
        <v>0</v>
      </c>
      <c r="N207" s="51">
        <v>0</v>
      </c>
    </row>
    <row r="208" spans="1:14" ht="15.75" x14ac:dyDescent="0.25">
      <c r="A208" s="49" t="s">
        <v>665</v>
      </c>
      <c r="B208" s="50" t="s">
        <v>54</v>
      </c>
      <c r="C208" s="51">
        <v>4809464</v>
      </c>
      <c r="D208" s="51">
        <v>-3835107</v>
      </c>
      <c r="E208" s="51">
        <v>0</v>
      </c>
      <c r="F208" s="51">
        <v>0</v>
      </c>
      <c r="G208" s="51">
        <v>0</v>
      </c>
      <c r="H208" s="51">
        <v>974357</v>
      </c>
      <c r="I208" s="51">
        <v>-974357</v>
      </c>
      <c r="J208" s="51">
        <v>0</v>
      </c>
      <c r="K208" s="51">
        <v>508124</v>
      </c>
      <c r="L208" s="51">
        <v>-508124</v>
      </c>
      <c r="M208" s="51">
        <v>0</v>
      </c>
      <c r="N208" s="51">
        <v>0</v>
      </c>
    </row>
    <row r="209" spans="1:14" ht="15.75" x14ac:dyDescent="0.25">
      <c r="A209" s="49" t="s">
        <v>665</v>
      </c>
      <c r="B209" s="50" t="s">
        <v>55</v>
      </c>
      <c r="C209" s="51">
        <v>4572341</v>
      </c>
      <c r="D209" s="51">
        <v>-3623740</v>
      </c>
      <c r="E209" s="51">
        <v>0</v>
      </c>
      <c r="F209" s="51">
        <v>0</v>
      </c>
      <c r="G209" s="51">
        <v>0</v>
      </c>
      <c r="H209" s="51">
        <v>948601</v>
      </c>
      <c r="I209" s="51">
        <v>-935719</v>
      </c>
      <c r="J209" s="51">
        <v>12882</v>
      </c>
      <c r="K209" s="51">
        <v>408288</v>
      </c>
      <c r="L209" s="51">
        <v>-408288</v>
      </c>
      <c r="M209" s="51">
        <v>0</v>
      </c>
      <c r="N209" s="51">
        <v>12882</v>
      </c>
    </row>
    <row r="210" spans="1:14" ht="15.75" x14ac:dyDescent="0.25">
      <c r="A210" s="49" t="s">
        <v>665</v>
      </c>
      <c r="B210" s="50" t="s">
        <v>56</v>
      </c>
      <c r="C210" s="51">
        <v>3905666</v>
      </c>
      <c r="D210" s="51">
        <v>-2274368</v>
      </c>
      <c r="E210" s="51">
        <v>0</v>
      </c>
      <c r="F210" s="51">
        <v>0</v>
      </c>
      <c r="G210" s="51">
        <v>0</v>
      </c>
      <c r="H210" s="51">
        <v>1631298</v>
      </c>
      <c r="I210" s="51">
        <v>-1621000</v>
      </c>
      <c r="J210" s="51">
        <v>10298</v>
      </c>
      <c r="K210" s="51">
        <v>173451</v>
      </c>
      <c r="L210" s="51">
        <v>-79181</v>
      </c>
      <c r="M210" s="51">
        <v>94270</v>
      </c>
      <c r="N210" s="51">
        <v>-83972</v>
      </c>
    </row>
    <row r="211" spans="1:14" ht="15.75" x14ac:dyDescent="0.25">
      <c r="A211" s="49" t="s">
        <v>665</v>
      </c>
      <c r="B211" s="50" t="s">
        <v>57</v>
      </c>
      <c r="C211" s="51">
        <v>3597387</v>
      </c>
      <c r="D211" s="51">
        <v>-2022741</v>
      </c>
      <c r="E211" s="51">
        <v>0</v>
      </c>
      <c r="F211" s="51">
        <v>0</v>
      </c>
      <c r="G211" s="51">
        <v>0</v>
      </c>
      <c r="H211" s="51">
        <v>1574646</v>
      </c>
      <c r="I211" s="51">
        <v>-1571441</v>
      </c>
      <c r="J211" s="51">
        <v>3205</v>
      </c>
      <c r="K211" s="51">
        <v>71971</v>
      </c>
      <c r="L211" s="51">
        <v>-36921</v>
      </c>
      <c r="M211" s="51">
        <v>35050</v>
      </c>
      <c r="N211" s="51">
        <v>-31845</v>
      </c>
    </row>
    <row r="212" spans="1:14" ht="15.75" x14ac:dyDescent="0.25">
      <c r="A212" s="49" t="s">
        <v>665</v>
      </c>
      <c r="B212" s="50" t="s">
        <v>58</v>
      </c>
      <c r="C212" s="51">
        <v>1400907</v>
      </c>
      <c r="D212" s="51">
        <v>-717281</v>
      </c>
      <c r="E212" s="51">
        <v>0</v>
      </c>
      <c r="F212" s="51">
        <v>0</v>
      </c>
      <c r="G212" s="51">
        <v>0</v>
      </c>
      <c r="H212" s="51">
        <v>683626</v>
      </c>
      <c r="I212" s="51">
        <v>-683626</v>
      </c>
      <c r="J212" s="51">
        <v>0</v>
      </c>
      <c r="K212" s="51">
        <v>170593</v>
      </c>
      <c r="L212" s="51">
        <v>-170593</v>
      </c>
      <c r="M212" s="51">
        <v>0</v>
      </c>
      <c r="N212" s="51">
        <v>0</v>
      </c>
    </row>
    <row r="213" spans="1:14" ht="15.75" x14ac:dyDescent="0.25">
      <c r="A213" s="49" t="s">
        <v>665</v>
      </c>
      <c r="B213" s="50" t="s">
        <v>59</v>
      </c>
      <c r="C213" s="51">
        <v>812881</v>
      </c>
      <c r="D213" s="51">
        <v>-408015</v>
      </c>
      <c r="E213" s="51">
        <v>0</v>
      </c>
      <c r="F213" s="51">
        <v>0</v>
      </c>
      <c r="G213" s="51">
        <v>0</v>
      </c>
      <c r="H213" s="51">
        <v>404866</v>
      </c>
      <c r="I213" s="51">
        <v>-404866</v>
      </c>
      <c r="J213" s="51">
        <v>0</v>
      </c>
      <c r="K213" s="51">
        <v>58222</v>
      </c>
      <c r="L213" s="51">
        <v>-58222</v>
      </c>
      <c r="M213" s="51">
        <v>0</v>
      </c>
      <c r="N213" s="51">
        <v>0</v>
      </c>
    </row>
    <row r="214" spans="1:14" ht="15.75" x14ac:dyDescent="0.25">
      <c r="A214" s="52" t="s">
        <v>630</v>
      </c>
      <c r="B214" s="53" t="s">
        <v>8</v>
      </c>
      <c r="C214" s="19">
        <f>SUBTOTAL(109,Program256[(C)
Program
Costs])</f>
        <v>43337845</v>
      </c>
      <c r="D214" s="19">
        <f>SUBTOTAL(109,Program256[(D)
Prior Period Adjustments])</f>
        <v>-31739442</v>
      </c>
      <c r="E214" s="19">
        <f>SUBTOTAL(109,Program256[(E)
Current Period Desk 
Reviews])</f>
        <v>0</v>
      </c>
      <c r="F214" s="19">
        <f>SUBTOTAL(109,Program256[(F)
Current Period 
Final 
Audits])</f>
        <v>0</v>
      </c>
      <c r="G214" s="19">
        <f>SUBTOTAL(109,Program256[(G)
Current Period 
Other Adjustments])</f>
        <v>0</v>
      </c>
      <c r="H214" s="19">
        <f>SUBTOTAL(109,Program256[(H)
Net Program Costs
Sum (C through G)])</f>
        <v>11598403</v>
      </c>
      <c r="I214" s="19">
        <f>SUBTOTAL(109,Program256[(I)
Payments
 and Offsets])</f>
        <v>-11310365</v>
      </c>
      <c r="J214" s="19">
        <f>SUBTOTAL(109,Program256[(J)
Accounts Payable Balance
(H + I)])</f>
        <v>288038</v>
      </c>
      <c r="K214" s="19">
        <f>SUBTOTAL(109,Program256[(K)
Established 
Accounts Receivable])</f>
        <v>1424443</v>
      </c>
      <c r="L214" s="19">
        <f>SUBTOTAL(109,Program256[(L)
Recovered
 Accounts Receivable])</f>
        <v>-1295123</v>
      </c>
      <c r="M214" s="19">
        <f>SUBTOTAL(109,Program256[(M)
Accounts Receivable Balance
(K + L)])</f>
        <v>129320</v>
      </c>
      <c r="N214" s="19">
        <f>SUBTOTAL(109,Program256[(N)
Net Balance
(J minus M)])</f>
        <v>158718</v>
      </c>
    </row>
    <row r="215" spans="1:14" ht="15.75" x14ac:dyDescent="0.25">
      <c r="A215" s="17" t="s">
        <v>13</v>
      </c>
      <c r="B215" s="54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</row>
    <row r="216" spans="1:14" ht="78.75" x14ac:dyDescent="0.25">
      <c r="A216" s="39" t="s">
        <v>32</v>
      </c>
      <c r="B216" s="40" t="s">
        <v>33</v>
      </c>
      <c r="C216" s="41" t="s">
        <v>34</v>
      </c>
      <c r="D216" s="41" t="s">
        <v>35</v>
      </c>
      <c r="E216" s="42" t="s">
        <v>36</v>
      </c>
      <c r="F216" s="42" t="s">
        <v>37</v>
      </c>
      <c r="G216" s="42" t="s">
        <v>38</v>
      </c>
      <c r="H216" s="43" t="s">
        <v>39</v>
      </c>
      <c r="I216" s="44" t="s">
        <v>40</v>
      </c>
      <c r="J216" s="44" t="s">
        <v>41</v>
      </c>
      <c r="K216" s="42" t="s">
        <v>42</v>
      </c>
      <c r="L216" s="44" t="s">
        <v>43</v>
      </c>
      <c r="M216" s="44" t="s">
        <v>44</v>
      </c>
      <c r="N216" s="45" t="s">
        <v>45</v>
      </c>
    </row>
    <row r="217" spans="1:14" ht="15.75" x14ac:dyDescent="0.25">
      <c r="A217" s="46" t="s">
        <v>664</v>
      </c>
      <c r="B217" s="47" t="s">
        <v>55</v>
      </c>
      <c r="C217" s="48">
        <v>56403</v>
      </c>
      <c r="D217" s="48">
        <v>-10232</v>
      </c>
      <c r="E217" s="48">
        <v>0</v>
      </c>
      <c r="F217" s="48">
        <v>0</v>
      </c>
      <c r="G217" s="48">
        <v>0</v>
      </c>
      <c r="H217" s="48">
        <v>46171</v>
      </c>
      <c r="I217" s="48">
        <v>-46171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</row>
    <row r="218" spans="1:14" ht="15.75" x14ac:dyDescent="0.25">
      <c r="A218" s="49" t="s">
        <v>664</v>
      </c>
      <c r="B218" s="50" t="s">
        <v>56</v>
      </c>
      <c r="C218" s="51">
        <v>53962</v>
      </c>
      <c r="D218" s="51">
        <v>-28073</v>
      </c>
      <c r="E218" s="51">
        <v>0</v>
      </c>
      <c r="F218" s="51">
        <v>0</v>
      </c>
      <c r="G218" s="51">
        <v>0</v>
      </c>
      <c r="H218" s="51">
        <v>25889</v>
      </c>
      <c r="I218" s="51">
        <v>-25889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</row>
    <row r="219" spans="1:14" ht="15.75" x14ac:dyDescent="0.25">
      <c r="A219" s="49" t="s">
        <v>664</v>
      </c>
      <c r="B219" s="50" t="s">
        <v>57</v>
      </c>
      <c r="C219" s="51">
        <v>46507</v>
      </c>
      <c r="D219" s="51">
        <v>-3941</v>
      </c>
      <c r="E219" s="51">
        <v>0</v>
      </c>
      <c r="F219" s="51">
        <v>0</v>
      </c>
      <c r="G219" s="51">
        <v>0</v>
      </c>
      <c r="H219" s="51">
        <v>42566</v>
      </c>
      <c r="I219" s="51">
        <v>-42566</v>
      </c>
      <c r="J219" s="51">
        <v>0</v>
      </c>
      <c r="K219" s="51">
        <v>2468</v>
      </c>
      <c r="L219" s="51">
        <v>-2468</v>
      </c>
      <c r="M219" s="51">
        <v>0</v>
      </c>
      <c r="N219" s="51">
        <v>0</v>
      </c>
    </row>
    <row r="220" spans="1:14" ht="15.75" x14ac:dyDescent="0.25">
      <c r="A220" s="49" t="s">
        <v>664</v>
      </c>
      <c r="B220" s="50" t="s">
        <v>58</v>
      </c>
      <c r="C220" s="51">
        <v>41759</v>
      </c>
      <c r="D220" s="51">
        <v>-1332</v>
      </c>
      <c r="E220" s="51">
        <v>0</v>
      </c>
      <c r="F220" s="51">
        <v>0</v>
      </c>
      <c r="G220" s="51">
        <v>0</v>
      </c>
      <c r="H220" s="51">
        <v>40427</v>
      </c>
      <c r="I220" s="51">
        <v>-40427</v>
      </c>
      <c r="J220" s="51">
        <v>0</v>
      </c>
      <c r="K220" s="51">
        <v>2886</v>
      </c>
      <c r="L220" s="51">
        <v>-2886</v>
      </c>
      <c r="M220" s="51">
        <v>0</v>
      </c>
      <c r="N220" s="51">
        <v>0</v>
      </c>
    </row>
    <row r="221" spans="1:14" ht="15.75" x14ac:dyDescent="0.25">
      <c r="A221" s="52" t="s">
        <v>629</v>
      </c>
      <c r="B221" s="53" t="s">
        <v>8</v>
      </c>
      <c r="C221" s="19">
        <f>SUBTOTAL(109,Program235[(C)
Program
Costs])</f>
        <v>198631</v>
      </c>
      <c r="D221" s="19">
        <f>SUBTOTAL(109,Program235[(D)
Prior Period Adjustments])</f>
        <v>-43578</v>
      </c>
      <c r="E221" s="19">
        <f>SUBTOTAL(109,Program235[(E)
Current Period Desk 
Reviews])</f>
        <v>0</v>
      </c>
      <c r="F221" s="19">
        <f>SUBTOTAL(109,Program235[(F)
Current Period 
Final 
Audits])</f>
        <v>0</v>
      </c>
      <c r="G221" s="19">
        <f>SUBTOTAL(109,Program235[(G)
Current Period 
Other Adjustments])</f>
        <v>0</v>
      </c>
      <c r="H221" s="19">
        <f>SUBTOTAL(109,Program235[(H)
Net Program Costs
Sum (C through G)])</f>
        <v>155053</v>
      </c>
      <c r="I221" s="19">
        <f>SUBTOTAL(109,Program235[(I)
Payments
 and Offsets])</f>
        <v>-155053</v>
      </c>
      <c r="J221" s="19">
        <f>SUBTOTAL(109,Program235[(J)
Accounts Payable Balance
(H + I)])</f>
        <v>0</v>
      </c>
      <c r="K221" s="19">
        <f>SUBTOTAL(109,Program235[(K)
Established 
Accounts Receivable])</f>
        <v>5354</v>
      </c>
      <c r="L221" s="19">
        <f>SUBTOTAL(109,Program235[(L)
Recovered
 Accounts Receivable])</f>
        <v>-5354</v>
      </c>
      <c r="M221" s="19">
        <f>SUBTOTAL(109,Program235[(M)
Accounts Receivable Balance
(K + L)])</f>
        <v>0</v>
      </c>
      <c r="N221" s="19">
        <f>SUBTOTAL(109,Program235[(N)
Net Balance
(J minus M)])</f>
        <v>0</v>
      </c>
    </row>
    <row r="222" spans="1:14" ht="15.75" x14ac:dyDescent="0.25">
      <c r="A222" s="17" t="s">
        <v>13</v>
      </c>
      <c r="B222" s="54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</row>
    <row r="223" spans="1:14" ht="78.75" x14ac:dyDescent="0.25">
      <c r="A223" s="39" t="s">
        <v>32</v>
      </c>
      <c r="B223" s="40" t="s">
        <v>33</v>
      </c>
      <c r="C223" s="41" t="s">
        <v>34</v>
      </c>
      <c r="D223" s="41" t="s">
        <v>35</v>
      </c>
      <c r="E223" s="42" t="s">
        <v>36</v>
      </c>
      <c r="F223" s="42" t="s">
        <v>37</v>
      </c>
      <c r="G223" s="42" t="s">
        <v>38</v>
      </c>
      <c r="H223" s="43" t="s">
        <v>39</v>
      </c>
      <c r="I223" s="44" t="s">
        <v>40</v>
      </c>
      <c r="J223" s="44" t="s">
        <v>41</v>
      </c>
      <c r="K223" s="42" t="s">
        <v>42</v>
      </c>
      <c r="L223" s="44" t="s">
        <v>43</v>
      </c>
      <c r="M223" s="44" t="s">
        <v>44</v>
      </c>
      <c r="N223" s="45" t="s">
        <v>45</v>
      </c>
    </row>
    <row r="224" spans="1:14" ht="30" x14ac:dyDescent="0.25">
      <c r="A224" s="67" t="s">
        <v>663</v>
      </c>
      <c r="B224" s="57" t="s">
        <v>50</v>
      </c>
      <c r="C224" s="58">
        <v>160000</v>
      </c>
      <c r="D224" s="58">
        <v>-160000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160000</v>
      </c>
      <c r="L224" s="58">
        <v>-160000</v>
      </c>
      <c r="M224" s="58">
        <v>0</v>
      </c>
      <c r="N224" s="58">
        <v>0</v>
      </c>
    </row>
    <row r="225" spans="1:14" ht="30" x14ac:dyDescent="0.25">
      <c r="A225" s="68" t="s">
        <v>663</v>
      </c>
      <c r="B225" s="60" t="s">
        <v>51</v>
      </c>
      <c r="C225" s="61">
        <v>178765</v>
      </c>
      <c r="D225" s="61">
        <v>-178765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1">
        <v>178765</v>
      </c>
      <c r="L225" s="61">
        <v>-178765</v>
      </c>
      <c r="M225" s="61">
        <v>0</v>
      </c>
      <c r="N225" s="61">
        <v>0</v>
      </c>
    </row>
    <row r="226" spans="1:14" ht="30" x14ac:dyDescent="0.25">
      <c r="A226" s="68" t="s">
        <v>663</v>
      </c>
      <c r="B226" s="60" t="s">
        <v>52</v>
      </c>
      <c r="C226" s="61">
        <v>175910</v>
      </c>
      <c r="D226" s="61">
        <v>-175910</v>
      </c>
      <c r="E226" s="61">
        <v>0</v>
      </c>
      <c r="F226" s="61">
        <v>0</v>
      </c>
      <c r="G226" s="61">
        <v>0</v>
      </c>
      <c r="H226" s="61">
        <v>0</v>
      </c>
      <c r="I226" s="61">
        <v>0</v>
      </c>
      <c r="J226" s="61">
        <v>0</v>
      </c>
      <c r="K226" s="61">
        <v>175910</v>
      </c>
      <c r="L226" s="61">
        <v>-175910</v>
      </c>
      <c r="M226" s="61">
        <v>0</v>
      </c>
      <c r="N226" s="61">
        <v>0</v>
      </c>
    </row>
    <row r="227" spans="1:14" ht="30" x14ac:dyDescent="0.25">
      <c r="A227" s="68" t="s">
        <v>663</v>
      </c>
      <c r="B227" s="60" t="s">
        <v>53</v>
      </c>
      <c r="C227" s="61">
        <v>112030</v>
      </c>
      <c r="D227" s="61">
        <v>-112030</v>
      </c>
      <c r="E227" s="61">
        <v>0</v>
      </c>
      <c r="F227" s="61">
        <v>0</v>
      </c>
      <c r="G227" s="61">
        <v>0</v>
      </c>
      <c r="H227" s="61">
        <v>0</v>
      </c>
      <c r="I227" s="61">
        <v>0</v>
      </c>
      <c r="J227" s="61">
        <v>0</v>
      </c>
      <c r="K227" s="61">
        <v>102030</v>
      </c>
      <c r="L227" s="61">
        <v>-102030</v>
      </c>
      <c r="M227" s="61">
        <v>0</v>
      </c>
      <c r="N227" s="61">
        <v>0</v>
      </c>
    </row>
    <row r="228" spans="1:14" ht="30" x14ac:dyDescent="0.25">
      <c r="A228" s="68" t="s">
        <v>663</v>
      </c>
      <c r="B228" s="60" t="s">
        <v>54</v>
      </c>
      <c r="C228" s="61">
        <v>8738</v>
      </c>
      <c r="D228" s="61">
        <v>-874</v>
      </c>
      <c r="E228" s="61">
        <v>0</v>
      </c>
      <c r="F228" s="61">
        <v>0</v>
      </c>
      <c r="G228" s="61">
        <v>0</v>
      </c>
      <c r="H228" s="61">
        <v>7864</v>
      </c>
      <c r="I228" s="61">
        <v>-7864</v>
      </c>
      <c r="J228" s="61">
        <v>0</v>
      </c>
      <c r="K228" s="61">
        <v>0</v>
      </c>
      <c r="L228" s="61">
        <v>0</v>
      </c>
      <c r="M228" s="61">
        <v>0</v>
      </c>
      <c r="N228" s="61">
        <v>0</v>
      </c>
    </row>
    <row r="229" spans="1:14" ht="30" x14ac:dyDescent="0.25">
      <c r="A229" s="68" t="s">
        <v>663</v>
      </c>
      <c r="B229" s="60" t="s">
        <v>57</v>
      </c>
      <c r="C229" s="61">
        <v>1568</v>
      </c>
      <c r="D229" s="61">
        <v>-1568</v>
      </c>
      <c r="E229" s="61">
        <v>0</v>
      </c>
      <c r="F229" s="61">
        <v>0</v>
      </c>
      <c r="G229" s="61">
        <v>0</v>
      </c>
      <c r="H229" s="61">
        <v>0</v>
      </c>
      <c r="I229" s="61">
        <v>0</v>
      </c>
      <c r="J229" s="61">
        <v>0</v>
      </c>
      <c r="K229" s="61">
        <v>0</v>
      </c>
      <c r="L229" s="61">
        <v>0</v>
      </c>
      <c r="M229" s="61">
        <v>0</v>
      </c>
      <c r="N229" s="61">
        <v>0</v>
      </c>
    </row>
    <row r="230" spans="1:14" ht="30" x14ac:dyDescent="0.25">
      <c r="A230" s="68" t="s">
        <v>663</v>
      </c>
      <c r="B230" s="60" t="s">
        <v>58</v>
      </c>
      <c r="C230" s="61">
        <v>1198</v>
      </c>
      <c r="D230" s="61">
        <v>0</v>
      </c>
      <c r="E230" s="61">
        <v>0</v>
      </c>
      <c r="F230" s="61">
        <v>0</v>
      </c>
      <c r="G230" s="61">
        <v>0</v>
      </c>
      <c r="H230" s="61">
        <v>1198</v>
      </c>
      <c r="I230" s="61">
        <v>-1198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</row>
    <row r="231" spans="1:14" ht="30" x14ac:dyDescent="0.25">
      <c r="A231" s="68" t="s">
        <v>663</v>
      </c>
      <c r="B231" s="60" t="s">
        <v>59</v>
      </c>
      <c r="C231" s="61">
        <v>27296</v>
      </c>
      <c r="D231" s="61">
        <v>-13937</v>
      </c>
      <c r="E231" s="61">
        <v>0</v>
      </c>
      <c r="F231" s="61">
        <v>0</v>
      </c>
      <c r="G231" s="61">
        <v>0</v>
      </c>
      <c r="H231" s="61">
        <v>13359</v>
      </c>
      <c r="I231" s="61">
        <v>-13359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</row>
    <row r="232" spans="1:14" ht="30" x14ac:dyDescent="0.25">
      <c r="A232" s="68" t="s">
        <v>663</v>
      </c>
      <c r="B232" s="60" t="s">
        <v>60</v>
      </c>
      <c r="C232" s="61">
        <v>28074</v>
      </c>
      <c r="D232" s="61">
        <v>-14792</v>
      </c>
      <c r="E232" s="61">
        <v>0</v>
      </c>
      <c r="F232" s="61">
        <v>0</v>
      </c>
      <c r="G232" s="61">
        <v>0</v>
      </c>
      <c r="H232" s="61">
        <v>13282</v>
      </c>
      <c r="I232" s="61">
        <v>-13282</v>
      </c>
      <c r="J232" s="61">
        <v>0</v>
      </c>
      <c r="K232" s="61">
        <v>0</v>
      </c>
      <c r="L232" s="61">
        <v>0</v>
      </c>
      <c r="M232" s="61">
        <v>0</v>
      </c>
      <c r="N232" s="61">
        <v>0</v>
      </c>
    </row>
    <row r="233" spans="1:14" ht="15.75" x14ac:dyDescent="0.25">
      <c r="A233" s="52" t="s">
        <v>628</v>
      </c>
      <c r="B233" s="53" t="s">
        <v>8</v>
      </c>
      <c r="C233" s="19">
        <f>SUBTOTAL(109,Program212[(C)
Program
Costs])</f>
        <v>693579</v>
      </c>
      <c r="D233" s="19">
        <f>SUBTOTAL(109,Program212[(D)
Prior Period Adjustments])</f>
        <v>-657876</v>
      </c>
      <c r="E233" s="19">
        <f>SUBTOTAL(109,Program212[(E)
Current Period Desk 
Reviews])</f>
        <v>0</v>
      </c>
      <c r="F233" s="19">
        <f>SUBTOTAL(109,Program212[(F)
Current Period 
Final 
Audits])</f>
        <v>0</v>
      </c>
      <c r="G233" s="19">
        <f>SUBTOTAL(109,Program212[(G)
Current Period 
Other Adjustments])</f>
        <v>0</v>
      </c>
      <c r="H233" s="19">
        <f>SUBTOTAL(109,Program212[(H)
Net Program Costs
Sum (C through G)])</f>
        <v>35703</v>
      </c>
      <c r="I233" s="19">
        <f>SUBTOTAL(109,Program212[(I)
Payments
 and Offsets])</f>
        <v>-35703</v>
      </c>
      <c r="J233" s="19">
        <f>SUBTOTAL(109,Program212[(J)
Accounts Payable Balance
(H + I)])</f>
        <v>0</v>
      </c>
      <c r="K233" s="19">
        <f>SUBTOTAL(109,Program212[(K)
Established 
Accounts Receivable])</f>
        <v>616705</v>
      </c>
      <c r="L233" s="19">
        <f>SUBTOTAL(109,Program212[(L)
Recovered
 Accounts Receivable])</f>
        <v>-616705</v>
      </c>
      <c r="M233" s="19">
        <f>SUBTOTAL(109,Program212[(M)
Accounts Receivable Balance
(K + L)])</f>
        <v>0</v>
      </c>
      <c r="N233" s="19">
        <f>SUBTOTAL(109,Program212[(N)
Net Balance
(J minus M)])</f>
        <v>0</v>
      </c>
    </row>
    <row r="234" spans="1:14" ht="15.75" x14ac:dyDescent="0.25">
      <c r="A234" s="17" t="s">
        <v>13</v>
      </c>
      <c r="B234" s="54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</row>
    <row r="235" spans="1:14" ht="78.75" x14ac:dyDescent="0.25">
      <c r="A235" s="39" t="s">
        <v>32</v>
      </c>
      <c r="B235" s="40" t="s">
        <v>33</v>
      </c>
      <c r="C235" s="41" t="s">
        <v>34</v>
      </c>
      <c r="D235" s="41" t="s">
        <v>35</v>
      </c>
      <c r="E235" s="42" t="s">
        <v>36</v>
      </c>
      <c r="F235" s="42" t="s">
        <v>37</v>
      </c>
      <c r="G235" s="42" t="s">
        <v>38</v>
      </c>
      <c r="H235" s="43" t="s">
        <v>39</v>
      </c>
      <c r="I235" s="44" t="s">
        <v>40</v>
      </c>
      <c r="J235" s="44" t="s">
        <v>41</v>
      </c>
      <c r="K235" s="42" t="s">
        <v>42</v>
      </c>
      <c r="L235" s="44" t="s">
        <v>43</v>
      </c>
      <c r="M235" s="44" t="s">
        <v>44</v>
      </c>
      <c r="N235" s="45" t="s">
        <v>45</v>
      </c>
    </row>
    <row r="236" spans="1:14" ht="30" x14ac:dyDescent="0.25">
      <c r="A236" s="67" t="s">
        <v>662</v>
      </c>
      <c r="B236" s="57" t="s">
        <v>58</v>
      </c>
      <c r="C236" s="58">
        <v>712</v>
      </c>
      <c r="D236" s="58">
        <v>0</v>
      </c>
      <c r="E236" s="58">
        <v>0</v>
      </c>
      <c r="F236" s="58">
        <v>0</v>
      </c>
      <c r="G236" s="58">
        <v>0</v>
      </c>
      <c r="H236" s="58">
        <v>712</v>
      </c>
      <c r="I236" s="58">
        <v>-712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</row>
    <row r="237" spans="1:14" ht="30" x14ac:dyDescent="0.25">
      <c r="A237" s="68" t="s">
        <v>662</v>
      </c>
      <c r="B237" s="60" t="s">
        <v>59</v>
      </c>
      <c r="C237" s="61">
        <v>1169</v>
      </c>
      <c r="D237" s="61">
        <v>0</v>
      </c>
      <c r="E237" s="61">
        <v>0</v>
      </c>
      <c r="F237" s="61">
        <v>0</v>
      </c>
      <c r="G237" s="61">
        <v>0</v>
      </c>
      <c r="H237" s="61">
        <v>1169</v>
      </c>
      <c r="I237" s="61">
        <v>-1169</v>
      </c>
      <c r="J237" s="61">
        <v>0</v>
      </c>
      <c r="K237" s="61">
        <v>0</v>
      </c>
      <c r="L237" s="61">
        <v>0</v>
      </c>
      <c r="M237" s="61">
        <v>0</v>
      </c>
      <c r="N237" s="61">
        <v>0</v>
      </c>
    </row>
    <row r="238" spans="1:14" ht="30" x14ac:dyDescent="0.25">
      <c r="A238" s="68" t="s">
        <v>662</v>
      </c>
      <c r="B238" s="60" t="s">
        <v>61</v>
      </c>
      <c r="C238" s="61">
        <v>716</v>
      </c>
      <c r="D238" s="61">
        <v>0</v>
      </c>
      <c r="E238" s="61">
        <v>0</v>
      </c>
      <c r="F238" s="61">
        <v>0</v>
      </c>
      <c r="G238" s="61">
        <v>0</v>
      </c>
      <c r="H238" s="61">
        <v>716</v>
      </c>
      <c r="I238" s="61">
        <v>-716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</row>
    <row r="239" spans="1:14" ht="30" x14ac:dyDescent="0.25">
      <c r="A239" s="68" t="s">
        <v>662</v>
      </c>
      <c r="B239" s="60" t="s">
        <v>62</v>
      </c>
      <c r="C239" s="61">
        <v>1319</v>
      </c>
      <c r="D239" s="61">
        <v>0</v>
      </c>
      <c r="E239" s="61">
        <v>0</v>
      </c>
      <c r="F239" s="61">
        <v>0</v>
      </c>
      <c r="G239" s="61">
        <v>0</v>
      </c>
      <c r="H239" s="61">
        <v>1319</v>
      </c>
      <c r="I239" s="61">
        <v>-1319</v>
      </c>
      <c r="J239" s="61">
        <v>0</v>
      </c>
      <c r="K239" s="61">
        <v>0</v>
      </c>
      <c r="L239" s="61">
        <v>0</v>
      </c>
      <c r="M239" s="61">
        <v>0</v>
      </c>
      <c r="N239" s="61">
        <v>0</v>
      </c>
    </row>
    <row r="240" spans="1:14" ht="15.75" x14ac:dyDescent="0.25">
      <c r="A240" s="52" t="s">
        <v>627</v>
      </c>
      <c r="B240" s="53" t="s">
        <v>8</v>
      </c>
      <c r="C240" s="19">
        <f>SUBTOTAL(109,Program236[(C)
Program
Costs])</f>
        <v>3916</v>
      </c>
      <c r="D240" s="19">
        <f>SUBTOTAL(109,Program236[(D)
Prior Period Adjustments])</f>
        <v>0</v>
      </c>
      <c r="E240" s="19">
        <f>SUBTOTAL(109,Program236[(E)
Current Period Desk 
Reviews])</f>
        <v>0</v>
      </c>
      <c r="F240" s="19">
        <f>SUBTOTAL(109,Program236[(F)
Current Period 
Final 
Audits])</f>
        <v>0</v>
      </c>
      <c r="G240" s="19">
        <f>SUBTOTAL(109,Program236[(G)
Current Period 
Other Adjustments])</f>
        <v>0</v>
      </c>
      <c r="H240" s="19">
        <f>SUBTOTAL(109,Program236[(H)
Net Program Costs
Sum (C through G)])</f>
        <v>3916</v>
      </c>
      <c r="I240" s="19">
        <f>SUBTOTAL(109,Program236[(I)
Payments
 and Offsets])</f>
        <v>-3916</v>
      </c>
      <c r="J240" s="19">
        <f>SUBTOTAL(109,Program236[(J)
Accounts Payable Balance
(H + I)])</f>
        <v>0</v>
      </c>
      <c r="K240" s="19">
        <f>SUBTOTAL(109,Program236[(K)
Established 
Accounts Receivable])</f>
        <v>0</v>
      </c>
      <c r="L240" s="19">
        <f>SUBTOTAL(109,Program236[(L)
Recovered
 Accounts Receivable])</f>
        <v>0</v>
      </c>
      <c r="M240" s="19">
        <f>SUBTOTAL(109,Program236[(M)
Accounts Receivable Balance
(K + L)])</f>
        <v>0</v>
      </c>
      <c r="N240" s="19">
        <f>SUBTOTAL(109,Program236[(N)
Net Balance
(J minus M)])</f>
        <v>0</v>
      </c>
    </row>
    <row r="241" spans="1:14" ht="15.75" x14ac:dyDescent="0.25">
      <c r="A241" s="17" t="s">
        <v>13</v>
      </c>
      <c r="B241" s="54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</row>
    <row r="242" spans="1:14" ht="78.75" x14ac:dyDescent="0.25">
      <c r="A242" s="39" t="s">
        <v>32</v>
      </c>
      <c r="B242" s="40" t="s">
        <v>33</v>
      </c>
      <c r="C242" s="41" t="s">
        <v>34</v>
      </c>
      <c r="D242" s="41" t="s">
        <v>35</v>
      </c>
      <c r="E242" s="42" t="s">
        <v>36</v>
      </c>
      <c r="F242" s="42" t="s">
        <v>37</v>
      </c>
      <c r="G242" s="42" t="s">
        <v>38</v>
      </c>
      <c r="H242" s="43" t="s">
        <v>39</v>
      </c>
      <c r="I242" s="44" t="s">
        <v>40</v>
      </c>
      <c r="J242" s="44" t="s">
        <v>41</v>
      </c>
      <c r="K242" s="42" t="s">
        <v>42</v>
      </c>
      <c r="L242" s="44" t="s">
        <v>43</v>
      </c>
      <c r="M242" s="44" t="s">
        <v>44</v>
      </c>
      <c r="N242" s="45" t="s">
        <v>45</v>
      </c>
    </row>
    <row r="243" spans="1:14" ht="15.75" x14ac:dyDescent="0.25">
      <c r="A243" s="46" t="s">
        <v>661</v>
      </c>
      <c r="B243" s="47" t="s">
        <v>48</v>
      </c>
      <c r="C243" s="48">
        <v>680288</v>
      </c>
      <c r="D243" s="48">
        <v>-4007</v>
      </c>
      <c r="E243" s="48">
        <v>0</v>
      </c>
      <c r="F243" s="48">
        <v>0</v>
      </c>
      <c r="G243" s="48">
        <v>0</v>
      </c>
      <c r="H243" s="48">
        <v>676281</v>
      </c>
      <c r="I243" s="48">
        <v>-650651</v>
      </c>
      <c r="J243" s="48">
        <v>25630</v>
      </c>
      <c r="K243" s="48">
        <v>0</v>
      </c>
      <c r="L243" s="48">
        <v>0</v>
      </c>
      <c r="M243" s="48">
        <v>0</v>
      </c>
      <c r="N243" s="48">
        <v>25630</v>
      </c>
    </row>
    <row r="244" spans="1:14" ht="15.75" x14ac:dyDescent="0.25">
      <c r="A244" s="49" t="s">
        <v>661</v>
      </c>
      <c r="B244" s="50" t="s">
        <v>49</v>
      </c>
      <c r="C244" s="51">
        <v>812644</v>
      </c>
      <c r="D244" s="51">
        <v>-128110</v>
      </c>
      <c r="E244" s="51">
        <v>0</v>
      </c>
      <c r="F244" s="51">
        <v>0</v>
      </c>
      <c r="G244" s="51">
        <v>0</v>
      </c>
      <c r="H244" s="51">
        <v>684534</v>
      </c>
      <c r="I244" s="51">
        <v>-664641</v>
      </c>
      <c r="J244" s="51">
        <v>19893</v>
      </c>
      <c r="K244" s="51">
        <v>0</v>
      </c>
      <c r="L244" s="51">
        <v>0</v>
      </c>
      <c r="M244" s="51">
        <v>0</v>
      </c>
      <c r="N244" s="51">
        <v>19893</v>
      </c>
    </row>
    <row r="245" spans="1:14" ht="15.75" x14ac:dyDescent="0.25">
      <c r="A245" s="49" t="s">
        <v>661</v>
      </c>
      <c r="B245" s="50" t="s">
        <v>50</v>
      </c>
      <c r="C245" s="51">
        <v>778192</v>
      </c>
      <c r="D245" s="51">
        <v>-2383</v>
      </c>
      <c r="E245" s="51">
        <v>0</v>
      </c>
      <c r="F245" s="51">
        <v>0</v>
      </c>
      <c r="G245" s="51">
        <v>0</v>
      </c>
      <c r="H245" s="51">
        <v>775809</v>
      </c>
      <c r="I245" s="51">
        <v>-735585</v>
      </c>
      <c r="J245" s="51">
        <v>40224</v>
      </c>
      <c r="K245" s="51">
        <v>0</v>
      </c>
      <c r="L245" s="51">
        <v>0</v>
      </c>
      <c r="M245" s="51">
        <v>0</v>
      </c>
      <c r="N245" s="51">
        <v>40224</v>
      </c>
    </row>
    <row r="246" spans="1:14" ht="15.75" x14ac:dyDescent="0.25">
      <c r="A246" s="49" t="s">
        <v>661</v>
      </c>
      <c r="B246" s="50" t="s">
        <v>51</v>
      </c>
      <c r="C246" s="51">
        <v>711478</v>
      </c>
      <c r="D246" s="51">
        <v>-3491</v>
      </c>
      <c r="E246" s="51">
        <v>0</v>
      </c>
      <c r="F246" s="51">
        <v>0</v>
      </c>
      <c r="G246" s="51">
        <v>0</v>
      </c>
      <c r="H246" s="51">
        <v>707987</v>
      </c>
      <c r="I246" s="51">
        <v>-672870</v>
      </c>
      <c r="J246" s="51">
        <v>35117</v>
      </c>
      <c r="K246" s="51">
        <v>0</v>
      </c>
      <c r="L246" s="51">
        <v>0</v>
      </c>
      <c r="M246" s="51">
        <v>0</v>
      </c>
      <c r="N246" s="51">
        <v>35117</v>
      </c>
    </row>
    <row r="247" spans="1:14" ht="15.75" x14ac:dyDescent="0.25">
      <c r="A247" s="49" t="s">
        <v>661</v>
      </c>
      <c r="B247" s="50" t="s">
        <v>52</v>
      </c>
      <c r="C247" s="51">
        <v>855770</v>
      </c>
      <c r="D247" s="51">
        <v>-1883</v>
      </c>
      <c r="E247" s="51">
        <v>0</v>
      </c>
      <c r="F247" s="51">
        <v>0</v>
      </c>
      <c r="G247" s="51">
        <v>0</v>
      </c>
      <c r="H247" s="51">
        <v>853887</v>
      </c>
      <c r="I247" s="51">
        <v>-840901</v>
      </c>
      <c r="J247" s="51">
        <v>12986</v>
      </c>
      <c r="K247" s="51">
        <v>0</v>
      </c>
      <c r="L247" s="51">
        <v>0</v>
      </c>
      <c r="M247" s="51">
        <v>0</v>
      </c>
      <c r="N247" s="51">
        <v>12986</v>
      </c>
    </row>
    <row r="248" spans="1:14" ht="15.75" x14ac:dyDescent="0.25">
      <c r="A248" s="49" t="s">
        <v>661</v>
      </c>
      <c r="B248" s="50" t="s">
        <v>53</v>
      </c>
      <c r="C248" s="51">
        <v>896703</v>
      </c>
      <c r="D248" s="51">
        <v>-4196</v>
      </c>
      <c r="E248" s="51">
        <v>0</v>
      </c>
      <c r="F248" s="51">
        <v>0</v>
      </c>
      <c r="G248" s="51">
        <v>0</v>
      </c>
      <c r="H248" s="51">
        <v>892507</v>
      </c>
      <c r="I248" s="51">
        <v>-892507</v>
      </c>
      <c r="J248" s="51">
        <v>0</v>
      </c>
      <c r="K248" s="51">
        <v>159704</v>
      </c>
      <c r="L248" s="51">
        <v>-145885</v>
      </c>
      <c r="M248" s="51">
        <v>13819</v>
      </c>
      <c r="N248" s="51">
        <v>-13819</v>
      </c>
    </row>
    <row r="249" spans="1:14" ht="15.75" x14ac:dyDescent="0.25">
      <c r="A249" s="49" t="s">
        <v>661</v>
      </c>
      <c r="B249" s="50" t="s">
        <v>54</v>
      </c>
      <c r="C249" s="51">
        <v>814188</v>
      </c>
      <c r="D249" s="51">
        <v>-2858</v>
      </c>
      <c r="E249" s="51">
        <v>0</v>
      </c>
      <c r="F249" s="51">
        <v>0</v>
      </c>
      <c r="G249" s="51">
        <v>0</v>
      </c>
      <c r="H249" s="51">
        <v>811330</v>
      </c>
      <c r="I249" s="51">
        <v>-811330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</row>
    <row r="250" spans="1:14" ht="15.75" x14ac:dyDescent="0.25">
      <c r="A250" s="49" t="s">
        <v>661</v>
      </c>
      <c r="B250" s="50" t="s">
        <v>55</v>
      </c>
      <c r="C250" s="51">
        <v>667359</v>
      </c>
      <c r="D250" s="51">
        <v>-2617</v>
      </c>
      <c r="E250" s="51">
        <v>0</v>
      </c>
      <c r="F250" s="51">
        <v>0</v>
      </c>
      <c r="G250" s="51">
        <v>0</v>
      </c>
      <c r="H250" s="51">
        <v>664742</v>
      </c>
      <c r="I250" s="51">
        <v>-664742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</row>
    <row r="251" spans="1:14" ht="15.75" x14ac:dyDescent="0.25">
      <c r="A251" s="49" t="s">
        <v>661</v>
      </c>
      <c r="B251" s="50" t="s">
        <v>56</v>
      </c>
      <c r="C251" s="51">
        <v>795798</v>
      </c>
      <c r="D251" s="51">
        <v>-13145</v>
      </c>
      <c r="E251" s="51">
        <v>0</v>
      </c>
      <c r="F251" s="51">
        <v>0</v>
      </c>
      <c r="G251" s="51">
        <v>0</v>
      </c>
      <c r="H251" s="51">
        <v>782653</v>
      </c>
      <c r="I251" s="51">
        <v>-782653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</row>
    <row r="252" spans="1:14" ht="15.75" x14ac:dyDescent="0.25">
      <c r="A252" s="49" t="s">
        <v>661</v>
      </c>
      <c r="B252" s="50" t="s">
        <v>57</v>
      </c>
      <c r="C252" s="51">
        <v>795224</v>
      </c>
      <c r="D252" s="51">
        <v>-14496</v>
      </c>
      <c r="E252" s="51">
        <v>0</v>
      </c>
      <c r="F252" s="51">
        <v>0</v>
      </c>
      <c r="G252" s="51">
        <v>0</v>
      </c>
      <c r="H252" s="51">
        <v>780728</v>
      </c>
      <c r="I252" s="51">
        <v>-780728</v>
      </c>
      <c r="J252" s="51">
        <v>0</v>
      </c>
      <c r="K252" s="51">
        <v>33</v>
      </c>
      <c r="L252" s="51">
        <v>-33</v>
      </c>
      <c r="M252" s="51">
        <v>0</v>
      </c>
      <c r="N252" s="51">
        <v>0</v>
      </c>
    </row>
    <row r="253" spans="1:14" ht="15.75" x14ac:dyDescent="0.25">
      <c r="A253" s="49" t="s">
        <v>661</v>
      </c>
      <c r="B253" s="50" t="s">
        <v>58</v>
      </c>
      <c r="C253" s="51">
        <v>616258</v>
      </c>
      <c r="D253" s="51">
        <v>-1825</v>
      </c>
      <c r="E253" s="51">
        <v>0</v>
      </c>
      <c r="F253" s="51">
        <v>0</v>
      </c>
      <c r="G253" s="51">
        <v>0</v>
      </c>
      <c r="H253" s="51">
        <v>614433</v>
      </c>
      <c r="I253" s="51">
        <v>-614433</v>
      </c>
      <c r="J253" s="51">
        <v>0</v>
      </c>
      <c r="K253" s="51">
        <v>11162</v>
      </c>
      <c r="L253" s="51">
        <v>-9987</v>
      </c>
      <c r="M253" s="51">
        <v>1175</v>
      </c>
      <c r="N253" s="51">
        <v>-1175</v>
      </c>
    </row>
    <row r="254" spans="1:14" ht="15.75" x14ac:dyDescent="0.25">
      <c r="A254" s="49" t="s">
        <v>661</v>
      </c>
      <c r="B254" s="50" t="s">
        <v>59</v>
      </c>
      <c r="C254" s="51">
        <v>28469</v>
      </c>
      <c r="D254" s="51">
        <v>0</v>
      </c>
      <c r="E254" s="51">
        <v>0</v>
      </c>
      <c r="F254" s="51">
        <v>0</v>
      </c>
      <c r="G254" s="51">
        <v>0</v>
      </c>
      <c r="H254" s="51">
        <v>28469</v>
      </c>
      <c r="I254" s="51">
        <v>-28469</v>
      </c>
      <c r="J254" s="51">
        <v>0</v>
      </c>
      <c r="K254" s="51">
        <v>17658</v>
      </c>
      <c r="L254" s="51">
        <v>-8829</v>
      </c>
      <c r="M254" s="51">
        <v>8829</v>
      </c>
      <c r="N254" s="51">
        <v>-8829</v>
      </c>
    </row>
    <row r="255" spans="1:14" ht="15.75" x14ac:dyDescent="0.25">
      <c r="A255" s="49" t="s">
        <v>661</v>
      </c>
      <c r="B255" s="50" t="s">
        <v>64</v>
      </c>
      <c r="C255" s="51">
        <v>9538</v>
      </c>
      <c r="D255" s="51">
        <v>0</v>
      </c>
      <c r="E255" s="51">
        <v>0</v>
      </c>
      <c r="F255" s="51">
        <v>0</v>
      </c>
      <c r="G255" s="51">
        <v>0</v>
      </c>
      <c r="H255" s="51">
        <v>9538</v>
      </c>
      <c r="I255" s="51">
        <v>-9538</v>
      </c>
      <c r="J255" s="51">
        <v>0</v>
      </c>
      <c r="K255" s="51">
        <v>462</v>
      </c>
      <c r="L255" s="51">
        <v>-462</v>
      </c>
      <c r="M255" s="51">
        <v>0</v>
      </c>
      <c r="N255" s="51">
        <v>0</v>
      </c>
    </row>
    <row r="256" spans="1:14" ht="15.75" x14ac:dyDescent="0.25">
      <c r="A256" s="52" t="s">
        <v>626</v>
      </c>
      <c r="B256" s="53" t="s">
        <v>8</v>
      </c>
      <c r="C256" s="19">
        <f>SUBTOTAL(109,Program237[(C)
Program
Costs])</f>
        <v>8461909</v>
      </c>
      <c r="D256" s="19">
        <f>SUBTOTAL(109,Program237[(D)
Prior Period Adjustments])</f>
        <v>-179011</v>
      </c>
      <c r="E256" s="19">
        <f>SUBTOTAL(109,Program237[(E)
Current Period Desk 
Reviews])</f>
        <v>0</v>
      </c>
      <c r="F256" s="19">
        <f>SUBTOTAL(109,Program237[(F)
Current Period 
Final 
Audits])</f>
        <v>0</v>
      </c>
      <c r="G256" s="19">
        <f>SUBTOTAL(109,Program237[(G)
Current Period 
Other Adjustments])</f>
        <v>0</v>
      </c>
      <c r="H256" s="19">
        <f>SUBTOTAL(109,Program237[(H)
Net Program Costs
Sum (C through G)])</f>
        <v>8282898</v>
      </c>
      <c r="I256" s="19">
        <f>SUBTOTAL(109,Program237[(I)
Payments
 and Offsets])</f>
        <v>-8149048</v>
      </c>
      <c r="J256" s="19">
        <f>SUBTOTAL(109,Program237[(J)
Accounts Payable Balance
(H + I)])</f>
        <v>133850</v>
      </c>
      <c r="K256" s="19">
        <f>SUBTOTAL(109,Program237[(K)
Established 
Accounts Receivable])</f>
        <v>189019</v>
      </c>
      <c r="L256" s="19">
        <f>SUBTOTAL(109,Program237[(L)
Recovered
 Accounts Receivable])</f>
        <v>-165196</v>
      </c>
      <c r="M256" s="19">
        <f>SUBTOTAL(109,Program237[(M)
Accounts Receivable Balance
(K + L)])</f>
        <v>23823</v>
      </c>
      <c r="N256" s="19">
        <f>SUBTOTAL(109,Program237[(N)
Net Balance
(J minus M)])</f>
        <v>110027</v>
      </c>
    </row>
    <row r="257" spans="1:14" ht="15.75" x14ac:dyDescent="0.25">
      <c r="A257" s="17" t="s">
        <v>13</v>
      </c>
      <c r="B257" s="54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ht="78.75" x14ac:dyDescent="0.25">
      <c r="A258" s="39" t="s">
        <v>32</v>
      </c>
      <c r="B258" s="40" t="s">
        <v>33</v>
      </c>
      <c r="C258" s="41" t="s">
        <v>34</v>
      </c>
      <c r="D258" s="41" t="s">
        <v>35</v>
      </c>
      <c r="E258" s="42" t="s">
        <v>36</v>
      </c>
      <c r="F258" s="42" t="s">
        <v>37</v>
      </c>
      <c r="G258" s="42" t="s">
        <v>38</v>
      </c>
      <c r="H258" s="43" t="s">
        <v>39</v>
      </c>
      <c r="I258" s="44" t="s">
        <v>40</v>
      </c>
      <c r="J258" s="44" t="s">
        <v>41</v>
      </c>
      <c r="K258" s="42" t="s">
        <v>42</v>
      </c>
      <c r="L258" s="44" t="s">
        <v>43</v>
      </c>
      <c r="M258" s="44" t="s">
        <v>44</v>
      </c>
      <c r="N258" s="45" t="s">
        <v>45</v>
      </c>
    </row>
    <row r="259" spans="1:14" ht="30" x14ac:dyDescent="0.25">
      <c r="A259" s="67" t="s">
        <v>660</v>
      </c>
      <c r="B259" s="57" t="s">
        <v>82</v>
      </c>
      <c r="C259" s="58">
        <v>79916</v>
      </c>
      <c r="D259" s="58">
        <v>-4500</v>
      </c>
      <c r="E259" s="58">
        <v>0</v>
      </c>
      <c r="F259" s="58">
        <v>0</v>
      </c>
      <c r="G259" s="58">
        <v>0</v>
      </c>
      <c r="H259" s="58">
        <v>75416</v>
      </c>
      <c r="I259" s="58">
        <v>-57555</v>
      </c>
      <c r="J259" s="58">
        <v>17861</v>
      </c>
      <c r="K259" s="58">
        <v>0</v>
      </c>
      <c r="L259" s="58">
        <v>0</v>
      </c>
      <c r="M259" s="58">
        <v>0</v>
      </c>
      <c r="N259" s="58">
        <v>17861</v>
      </c>
    </row>
    <row r="260" spans="1:14" ht="30" x14ac:dyDescent="0.25">
      <c r="A260" s="68" t="s">
        <v>660</v>
      </c>
      <c r="B260" s="60" t="s">
        <v>83</v>
      </c>
      <c r="C260" s="61">
        <v>595091</v>
      </c>
      <c r="D260" s="61">
        <v>-904</v>
      </c>
      <c r="E260" s="61">
        <v>0</v>
      </c>
      <c r="F260" s="61">
        <v>0</v>
      </c>
      <c r="G260" s="61">
        <v>0</v>
      </c>
      <c r="H260" s="61">
        <v>594187</v>
      </c>
      <c r="I260" s="61">
        <v>-543655</v>
      </c>
      <c r="J260" s="61">
        <v>50532</v>
      </c>
      <c r="K260" s="61">
        <v>0</v>
      </c>
      <c r="L260" s="61">
        <v>0</v>
      </c>
      <c r="M260" s="61">
        <v>0</v>
      </c>
      <c r="N260" s="61">
        <v>50532</v>
      </c>
    </row>
    <row r="261" spans="1:14" ht="15.75" x14ac:dyDescent="0.25">
      <c r="A261" s="52" t="s">
        <v>625</v>
      </c>
      <c r="B261" s="53" t="s">
        <v>8</v>
      </c>
      <c r="C261" s="19">
        <f>SUBTOTAL(109,Program320[(C)
Program
Costs])</f>
        <v>675007</v>
      </c>
      <c r="D261" s="19">
        <f>SUBTOTAL(109,Program320[(D)
Prior Period Adjustments])</f>
        <v>-5404</v>
      </c>
      <c r="E261" s="19">
        <f>SUBTOTAL(109,Program320[(E)
Current Period Desk 
Reviews])</f>
        <v>0</v>
      </c>
      <c r="F261" s="19">
        <f>SUBTOTAL(109,Program320[(F)
Current Period 
Final 
Audits])</f>
        <v>0</v>
      </c>
      <c r="G261" s="19">
        <f>SUBTOTAL(109,Program320[(G)
Current Period 
Other Adjustments])</f>
        <v>0</v>
      </c>
      <c r="H261" s="19">
        <f>SUBTOTAL(109,Program320[(H)
Net Program Costs
Sum (C through G)])</f>
        <v>669603</v>
      </c>
      <c r="I261" s="19">
        <f>SUBTOTAL(109,Program320[(I)
Payments
 and Offsets])</f>
        <v>-601210</v>
      </c>
      <c r="J261" s="19">
        <f>SUBTOTAL(109,Program320[(J)
Accounts Payable Balance
(H + I)])</f>
        <v>68393</v>
      </c>
      <c r="K261" s="19">
        <f>SUBTOTAL(109,Program320[(K)
Established 
Accounts Receivable])</f>
        <v>0</v>
      </c>
      <c r="L261" s="19">
        <f>SUBTOTAL(109,Program320[(L)
Recovered
 Accounts Receivable])</f>
        <v>0</v>
      </c>
      <c r="M261" s="19">
        <f>SUBTOTAL(109,Program320[(M)
Accounts Receivable Balance
(K + L)])</f>
        <v>0</v>
      </c>
      <c r="N261" s="19">
        <f>SUBTOTAL(109,Program320[(N)
Net Balance
(J minus M)])</f>
        <v>68393</v>
      </c>
    </row>
    <row r="262" spans="1:14" ht="15.75" x14ac:dyDescent="0.25">
      <c r="A262" s="17" t="s">
        <v>13</v>
      </c>
      <c r="B262" s="54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</row>
    <row r="263" spans="1:14" ht="78.75" x14ac:dyDescent="0.25">
      <c r="A263" s="39" t="s">
        <v>32</v>
      </c>
      <c r="B263" s="40" t="s">
        <v>33</v>
      </c>
      <c r="C263" s="41" t="s">
        <v>34</v>
      </c>
      <c r="D263" s="41" t="s">
        <v>35</v>
      </c>
      <c r="E263" s="42" t="s">
        <v>36</v>
      </c>
      <c r="F263" s="42" t="s">
        <v>37</v>
      </c>
      <c r="G263" s="42" t="s">
        <v>38</v>
      </c>
      <c r="H263" s="43" t="s">
        <v>39</v>
      </c>
      <c r="I263" s="44" t="s">
        <v>40</v>
      </c>
      <c r="J263" s="44" t="s">
        <v>41</v>
      </c>
      <c r="K263" s="42" t="s">
        <v>42</v>
      </c>
      <c r="L263" s="44" t="s">
        <v>43</v>
      </c>
      <c r="M263" s="44" t="s">
        <v>44</v>
      </c>
      <c r="N263" s="45" t="s">
        <v>45</v>
      </c>
    </row>
    <row r="264" spans="1:14" ht="15.75" x14ac:dyDescent="0.25">
      <c r="A264" s="46" t="s">
        <v>659</v>
      </c>
      <c r="B264" s="47" t="s">
        <v>48</v>
      </c>
      <c r="C264" s="48">
        <v>3057</v>
      </c>
      <c r="D264" s="48">
        <v>-3057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</row>
    <row r="265" spans="1:14" ht="15.75" x14ac:dyDescent="0.25">
      <c r="A265" s="52" t="s">
        <v>624</v>
      </c>
      <c r="B265" s="53" t="s">
        <v>8</v>
      </c>
      <c r="C265" s="19">
        <f>SUBTOTAL(109,Program317[(C)
Program
Costs])</f>
        <v>3057</v>
      </c>
      <c r="D265" s="19">
        <f>SUBTOTAL(109,Program317[(D)
Prior Period Adjustments])</f>
        <v>-3057</v>
      </c>
      <c r="E265" s="19">
        <f>SUBTOTAL(109,Program317[(E)
Current Period Desk 
Reviews])</f>
        <v>0</v>
      </c>
      <c r="F265" s="19">
        <f>SUBTOTAL(109,Program317[(F)
Current Period 
Final 
Audits])</f>
        <v>0</v>
      </c>
      <c r="G265" s="19">
        <f>SUBTOTAL(109,Program317[(G)
Current Period 
Other Adjustments])</f>
        <v>0</v>
      </c>
      <c r="H265" s="19">
        <f>SUBTOTAL(109,Program317[(H)
Net Program Costs
Sum (C through G)])</f>
        <v>0</v>
      </c>
      <c r="I265" s="19">
        <f>SUBTOTAL(109,Program317[(I)
Payments
 and Offsets])</f>
        <v>0</v>
      </c>
      <c r="J265" s="19">
        <f>SUBTOTAL(109,Program317[(J)
Accounts Payable Balance
(H + I)])</f>
        <v>0</v>
      </c>
      <c r="K265" s="19">
        <f>SUBTOTAL(109,Program317[(K)
Established 
Accounts Receivable])</f>
        <v>0</v>
      </c>
      <c r="L265" s="19">
        <f>SUBTOTAL(109,Program317[(L)
Recovered
 Accounts Receivable])</f>
        <v>0</v>
      </c>
      <c r="M265" s="19">
        <f>SUBTOTAL(109,Program317[(M)
Accounts Receivable Balance
(K + L)])</f>
        <v>0</v>
      </c>
      <c r="N265" s="19">
        <f>SUBTOTAL(109,Program317[(N)
Net Balance
(J minus M)])</f>
        <v>0</v>
      </c>
    </row>
    <row r="266" spans="1:14" ht="15.75" x14ac:dyDescent="0.25">
      <c r="A266" s="17" t="s">
        <v>13</v>
      </c>
      <c r="B266" s="54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78.75" x14ac:dyDescent="0.25">
      <c r="A267" s="39" t="s">
        <v>32</v>
      </c>
      <c r="B267" s="40" t="s">
        <v>33</v>
      </c>
      <c r="C267" s="41" t="s">
        <v>34</v>
      </c>
      <c r="D267" s="41" t="s">
        <v>35</v>
      </c>
      <c r="E267" s="42" t="s">
        <v>36</v>
      </c>
      <c r="F267" s="42" t="s">
        <v>37</v>
      </c>
      <c r="G267" s="42" t="s">
        <v>38</v>
      </c>
      <c r="H267" s="43" t="s">
        <v>39</v>
      </c>
      <c r="I267" s="44" t="s">
        <v>40</v>
      </c>
      <c r="J267" s="44" t="s">
        <v>41</v>
      </c>
      <c r="K267" s="42" t="s">
        <v>42</v>
      </c>
      <c r="L267" s="44" t="s">
        <v>43</v>
      </c>
      <c r="M267" s="44" t="s">
        <v>44</v>
      </c>
      <c r="N267" s="45" t="s">
        <v>45</v>
      </c>
    </row>
    <row r="268" spans="1:14" ht="15.75" x14ac:dyDescent="0.25">
      <c r="A268" s="46" t="s">
        <v>658</v>
      </c>
      <c r="B268" s="47" t="s">
        <v>80</v>
      </c>
      <c r="C268" s="48">
        <v>4517288</v>
      </c>
      <c r="D268" s="48">
        <v>-4517288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1000</v>
      </c>
      <c r="L268" s="48">
        <v>0</v>
      </c>
      <c r="M268" s="48">
        <v>1000</v>
      </c>
      <c r="N268" s="48">
        <v>-1000</v>
      </c>
    </row>
    <row r="269" spans="1:14" ht="15.75" x14ac:dyDescent="0.25">
      <c r="A269" s="49" t="s">
        <v>658</v>
      </c>
      <c r="B269" s="50" t="s">
        <v>81</v>
      </c>
      <c r="C269" s="51">
        <v>7851859</v>
      </c>
      <c r="D269" s="51">
        <v>-7851859</v>
      </c>
      <c r="E269" s="51">
        <v>0</v>
      </c>
      <c r="F269" s="51">
        <v>0</v>
      </c>
      <c r="G269" s="51">
        <v>0</v>
      </c>
      <c r="H269" s="51">
        <v>0</v>
      </c>
      <c r="I269" s="51">
        <v>0</v>
      </c>
      <c r="J269" s="51">
        <v>0</v>
      </c>
      <c r="K269" s="51">
        <v>1000</v>
      </c>
      <c r="L269" s="51">
        <v>0</v>
      </c>
      <c r="M269" s="51">
        <v>1000</v>
      </c>
      <c r="N269" s="51">
        <v>-1000</v>
      </c>
    </row>
    <row r="270" spans="1:14" ht="15.75" x14ac:dyDescent="0.25">
      <c r="A270" s="49" t="s">
        <v>658</v>
      </c>
      <c r="B270" s="50" t="s">
        <v>82</v>
      </c>
      <c r="C270" s="51">
        <v>10915495</v>
      </c>
      <c r="D270" s="51">
        <v>-10915495</v>
      </c>
      <c r="E270" s="51">
        <v>0</v>
      </c>
      <c r="F270" s="51">
        <v>0</v>
      </c>
      <c r="G270" s="51">
        <v>0</v>
      </c>
      <c r="H270" s="51">
        <v>0</v>
      </c>
      <c r="I270" s="51">
        <v>0</v>
      </c>
      <c r="J270" s="51">
        <v>0</v>
      </c>
      <c r="K270" s="51">
        <v>1000</v>
      </c>
      <c r="L270" s="51">
        <v>0</v>
      </c>
      <c r="M270" s="51">
        <v>1000</v>
      </c>
      <c r="N270" s="51">
        <v>-1000</v>
      </c>
    </row>
    <row r="271" spans="1:14" ht="15.75" x14ac:dyDescent="0.25">
      <c r="A271" s="49" t="s">
        <v>658</v>
      </c>
      <c r="B271" s="50" t="s">
        <v>83</v>
      </c>
      <c r="C271" s="51">
        <v>35452216</v>
      </c>
      <c r="D271" s="51">
        <v>-26187890</v>
      </c>
      <c r="E271" s="51">
        <v>0</v>
      </c>
      <c r="F271" s="51">
        <v>-3693370</v>
      </c>
      <c r="G271" s="51">
        <v>0</v>
      </c>
      <c r="H271" s="51">
        <v>5570956</v>
      </c>
      <c r="I271" s="51">
        <v>-3907483</v>
      </c>
      <c r="J271" s="51">
        <v>1663473</v>
      </c>
      <c r="K271" s="51">
        <v>0</v>
      </c>
      <c r="L271" s="51">
        <v>0</v>
      </c>
      <c r="M271" s="51">
        <v>0</v>
      </c>
      <c r="N271" s="51">
        <v>1663473</v>
      </c>
    </row>
    <row r="272" spans="1:14" ht="15.75" x14ac:dyDescent="0.25">
      <c r="A272" s="49" t="s">
        <v>658</v>
      </c>
      <c r="B272" s="50" t="s">
        <v>48</v>
      </c>
      <c r="C272" s="51">
        <v>34460178</v>
      </c>
      <c r="D272" s="51">
        <v>-25753834</v>
      </c>
      <c r="E272" s="51">
        <v>0</v>
      </c>
      <c r="F272" s="51">
        <v>-3517190</v>
      </c>
      <c r="G272" s="51">
        <v>0</v>
      </c>
      <c r="H272" s="51">
        <v>5189154</v>
      </c>
      <c r="I272" s="51">
        <v>-4698840</v>
      </c>
      <c r="J272" s="51">
        <v>490314</v>
      </c>
      <c r="K272" s="51">
        <v>0</v>
      </c>
      <c r="L272" s="51">
        <v>0</v>
      </c>
      <c r="M272" s="51">
        <v>0</v>
      </c>
      <c r="N272" s="51">
        <v>490314</v>
      </c>
    </row>
    <row r="273" spans="1:14" ht="15.75" x14ac:dyDescent="0.25">
      <c r="A273" s="49" t="s">
        <v>658</v>
      </c>
      <c r="B273" s="50" t="s">
        <v>49</v>
      </c>
      <c r="C273" s="51">
        <v>34516953</v>
      </c>
      <c r="D273" s="51">
        <v>-25877126</v>
      </c>
      <c r="E273" s="51">
        <v>0</v>
      </c>
      <c r="F273" s="51">
        <v>-3749085</v>
      </c>
      <c r="G273" s="51">
        <v>0</v>
      </c>
      <c r="H273" s="51">
        <v>4890742</v>
      </c>
      <c r="I273" s="51">
        <v>-4524963</v>
      </c>
      <c r="J273" s="51">
        <v>365779</v>
      </c>
      <c r="K273" s="51">
        <v>0</v>
      </c>
      <c r="L273" s="51">
        <v>0</v>
      </c>
      <c r="M273" s="51">
        <v>0</v>
      </c>
      <c r="N273" s="51">
        <v>365779</v>
      </c>
    </row>
    <row r="274" spans="1:14" ht="15.75" x14ac:dyDescent="0.25">
      <c r="A274" s="49" t="s">
        <v>658</v>
      </c>
      <c r="B274" s="50" t="s">
        <v>50</v>
      </c>
      <c r="C274" s="51">
        <v>36184599</v>
      </c>
      <c r="D274" s="51">
        <v>-26868870</v>
      </c>
      <c r="E274" s="51">
        <v>0</v>
      </c>
      <c r="F274" s="51">
        <v>-4579366</v>
      </c>
      <c r="G274" s="51">
        <v>0</v>
      </c>
      <c r="H274" s="51">
        <v>4736363</v>
      </c>
      <c r="I274" s="51">
        <v>-4301488</v>
      </c>
      <c r="J274" s="51">
        <v>434875</v>
      </c>
      <c r="K274" s="51">
        <v>0</v>
      </c>
      <c r="L274" s="51">
        <v>0</v>
      </c>
      <c r="M274" s="51">
        <v>0</v>
      </c>
      <c r="N274" s="51">
        <v>434875</v>
      </c>
    </row>
    <row r="275" spans="1:14" ht="15.75" x14ac:dyDescent="0.25">
      <c r="A275" s="49" t="s">
        <v>658</v>
      </c>
      <c r="B275" s="50" t="s">
        <v>51</v>
      </c>
      <c r="C275" s="51">
        <v>33689313</v>
      </c>
      <c r="D275" s="51">
        <v>-24994412</v>
      </c>
      <c r="E275" s="51">
        <v>0</v>
      </c>
      <c r="F275" s="51">
        <v>-4062298</v>
      </c>
      <c r="G275" s="51">
        <v>0</v>
      </c>
      <c r="H275" s="51">
        <v>4632603</v>
      </c>
      <c r="I275" s="51">
        <v>-4204110</v>
      </c>
      <c r="J275" s="51">
        <v>428493</v>
      </c>
      <c r="K275" s="51">
        <v>0</v>
      </c>
      <c r="L275" s="51">
        <v>0</v>
      </c>
      <c r="M275" s="51">
        <v>0</v>
      </c>
      <c r="N275" s="51">
        <v>428493</v>
      </c>
    </row>
    <row r="276" spans="1:14" ht="15.75" x14ac:dyDescent="0.25">
      <c r="A276" s="49" t="s">
        <v>658</v>
      </c>
      <c r="B276" s="50" t="s">
        <v>52</v>
      </c>
      <c r="C276" s="51">
        <v>33163812</v>
      </c>
      <c r="D276" s="51">
        <v>-25334790</v>
      </c>
      <c r="E276" s="51">
        <v>0</v>
      </c>
      <c r="F276" s="51">
        <v>-3800297</v>
      </c>
      <c r="G276" s="51">
        <v>0</v>
      </c>
      <c r="H276" s="51">
        <v>4028725</v>
      </c>
      <c r="I276" s="51">
        <v>-3654701</v>
      </c>
      <c r="J276" s="51">
        <v>374024</v>
      </c>
      <c r="K276" s="51">
        <v>827296</v>
      </c>
      <c r="L276" s="51">
        <v>-827296</v>
      </c>
      <c r="M276" s="51">
        <v>0</v>
      </c>
      <c r="N276" s="51">
        <v>374024</v>
      </c>
    </row>
    <row r="277" spans="1:14" ht="15.75" x14ac:dyDescent="0.25">
      <c r="A277" s="49" t="s">
        <v>658</v>
      </c>
      <c r="B277" s="50" t="s">
        <v>53</v>
      </c>
      <c r="C277" s="51">
        <v>27840612</v>
      </c>
      <c r="D277" s="51">
        <v>-21799948</v>
      </c>
      <c r="E277" s="51">
        <v>0</v>
      </c>
      <c r="F277" s="51">
        <v>-2897861</v>
      </c>
      <c r="G277" s="51">
        <v>0</v>
      </c>
      <c r="H277" s="51">
        <v>3142803</v>
      </c>
      <c r="I277" s="51">
        <v>-3142803</v>
      </c>
      <c r="J277" s="51">
        <v>0</v>
      </c>
      <c r="K277" s="51">
        <v>835657</v>
      </c>
      <c r="L277" s="51">
        <v>-835657</v>
      </c>
      <c r="M277" s="51">
        <v>0</v>
      </c>
      <c r="N277" s="51">
        <v>0</v>
      </c>
    </row>
    <row r="278" spans="1:14" ht="15.75" x14ac:dyDescent="0.25">
      <c r="A278" s="49" t="s">
        <v>658</v>
      </c>
      <c r="B278" s="50" t="s">
        <v>54</v>
      </c>
      <c r="C278" s="51">
        <v>25398887</v>
      </c>
      <c r="D278" s="51">
        <v>-19965181</v>
      </c>
      <c r="E278" s="51">
        <v>0</v>
      </c>
      <c r="F278" s="51">
        <v>-2707453</v>
      </c>
      <c r="G278" s="51">
        <v>0</v>
      </c>
      <c r="H278" s="51">
        <v>2726253</v>
      </c>
      <c r="I278" s="51">
        <v>-2726253</v>
      </c>
      <c r="J278" s="51">
        <v>0</v>
      </c>
      <c r="K278" s="51">
        <v>778132</v>
      </c>
      <c r="L278" s="51">
        <v>-778132</v>
      </c>
      <c r="M278" s="51">
        <v>0</v>
      </c>
      <c r="N278" s="51">
        <v>0</v>
      </c>
    </row>
    <row r="279" spans="1:14" ht="15.75" x14ac:dyDescent="0.25">
      <c r="A279" s="49" t="s">
        <v>658</v>
      </c>
      <c r="B279" s="50" t="s">
        <v>55</v>
      </c>
      <c r="C279" s="51">
        <v>23055468</v>
      </c>
      <c r="D279" s="51">
        <v>-18721987</v>
      </c>
      <c r="E279" s="51">
        <v>0</v>
      </c>
      <c r="F279" s="51">
        <v>-1805480</v>
      </c>
      <c r="G279" s="51">
        <v>0</v>
      </c>
      <c r="H279" s="51">
        <v>2528001</v>
      </c>
      <c r="I279" s="51">
        <v>-2528001</v>
      </c>
      <c r="J279" s="51">
        <v>0</v>
      </c>
      <c r="K279" s="51">
        <v>2317304</v>
      </c>
      <c r="L279" s="51">
        <v>-2317304</v>
      </c>
      <c r="M279" s="51">
        <v>0</v>
      </c>
      <c r="N279" s="51">
        <v>0</v>
      </c>
    </row>
    <row r="280" spans="1:14" ht="15.75" x14ac:dyDescent="0.25">
      <c r="A280" s="49" t="s">
        <v>658</v>
      </c>
      <c r="B280" s="50" t="s">
        <v>56</v>
      </c>
      <c r="C280" s="51">
        <v>24691524</v>
      </c>
      <c r="D280" s="51">
        <v>-19712897</v>
      </c>
      <c r="E280" s="51">
        <v>0</v>
      </c>
      <c r="F280" s="51">
        <v>-2164667</v>
      </c>
      <c r="G280" s="51">
        <v>0</v>
      </c>
      <c r="H280" s="51">
        <v>2813960</v>
      </c>
      <c r="I280" s="51">
        <v>-2813960</v>
      </c>
      <c r="J280" s="51">
        <v>0</v>
      </c>
      <c r="K280" s="51">
        <v>3972994</v>
      </c>
      <c r="L280" s="51">
        <v>-3972994</v>
      </c>
      <c r="M280" s="51">
        <v>0</v>
      </c>
      <c r="N280" s="51">
        <v>0</v>
      </c>
    </row>
    <row r="281" spans="1:14" ht="15.75" x14ac:dyDescent="0.25">
      <c r="A281" s="49" t="s">
        <v>658</v>
      </c>
      <c r="B281" s="50" t="s">
        <v>57</v>
      </c>
      <c r="C281" s="51">
        <v>22909332</v>
      </c>
      <c r="D281" s="51">
        <v>-19100412</v>
      </c>
      <c r="E281" s="51">
        <v>0</v>
      </c>
      <c r="F281" s="51">
        <v>-1409492</v>
      </c>
      <c r="G281" s="51">
        <v>0</v>
      </c>
      <c r="H281" s="51">
        <v>2399428</v>
      </c>
      <c r="I281" s="51">
        <v>-2399428</v>
      </c>
      <c r="J281" s="51">
        <v>0</v>
      </c>
      <c r="K281" s="51">
        <v>7552532</v>
      </c>
      <c r="L281" s="51">
        <v>-7552532</v>
      </c>
      <c r="M281" s="51">
        <v>0</v>
      </c>
      <c r="N281" s="51">
        <v>0</v>
      </c>
    </row>
    <row r="282" spans="1:14" ht="15.75" x14ac:dyDescent="0.25">
      <c r="A282" s="52" t="s">
        <v>623</v>
      </c>
      <c r="B282" s="53" t="s">
        <v>8</v>
      </c>
      <c r="C282" s="19">
        <f>SUBTOTAL(109,Program347[(C)
Program
Costs])</f>
        <v>354647536</v>
      </c>
      <c r="D282" s="19">
        <f>SUBTOTAL(109,Program347[(D)
Prior Period Adjustments])</f>
        <v>-277601989</v>
      </c>
      <c r="E282" s="19">
        <f>SUBTOTAL(109,Program347[(E)
Current Period Desk 
Reviews])</f>
        <v>0</v>
      </c>
      <c r="F282" s="19">
        <f>SUBTOTAL(109,Program347[(F)
Current Period 
Final 
Audits])</f>
        <v>-34386559</v>
      </c>
      <c r="G282" s="19">
        <f>SUBTOTAL(109,Program347[(G)
Current Period 
Other Adjustments])</f>
        <v>0</v>
      </c>
      <c r="H282" s="19">
        <f>SUBTOTAL(109,Program347[(H)
Net Program Costs
Sum (C through G)])</f>
        <v>42658988</v>
      </c>
      <c r="I282" s="19">
        <f>SUBTOTAL(109,Program347[(I)
Payments
 and Offsets])</f>
        <v>-38902030</v>
      </c>
      <c r="J282" s="19">
        <f>SUBTOTAL(109,Program347[(J)
Accounts Payable Balance
(H + I)])</f>
        <v>3756958</v>
      </c>
      <c r="K282" s="19">
        <f>SUBTOTAL(109,Program347[(K)
Established 
Accounts Receivable])</f>
        <v>16286915</v>
      </c>
      <c r="L282" s="19">
        <f>SUBTOTAL(109,Program347[(L)
Recovered
 Accounts Receivable])</f>
        <v>-16283915</v>
      </c>
      <c r="M282" s="19">
        <f>SUBTOTAL(109,Program347[(M)
Accounts Receivable Balance
(K + L)])</f>
        <v>3000</v>
      </c>
      <c r="N282" s="19">
        <f>SUBTOTAL(109,Program347[(N)
Net Balance
(J minus M)])</f>
        <v>3753958</v>
      </c>
    </row>
    <row r="283" spans="1:14" ht="15.75" x14ac:dyDescent="0.25">
      <c r="A283" s="17" t="s">
        <v>13</v>
      </c>
      <c r="B283" s="54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</row>
    <row r="284" spans="1:14" ht="78.75" x14ac:dyDescent="0.25">
      <c r="A284" s="39" t="s">
        <v>32</v>
      </c>
      <c r="B284" s="40" t="s">
        <v>33</v>
      </c>
      <c r="C284" s="41" t="s">
        <v>34</v>
      </c>
      <c r="D284" s="41" t="s">
        <v>35</v>
      </c>
      <c r="E284" s="42" t="s">
        <v>36</v>
      </c>
      <c r="F284" s="42" t="s">
        <v>37</v>
      </c>
      <c r="G284" s="42" t="s">
        <v>38</v>
      </c>
      <c r="H284" s="43" t="s">
        <v>39</v>
      </c>
      <c r="I284" s="44" t="s">
        <v>40</v>
      </c>
      <c r="J284" s="44" t="s">
        <v>41</v>
      </c>
      <c r="K284" s="42" t="s">
        <v>42</v>
      </c>
      <c r="L284" s="44" t="s">
        <v>43</v>
      </c>
      <c r="M284" s="44" t="s">
        <v>44</v>
      </c>
      <c r="N284" s="45" t="s">
        <v>45</v>
      </c>
    </row>
    <row r="285" spans="1:14" ht="15.75" x14ac:dyDescent="0.25">
      <c r="A285" s="46" t="s">
        <v>657</v>
      </c>
      <c r="B285" s="47" t="s">
        <v>58</v>
      </c>
      <c r="C285" s="48">
        <v>974263</v>
      </c>
      <c r="D285" s="48">
        <v>-6185</v>
      </c>
      <c r="E285" s="48">
        <v>0</v>
      </c>
      <c r="F285" s="48">
        <v>0</v>
      </c>
      <c r="G285" s="48">
        <v>0</v>
      </c>
      <c r="H285" s="48">
        <v>968078</v>
      </c>
      <c r="I285" s="48">
        <v>-968078</v>
      </c>
      <c r="J285" s="48">
        <v>0</v>
      </c>
      <c r="K285" s="48">
        <v>7162</v>
      </c>
      <c r="L285" s="48">
        <v>-7162</v>
      </c>
      <c r="M285" s="48">
        <v>0</v>
      </c>
      <c r="N285" s="48">
        <v>0</v>
      </c>
    </row>
    <row r="286" spans="1:14" ht="15.75" x14ac:dyDescent="0.25">
      <c r="A286" s="49" t="s">
        <v>657</v>
      </c>
      <c r="B286" s="50" t="s">
        <v>59</v>
      </c>
      <c r="C286" s="51">
        <v>123652</v>
      </c>
      <c r="D286" s="51">
        <v>0</v>
      </c>
      <c r="E286" s="51">
        <v>0</v>
      </c>
      <c r="F286" s="51">
        <v>0</v>
      </c>
      <c r="G286" s="51">
        <v>0</v>
      </c>
      <c r="H286" s="51">
        <v>123652</v>
      </c>
      <c r="I286" s="51">
        <v>-123652</v>
      </c>
      <c r="J286" s="51">
        <v>0</v>
      </c>
      <c r="K286" s="51">
        <v>43386</v>
      </c>
      <c r="L286" s="51">
        <v>-43386</v>
      </c>
      <c r="M286" s="51">
        <v>0</v>
      </c>
      <c r="N286" s="51">
        <v>0</v>
      </c>
    </row>
    <row r="287" spans="1:14" ht="15.75" x14ac:dyDescent="0.25">
      <c r="A287" s="52" t="s">
        <v>622</v>
      </c>
      <c r="B287" s="53" t="s">
        <v>8</v>
      </c>
      <c r="C287" s="19">
        <f>SUBTOTAL(109,Program254[(C)
Program
Costs])</f>
        <v>1097915</v>
      </c>
      <c r="D287" s="19">
        <f>SUBTOTAL(109,Program254[(D)
Prior Period Adjustments])</f>
        <v>-6185</v>
      </c>
      <c r="E287" s="19">
        <f>SUBTOTAL(109,Program254[(E)
Current Period Desk 
Reviews])</f>
        <v>0</v>
      </c>
      <c r="F287" s="19">
        <f>SUBTOTAL(109,Program254[(F)
Current Period 
Final 
Audits])</f>
        <v>0</v>
      </c>
      <c r="G287" s="19">
        <f>SUBTOTAL(109,Program254[(G)
Current Period 
Other Adjustments])</f>
        <v>0</v>
      </c>
      <c r="H287" s="19">
        <f>SUBTOTAL(109,Program254[(H)
Net Program Costs
Sum (C through G)])</f>
        <v>1091730</v>
      </c>
      <c r="I287" s="19">
        <f>SUBTOTAL(109,Program254[(I)
Payments
 and Offsets])</f>
        <v>-1091730</v>
      </c>
      <c r="J287" s="19">
        <f>SUBTOTAL(109,Program254[(J)
Accounts Payable Balance
(H + I)])</f>
        <v>0</v>
      </c>
      <c r="K287" s="19">
        <f>SUBTOTAL(109,Program254[(K)
Established 
Accounts Receivable])</f>
        <v>50548</v>
      </c>
      <c r="L287" s="19">
        <f>SUBTOTAL(109,Program254[(L)
Recovered
 Accounts Receivable])</f>
        <v>-50548</v>
      </c>
      <c r="M287" s="19">
        <f>SUBTOTAL(109,Program254[(M)
Accounts Receivable Balance
(K + L)])</f>
        <v>0</v>
      </c>
      <c r="N287" s="19">
        <f>SUBTOTAL(109,Program254[(N)
Net Balance
(J minus M)])</f>
        <v>0</v>
      </c>
    </row>
    <row r="288" spans="1:14" ht="15.75" x14ac:dyDescent="0.25">
      <c r="A288" s="17" t="s">
        <v>13</v>
      </c>
      <c r="B288" s="54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</row>
    <row r="289" spans="1:14" ht="78.75" x14ac:dyDescent="0.25">
      <c r="A289" s="39" t="s">
        <v>32</v>
      </c>
      <c r="B289" s="40" t="s">
        <v>33</v>
      </c>
      <c r="C289" s="41" t="s">
        <v>34</v>
      </c>
      <c r="D289" s="41" t="s">
        <v>35</v>
      </c>
      <c r="E289" s="42" t="s">
        <v>36</v>
      </c>
      <c r="F289" s="42" t="s">
        <v>37</v>
      </c>
      <c r="G289" s="42" t="s">
        <v>38</v>
      </c>
      <c r="H289" s="43" t="s">
        <v>39</v>
      </c>
      <c r="I289" s="44" t="s">
        <v>40</v>
      </c>
      <c r="J289" s="44" t="s">
        <v>41</v>
      </c>
      <c r="K289" s="42" t="s">
        <v>42</v>
      </c>
      <c r="L289" s="44" t="s">
        <v>43</v>
      </c>
      <c r="M289" s="44" t="s">
        <v>44</v>
      </c>
      <c r="N289" s="45" t="s">
        <v>45</v>
      </c>
    </row>
    <row r="290" spans="1:14" ht="15.75" x14ac:dyDescent="0.25">
      <c r="A290" s="46" t="s">
        <v>656</v>
      </c>
      <c r="B290" s="47" t="s">
        <v>81</v>
      </c>
      <c r="C290" s="48">
        <v>551179</v>
      </c>
      <c r="D290" s="48">
        <v>-551179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</row>
    <row r="291" spans="1:14" ht="15.75" x14ac:dyDescent="0.25">
      <c r="A291" s="49" t="s">
        <v>656</v>
      </c>
      <c r="B291" s="50" t="s">
        <v>82</v>
      </c>
      <c r="C291" s="51">
        <v>260484</v>
      </c>
      <c r="D291" s="51">
        <v>-183189</v>
      </c>
      <c r="E291" s="51">
        <v>0</v>
      </c>
      <c r="F291" s="51">
        <v>0</v>
      </c>
      <c r="G291" s="51">
        <v>0</v>
      </c>
      <c r="H291" s="51">
        <v>77295</v>
      </c>
      <c r="I291" s="51">
        <v>-69101</v>
      </c>
      <c r="J291" s="51">
        <v>8194</v>
      </c>
      <c r="K291" s="51">
        <v>0</v>
      </c>
      <c r="L291" s="51">
        <v>0</v>
      </c>
      <c r="M291" s="51">
        <v>0</v>
      </c>
      <c r="N291" s="51">
        <v>8194</v>
      </c>
    </row>
    <row r="292" spans="1:14" ht="15.75" x14ac:dyDescent="0.25">
      <c r="A292" s="49" t="s">
        <v>656</v>
      </c>
      <c r="B292" s="50" t="s">
        <v>83</v>
      </c>
      <c r="C292" s="51">
        <v>1497310</v>
      </c>
      <c r="D292" s="51">
        <v>-135173</v>
      </c>
      <c r="E292" s="51">
        <v>0</v>
      </c>
      <c r="F292" s="51">
        <v>0</v>
      </c>
      <c r="G292" s="51">
        <v>0</v>
      </c>
      <c r="H292" s="51">
        <v>1362137</v>
      </c>
      <c r="I292" s="51">
        <v>-1191354</v>
      </c>
      <c r="J292" s="51">
        <v>170783</v>
      </c>
      <c r="K292" s="51">
        <v>0</v>
      </c>
      <c r="L292" s="51">
        <v>0</v>
      </c>
      <c r="M292" s="51">
        <v>0</v>
      </c>
      <c r="N292" s="51">
        <v>170783</v>
      </c>
    </row>
    <row r="293" spans="1:14" ht="15.75" x14ac:dyDescent="0.25">
      <c r="A293" s="49" t="s">
        <v>656</v>
      </c>
      <c r="B293" s="50" t="s">
        <v>48</v>
      </c>
      <c r="C293" s="51">
        <v>1559789</v>
      </c>
      <c r="D293" s="51">
        <v>-139774</v>
      </c>
      <c r="E293" s="51">
        <v>0</v>
      </c>
      <c r="F293" s="51">
        <v>0</v>
      </c>
      <c r="G293" s="51">
        <v>0</v>
      </c>
      <c r="H293" s="51">
        <v>1420015</v>
      </c>
      <c r="I293" s="51">
        <v>-1398983</v>
      </c>
      <c r="J293" s="51">
        <v>21032</v>
      </c>
      <c r="K293" s="51">
        <v>0</v>
      </c>
      <c r="L293" s="51">
        <v>0</v>
      </c>
      <c r="M293" s="51">
        <v>0</v>
      </c>
      <c r="N293" s="51">
        <v>21032</v>
      </c>
    </row>
    <row r="294" spans="1:14" ht="15.75" x14ac:dyDescent="0.25">
      <c r="A294" s="49" t="s">
        <v>656</v>
      </c>
      <c r="B294" s="50" t="s">
        <v>49</v>
      </c>
      <c r="C294" s="51">
        <v>1415716</v>
      </c>
      <c r="D294" s="51">
        <v>-129337</v>
      </c>
      <c r="E294" s="51">
        <v>0</v>
      </c>
      <c r="F294" s="51">
        <v>0</v>
      </c>
      <c r="G294" s="51">
        <v>0</v>
      </c>
      <c r="H294" s="51">
        <v>1286379</v>
      </c>
      <c r="I294" s="51">
        <v>-1266655</v>
      </c>
      <c r="J294" s="51">
        <v>19724</v>
      </c>
      <c r="K294" s="51">
        <v>0</v>
      </c>
      <c r="L294" s="51">
        <v>0</v>
      </c>
      <c r="M294" s="51">
        <v>0</v>
      </c>
      <c r="N294" s="51">
        <v>19724</v>
      </c>
    </row>
    <row r="295" spans="1:14" ht="15.75" x14ac:dyDescent="0.25">
      <c r="A295" s="49" t="s">
        <v>656</v>
      </c>
      <c r="B295" s="50" t="s">
        <v>50</v>
      </c>
      <c r="C295" s="51">
        <v>1501671</v>
      </c>
      <c r="D295" s="51">
        <v>-236979</v>
      </c>
      <c r="E295" s="51">
        <v>0</v>
      </c>
      <c r="F295" s="51">
        <v>0</v>
      </c>
      <c r="G295" s="51">
        <v>0</v>
      </c>
      <c r="H295" s="51">
        <v>1264692</v>
      </c>
      <c r="I295" s="51">
        <v>-1235036</v>
      </c>
      <c r="J295" s="51">
        <v>29656</v>
      </c>
      <c r="K295" s="51">
        <v>0</v>
      </c>
      <c r="L295" s="51">
        <v>0</v>
      </c>
      <c r="M295" s="51">
        <v>0</v>
      </c>
      <c r="N295" s="51">
        <v>29656</v>
      </c>
    </row>
    <row r="296" spans="1:14" ht="15.75" x14ac:dyDescent="0.25">
      <c r="A296" s="49" t="s">
        <v>656</v>
      </c>
      <c r="B296" s="50" t="s">
        <v>51</v>
      </c>
      <c r="C296" s="51">
        <v>1249383</v>
      </c>
      <c r="D296" s="51">
        <v>-115283</v>
      </c>
      <c r="E296" s="51">
        <v>0</v>
      </c>
      <c r="F296" s="51">
        <v>0</v>
      </c>
      <c r="G296" s="51">
        <v>0</v>
      </c>
      <c r="H296" s="51">
        <v>1134100</v>
      </c>
      <c r="I296" s="51">
        <v>-1101222</v>
      </c>
      <c r="J296" s="51">
        <v>32878</v>
      </c>
      <c r="K296" s="51">
        <v>0</v>
      </c>
      <c r="L296" s="51">
        <v>0</v>
      </c>
      <c r="M296" s="51">
        <v>0</v>
      </c>
      <c r="N296" s="51">
        <v>32878</v>
      </c>
    </row>
    <row r="297" spans="1:14" ht="15.75" x14ac:dyDescent="0.25">
      <c r="A297" s="49" t="s">
        <v>656</v>
      </c>
      <c r="B297" s="50" t="s">
        <v>52</v>
      </c>
      <c r="C297" s="51">
        <v>1174876</v>
      </c>
      <c r="D297" s="51">
        <v>-196987</v>
      </c>
      <c r="E297" s="51">
        <v>0</v>
      </c>
      <c r="F297" s="51">
        <v>0</v>
      </c>
      <c r="G297" s="51">
        <v>0</v>
      </c>
      <c r="H297" s="51">
        <v>977889</v>
      </c>
      <c r="I297" s="51">
        <v>-963273</v>
      </c>
      <c r="J297" s="51">
        <v>14616</v>
      </c>
      <c r="K297" s="51">
        <v>0</v>
      </c>
      <c r="L297" s="51">
        <v>0</v>
      </c>
      <c r="M297" s="51">
        <v>0</v>
      </c>
      <c r="N297" s="51">
        <v>14616</v>
      </c>
    </row>
    <row r="298" spans="1:14" ht="15.75" x14ac:dyDescent="0.25">
      <c r="A298" s="49" t="s">
        <v>656</v>
      </c>
      <c r="B298" s="50" t="s">
        <v>53</v>
      </c>
      <c r="C298" s="51">
        <v>982371</v>
      </c>
      <c r="D298" s="51">
        <v>-65901</v>
      </c>
      <c r="E298" s="51">
        <v>0</v>
      </c>
      <c r="F298" s="51">
        <v>0</v>
      </c>
      <c r="G298" s="51">
        <v>0</v>
      </c>
      <c r="H298" s="51">
        <v>916470</v>
      </c>
      <c r="I298" s="51">
        <v>-916470</v>
      </c>
      <c r="J298" s="51">
        <v>0</v>
      </c>
      <c r="K298" s="51">
        <v>146531</v>
      </c>
      <c r="L298" s="51">
        <v>-105462</v>
      </c>
      <c r="M298" s="51">
        <v>41069</v>
      </c>
      <c r="N298" s="51">
        <v>-41069</v>
      </c>
    </row>
    <row r="299" spans="1:14" ht="15.75" x14ac:dyDescent="0.25">
      <c r="A299" s="49" t="s">
        <v>656</v>
      </c>
      <c r="B299" s="50" t="s">
        <v>54</v>
      </c>
      <c r="C299" s="51">
        <v>1347722</v>
      </c>
      <c r="D299" s="51">
        <v>-2424</v>
      </c>
      <c r="E299" s="51">
        <v>0</v>
      </c>
      <c r="F299" s="51">
        <v>0</v>
      </c>
      <c r="G299" s="51">
        <v>0</v>
      </c>
      <c r="H299" s="51">
        <v>1345298</v>
      </c>
      <c r="I299" s="51">
        <v>-1345298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</row>
    <row r="300" spans="1:14" ht="15.75" x14ac:dyDescent="0.25">
      <c r="A300" s="49" t="s">
        <v>656</v>
      </c>
      <c r="B300" s="50" t="s">
        <v>55</v>
      </c>
      <c r="C300" s="51">
        <v>1121314</v>
      </c>
      <c r="D300" s="51">
        <v>-4018</v>
      </c>
      <c r="E300" s="51">
        <v>0</v>
      </c>
      <c r="F300" s="51">
        <v>0</v>
      </c>
      <c r="G300" s="51">
        <v>0</v>
      </c>
      <c r="H300" s="51">
        <v>1117296</v>
      </c>
      <c r="I300" s="51">
        <v>-1117296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</row>
    <row r="301" spans="1:14" ht="15.75" x14ac:dyDescent="0.25">
      <c r="A301" s="49" t="s">
        <v>656</v>
      </c>
      <c r="B301" s="50" t="s">
        <v>56</v>
      </c>
      <c r="C301" s="51">
        <v>1056391</v>
      </c>
      <c r="D301" s="51">
        <v>-11040</v>
      </c>
      <c r="E301" s="51">
        <v>0</v>
      </c>
      <c r="F301" s="51">
        <v>0</v>
      </c>
      <c r="G301" s="51">
        <v>0</v>
      </c>
      <c r="H301" s="51">
        <v>1045351</v>
      </c>
      <c r="I301" s="51">
        <v>-1045351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</row>
    <row r="302" spans="1:14" ht="15.75" x14ac:dyDescent="0.25">
      <c r="A302" s="49" t="s">
        <v>656</v>
      </c>
      <c r="B302" s="50" t="s">
        <v>57</v>
      </c>
      <c r="C302" s="51">
        <v>1112190</v>
      </c>
      <c r="D302" s="51">
        <v>-5016</v>
      </c>
      <c r="E302" s="51">
        <v>0</v>
      </c>
      <c r="F302" s="51">
        <v>0</v>
      </c>
      <c r="G302" s="51">
        <v>0</v>
      </c>
      <c r="H302" s="51">
        <v>1107174</v>
      </c>
      <c r="I302" s="51">
        <v>-1107174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</row>
    <row r="303" spans="1:14" ht="15.75" x14ac:dyDescent="0.25">
      <c r="A303" s="49" t="s">
        <v>656</v>
      </c>
      <c r="B303" s="50" t="s">
        <v>58</v>
      </c>
      <c r="C303" s="51">
        <v>18940</v>
      </c>
      <c r="D303" s="51">
        <v>-4040</v>
      </c>
      <c r="E303" s="51">
        <v>0</v>
      </c>
      <c r="F303" s="51">
        <v>0</v>
      </c>
      <c r="G303" s="51">
        <v>0</v>
      </c>
      <c r="H303" s="51">
        <v>14900</v>
      </c>
      <c r="I303" s="51">
        <v>-14900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</row>
    <row r="304" spans="1:14" ht="15.75" x14ac:dyDescent="0.25">
      <c r="A304" s="49" t="s">
        <v>656</v>
      </c>
      <c r="B304" s="50" t="s">
        <v>59</v>
      </c>
      <c r="C304" s="51">
        <v>239700</v>
      </c>
      <c r="D304" s="51">
        <v>0</v>
      </c>
      <c r="E304" s="51">
        <v>0</v>
      </c>
      <c r="F304" s="51">
        <v>0</v>
      </c>
      <c r="G304" s="51">
        <v>0</v>
      </c>
      <c r="H304" s="51">
        <v>239700</v>
      </c>
      <c r="I304" s="51">
        <v>-239700</v>
      </c>
      <c r="J304" s="51">
        <v>0</v>
      </c>
      <c r="K304" s="51">
        <v>46320</v>
      </c>
      <c r="L304" s="51">
        <v>-46320</v>
      </c>
      <c r="M304" s="51">
        <v>0</v>
      </c>
      <c r="N304" s="51">
        <v>0</v>
      </c>
    </row>
    <row r="305" spans="1:14" ht="15.75" x14ac:dyDescent="0.25">
      <c r="A305" s="49" t="s">
        <v>656</v>
      </c>
      <c r="B305" s="50" t="s">
        <v>60</v>
      </c>
      <c r="C305" s="51">
        <v>18139</v>
      </c>
      <c r="D305" s="51">
        <v>0</v>
      </c>
      <c r="E305" s="51">
        <v>0</v>
      </c>
      <c r="F305" s="51">
        <v>0</v>
      </c>
      <c r="G305" s="51">
        <v>0</v>
      </c>
      <c r="H305" s="51">
        <v>18139</v>
      </c>
      <c r="I305" s="51">
        <v>-18139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</row>
    <row r="306" spans="1:14" ht="15.75" x14ac:dyDescent="0.25">
      <c r="A306" s="49" t="s">
        <v>656</v>
      </c>
      <c r="B306" s="50" t="s">
        <v>61</v>
      </c>
      <c r="C306" s="51">
        <v>18200</v>
      </c>
      <c r="D306" s="51">
        <v>0</v>
      </c>
      <c r="E306" s="51">
        <v>0</v>
      </c>
      <c r="F306" s="51">
        <v>0</v>
      </c>
      <c r="G306" s="51">
        <v>0</v>
      </c>
      <c r="H306" s="51">
        <v>18200</v>
      </c>
      <c r="I306" s="51">
        <v>-18200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</row>
    <row r="307" spans="1:14" ht="15.75" x14ac:dyDescent="0.25">
      <c r="A307" s="49" t="s">
        <v>656</v>
      </c>
      <c r="B307" s="50" t="s">
        <v>62</v>
      </c>
      <c r="C307" s="51">
        <v>20240</v>
      </c>
      <c r="D307" s="51">
        <v>0</v>
      </c>
      <c r="E307" s="51">
        <v>0</v>
      </c>
      <c r="F307" s="51">
        <v>0</v>
      </c>
      <c r="G307" s="51">
        <v>0</v>
      </c>
      <c r="H307" s="51">
        <v>20240</v>
      </c>
      <c r="I307" s="51">
        <v>-20240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</row>
    <row r="308" spans="1:14" ht="15.75" x14ac:dyDescent="0.25">
      <c r="A308" s="49" t="s">
        <v>656</v>
      </c>
      <c r="B308" s="50" t="s">
        <v>63</v>
      </c>
      <c r="C308" s="51">
        <v>18644</v>
      </c>
      <c r="D308" s="51">
        <v>0</v>
      </c>
      <c r="E308" s="51">
        <v>0</v>
      </c>
      <c r="F308" s="51">
        <v>0</v>
      </c>
      <c r="G308" s="51">
        <v>0</v>
      </c>
      <c r="H308" s="51">
        <v>18644</v>
      </c>
      <c r="I308" s="51">
        <v>-18644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</row>
    <row r="309" spans="1:14" ht="15.75" x14ac:dyDescent="0.25">
      <c r="A309" s="49" t="s">
        <v>656</v>
      </c>
      <c r="B309" s="50" t="s">
        <v>64</v>
      </c>
      <c r="C309" s="51">
        <v>15436</v>
      </c>
      <c r="D309" s="51">
        <v>0</v>
      </c>
      <c r="E309" s="51">
        <v>0</v>
      </c>
      <c r="F309" s="51">
        <v>0</v>
      </c>
      <c r="G309" s="51">
        <v>0</v>
      </c>
      <c r="H309" s="51">
        <v>15436</v>
      </c>
      <c r="I309" s="51">
        <v>-15436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</row>
    <row r="310" spans="1:14" ht="15.75" x14ac:dyDescent="0.25">
      <c r="A310" s="49" t="s">
        <v>656</v>
      </c>
      <c r="B310" s="50" t="s">
        <v>65</v>
      </c>
      <c r="C310" s="51">
        <v>1352</v>
      </c>
      <c r="D310" s="51">
        <v>0</v>
      </c>
      <c r="E310" s="51">
        <v>0</v>
      </c>
      <c r="F310" s="51">
        <v>0</v>
      </c>
      <c r="G310" s="51">
        <v>0</v>
      </c>
      <c r="H310" s="51">
        <v>1352</v>
      </c>
      <c r="I310" s="51">
        <v>-1352</v>
      </c>
      <c r="J310" s="51">
        <v>0</v>
      </c>
      <c r="K310" s="51">
        <v>0</v>
      </c>
      <c r="L310" s="51">
        <v>0</v>
      </c>
      <c r="M310" s="51">
        <v>0</v>
      </c>
      <c r="N310" s="51">
        <v>0</v>
      </c>
    </row>
    <row r="311" spans="1:14" ht="15.75" x14ac:dyDescent="0.25">
      <c r="A311" s="52" t="s">
        <v>621</v>
      </c>
      <c r="B311" s="53" t="s">
        <v>8</v>
      </c>
      <c r="C311" s="19">
        <f>SUBTOTAL(109,Program238[(C)
Program
Costs])</f>
        <v>15181047</v>
      </c>
      <c r="D311" s="19">
        <f>SUBTOTAL(109,Program238[(D)
Prior Period Adjustments])</f>
        <v>-1780340</v>
      </c>
      <c r="E311" s="19">
        <f>SUBTOTAL(109,Program238[(E)
Current Period Desk 
Reviews])</f>
        <v>0</v>
      </c>
      <c r="F311" s="19">
        <f>SUBTOTAL(109,Program238[(F)
Current Period 
Final 
Audits])</f>
        <v>0</v>
      </c>
      <c r="G311" s="19">
        <f>SUBTOTAL(109,Program238[(G)
Current Period 
Other Adjustments])</f>
        <v>0</v>
      </c>
      <c r="H311" s="19">
        <f>SUBTOTAL(109,Program238[(H)
Net Program Costs
Sum (C through G)])</f>
        <v>13400707</v>
      </c>
      <c r="I311" s="19">
        <f>SUBTOTAL(109,Program238[(I)
Payments
 and Offsets])</f>
        <v>-13103824</v>
      </c>
      <c r="J311" s="19">
        <f>SUBTOTAL(109,Program238[(J)
Accounts Payable Balance
(H + I)])</f>
        <v>296883</v>
      </c>
      <c r="K311" s="19">
        <f>SUBTOTAL(109,Program238[(K)
Established 
Accounts Receivable])</f>
        <v>192851</v>
      </c>
      <c r="L311" s="19">
        <f>SUBTOTAL(109,Program238[(L)
Recovered
 Accounts Receivable])</f>
        <v>-151782</v>
      </c>
      <c r="M311" s="19">
        <f>SUBTOTAL(109,Program238[(M)
Accounts Receivable Balance
(K + L)])</f>
        <v>41069</v>
      </c>
      <c r="N311" s="19">
        <f>SUBTOTAL(109,Program238[(N)
Net Balance
(J minus M)])</f>
        <v>255814</v>
      </c>
    </row>
    <row r="312" spans="1:14" ht="15.75" x14ac:dyDescent="0.25">
      <c r="A312" s="17" t="s">
        <v>13</v>
      </c>
      <c r="B312" s="54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</row>
    <row r="313" spans="1:14" ht="78.75" x14ac:dyDescent="0.25">
      <c r="A313" s="39" t="s">
        <v>32</v>
      </c>
      <c r="B313" s="40" t="s">
        <v>33</v>
      </c>
      <c r="C313" s="41" t="s">
        <v>34</v>
      </c>
      <c r="D313" s="41" t="s">
        <v>35</v>
      </c>
      <c r="E313" s="42" t="s">
        <v>36</v>
      </c>
      <c r="F313" s="42" t="s">
        <v>37</v>
      </c>
      <c r="G313" s="42" t="s">
        <v>38</v>
      </c>
      <c r="H313" s="43" t="s">
        <v>39</v>
      </c>
      <c r="I313" s="44" t="s">
        <v>40</v>
      </c>
      <c r="J313" s="44" t="s">
        <v>41</v>
      </c>
      <c r="K313" s="42" t="s">
        <v>42</v>
      </c>
      <c r="L313" s="44" t="s">
        <v>43</v>
      </c>
      <c r="M313" s="44" t="s">
        <v>44</v>
      </c>
      <c r="N313" s="45" t="s">
        <v>45</v>
      </c>
    </row>
    <row r="314" spans="1:14" ht="30.75" x14ac:dyDescent="0.25">
      <c r="A314" s="94" t="s">
        <v>655</v>
      </c>
      <c r="B314" s="93" t="s">
        <v>51</v>
      </c>
      <c r="C314" s="92">
        <v>1022</v>
      </c>
      <c r="D314" s="92">
        <v>-1022</v>
      </c>
      <c r="E314" s="92">
        <v>0</v>
      </c>
      <c r="F314" s="92">
        <v>0</v>
      </c>
      <c r="G314" s="92">
        <v>0</v>
      </c>
      <c r="H314" s="92">
        <v>0</v>
      </c>
      <c r="I314" s="92">
        <v>0</v>
      </c>
      <c r="J314" s="92">
        <v>0</v>
      </c>
      <c r="K314" s="92">
        <v>0</v>
      </c>
      <c r="L314" s="92">
        <v>0</v>
      </c>
      <c r="M314" s="92">
        <v>0</v>
      </c>
      <c r="N314" s="92">
        <v>0</v>
      </c>
    </row>
    <row r="315" spans="1:14" ht="30.75" x14ac:dyDescent="0.25">
      <c r="A315" s="91" t="s">
        <v>655</v>
      </c>
      <c r="B315" s="90" t="s">
        <v>52</v>
      </c>
      <c r="C315" s="89">
        <v>1065</v>
      </c>
      <c r="D315" s="89">
        <v>-1065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89">
        <v>0</v>
      </c>
    </row>
    <row r="316" spans="1:14" ht="30.75" x14ac:dyDescent="0.25">
      <c r="A316" s="91" t="s">
        <v>655</v>
      </c>
      <c r="B316" s="90" t="s">
        <v>53</v>
      </c>
      <c r="C316" s="89">
        <v>14243</v>
      </c>
      <c r="D316" s="89">
        <v>0</v>
      </c>
      <c r="E316" s="89">
        <v>0</v>
      </c>
      <c r="F316" s="89">
        <v>0</v>
      </c>
      <c r="G316" s="89">
        <v>0</v>
      </c>
      <c r="H316" s="89">
        <v>14243</v>
      </c>
      <c r="I316" s="89">
        <v>-14243</v>
      </c>
      <c r="J316" s="89">
        <v>0</v>
      </c>
      <c r="K316" s="89">
        <v>0</v>
      </c>
      <c r="L316" s="89">
        <v>0</v>
      </c>
      <c r="M316" s="89">
        <v>0</v>
      </c>
      <c r="N316" s="89">
        <v>0</v>
      </c>
    </row>
    <row r="317" spans="1:14" ht="30.75" x14ac:dyDescent="0.25">
      <c r="A317" s="91" t="s">
        <v>655</v>
      </c>
      <c r="B317" s="90" t="s">
        <v>55</v>
      </c>
      <c r="C317" s="89">
        <v>11508</v>
      </c>
      <c r="D317" s="89">
        <v>0</v>
      </c>
      <c r="E317" s="89">
        <v>0</v>
      </c>
      <c r="F317" s="89">
        <v>0</v>
      </c>
      <c r="G317" s="89">
        <v>0</v>
      </c>
      <c r="H317" s="89">
        <v>11508</v>
      </c>
      <c r="I317" s="89">
        <v>-11508</v>
      </c>
      <c r="J317" s="89">
        <v>0</v>
      </c>
      <c r="K317" s="89">
        <v>0</v>
      </c>
      <c r="L317" s="89">
        <v>0</v>
      </c>
      <c r="M317" s="89">
        <v>0</v>
      </c>
      <c r="N317" s="89">
        <v>0</v>
      </c>
    </row>
    <row r="318" spans="1:14" ht="30.75" x14ac:dyDescent="0.25">
      <c r="A318" s="91" t="s">
        <v>655</v>
      </c>
      <c r="B318" s="90" t="s">
        <v>56</v>
      </c>
      <c r="C318" s="89">
        <v>39267</v>
      </c>
      <c r="D318" s="89">
        <v>-2852</v>
      </c>
      <c r="E318" s="89">
        <v>0</v>
      </c>
      <c r="F318" s="89">
        <v>0</v>
      </c>
      <c r="G318" s="89">
        <v>0</v>
      </c>
      <c r="H318" s="89">
        <v>36415</v>
      </c>
      <c r="I318" s="89">
        <v>-36415</v>
      </c>
      <c r="J318" s="89">
        <v>0</v>
      </c>
      <c r="K318" s="89">
        <v>0</v>
      </c>
      <c r="L318" s="89">
        <v>0</v>
      </c>
      <c r="M318" s="89">
        <v>0</v>
      </c>
      <c r="N318" s="89">
        <v>0</v>
      </c>
    </row>
    <row r="319" spans="1:14" ht="30.75" x14ac:dyDescent="0.25">
      <c r="A319" s="91" t="s">
        <v>655</v>
      </c>
      <c r="B319" s="90" t="s">
        <v>57</v>
      </c>
      <c r="C319" s="89">
        <v>19410</v>
      </c>
      <c r="D319" s="89">
        <v>0</v>
      </c>
      <c r="E319" s="89">
        <v>0</v>
      </c>
      <c r="F319" s="89">
        <v>0</v>
      </c>
      <c r="G319" s="89">
        <v>0</v>
      </c>
      <c r="H319" s="89">
        <v>19410</v>
      </c>
      <c r="I319" s="89">
        <v>-19410</v>
      </c>
      <c r="J319" s="89">
        <v>0</v>
      </c>
      <c r="K319" s="89">
        <v>0</v>
      </c>
      <c r="L319" s="89">
        <v>0</v>
      </c>
      <c r="M319" s="89">
        <v>0</v>
      </c>
      <c r="N319" s="89">
        <v>0</v>
      </c>
    </row>
    <row r="320" spans="1:14" ht="30.75" x14ac:dyDescent="0.25">
      <c r="A320" s="91" t="s">
        <v>655</v>
      </c>
      <c r="B320" s="90" t="s">
        <v>58</v>
      </c>
      <c r="C320" s="89">
        <v>28687</v>
      </c>
      <c r="D320" s="89">
        <v>-15172</v>
      </c>
      <c r="E320" s="89">
        <v>0</v>
      </c>
      <c r="F320" s="89">
        <v>0</v>
      </c>
      <c r="G320" s="89">
        <v>0</v>
      </c>
      <c r="H320" s="89">
        <v>13515</v>
      </c>
      <c r="I320" s="89">
        <v>-13515</v>
      </c>
      <c r="J320" s="89">
        <v>0</v>
      </c>
      <c r="K320" s="89">
        <v>0</v>
      </c>
      <c r="L320" s="89">
        <v>0</v>
      </c>
      <c r="M320" s="89">
        <v>0</v>
      </c>
      <c r="N320" s="89">
        <v>0</v>
      </c>
    </row>
    <row r="321" spans="1:14" ht="30.75" x14ac:dyDescent="0.25">
      <c r="A321" s="91" t="s">
        <v>655</v>
      </c>
      <c r="B321" s="90" t="s">
        <v>59</v>
      </c>
      <c r="C321" s="89">
        <v>122902</v>
      </c>
      <c r="D321" s="89">
        <v>-1000</v>
      </c>
      <c r="E321" s="89">
        <v>0</v>
      </c>
      <c r="F321" s="89">
        <v>0</v>
      </c>
      <c r="G321" s="89">
        <v>0</v>
      </c>
      <c r="H321" s="89">
        <v>121902</v>
      </c>
      <c r="I321" s="89">
        <v>-121902</v>
      </c>
      <c r="J321" s="89">
        <v>0</v>
      </c>
      <c r="K321" s="89">
        <v>0</v>
      </c>
      <c r="L321" s="89">
        <v>0</v>
      </c>
      <c r="M321" s="89">
        <v>0</v>
      </c>
      <c r="N321" s="89">
        <v>0</v>
      </c>
    </row>
    <row r="322" spans="1:14" ht="30.75" x14ac:dyDescent="0.25">
      <c r="A322" s="91" t="s">
        <v>655</v>
      </c>
      <c r="B322" s="90" t="s">
        <v>60</v>
      </c>
      <c r="C322" s="89">
        <v>29412</v>
      </c>
      <c r="D322" s="89">
        <v>-600</v>
      </c>
      <c r="E322" s="89">
        <v>0</v>
      </c>
      <c r="F322" s="89">
        <v>0</v>
      </c>
      <c r="G322" s="89">
        <v>0</v>
      </c>
      <c r="H322" s="89">
        <v>28812</v>
      </c>
      <c r="I322" s="89">
        <v>-28812</v>
      </c>
      <c r="J322" s="89">
        <v>0</v>
      </c>
      <c r="K322" s="89">
        <v>0</v>
      </c>
      <c r="L322" s="89">
        <v>0</v>
      </c>
      <c r="M322" s="89">
        <v>0</v>
      </c>
      <c r="N322" s="89">
        <v>0</v>
      </c>
    </row>
    <row r="323" spans="1:14" ht="30.75" x14ac:dyDescent="0.25">
      <c r="A323" s="91" t="s">
        <v>655</v>
      </c>
      <c r="B323" s="90" t="s">
        <v>61</v>
      </c>
      <c r="C323" s="89">
        <v>7695</v>
      </c>
      <c r="D323" s="89">
        <v>-73</v>
      </c>
      <c r="E323" s="89">
        <v>0</v>
      </c>
      <c r="F323" s="89">
        <v>0</v>
      </c>
      <c r="G323" s="89">
        <v>0</v>
      </c>
      <c r="H323" s="89">
        <v>7622</v>
      </c>
      <c r="I323" s="89">
        <v>-7622</v>
      </c>
      <c r="J323" s="89">
        <v>0</v>
      </c>
      <c r="K323" s="89">
        <v>0</v>
      </c>
      <c r="L323" s="89">
        <v>0</v>
      </c>
      <c r="M323" s="89">
        <v>0</v>
      </c>
      <c r="N323" s="89">
        <v>0</v>
      </c>
    </row>
    <row r="324" spans="1:14" ht="30.75" x14ac:dyDescent="0.25">
      <c r="A324" s="91" t="s">
        <v>655</v>
      </c>
      <c r="B324" s="90" t="s">
        <v>62</v>
      </c>
      <c r="C324" s="89">
        <v>420</v>
      </c>
      <c r="D324" s="89">
        <v>0</v>
      </c>
      <c r="E324" s="89">
        <v>0</v>
      </c>
      <c r="F324" s="89">
        <v>0</v>
      </c>
      <c r="G324" s="89">
        <v>0</v>
      </c>
      <c r="H324" s="89">
        <v>420</v>
      </c>
      <c r="I324" s="89">
        <v>-420</v>
      </c>
      <c r="J324" s="89">
        <v>0</v>
      </c>
      <c r="K324" s="89">
        <v>0</v>
      </c>
      <c r="L324" s="89">
        <v>0</v>
      </c>
      <c r="M324" s="89">
        <v>0</v>
      </c>
      <c r="N324" s="89">
        <v>0</v>
      </c>
    </row>
    <row r="325" spans="1:14" ht="30.75" x14ac:dyDescent="0.25">
      <c r="A325" s="91" t="s">
        <v>655</v>
      </c>
      <c r="B325" s="90" t="s">
        <v>63</v>
      </c>
      <c r="C325" s="89">
        <v>4508</v>
      </c>
      <c r="D325" s="89">
        <v>0</v>
      </c>
      <c r="E325" s="89">
        <v>0</v>
      </c>
      <c r="F325" s="89">
        <v>0</v>
      </c>
      <c r="G325" s="89">
        <v>0</v>
      </c>
      <c r="H325" s="89">
        <v>4508</v>
      </c>
      <c r="I325" s="89">
        <v>-4508</v>
      </c>
      <c r="J325" s="89">
        <v>0</v>
      </c>
      <c r="K325" s="89">
        <v>0</v>
      </c>
      <c r="L325" s="89">
        <v>0</v>
      </c>
      <c r="M325" s="89">
        <v>0</v>
      </c>
      <c r="N325" s="89">
        <v>0</v>
      </c>
    </row>
    <row r="326" spans="1:14" ht="30.75" x14ac:dyDescent="0.25">
      <c r="A326" s="91" t="s">
        <v>655</v>
      </c>
      <c r="B326" s="90" t="s">
        <v>64</v>
      </c>
      <c r="C326" s="89">
        <v>3672</v>
      </c>
      <c r="D326" s="89">
        <v>0</v>
      </c>
      <c r="E326" s="89">
        <v>0</v>
      </c>
      <c r="F326" s="89">
        <v>0</v>
      </c>
      <c r="G326" s="89">
        <v>0</v>
      </c>
      <c r="H326" s="89">
        <v>3672</v>
      </c>
      <c r="I326" s="89">
        <v>-3672</v>
      </c>
      <c r="J326" s="89">
        <v>0</v>
      </c>
      <c r="K326" s="89">
        <v>0</v>
      </c>
      <c r="L326" s="89">
        <v>0</v>
      </c>
      <c r="M326" s="89">
        <v>0</v>
      </c>
      <c r="N326" s="89">
        <v>0</v>
      </c>
    </row>
    <row r="327" spans="1:14" ht="15.75" x14ac:dyDescent="0.25">
      <c r="A327" s="52" t="s">
        <v>620</v>
      </c>
      <c r="B327" s="53" t="s">
        <v>8</v>
      </c>
      <c r="C327" s="19">
        <f>SUBTOTAL(109,Program239[(C)
Program
Costs])</f>
        <v>283811</v>
      </c>
      <c r="D327" s="19">
        <f>SUBTOTAL(109,Program239[(D)
Prior Period Adjustments])</f>
        <v>-21784</v>
      </c>
      <c r="E327" s="19">
        <f>SUBTOTAL(109,Program239[(E)
Current Period Desk 
Reviews])</f>
        <v>0</v>
      </c>
      <c r="F327" s="19">
        <f>SUBTOTAL(109,Program239[(F)
Current Period 
Final 
Audits])</f>
        <v>0</v>
      </c>
      <c r="G327" s="19">
        <f>SUBTOTAL(109,Program239[(G)
Current Period 
Other Adjustments])</f>
        <v>0</v>
      </c>
      <c r="H327" s="19">
        <f>SUBTOTAL(109,Program239[(H)
Net Program Costs
Sum (C through G)])</f>
        <v>262027</v>
      </c>
      <c r="I327" s="19">
        <f>SUBTOTAL(109,Program239[(I)
Payments
 and Offsets])</f>
        <v>-262027</v>
      </c>
      <c r="J327" s="19">
        <f>SUBTOTAL(109,Program239[(J)
Accounts Payable Balance
(H + I)])</f>
        <v>0</v>
      </c>
      <c r="K327" s="19">
        <f>SUBTOTAL(109,Program239[(K)
Established 
Accounts Receivable])</f>
        <v>0</v>
      </c>
      <c r="L327" s="19">
        <f>SUBTOTAL(109,Program239[(L)
Recovered
 Accounts Receivable])</f>
        <v>0</v>
      </c>
      <c r="M327" s="19">
        <f>SUBTOTAL(109,Program239[(M)
Accounts Receivable Balance
(K + L)])</f>
        <v>0</v>
      </c>
      <c r="N327" s="19">
        <f>SUBTOTAL(109,Program239[(N)
Net Balance
(J minus M)])</f>
        <v>0</v>
      </c>
    </row>
    <row r="328" spans="1:14" ht="15.75" x14ac:dyDescent="0.25">
      <c r="A328" s="17" t="s">
        <v>13</v>
      </c>
      <c r="B328" s="54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</row>
    <row r="329" spans="1:14" ht="78.75" x14ac:dyDescent="0.25">
      <c r="A329" s="39" t="s">
        <v>32</v>
      </c>
      <c r="B329" s="40" t="s">
        <v>33</v>
      </c>
      <c r="C329" s="41" t="s">
        <v>34</v>
      </c>
      <c r="D329" s="41" t="s">
        <v>35</v>
      </c>
      <c r="E329" s="42" t="s">
        <v>36</v>
      </c>
      <c r="F329" s="42" t="s">
        <v>37</v>
      </c>
      <c r="G329" s="42" t="s">
        <v>38</v>
      </c>
      <c r="H329" s="43" t="s">
        <v>39</v>
      </c>
      <c r="I329" s="44" t="s">
        <v>40</v>
      </c>
      <c r="J329" s="44" t="s">
        <v>41</v>
      </c>
      <c r="K329" s="42" t="s">
        <v>42</v>
      </c>
      <c r="L329" s="44" t="s">
        <v>43</v>
      </c>
      <c r="M329" s="44" t="s">
        <v>44</v>
      </c>
      <c r="N329" s="45" t="s">
        <v>45</v>
      </c>
    </row>
    <row r="330" spans="1:14" ht="15.75" x14ac:dyDescent="0.25">
      <c r="A330" s="46" t="s">
        <v>654</v>
      </c>
      <c r="B330" s="47" t="s">
        <v>56</v>
      </c>
      <c r="C330" s="48">
        <v>1348</v>
      </c>
      <c r="D330" s="48">
        <v>0</v>
      </c>
      <c r="E330" s="48">
        <v>0</v>
      </c>
      <c r="F330" s="48">
        <v>0</v>
      </c>
      <c r="G330" s="48">
        <v>0</v>
      </c>
      <c r="H330" s="48">
        <v>1348</v>
      </c>
      <c r="I330" s="48">
        <v>-1348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</row>
    <row r="331" spans="1:14" ht="15.75" x14ac:dyDescent="0.25">
      <c r="A331" s="49" t="s">
        <v>654</v>
      </c>
      <c r="B331" s="50" t="s">
        <v>57</v>
      </c>
      <c r="C331" s="51">
        <v>17955</v>
      </c>
      <c r="D331" s="51">
        <v>-1796</v>
      </c>
      <c r="E331" s="51">
        <v>0</v>
      </c>
      <c r="F331" s="51">
        <v>0</v>
      </c>
      <c r="G331" s="51">
        <v>0</v>
      </c>
      <c r="H331" s="51">
        <v>16159</v>
      </c>
      <c r="I331" s="51">
        <v>-16159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</row>
    <row r="332" spans="1:14" ht="15.75" x14ac:dyDescent="0.25">
      <c r="A332" s="49" t="s">
        <v>654</v>
      </c>
      <c r="B332" s="50" t="s">
        <v>58</v>
      </c>
      <c r="C332" s="51">
        <v>6325</v>
      </c>
      <c r="D332" s="51">
        <v>-633</v>
      </c>
      <c r="E332" s="51">
        <v>0</v>
      </c>
      <c r="F332" s="51">
        <v>0</v>
      </c>
      <c r="G332" s="51">
        <v>0</v>
      </c>
      <c r="H332" s="51">
        <v>5692</v>
      </c>
      <c r="I332" s="51">
        <v>-5692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</row>
    <row r="333" spans="1:14" ht="15.75" x14ac:dyDescent="0.25">
      <c r="A333" s="49" t="s">
        <v>654</v>
      </c>
      <c r="B333" s="50" t="s">
        <v>59</v>
      </c>
      <c r="C333" s="51">
        <v>4894</v>
      </c>
      <c r="D333" s="51">
        <v>-489</v>
      </c>
      <c r="E333" s="51">
        <v>0</v>
      </c>
      <c r="F333" s="51">
        <v>0</v>
      </c>
      <c r="G333" s="51">
        <v>0</v>
      </c>
      <c r="H333" s="51">
        <v>4405</v>
      </c>
      <c r="I333" s="51">
        <v>-4405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</row>
    <row r="334" spans="1:14" ht="15.75" x14ac:dyDescent="0.25">
      <c r="A334" s="49" t="s">
        <v>654</v>
      </c>
      <c r="B334" s="50" t="s">
        <v>60</v>
      </c>
      <c r="C334" s="51">
        <v>8844</v>
      </c>
      <c r="D334" s="51">
        <v>-884</v>
      </c>
      <c r="E334" s="51">
        <v>0</v>
      </c>
      <c r="F334" s="51">
        <v>0</v>
      </c>
      <c r="G334" s="51">
        <v>0</v>
      </c>
      <c r="H334" s="51">
        <v>7960</v>
      </c>
      <c r="I334" s="51">
        <v>-7960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</row>
    <row r="335" spans="1:14" ht="15.75" x14ac:dyDescent="0.25">
      <c r="A335" s="49" t="s">
        <v>654</v>
      </c>
      <c r="B335" s="50" t="s">
        <v>61</v>
      </c>
      <c r="C335" s="51">
        <v>6360</v>
      </c>
      <c r="D335" s="51">
        <v>-636</v>
      </c>
      <c r="E335" s="51">
        <v>0</v>
      </c>
      <c r="F335" s="51">
        <v>0</v>
      </c>
      <c r="G335" s="51">
        <v>0</v>
      </c>
      <c r="H335" s="51">
        <v>5724</v>
      </c>
      <c r="I335" s="51">
        <v>-5724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</row>
    <row r="336" spans="1:14" ht="15.75" x14ac:dyDescent="0.25">
      <c r="A336" s="52" t="s">
        <v>619</v>
      </c>
      <c r="B336" s="53" t="s">
        <v>8</v>
      </c>
      <c r="C336" s="19">
        <f>SUBTOTAL(109,Program240[(C)
Program
Costs])</f>
        <v>45726</v>
      </c>
      <c r="D336" s="19">
        <f>SUBTOTAL(109,Program240[(D)
Prior Period Adjustments])</f>
        <v>-4438</v>
      </c>
      <c r="E336" s="19">
        <f>SUBTOTAL(109,Program240[(E)
Current Period Desk 
Reviews])</f>
        <v>0</v>
      </c>
      <c r="F336" s="19">
        <f>SUBTOTAL(109,Program240[(F)
Current Period 
Final 
Audits])</f>
        <v>0</v>
      </c>
      <c r="G336" s="19">
        <f>SUBTOTAL(109,Program240[(G)
Current Period 
Other Adjustments])</f>
        <v>0</v>
      </c>
      <c r="H336" s="19">
        <f>SUBTOTAL(109,Program240[(H)
Net Program Costs
Sum (C through G)])</f>
        <v>41288</v>
      </c>
      <c r="I336" s="19">
        <f>SUBTOTAL(109,Program240[(I)
Payments
 and Offsets])</f>
        <v>-41288</v>
      </c>
      <c r="J336" s="19">
        <f>SUBTOTAL(109,Program240[(J)
Accounts Payable Balance
(H + I)])</f>
        <v>0</v>
      </c>
      <c r="K336" s="19">
        <f>SUBTOTAL(109,Program240[(K)
Established 
Accounts Receivable])</f>
        <v>0</v>
      </c>
      <c r="L336" s="19">
        <f>SUBTOTAL(109,Program240[(L)
Recovered
 Accounts Receivable])</f>
        <v>0</v>
      </c>
      <c r="M336" s="19">
        <f>SUBTOTAL(109,Program240[(M)
Accounts Receivable Balance
(K + L)])</f>
        <v>0</v>
      </c>
      <c r="N336" s="19">
        <f>SUBTOTAL(109,Program240[(N)
Net Balance
(J minus M)])</f>
        <v>0</v>
      </c>
    </row>
    <row r="337" spans="1:14" ht="15.75" x14ac:dyDescent="0.25">
      <c r="A337" s="17" t="s">
        <v>13</v>
      </c>
      <c r="B337" s="54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</row>
    <row r="338" spans="1:14" ht="78.75" x14ac:dyDescent="0.25">
      <c r="A338" s="39" t="s">
        <v>32</v>
      </c>
      <c r="B338" s="40" t="s">
        <v>33</v>
      </c>
      <c r="C338" s="41" t="s">
        <v>34</v>
      </c>
      <c r="D338" s="41" t="s">
        <v>35</v>
      </c>
      <c r="E338" s="42" t="s">
        <v>36</v>
      </c>
      <c r="F338" s="42" t="s">
        <v>37</v>
      </c>
      <c r="G338" s="42" t="s">
        <v>38</v>
      </c>
      <c r="H338" s="43" t="s">
        <v>39</v>
      </c>
      <c r="I338" s="44" t="s">
        <v>40</v>
      </c>
      <c r="J338" s="44" t="s">
        <v>41</v>
      </c>
      <c r="K338" s="42" t="s">
        <v>42</v>
      </c>
      <c r="L338" s="44" t="s">
        <v>43</v>
      </c>
      <c r="M338" s="44" t="s">
        <v>44</v>
      </c>
      <c r="N338" s="45" t="s">
        <v>45</v>
      </c>
    </row>
    <row r="339" spans="1:14" ht="15.75" x14ac:dyDescent="0.25">
      <c r="A339" s="46" t="s">
        <v>653</v>
      </c>
      <c r="B339" s="47" t="s">
        <v>83</v>
      </c>
      <c r="C339" s="48">
        <v>58890</v>
      </c>
      <c r="D339" s="48">
        <v>0</v>
      </c>
      <c r="E339" s="48">
        <v>0</v>
      </c>
      <c r="F339" s="48">
        <v>0</v>
      </c>
      <c r="G339" s="48">
        <v>0</v>
      </c>
      <c r="H339" s="48">
        <v>58890</v>
      </c>
      <c r="I339" s="48">
        <v>-58890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</row>
    <row r="340" spans="1:14" ht="15.75" x14ac:dyDescent="0.25">
      <c r="A340" s="49" t="s">
        <v>653</v>
      </c>
      <c r="B340" s="50" t="s">
        <v>48</v>
      </c>
      <c r="C340" s="51">
        <v>71811</v>
      </c>
      <c r="D340" s="51">
        <v>0</v>
      </c>
      <c r="E340" s="51">
        <v>0</v>
      </c>
      <c r="F340" s="51">
        <v>0</v>
      </c>
      <c r="G340" s="51">
        <v>0</v>
      </c>
      <c r="H340" s="51">
        <v>71811</v>
      </c>
      <c r="I340" s="51">
        <v>-71811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</row>
    <row r="341" spans="1:14" ht="15.75" x14ac:dyDescent="0.25">
      <c r="A341" s="49" t="s">
        <v>653</v>
      </c>
      <c r="B341" s="50" t="s">
        <v>49</v>
      </c>
      <c r="C341" s="51">
        <v>83173</v>
      </c>
      <c r="D341" s="51">
        <v>0</v>
      </c>
      <c r="E341" s="51">
        <v>0</v>
      </c>
      <c r="F341" s="51">
        <v>0</v>
      </c>
      <c r="G341" s="51">
        <v>0</v>
      </c>
      <c r="H341" s="51">
        <v>83173</v>
      </c>
      <c r="I341" s="51">
        <v>-83173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</row>
    <row r="342" spans="1:14" ht="15.75" x14ac:dyDescent="0.25">
      <c r="A342" s="49" t="s">
        <v>653</v>
      </c>
      <c r="B342" s="50" t="s">
        <v>50</v>
      </c>
      <c r="C342" s="51">
        <v>63845</v>
      </c>
      <c r="D342" s="51">
        <v>0</v>
      </c>
      <c r="E342" s="51">
        <v>0</v>
      </c>
      <c r="F342" s="51">
        <v>0</v>
      </c>
      <c r="G342" s="51">
        <v>0</v>
      </c>
      <c r="H342" s="51">
        <v>63845</v>
      </c>
      <c r="I342" s="51">
        <v>-63845</v>
      </c>
      <c r="J342" s="51">
        <v>0</v>
      </c>
      <c r="K342" s="51">
        <v>0</v>
      </c>
      <c r="L342" s="51">
        <v>0</v>
      </c>
      <c r="M342" s="51">
        <v>0</v>
      </c>
      <c r="N342" s="51">
        <v>0</v>
      </c>
    </row>
    <row r="343" spans="1:14" ht="15.75" x14ac:dyDescent="0.25">
      <c r="A343" s="49" t="s">
        <v>653</v>
      </c>
      <c r="B343" s="50" t="s">
        <v>51</v>
      </c>
      <c r="C343" s="51">
        <v>86420</v>
      </c>
      <c r="D343" s="51">
        <v>0</v>
      </c>
      <c r="E343" s="51">
        <v>0</v>
      </c>
      <c r="F343" s="51">
        <v>0</v>
      </c>
      <c r="G343" s="51">
        <v>0</v>
      </c>
      <c r="H343" s="51">
        <v>86420</v>
      </c>
      <c r="I343" s="51">
        <v>-86420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</row>
    <row r="344" spans="1:14" ht="15.75" x14ac:dyDescent="0.25">
      <c r="A344" s="49" t="s">
        <v>653</v>
      </c>
      <c r="B344" s="50" t="s">
        <v>52</v>
      </c>
      <c r="C344" s="51">
        <v>72835</v>
      </c>
      <c r="D344" s="51">
        <v>0</v>
      </c>
      <c r="E344" s="51">
        <v>0</v>
      </c>
      <c r="F344" s="51">
        <v>0</v>
      </c>
      <c r="G344" s="51">
        <v>0</v>
      </c>
      <c r="H344" s="51">
        <v>72835</v>
      </c>
      <c r="I344" s="51">
        <v>-72835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</row>
    <row r="345" spans="1:14" ht="15.75" x14ac:dyDescent="0.25">
      <c r="A345" s="49" t="s">
        <v>653</v>
      </c>
      <c r="B345" s="50" t="s">
        <v>53</v>
      </c>
      <c r="C345" s="51">
        <v>159685</v>
      </c>
      <c r="D345" s="51">
        <v>-7876</v>
      </c>
      <c r="E345" s="51">
        <v>0</v>
      </c>
      <c r="F345" s="51">
        <v>0</v>
      </c>
      <c r="G345" s="51">
        <v>0</v>
      </c>
      <c r="H345" s="51">
        <v>151809</v>
      </c>
      <c r="I345" s="51">
        <v>-151809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</row>
    <row r="346" spans="1:14" ht="15.75" x14ac:dyDescent="0.25">
      <c r="A346" s="49" t="s">
        <v>653</v>
      </c>
      <c r="B346" s="50" t="s">
        <v>54</v>
      </c>
      <c r="C346" s="51">
        <v>39068</v>
      </c>
      <c r="D346" s="51">
        <v>0</v>
      </c>
      <c r="E346" s="51">
        <v>0</v>
      </c>
      <c r="F346" s="51">
        <v>0</v>
      </c>
      <c r="G346" s="51">
        <v>0</v>
      </c>
      <c r="H346" s="51">
        <v>39068</v>
      </c>
      <c r="I346" s="51">
        <v>-39068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</row>
    <row r="347" spans="1:14" ht="15.75" x14ac:dyDescent="0.25">
      <c r="A347" s="49" t="s">
        <v>653</v>
      </c>
      <c r="B347" s="50" t="s">
        <v>55</v>
      </c>
      <c r="C347" s="51">
        <v>28285</v>
      </c>
      <c r="D347" s="51">
        <v>0</v>
      </c>
      <c r="E347" s="51">
        <v>0</v>
      </c>
      <c r="F347" s="51">
        <v>0</v>
      </c>
      <c r="G347" s="51">
        <v>0</v>
      </c>
      <c r="H347" s="51">
        <v>28285</v>
      </c>
      <c r="I347" s="51">
        <v>-28285</v>
      </c>
      <c r="J347" s="51">
        <v>0</v>
      </c>
      <c r="K347" s="51">
        <v>0</v>
      </c>
      <c r="L347" s="51">
        <v>0</v>
      </c>
      <c r="M347" s="51">
        <v>0</v>
      </c>
      <c r="N347" s="51">
        <v>0</v>
      </c>
    </row>
    <row r="348" spans="1:14" ht="15.75" x14ac:dyDescent="0.25">
      <c r="A348" s="52" t="s">
        <v>618</v>
      </c>
      <c r="B348" s="53" t="s">
        <v>8</v>
      </c>
      <c r="C348" s="19">
        <f>SUBTOTAL(109,Program303[(C)
Program
Costs])</f>
        <v>664012</v>
      </c>
      <c r="D348" s="19">
        <f>SUBTOTAL(109,Program303[(D)
Prior Period Adjustments])</f>
        <v>-7876</v>
      </c>
      <c r="E348" s="19">
        <f>SUBTOTAL(109,Program303[(E)
Current Period Desk 
Reviews])</f>
        <v>0</v>
      </c>
      <c r="F348" s="19">
        <f>SUBTOTAL(109,Program303[(F)
Current Period 
Final 
Audits])</f>
        <v>0</v>
      </c>
      <c r="G348" s="19">
        <f>SUBTOTAL(109,Program303[(G)
Current Period 
Other Adjustments])</f>
        <v>0</v>
      </c>
      <c r="H348" s="19">
        <f>SUBTOTAL(109,Program303[(H)
Net Program Costs
Sum (C through G)])</f>
        <v>656136</v>
      </c>
      <c r="I348" s="19">
        <f>SUBTOTAL(109,Program303[(I)
Payments
 and Offsets])</f>
        <v>-656136</v>
      </c>
      <c r="J348" s="19">
        <f>SUBTOTAL(109,Program303[(J)
Accounts Payable Balance
(H + I)])</f>
        <v>0</v>
      </c>
      <c r="K348" s="19">
        <f>SUBTOTAL(109,Program303[(K)
Established 
Accounts Receivable])</f>
        <v>0</v>
      </c>
      <c r="L348" s="19">
        <f>SUBTOTAL(109,Program303[(L)
Recovered
 Accounts Receivable])</f>
        <v>0</v>
      </c>
      <c r="M348" s="19">
        <f>SUBTOTAL(109,Program303[(M)
Accounts Receivable Balance
(K + L)])</f>
        <v>0</v>
      </c>
      <c r="N348" s="19">
        <f>SUBTOTAL(109,Program303[(N)
Net Balance
(J minus M)])</f>
        <v>0</v>
      </c>
    </row>
    <row r="349" spans="1:14" ht="15.75" x14ac:dyDescent="0.25">
      <c r="A349" s="17" t="s">
        <v>13</v>
      </c>
      <c r="B349" s="54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</row>
    <row r="350" spans="1:14" ht="78.75" x14ac:dyDescent="0.25">
      <c r="A350" s="39" t="s">
        <v>32</v>
      </c>
      <c r="B350" s="40" t="s">
        <v>33</v>
      </c>
      <c r="C350" s="41" t="s">
        <v>34</v>
      </c>
      <c r="D350" s="41" t="s">
        <v>35</v>
      </c>
      <c r="E350" s="42" t="s">
        <v>36</v>
      </c>
      <c r="F350" s="42" t="s">
        <v>37</v>
      </c>
      <c r="G350" s="42" t="s">
        <v>38</v>
      </c>
      <c r="H350" s="43" t="s">
        <v>39</v>
      </c>
      <c r="I350" s="44" t="s">
        <v>40</v>
      </c>
      <c r="J350" s="44" t="s">
        <v>41</v>
      </c>
      <c r="K350" s="42" t="s">
        <v>42</v>
      </c>
      <c r="L350" s="44" t="s">
        <v>43</v>
      </c>
      <c r="M350" s="44" t="s">
        <v>44</v>
      </c>
      <c r="N350" s="45" t="s">
        <v>45</v>
      </c>
    </row>
    <row r="351" spans="1:14" ht="30" x14ac:dyDescent="0.25">
      <c r="A351" s="67" t="s">
        <v>652</v>
      </c>
      <c r="B351" s="57" t="s">
        <v>49</v>
      </c>
      <c r="C351" s="58">
        <v>1031</v>
      </c>
      <c r="D351" s="58">
        <v>0</v>
      </c>
      <c r="E351" s="58">
        <v>0</v>
      </c>
      <c r="F351" s="58">
        <v>0</v>
      </c>
      <c r="G351" s="58">
        <v>0</v>
      </c>
      <c r="H351" s="58">
        <v>1031</v>
      </c>
      <c r="I351" s="58">
        <v>-1031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</row>
    <row r="352" spans="1:14" ht="30" x14ac:dyDescent="0.25">
      <c r="A352" s="68" t="s">
        <v>652</v>
      </c>
      <c r="B352" s="60" t="s">
        <v>50</v>
      </c>
      <c r="C352" s="61">
        <v>14940</v>
      </c>
      <c r="D352" s="61">
        <v>0</v>
      </c>
      <c r="E352" s="61">
        <v>0</v>
      </c>
      <c r="F352" s="61">
        <v>0</v>
      </c>
      <c r="G352" s="61">
        <v>0</v>
      </c>
      <c r="H352" s="61">
        <v>14940</v>
      </c>
      <c r="I352" s="61">
        <v>-14940</v>
      </c>
      <c r="J352" s="61">
        <v>0</v>
      </c>
      <c r="K352" s="61">
        <v>0</v>
      </c>
      <c r="L352" s="61">
        <v>0</v>
      </c>
      <c r="M352" s="61">
        <v>0</v>
      </c>
      <c r="N352" s="61">
        <v>0</v>
      </c>
    </row>
    <row r="353" spans="1:14" ht="30" x14ac:dyDescent="0.25">
      <c r="A353" s="68" t="s">
        <v>652</v>
      </c>
      <c r="B353" s="60" t="s">
        <v>51</v>
      </c>
      <c r="C353" s="61">
        <v>29808</v>
      </c>
      <c r="D353" s="61">
        <v>-1260</v>
      </c>
      <c r="E353" s="61">
        <v>0</v>
      </c>
      <c r="F353" s="61">
        <v>0</v>
      </c>
      <c r="G353" s="61">
        <v>0</v>
      </c>
      <c r="H353" s="61">
        <v>28548</v>
      </c>
      <c r="I353" s="61">
        <v>-28548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</row>
    <row r="354" spans="1:14" ht="30" x14ac:dyDescent="0.25">
      <c r="A354" s="68" t="s">
        <v>652</v>
      </c>
      <c r="B354" s="60" t="s">
        <v>52</v>
      </c>
      <c r="C354" s="61">
        <v>11708</v>
      </c>
      <c r="D354" s="61">
        <v>0</v>
      </c>
      <c r="E354" s="61">
        <v>0</v>
      </c>
      <c r="F354" s="61">
        <v>0</v>
      </c>
      <c r="G354" s="61">
        <v>0</v>
      </c>
      <c r="H354" s="61">
        <v>11708</v>
      </c>
      <c r="I354" s="61">
        <v>-11708</v>
      </c>
      <c r="J354" s="61">
        <v>0</v>
      </c>
      <c r="K354" s="61">
        <v>0</v>
      </c>
      <c r="L354" s="61">
        <v>0</v>
      </c>
      <c r="M354" s="61">
        <v>0</v>
      </c>
      <c r="N354" s="61">
        <v>0</v>
      </c>
    </row>
    <row r="355" spans="1:14" ht="15.75" x14ac:dyDescent="0.25">
      <c r="A355" s="52" t="s">
        <v>617</v>
      </c>
      <c r="B355" s="53" t="s">
        <v>8</v>
      </c>
      <c r="C355" s="19">
        <f>SUBTOTAL(109,Program294[(C)
Program
Costs])</f>
        <v>57487</v>
      </c>
      <c r="D355" s="19">
        <f>SUBTOTAL(109,Program294[(D)
Prior Period Adjustments])</f>
        <v>-1260</v>
      </c>
      <c r="E355" s="19">
        <f>SUBTOTAL(109,Program294[(E)
Current Period Desk 
Reviews])</f>
        <v>0</v>
      </c>
      <c r="F355" s="19">
        <f>SUBTOTAL(109,Program294[(F)
Current Period 
Final 
Audits])</f>
        <v>0</v>
      </c>
      <c r="G355" s="19">
        <f>SUBTOTAL(109,Program294[(G)
Current Period 
Other Adjustments])</f>
        <v>0</v>
      </c>
      <c r="H355" s="19">
        <f>SUBTOTAL(109,Program294[(H)
Net Program Costs
Sum (C through G)])</f>
        <v>56227</v>
      </c>
      <c r="I355" s="19">
        <f>SUBTOTAL(109,Program294[(I)
Payments
 and Offsets])</f>
        <v>-56227</v>
      </c>
      <c r="J355" s="19">
        <f>SUBTOTAL(109,Program294[(J)
Accounts Payable Balance
(H + I)])</f>
        <v>0</v>
      </c>
      <c r="K355" s="19">
        <f>SUBTOTAL(109,Program294[(K)
Established 
Accounts Receivable])</f>
        <v>0</v>
      </c>
      <c r="L355" s="19">
        <f>SUBTOTAL(109,Program294[(L)
Recovered
 Accounts Receivable])</f>
        <v>0</v>
      </c>
      <c r="M355" s="19">
        <f>SUBTOTAL(109,Program294[(M)
Accounts Receivable Balance
(K + L)])</f>
        <v>0</v>
      </c>
      <c r="N355" s="19">
        <f>SUBTOTAL(109,Program294[(N)
Net Balance
(J minus M)])</f>
        <v>0</v>
      </c>
    </row>
    <row r="356" spans="1:14" ht="15.75" x14ac:dyDescent="0.25">
      <c r="A356" s="17" t="s">
        <v>13</v>
      </c>
      <c r="B356" s="54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</row>
    <row r="357" spans="1:14" ht="78.75" x14ac:dyDescent="0.25">
      <c r="A357" s="39" t="s">
        <v>32</v>
      </c>
      <c r="B357" s="40" t="s">
        <v>33</v>
      </c>
      <c r="C357" s="41" t="s">
        <v>34</v>
      </c>
      <c r="D357" s="41" t="s">
        <v>35</v>
      </c>
      <c r="E357" s="42" t="s">
        <v>36</v>
      </c>
      <c r="F357" s="42" t="s">
        <v>37</v>
      </c>
      <c r="G357" s="42" t="s">
        <v>38</v>
      </c>
      <c r="H357" s="43" t="s">
        <v>39</v>
      </c>
      <c r="I357" s="44" t="s">
        <v>40</v>
      </c>
      <c r="J357" s="44" t="s">
        <v>41</v>
      </c>
      <c r="K357" s="42" t="s">
        <v>42</v>
      </c>
      <c r="L357" s="44" t="s">
        <v>43</v>
      </c>
      <c r="M357" s="44" t="s">
        <v>44</v>
      </c>
      <c r="N357" s="45" t="s">
        <v>45</v>
      </c>
    </row>
    <row r="358" spans="1:14" ht="30" x14ac:dyDescent="0.25">
      <c r="A358" s="67" t="s">
        <v>651</v>
      </c>
      <c r="B358" s="57" t="s">
        <v>57</v>
      </c>
      <c r="C358" s="58">
        <v>2097</v>
      </c>
      <c r="D358" s="58">
        <v>0</v>
      </c>
      <c r="E358" s="58">
        <v>0</v>
      </c>
      <c r="F358" s="58">
        <v>0</v>
      </c>
      <c r="G358" s="58">
        <v>0</v>
      </c>
      <c r="H358" s="58">
        <v>2097</v>
      </c>
      <c r="I358" s="58">
        <v>-2097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</row>
    <row r="359" spans="1:14" ht="15.75" x14ac:dyDescent="0.25">
      <c r="A359" s="52" t="s">
        <v>616</v>
      </c>
      <c r="B359" s="53" t="s">
        <v>8</v>
      </c>
      <c r="C359" s="19">
        <f>SUBTOTAL(109,Program241[(C)
Program
Costs])</f>
        <v>2097</v>
      </c>
      <c r="D359" s="19">
        <f>SUBTOTAL(109,Program241[(D)
Prior Period Adjustments])</f>
        <v>0</v>
      </c>
      <c r="E359" s="19">
        <f>SUBTOTAL(109,Program241[(E)
Current Period Desk 
Reviews])</f>
        <v>0</v>
      </c>
      <c r="F359" s="19">
        <f>SUBTOTAL(109,Program241[(F)
Current Period 
Final 
Audits])</f>
        <v>0</v>
      </c>
      <c r="G359" s="19">
        <f>SUBTOTAL(109,Program241[(G)
Current Period 
Other Adjustments])</f>
        <v>0</v>
      </c>
      <c r="H359" s="19">
        <f>SUBTOTAL(109,Program241[(H)
Net Program Costs
Sum (C through G)])</f>
        <v>2097</v>
      </c>
      <c r="I359" s="19">
        <f>SUBTOTAL(109,Program241[(I)
Payments
 and Offsets])</f>
        <v>-2097</v>
      </c>
      <c r="J359" s="19">
        <f>SUBTOTAL(109,Program241[(J)
Accounts Payable Balance
(H + I)])</f>
        <v>0</v>
      </c>
      <c r="K359" s="19">
        <f>SUBTOTAL(109,Program241[(K)
Established 
Accounts Receivable])</f>
        <v>0</v>
      </c>
      <c r="L359" s="19">
        <f>SUBTOTAL(109,Program241[(L)
Recovered
 Accounts Receivable])</f>
        <v>0</v>
      </c>
      <c r="M359" s="19">
        <f>SUBTOTAL(109,Program241[(M)
Accounts Receivable Balance
(K + L)])</f>
        <v>0</v>
      </c>
      <c r="N359" s="19">
        <f>SUBTOTAL(109,Program241[(N)
Net Balance
(J minus M)])</f>
        <v>0</v>
      </c>
    </row>
    <row r="360" spans="1:14" ht="15.75" x14ac:dyDescent="0.25">
      <c r="A360" s="17" t="s">
        <v>13</v>
      </c>
      <c r="B360" s="54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</row>
    <row r="361" spans="1:14" ht="78.75" x14ac:dyDescent="0.25">
      <c r="A361" s="39" t="s">
        <v>32</v>
      </c>
      <c r="B361" s="40" t="s">
        <v>33</v>
      </c>
      <c r="C361" s="41" t="s">
        <v>34</v>
      </c>
      <c r="D361" s="41" t="s">
        <v>35</v>
      </c>
      <c r="E361" s="42" t="s">
        <v>36</v>
      </c>
      <c r="F361" s="42" t="s">
        <v>37</v>
      </c>
      <c r="G361" s="42" t="s">
        <v>38</v>
      </c>
      <c r="H361" s="43" t="s">
        <v>39</v>
      </c>
      <c r="I361" s="44" t="s">
        <v>40</v>
      </c>
      <c r="J361" s="44" t="s">
        <v>41</v>
      </c>
      <c r="K361" s="42" t="s">
        <v>42</v>
      </c>
      <c r="L361" s="44" t="s">
        <v>43</v>
      </c>
      <c r="M361" s="44" t="s">
        <v>44</v>
      </c>
      <c r="N361" s="45" t="s">
        <v>45</v>
      </c>
    </row>
    <row r="362" spans="1:14" ht="15.75" x14ac:dyDescent="0.25">
      <c r="A362" s="46" t="s">
        <v>650</v>
      </c>
      <c r="B362" s="47" t="s">
        <v>49</v>
      </c>
      <c r="C362" s="48">
        <v>1421</v>
      </c>
      <c r="D362" s="48">
        <v>0</v>
      </c>
      <c r="E362" s="48">
        <v>0</v>
      </c>
      <c r="F362" s="48">
        <v>0</v>
      </c>
      <c r="G362" s="48">
        <v>0</v>
      </c>
      <c r="H362" s="48">
        <v>1421</v>
      </c>
      <c r="I362" s="48">
        <v>-1421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</row>
    <row r="363" spans="1:14" ht="15.75" x14ac:dyDescent="0.25">
      <c r="A363" s="49" t="s">
        <v>650</v>
      </c>
      <c r="B363" s="50" t="s">
        <v>50</v>
      </c>
      <c r="C363" s="51">
        <v>2959</v>
      </c>
      <c r="D363" s="51">
        <v>0</v>
      </c>
      <c r="E363" s="51">
        <v>0</v>
      </c>
      <c r="F363" s="51">
        <v>0</v>
      </c>
      <c r="G363" s="51">
        <v>0</v>
      </c>
      <c r="H363" s="51">
        <v>2959</v>
      </c>
      <c r="I363" s="51">
        <v>-2959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</row>
    <row r="364" spans="1:14" ht="15.75" x14ac:dyDescent="0.25">
      <c r="A364" s="52" t="s">
        <v>615</v>
      </c>
      <c r="B364" s="53" t="s">
        <v>8</v>
      </c>
      <c r="C364" s="19">
        <f>SUBTOTAL(109,Program247[(C)
Program
Costs])</f>
        <v>4380</v>
      </c>
      <c r="D364" s="19">
        <f>SUBTOTAL(109,Program247[(D)
Prior Period Adjustments])</f>
        <v>0</v>
      </c>
      <c r="E364" s="19">
        <f>SUBTOTAL(109,Program247[(E)
Current Period Desk 
Reviews])</f>
        <v>0</v>
      </c>
      <c r="F364" s="19">
        <f>SUBTOTAL(109,Program247[(F)
Current Period 
Final 
Audits])</f>
        <v>0</v>
      </c>
      <c r="G364" s="19">
        <f>SUBTOTAL(109,Program247[(G)
Current Period 
Other Adjustments])</f>
        <v>0</v>
      </c>
      <c r="H364" s="19">
        <f>SUBTOTAL(109,Program247[(H)
Net Program Costs
Sum (C through G)])</f>
        <v>4380</v>
      </c>
      <c r="I364" s="19">
        <f>SUBTOTAL(109,Program247[(I)
Payments
 and Offsets])</f>
        <v>-4380</v>
      </c>
      <c r="J364" s="19">
        <f>SUBTOTAL(109,Program247[(J)
Accounts Payable Balance
(H + I)])</f>
        <v>0</v>
      </c>
      <c r="K364" s="19">
        <f>SUBTOTAL(109,Program247[(K)
Established 
Accounts Receivable])</f>
        <v>0</v>
      </c>
      <c r="L364" s="19">
        <f>SUBTOTAL(109,Program247[(L)
Recovered
 Accounts Receivable])</f>
        <v>0</v>
      </c>
      <c r="M364" s="19">
        <f>SUBTOTAL(109,Program247[(M)
Accounts Receivable Balance
(K + L)])</f>
        <v>0</v>
      </c>
      <c r="N364" s="19">
        <f>SUBTOTAL(109,Program247[(N)
Net Balance
(J minus M)])</f>
        <v>0</v>
      </c>
    </row>
    <row r="365" spans="1:14" ht="15.75" x14ac:dyDescent="0.25">
      <c r="A365" s="17" t="s">
        <v>13</v>
      </c>
      <c r="B365" s="54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</row>
    <row r="366" spans="1:14" ht="78.75" x14ac:dyDescent="0.25">
      <c r="A366" s="39" t="s">
        <v>32</v>
      </c>
      <c r="B366" s="40" t="s">
        <v>33</v>
      </c>
      <c r="C366" s="41" t="s">
        <v>34</v>
      </c>
      <c r="D366" s="41" t="s">
        <v>35</v>
      </c>
      <c r="E366" s="42" t="s">
        <v>36</v>
      </c>
      <c r="F366" s="42" t="s">
        <v>37</v>
      </c>
      <c r="G366" s="42" t="s">
        <v>38</v>
      </c>
      <c r="H366" s="43" t="s">
        <v>39</v>
      </c>
      <c r="I366" s="44" t="s">
        <v>40</v>
      </c>
      <c r="J366" s="44" t="s">
        <v>41</v>
      </c>
      <c r="K366" s="42" t="s">
        <v>42</v>
      </c>
      <c r="L366" s="44" t="s">
        <v>43</v>
      </c>
      <c r="M366" s="44" t="s">
        <v>44</v>
      </c>
      <c r="N366" s="45" t="s">
        <v>45</v>
      </c>
    </row>
    <row r="367" spans="1:14" ht="15.75" x14ac:dyDescent="0.25">
      <c r="A367" s="46" t="s">
        <v>649</v>
      </c>
      <c r="B367" s="47" t="s">
        <v>49</v>
      </c>
      <c r="C367" s="48">
        <v>1170</v>
      </c>
      <c r="D367" s="48">
        <v>0</v>
      </c>
      <c r="E367" s="48">
        <v>0</v>
      </c>
      <c r="F367" s="48">
        <v>0</v>
      </c>
      <c r="G367" s="48">
        <v>0</v>
      </c>
      <c r="H367" s="48">
        <v>1170</v>
      </c>
      <c r="I367" s="48">
        <v>-1170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</row>
    <row r="368" spans="1:14" ht="15.75" x14ac:dyDescent="0.25">
      <c r="A368" s="52" t="s">
        <v>614</v>
      </c>
      <c r="B368" s="53" t="s">
        <v>8</v>
      </c>
      <c r="C368" s="19">
        <f>SUBTOTAL(109,Program307[(C)
Program
Costs])</f>
        <v>1170</v>
      </c>
      <c r="D368" s="19">
        <f>SUBTOTAL(109,Program307[(D)
Prior Period Adjustments])</f>
        <v>0</v>
      </c>
      <c r="E368" s="19">
        <f>SUBTOTAL(109,Program307[(E)
Current Period Desk 
Reviews])</f>
        <v>0</v>
      </c>
      <c r="F368" s="19">
        <f>SUBTOTAL(109,Program307[(F)
Current Period 
Final 
Audits])</f>
        <v>0</v>
      </c>
      <c r="G368" s="19">
        <f>SUBTOTAL(109,Program307[(G)
Current Period 
Other Adjustments])</f>
        <v>0</v>
      </c>
      <c r="H368" s="19">
        <f>SUBTOTAL(109,Program307[(H)
Net Program Costs
Sum (C through G)])</f>
        <v>1170</v>
      </c>
      <c r="I368" s="19">
        <f>SUBTOTAL(109,Program307[(I)
Payments
 and Offsets])</f>
        <v>-1170</v>
      </c>
      <c r="J368" s="19">
        <f>SUBTOTAL(109,Program307[(J)
Accounts Payable Balance
(H + I)])</f>
        <v>0</v>
      </c>
      <c r="K368" s="19">
        <f>SUBTOTAL(109,Program307[(K)
Established 
Accounts Receivable])</f>
        <v>0</v>
      </c>
      <c r="L368" s="19">
        <f>SUBTOTAL(109,Program307[(L)
Recovered
 Accounts Receivable])</f>
        <v>0</v>
      </c>
      <c r="M368" s="19">
        <f>SUBTOTAL(109,Program307[(M)
Accounts Receivable Balance
(K + L)])</f>
        <v>0</v>
      </c>
      <c r="N368" s="19">
        <f>SUBTOTAL(109,Program307[(N)
Net Balance
(J minus M)])</f>
        <v>0</v>
      </c>
    </row>
    <row r="369" spans="1:14" ht="15.75" x14ac:dyDescent="0.25">
      <c r="A369" s="17" t="s">
        <v>13</v>
      </c>
      <c r="B369" s="54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</row>
    <row r="370" spans="1:14" ht="78.75" x14ac:dyDescent="0.25">
      <c r="A370" s="39" t="s">
        <v>32</v>
      </c>
      <c r="B370" s="40" t="s">
        <v>33</v>
      </c>
      <c r="C370" s="41" t="s">
        <v>34</v>
      </c>
      <c r="D370" s="41" t="s">
        <v>35</v>
      </c>
      <c r="E370" s="42" t="s">
        <v>36</v>
      </c>
      <c r="F370" s="42" t="s">
        <v>37</v>
      </c>
      <c r="G370" s="42" t="s">
        <v>38</v>
      </c>
      <c r="H370" s="43" t="s">
        <v>39</v>
      </c>
      <c r="I370" s="44" t="s">
        <v>40</v>
      </c>
      <c r="J370" s="44" t="s">
        <v>41</v>
      </c>
      <c r="K370" s="42" t="s">
        <v>42</v>
      </c>
      <c r="L370" s="44" t="s">
        <v>43</v>
      </c>
      <c r="M370" s="44" t="s">
        <v>44</v>
      </c>
      <c r="N370" s="45" t="s">
        <v>45</v>
      </c>
    </row>
    <row r="371" spans="1:14" ht="15.75" x14ac:dyDescent="0.25">
      <c r="A371" s="46" t="s">
        <v>648</v>
      </c>
      <c r="B371" s="47" t="s">
        <v>83</v>
      </c>
      <c r="C371" s="48">
        <v>764793</v>
      </c>
      <c r="D371" s="48">
        <v>-58885</v>
      </c>
      <c r="E371" s="48">
        <v>0</v>
      </c>
      <c r="F371" s="48">
        <v>0</v>
      </c>
      <c r="G371" s="48">
        <v>0</v>
      </c>
      <c r="H371" s="48">
        <v>705908</v>
      </c>
      <c r="I371" s="48">
        <v>-664522</v>
      </c>
      <c r="J371" s="48">
        <v>41386</v>
      </c>
      <c r="K371" s="48">
        <v>0</v>
      </c>
      <c r="L371" s="48">
        <v>0</v>
      </c>
      <c r="M371" s="48">
        <v>0</v>
      </c>
      <c r="N371" s="48">
        <v>41386</v>
      </c>
    </row>
    <row r="372" spans="1:14" ht="15.75" x14ac:dyDescent="0.25">
      <c r="A372" s="49" t="s">
        <v>648</v>
      </c>
      <c r="B372" s="50" t="s">
        <v>48</v>
      </c>
      <c r="C372" s="51">
        <v>1002163</v>
      </c>
      <c r="D372" s="51">
        <v>-87104</v>
      </c>
      <c r="E372" s="51">
        <v>0</v>
      </c>
      <c r="F372" s="51">
        <v>0</v>
      </c>
      <c r="G372" s="51">
        <v>0</v>
      </c>
      <c r="H372" s="51">
        <v>915059</v>
      </c>
      <c r="I372" s="51">
        <v>-915059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</row>
    <row r="373" spans="1:14" ht="15.75" x14ac:dyDescent="0.25">
      <c r="A373" s="49" t="s">
        <v>648</v>
      </c>
      <c r="B373" s="50" t="s">
        <v>49</v>
      </c>
      <c r="C373" s="51">
        <v>763416</v>
      </c>
      <c r="D373" s="51">
        <v>-61038</v>
      </c>
      <c r="E373" s="51">
        <v>0</v>
      </c>
      <c r="F373" s="51">
        <v>0</v>
      </c>
      <c r="G373" s="51">
        <v>0</v>
      </c>
      <c r="H373" s="51">
        <v>702378</v>
      </c>
      <c r="I373" s="51">
        <v>-702378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</row>
    <row r="374" spans="1:14" ht="15.75" x14ac:dyDescent="0.25">
      <c r="A374" s="49" t="s">
        <v>648</v>
      </c>
      <c r="B374" s="50" t="s">
        <v>50</v>
      </c>
      <c r="C374" s="51">
        <v>643072</v>
      </c>
      <c r="D374" s="51">
        <v>-557</v>
      </c>
      <c r="E374" s="51">
        <v>0</v>
      </c>
      <c r="F374" s="51">
        <v>0</v>
      </c>
      <c r="G374" s="51">
        <v>0</v>
      </c>
      <c r="H374" s="51">
        <v>642515</v>
      </c>
      <c r="I374" s="51">
        <v>-642515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</row>
    <row r="375" spans="1:14" ht="15.75" x14ac:dyDescent="0.25">
      <c r="A375" s="49" t="s">
        <v>648</v>
      </c>
      <c r="B375" s="50" t="s">
        <v>51</v>
      </c>
      <c r="C375" s="51">
        <v>827623</v>
      </c>
      <c r="D375" s="51">
        <v>-2154</v>
      </c>
      <c r="E375" s="51">
        <v>0</v>
      </c>
      <c r="F375" s="51">
        <v>0</v>
      </c>
      <c r="G375" s="51">
        <v>0</v>
      </c>
      <c r="H375" s="51">
        <v>825469</v>
      </c>
      <c r="I375" s="51">
        <v>-825469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</row>
    <row r="376" spans="1:14" ht="15.75" x14ac:dyDescent="0.25">
      <c r="A376" s="49" t="s">
        <v>648</v>
      </c>
      <c r="B376" s="50" t="s">
        <v>52</v>
      </c>
      <c r="C376" s="51">
        <v>822073</v>
      </c>
      <c r="D376" s="51">
        <v>-81964</v>
      </c>
      <c r="E376" s="51">
        <v>0</v>
      </c>
      <c r="F376" s="51">
        <v>0</v>
      </c>
      <c r="G376" s="51">
        <v>0</v>
      </c>
      <c r="H376" s="51">
        <v>740109</v>
      </c>
      <c r="I376" s="51">
        <v>-740109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</row>
    <row r="377" spans="1:14" ht="15.75" x14ac:dyDescent="0.25">
      <c r="A377" s="49" t="s">
        <v>648</v>
      </c>
      <c r="B377" s="50" t="s">
        <v>53</v>
      </c>
      <c r="C377" s="51">
        <v>771698</v>
      </c>
      <c r="D377" s="51">
        <v>-73955</v>
      </c>
      <c r="E377" s="51">
        <v>0</v>
      </c>
      <c r="F377" s="51">
        <v>0</v>
      </c>
      <c r="G377" s="51">
        <v>0</v>
      </c>
      <c r="H377" s="51">
        <v>697743</v>
      </c>
      <c r="I377" s="51">
        <v>-697743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</row>
    <row r="378" spans="1:14" ht="15.75" x14ac:dyDescent="0.25">
      <c r="A378" s="49" t="s">
        <v>648</v>
      </c>
      <c r="B378" s="50" t="s">
        <v>54</v>
      </c>
      <c r="C378" s="51">
        <v>678479</v>
      </c>
      <c r="D378" s="51">
        <v>-55285</v>
      </c>
      <c r="E378" s="51">
        <v>0</v>
      </c>
      <c r="F378" s="51">
        <v>0</v>
      </c>
      <c r="G378" s="51">
        <v>0</v>
      </c>
      <c r="H378" s="51">
        <v>623194</v>
      </c>
      <c r="I378" s="51">
        <v>-623194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</row>
    <row r="379" spans="1:14" ht="15.75" x14ac:dyDescent="0.25">
      <c r="A379" s="49" t="s">
        <v>648</v>
      </c>
      <c r="B379" s="50" t="s">
        <v>55</v>
      </c>
      <c r="C379" s="51">
        <v>629680</v>
      </c>
      <c r="D379" s="51">
        <v>-61353</v>
      </c>
      <c r="E379" s="51">
        <v>0</v>
      </c>
      <c r="F379" s="51">
        <v>0</v>
      </c>
      <c r="G379" s="51">
        <v>0</v>
      </c>
      <c r="H379" s="51">
        <v>568327</v>
      </c>
      <c r="I379" s="51">
        <v>-568327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</row>
    <row r="380" spans="1:14" ht="15.75" x14ac:dyDescent="0.25">
      <c r="A380" s="49" t="s">
        <v>648</v>
      </c>
      <c r="B380" s="50" t="s">
        <v>56</v>
      </c>
      <c r="C380" s="51">
        <v>571810</v>
      </c>
      <c r="D380" s="51">
        <v>-41901</v>
      </c>
      <c r="E380" s="51">
        <v>0</v>
      </c>
      <c r="F380" s="51">
        <v>0</v>
      </c>
      <c r="G380" s="51">
        <v>0</v>
      </c>
      <c r="H380" s="51">
        <v>529909</v>
      </c>
      <c r="I380" s="51">
        <v>-529909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</row>
    <row r="381" spans="1:14" ht="15.75" x14ac:dyDescent="0.25">
      <c r="A381" s="49" t="s">
        <v>648</v>
      </c>
      <c r="B381" s="50" t="s">
        <v>57</v>
      </c>
      <c r="C381" s="51">
        <v>475547</v>
      </c>
      <c r="D381" s="51">
        <v>-51017</v>
      </c>
      <c r="E381" s="51">
        <v>0</v>
      </c>
      <c r="F381" s="51">
        <v>0</v>
      </c>
      <c r="G381" s="51">
        <v>0</v>
      </c>
      <c r="H381" s="51">
        <v>424530</v>
      </c>
      <c r="I381" s="51">
        <v>-424530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</row>
    <row r="382" spans="1:14" ht="15.75" x14ac:dyDescent="0.25">
      <c r="A382" s="52" t="s">
        <v>613</v>
      </c>
      <c r="B382" s="53" t="s">
        <v>8</v>
      </c>
      <c r="C382" s="19">
        <f>SUBTOTAL(109,Program301[(C)
Program
Costs])</f>
        <v>7950354</v>
      </c>
      <c r="D382" s="19">
        <f>SUBTOTAL(109,Program301[(D)
Prior Period Adjustments])</f>
        <v>-575213</v>
      </c>
      <c r="E382" s="19">
        <f>SUBTOTAL(109,Program301[(E)
Current Period Desk 
Reviews])</f>
        <v>0</v>
      </c>
      <c r="F382" s="19">
        <f>SUBTOTAL(109,Program301[(F)
Current Period 
Final 
Audits])</f>
        <v>0</v>
      </c>
      <c r="G382" s="19">
        <f>SUBTOTAL(109,Program301[(G)
Current Period 
Other Adjustments])</f>
        <v>0</v>
      </c>
      <c r="H382" s="19">
        <f>SUBTOTAL(109,Program301[(H)
Net Program Costs
Sum (C through G)])</f>
        <v>7375141</v>
      </c>
      <c r="I382" s="19">
        <f>SUBTOTAL(109,Program301[(I)
Payments
 and Offsets])</f>
        <v>-7333755</v>
      </c>
      <c r="J382" s="19">
        <f>SUBTOTAL(109,Program301[(J)
Accounts Payable Balance
(H + I)])</f>
        <v>41386</v>
      </c>
      <c r="K382" s="19">
        <f>SUBTOTAL(109,Program301[(K)
Established 
Accounts Receivable])</f>
        <v>0</v>
      </c>
      <c r="L382" s="19">
        <f>SUBTOTAL(109,Program301[(L)
Recovered
 Accounts Receivable])</f>
        <v>0</v>
      </c>
      <c r="M382" s="19">
        <f>SUBTOTAL(109,Program301[(M)
Accounts Receivable Balance
(K + L)])</f>
        <v>0</v>
      </c>
      <c r="N382" s="19">
        <f>SUBTOTAL(109,Program301[(N)
Net Balance
(J minus M)])</f>
        <v>41386</v>
      </c>
    </row>
    <row r="383" spans="1:14" ht="15.75" x14ac:dyDescent="0.25">
      <c r="A383" s="17" t="s">
        <v>13</v>
      </c>
      <c r="B383" s="54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</row>
    <row r="384" spans="1:14" ht="78.75" x14ac:dyDescent="0.25">
      <c r="A384" s="39" t="s">
        <v>32</v>
      </c>
      <c r="B384" s="40" t="s">
        <v>33</v>
      </c>
      <c r="C384" s="41" t="s">
        <v>34</v>
      </c>
      <c r="D384" s="41" t="s">
        <v>35</v>
      </c>
      <c r="E384" s="42" t="s">
        <v>36</v>
      </c>
      <c r="F384" s="42" t="s">
        <v>37</v>
      </c>
      <c r="G384" s="42" t="s">
        <v>38</v>
      </c>
      <c r="H384" s="43" t="s">
        <v>39</v>
      </c>
      <c r="I384" s="44" t="s">
        <v>40</v>
      </c>
      <c r="J384" s="44" t="s">
        <v>41</v>
      </c>
      <c r="K384" s="42" t="s">
        <v>42</v>
      </c>
      <c r="L384" s="44" t="s">
        <v>43</v>
      </c>
      <c r="M384" s="44" t="s">
        <v>44</v>
      </c>
      <c r="N384" s="45" t="s">
        <v>45</v>
      </c>
    </row>
    <row r="385" spans="1:14" ht="15.75" x14ac:dyDescent="0.25">
      <c r="A385" s="69" t="s">
        <v>647</v>
      </c>
      <c r="B385" s="70" t="s">
        <v>8</v>
      </c>
      <c r="C385" s="71">
        <v>683144</v>
      </c>
      <c r="D385" s="71">
        <v>-1651</v>
      </c>
      <c r="E385" s="71">
        <v>0</v>
      </c>
      <c r="F385" s="71">
        <v>0</v>
      </c>
      <c r="G385" s="71">
        <v>0</v>
      </c>
      <c r="H385" s="71">
        <v>681493</v>
      </c>
      <c r="I385" s="71">
        <v>-681493</v>
      </c>
      <c r="J385" s="71">
        <v>0</v>
      </c>
      <c r="K385" s="71">
        <v>142884</v>
      </c>
      <c r="L385" s="71">
        <v>-142884</v>
      </c>
      <c r="M385" s="71">
        <v>0</v>
      </c>
      <c r="N385" s="71">
        <v>0</v>
      </c>
    </row>
    <row r="386" spans="1:14" ht="15.75" x14ac:dyDescent="0.25">
      <c r="A386" s="49" t="s">
        <v>646</v>
      </c>
      <c r="B386" s="72" t="s">
        <v>8</v>
      </c>
      <c r="C386" s="11">
        <v>650768</v>
      </c>
      <c r="D386" s="11">
        <v>-35315</v>
      </c>
      <c r="E386" s="11">
        <v>0</v>
      </c>
      <c r="F386" s="11">
        <v>0</v>
      </c>
      <c r="G386" s="11">
        <v>0</v>
      </c>
      <c r="H386" s="11">
        <v>615453</v>
      </c>
      <c r="I386" s="11">
        <v>-611027</v>
      </c>
      <c r="J386" s="11">
        <v>4426</v>
      </c>
      <c r="K386" s="11">
        <v>0</v>
      </c>
      <c r="L386" s="11">
        <v>0</v>
      </c>
      <c r="M386" s="11">
        <v>0</v>
      </c>
      <c r="N386" s="11">
        <v>4426</v>
      </c>
    </row>
    <row r="387" spans="1:14" ht="15.75" x14ac:dyDescent="0.25">
      <c r="A387" s="49" t="s">
        <v>645</v>
      </c>
      <c r="B387" s="72" t="s">
        <v>8</v>
      </c>
      <c r="C387" s="11">
        <v>233058</v>
      </c>
      <c r="D387" s="11">
        <v>-15578</v>
      </c>
      <c r="E387" s="11">
        <v>0</v>
      </c>
      <c r="F387" s="11">
        <v>0</v>
      </c>
      <c r="G387" s="11">
        <v>0</v>
      </c>
      <c r="H387" s="11">
        <v>217480</v>
      </c>
      <c r="I387" s="11">
        <v>-212319</v>
      </c>
      <c r="J387" s="11">
        <v>5161</v>
      </c>
      <c r="K387" s="11">
        <v>0</v>
      </c>
      <c r="L387" s="11">
        <v>0</v>
      </c>
      <c r="M387" s="11">
        <v>0</v>
      </c>
      <c r="N387" s="11">
        <v>5161</v>
      </c>
    </row>
    <row r="388" spans="1:14" ht="15.75" x14ac:dyDescent="0.25">
      <c r="A388" s="49" t="s">
        <v>644</v>
      </c>
      <c r="B388" s="72" t="s">
        <v>8</v>
      </c>
      <c r="C388" s="11">
        <v>190979</v>
      </c>
      <c r="D388" s="11">
        <v>-12651</v>
      </c>
      <c r="E388" s="11">
        <v>0</v>
      </c>
      <c r="F388" s="11">
        <v>0</v>
      </c>
      <c r="G388" s="11">
        <v>0</v>
      </c>
      <c r="H388" s="11">
        <v>178328</v>
      </c>
      <c r="I388" s="11">
        <v>-178328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</row>
    <row r="389" spans="1:14" ht="15.75" x14ac:dyDescent="0.25">
      <c r="A389" s="49" t="s">
        <v>643</v>
      </c>
      <c r="B389" s="72" t="s">
        <v>8</v>
      </c>
      <c r="C389" s="11">
        <v>591402</v>
      </c>
      <c r="D389" s="11">
        <v>-8550</v>
      </c>
      <c r="E389" s="11">
        <v>0</v>
      </c>
      <c r="F389" s="11">
        <v>0</v>
      </c>
      <c r="G389" s="11">
        <v>0</v>
      </c>
      <c r="H389" s="11">
        <v>582852</v>
      </c>
      <c r="I389" s="11">
        <v>-579612</v>
      </c>
      <c r="J389" s="11">
        <v>3240</v>
      </c>
      <c r="K389" s="11">
        <v>0</v>
      </c>
      <c r="L389" s="11">
        <v>0</v>
      </c>
      <c r="M389" s="11">
        <v>0</v>
      </c>
      <c r="N389" s="11">
        <v>3240</v>
      </c>
    </row>
    <row r="390" spans="1:14" ht="15.75" x14ac:dyDescent="0.25">
      <c r="A390" s="49" t="s">
        <v>642</v>
      </c>
      <c r="B390" s="72" t="s">
        <v>8</v>
      </c>
      <c r="C390" s="11">
        <v>99246984</v>
      </c>
      <c r="D390" s="11">
        <v>-8781876</v>
      </c>
      <c r="E390" s="11">
        <v>0</v>
      </c>
      <c r="F390" s="11">
        <v>0</v>
      </c>
      <c r="G390" s="11">
        <v>0</v>
      </c>
      <c r="H390" s="11">
        <v>90465108</v>
      </c>
      <c r="I390" s="11">
        <v>-89607051</v>
      </c>
      <c r="J390" s="11">
        <v>858057</v>
      </c>
      <c r="K390" s="11">
        <v>3374112</v>
      </c>
      <c r="L390" s="11">
        <v>-3111328</v>
      </c>
      <c r="M390" s="11">
        <v>262784</v>
      </c>
      <c r="N390" s="11">
        <v>595273</v>
      </c>
    </row>
    <row r="391" spans="1:14" ht="15.75" x14ac:dyDescent="0.25">
      <c r="A391" s="49" t="s">
        <v>641</v>
      </c>
      <c r="B391" s="72" t="s">
        <v>8</v>
      </c>
      <c r="C391" s="11">
        <v>652112</v>
      </c>
      <c r="D391" s="11">
        <v>-34819</v>
      </c>
      <c r="E391" s="11">
        <v>0</v>
      </c>
      <c r="F391" s="11">
        <v>0</v>
      </c>
      <c r="G391" s="11">
        <v>0</v>
      </c>
      <c r="H391" s="11">
        <v>617293</v>
      </c>
      <c r="I391" s="11">
        <v>-562068</v>
      </c>
      <c r="J391" s="11">
        <v>55225</v>
      </c>
      <c r="K391" s="11">
        <v>0</v>
      </c>
      <c r="L391" s="11">
        <v>0</v>
      </c>
      <c r="M391" s="11">
        <v>0</v>
      </c>
      <c r="N391" s="11">
        <v>55225</v>
      </c>
    </row>
    <row r="392" spans="1:14" ht="15.75" x14ac:dyDescent="0.25">
      <c r="A392" s="49" t="s">
        <v>640</v>
      </c>
      <c r="B392" s="72" t="s">
        <v>8</v>
      </c>
      <c r="C392" s="11">
        <v>337813</v>
      </c>
      <c r="D392" s="11">
        <v>0</v>
      </c>
      <c r="E392" s="11">
        <v>0</v>
      </c>
      <c r="F392" s="11">
        <v>0</v>
      </c>
      <c r="G392" s="11">
        <v>0</v>
      </c>
      <c r="H392" s="11">
        <v>337813</v>
      </c>
      <c r="I392" s="11">
        <v>-337813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</row>
    <row r="393" spans="1:14" ht="15.75" x14ac:dyDescent="0.25">
      <c r="A393" s="49" t="s">
        <v>639</v>
      </c>
      <c r="B393" s="72" t="s">
        <v>8</v>
      </c>
      <c r="C393" s="11">
        <v>359825</v>
      </c>
      <c r="D393" s="11">
        <v>0</v>
      </c>
      <c r="E393" s="11">
        <v>0</v>
      </c>
      <c r="F393" s="11">
        <v>0</v>
      </c>
      <c r="G393" s="11">
        <v>0</v>
      </c>
      <c r="H393" s="11">
        <v>359825</v>
      </c>
      <c r="I393" s="11">
        <v>-359825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</row>
    <row r="394" spans="1:14" ht="15.75" x14ac:dyDescent="0.25">
      <c r="A394" s="49" t="s">
        <v>638</v>
      </c>
      <c r="B394" s="72" t="s">
        <v>8</v>
      </c>
      <c r="C394" s="11">
        <v>5349570</v>
      </c>
      <c r="D394" s="11">
        <v>0</v>
      </c>
      <c r="E394" s="11">
        <v>0</v>
      </c>
      <c r="F394" s="11">
        <v>0</v>
      </c>
      <c r="G394" s="11">
        <v>0</v>
      </c>
      <c r="H394" s="11">
        <v>5349570</v>
      </c>
      <c r="I394" s="11">
        <v>-5349570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</row>
    <row r="395" spans="1:14" ht="15.75" x14ac:dyDescent="0.25">
      <c r="A395" s="49" t="s">
        <v>637</v>
      </c>
      <c r="B395" s="72" t="s">
        <v>8</v>
      </c>
      <c r="C395" s="11">
        <v>59447</v>
      </c>
      <c r="D395" s="11">
        <v>0</v>
      </c>
      <c r="E395" s="11">
        <v>0</v>
      </c>
      <c r="F395" s="11">
        <v>0</v>
      </c>
      <c r="G395" s="11">
        <v>0</v>
      </c>
      <c r="H395" s="11">
        <v>59447</v>
      </c>
      <c r="I395" s="11">
        <v>-59447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</row>
    <row r="396" spans="1:14" ht="15.75" x14ac:dyDescent="0.25">
      <c r="A396" s="49" t="s">
        <v>636</v>
      </c>
      <c r="B396" s="72" t="s">
        <v>8</v>
      </c>
      <c r="C396" s="11">
        <v>2714109</v>
      </c>
      <c r="D396" s="11">
        <v>0</v>
      </c>
      <c r="E396" s="11">
        <v>0</v>
      </c>
      <c r="F396" s="11">
        <v>0</v>
      </c>
      <c r="G396" s="11">
        <v>0</v>
      </c>
      <c r="H396" s="11">
        <v>2714109</v>
      </c>
      <c r="I396" s="11">
        <v>-2714109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</row>
    <row r="397" spans="1:14" ht="15.75" x14ac:dyDescent="0.25">
      <c r="A397" s="49" t="s">
        <v>635</v>
      </c>
      <c r="B397" s="72" t="s">
        <v>8</v>
      </c>
      <c r="C397" s="88">
        <v>266850110</v>
      </c>
      <c r="D397" s="88">
        <v>-185104511</v>
      </c>
      <c r="E397" s="88">
        <v>0</v>
      </c>
      <c r="F397" s="88">
        <v>0</v>
      </c>
      <c r="G397" s="88">
        <v>0</v>
      </c>
      <c r="H397" s="88">
        <v>81745599</v>
      </c>
      <c r="I397" s="88">
        <v>-77124241</v>
      </c>
      <c r="J397" s="88">
        <v>4621358</v>
      </c>
      <c r="K397" s="87">
        <v>8794865</v>
      </c>
      <c r="L397" s="87">
        <v>-4514984</v>
      </c>
      <c r="M397" s="87">
        <v>4279881</v>
      </c>
      <c r="N397" s="87">
        <v>341477</v>
      </c>
    </row>
    <row r="398" spans="1:14" ht="15.75" x14ac:dyDescent="0.25">
      <c r="A398" s="49" t="s">
        <v>634</v>
      </c>
      <c r="B398" s="72" t="s">
        <v>8</v>
      </c>
      <c r="C398" s="11">
        <v>35071</v>
      </c>
      <c r="D398" s="11">
        <v>-216</v>
      </c>
      <c r="E398" s="11">
        <v>0</v>
      </c>
      <c r="F398" s="11">
        <v>0</v>
      </c>
      <c r="G398" s="11">
        <v>0</v>
      </c>
      <c r="H398" s="11">
        <v>34855</v>
      </c>
      <c r="I398" s="11">
        <v>-34855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</row>
    <row r="399" spans="1:14" ht="15.75" x14ac:dyDescent="0.25">
      <c r="A399" s="49" t="s">
        <v>633</v>
      </c>
      <c r="B399" s="72" t="s">
        <v>8</v>
      </c>
      <c r="C399" s="11">
        <v>4811</v>
      </c>
      <c r="D399" s="11">
        <v>0</v>
      </c>
      <c r="E399" s="11">
        <v>0</v>
      </c>
      <c r="F399" s="11">
        <v>0</v>
      </c>
      <c r="G399" s="11">
        <v>0</v>
      </c>
      <c r="H399" s="11">
        <v>4811</v>
      </c>
      <c r="I399" s="11">
        <v>-4811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</row>
    <row r="400" spans="1:14" ht="15.75" x14ac:dyDescent="0.25">
      <c r="A400" s="49" t="s">
        <v>632</v>
      </c>
      <c r="B400" s="72" t="s">
        <v>8</v>
      </c>
      <c r="C400" s="11">
        <v>4555127</v>
      </c>
      <c r="D400" s="11">
        <v>-208115</v>
      </c>
      <c r="E400" s="11">
        <v>0</v>
      </c>
      <c r="F400" s="11">
        <v>0</v>
      </c>
      <c r="G400" s="11">
        <v>0</v>
      </c>
      <c r="H400" s="11">
        <v>4347012</v>
      </c>
      <c r="I400" s="11">
        <v>-4347012</v>
      </c>
      <c r="J400" s="11">
        <v>0</v>
      </c>
      <c r="K400" s="11">
        <v>557111</v>
      </c>
      <c r="L400" s="11">
        <v>-557111</v>
      </c>
      <c r="M400" s="11">
        <v>0</v>
      </c>
      <c r="N400" s="11">
        <v>0</v>
      </c>
    </row>
    <row r="401" spans="1:14" ht="15.75" x14ac:dyDescent="0.25">
      <c r="A401" s="49" t="s">
        <v>631</v>
      </c>
      <c r="B401" s="72" t="s">
        <v>8</v>
      </c>
      <c r="C401" s="11">
        <v>130589059</v>
      </c>
      <c r="D401" s="11">
        <v>-50266068</v>
      </c>
      <c r="E401" s="11">
        <v>0</v>
      </c>
      <c r="F401" s="11">
        <v>0</v>
      </c>
      <c r="G401" s="11">
        <v>0</v>
      </c>
      <c r="H401" s="11">
        <v>80322991</v>
      </c>
      <c r="I401" s="11">
        <v>-79764904</v>
      </c>
      <c r="J401" s="11">
        <v>558087</v>
      </c>
      <c r="K401" s="11">
        <v>18990127</v>
      </c>
      <c r="L401" s="11">
        <v>-10938586</v>
      </c>
      <c r="M401" s="11">
        <v>8051541</v>
      </c>
      <c r="N401" s="11">
        <v>-7493454</v>
      </c>
    </row>
    <row r="402" spans="1:14" ht="15.75" x14ac:dyDescent="0.25">
      <c r="A402" s="49" t="s">
        <v>630</v>
      </c>
      <c r="B402" s="72" t="s">
        <v>8</v>
      </c>
      <c r="C402" s="11">
        <v>43337845</v>
      </c>
      <c r="D402" s="11">
        <v>-31739442</v>
      </c>
      <c r="E402" s="11">
        <v>0</v>
      </c>
      <c r="F402" s="11">
        <v>0</v>
      </c>
      <c r="G402" s="11">
        <v>0</v>
      </c>
      <c r="H402" s="11">
        <v>11598403</v>
      </c>
      <c r="I402" s="11">
        <v>-11310365</v>
      </c>
      <c r="J402" s="11">
        <v>288038</v>
      </c>
      <c r="K402" s="11">
        <v>1424443</v>
      </c>
      <c r="L402" s="11">
        <v>-1295123</v>
      </c>
      <c r="M402" s="11">
        <v>129320</v>
      </c>
      <c r="N402" s="11">
        <v>158718</v>
      </c>
    </row>
    <row r="403" spans="1:14" ht="15.75" x14ac:dyDescent="0.25">
      <c r="A403" s="49" t="s">
        <v>629</v>
      </c>
      <c r="B403" s="72" t="s">
        <v>8</v>
      </c>
      <c r="C403" s="11">
        <v>198631</v>
      </c>
      <c r="D403" s="11">
        <v>-43578</v>
      </c>
      <c r="E403" s="11">
        <v>0</v>
      </c>
      <c r="F403" s="11">
        <v>0</v>
      </c>
      <c r="G403" s="11">
        <v>0</v>
      </c>
      <c r="H403" s="11">
        <v>155053</v>
      </c>
      <c r="I403" s="11">
        <v>-155053</v>
      </c>
      <c r="J403" s="11">
        <v>0</v>
      </c>
      <c r="K403" s="11">
        <v>5354</v>
      </c>
      <c r="L403" s="11">
        <v>-5354</v>
      </c>
      <c r="M403" s="11">
        <v>0</v>
      </c>
      <c r="N403" s="11">
        <v>0</v>
      </c>
    </row>
    <row r="404" spans="1:14" ht="15.75" x14ac:dyDescent="0.25">
      <c r="A404" s="49" t="s">
        <v>628</v>
      </c>
      <c r="B404" s="72" t="s">
        <v>8</v>
      </c>
      <c r="C404" s="11">
        <v>693579</v>
      </c>
      <c r="D404" s="11">
        <v>-657876</v>
      </c>
      <c r="E404" s="11">
        <v>0</v>
      </c>
      <c r="F404" s="11">
        <v>0</v>
      </c>
      <c r="G404" s="11">
        <v>0</v>
      </c>
      <c r="H404" s="11">
        <v>35703</v>
      </c>
      <c r="I404" s="11">
        <v>-35703</v>
      </c>
      <c r="J404" s="11">
        <v>0</v>
      </c>
      <c r="K404" s="11">
        <v>616705</v>
      </c>
      <c r="L404" s="11">
        <v>-616705</v>
      </c>
      <c r="M404" s="11">
        <v>0</v>
      </c>
      <c r="N404" s="11">
        <v>0</v>
      </c>
    </row>
    <row r="405" spans="1:14" ht="15.75" x14ac:dyDescent="0.25">
      <c r="A405" s="49" t="s">
        <v>627</v>
      </c>
      <c r="B405" s="72" t="s">
        <v>8</v>
      </c>
      <c r="C405" s="11">
        <v>3916</v>
      </c>
      <c r="D405" s="11">
        <v>0</v>
      </c>
      <c r="E405" s="11">
        <v>0</v>
      </c>
      <c r="F405" s="11">
        <v>0</v>
      </c>
      <c r="G405" s="11">
        <v>0</v>
      </c>
      <c r="H405" s="11">
        <v>3916</v>
      </c>
      <c r="I405" s="11">
        <v>-3916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</row>
    <row r="406" spans="1:14" ht="15.75" x14ac:dyDescent="0.25">
      <c r="A406" s="49" t="s">
        <v>626</v>
      </c>
      <c r="B406" s="72" t="s">
        <v>8</v>
      </c>
      <c r="C406" s="11">
        <v>8461909</v>
      </c>
      <c r="D406" s="11">
        <v>-179011</v>
      </c>
      <c r="E406" s="11">
        <v>0</v>
      </c>
      <c r="F406" s="11">
        <v>0</v>
      </c>
      <c r="G406" s="11">
        <v>0</v>
      </c>
      <c r="H406" s="11">
        <v>8282898</v>
      </c>
      <c r="I406" s="11">
        <v>-8149048</v>
      </c>
      <c r="J406" s="11">
        <v>133850</v>
      </c>
      <c r="K406" s="11">
        <v>189019</v>
      </c>
      <c r="L406" s="11">
        <v>-165196</v>
      </c>
      <c r="M406" s="11">
        <v>23823</v>
      </c>
      <c r="N406" s="11">
        <v>110027</v>
      </c>
    </row>
    <row r="407" spans="1:14" ht="15.75" x14ac:dyDescent="0.25">
      <c r="A407" s="49" t="s">
        <v>625</v>
      </c>
      <c r="B407" s="72" t="s">
        <v>8</v>
      </c>
      <c r="C407" s="11">
        <v>675007</v>
      </c>
      <c r="D407" s="11">
        <v>-5404</v>
      </c>
      <c r="E407" s="11">
        <v>0</v>
      </c>
      <c r="F407" s="11">
        <v>0</v>
      </c>
      <c r="G407" s="11">
        <v>0</v>
      </c>
      <c r="H407" s="11">
        <v>669603</v>
      </c>
      <c r="I407" s="11">
        <v>-601210</v>
      </c>
      <c r="J407" s="11">
        <v>68393</v>
      </c>
      <c r="K407" s="11">
        <v>0</v>
      </c>
      <c r="L407" s="11">
        <v>0</v>
      </c>
      <c r="M407" s="11">
        <v>0</v>
      </c>
      <c r="N407" s="11">
        <v>68393</v>
      </c>
    </row>
    <row r="408" spans="1:14" ht="15.75" x14ac:dyDescent="0.25">
      <c r="A408" s="49" t="s">
        <v>624</v>
      </c>
      <c r="B408" s="72" t="s">
        <v>8</v>
      </c>
      <c r="C408" s="11">
        <v>3057</v>
      </c>
      <c r="D408" s="11">
        <v>-3057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</row>
    <row r="409" spans="1:14" ht="15.75" x14ac:dyDescent="0.25">
      <c r="A409" s="49" t="s">
        <v>623</v>
      </c>
      <c r="B409" s="72" t="s">
        <v>8</v>
      </c>
      <c r="C409" s="11">
        <v>354647536</v>
      </c>
      <c r="D409" s="11">
        <v>-277601989</v>
      </c>
      <c r="E409" s="11">
        <v>0</v>
      </c>
      <c r="F409" s="11">
        <v>-34386559</v>
      </c>
      <c r="G409" s="11">
        <v>0</v>
      </c>
      <c r="H409" s="11">
        <v>42658988</v>
      </c>
      <c r="I409" s="11">
        <v>-38902030</v>
      </c>
      <c r="J409" s="11">
        <v>3756958</v>
      </c>
      <c r="K409" s="11">
        <v>16286915</v>
      </c>
      <c r="L409" s="11">
        <v>-16283915</v>
      </c>
      <c r="M409" s="11">
        <v>3000</v>
      </c>
      <c r="N409" s="11">
        <v>3753958</v>
      </c>
    </row>
    <row r="410" spans="1:14" ht="15.75" x14ac:dyDescent="0.25">
      <c r="A410" s="49" t="s">
        <v>622</v>
      </c>
      <c r="B410" s="72" t="s">
        <v>8</v>
      </c>
      <c r="C410" s="11">
        <v>1097915</v>
      </c>
      <c r="D410" s="11">
        <v>-6185</v>
      </c>
      <c r="E410" s="11">
        <v>0</v>
      </c>
      <c r="F410" s="11">
        <v>0</v>
      </c>
      <c r="G410" s="11">
        <v>0</v>
      </c>
      <c r="H410" s="11">
        <v>1091730</v>
      </c>
      <c r="I410" s="11">
        <v>-1091730</v>
      </c>
      <c r="J410" s="11">
        <v>0</v>
      </c>
      <c r="K410" s="11">
        <v>50548</v>
      </c>
      <c r="L410" s="11">
        <v>-50548</v>
      </c>
      <c r="M410" s="11">
        <v>0</v>
      </c>
      <c r="N410" s="11">
        <v>0</v>
      </c>
    </row>
    <row r="411" spans="1:14" ht="15.75" x14ac:dyDescent="0.25">
      <c r="A411" s="49" t="s">
        <v>621</v>
      </c>
      <c r="B411" s="72" t="s">
        <v>8</v>
      </c>
      <c r="C411" s="11">
        <v>15181047</v>
      </c>
      <c r="D411" s="11">
        <v>-1780340</v>
      </c>
      <c r="E411" s="11">
        <v>0</v>
      </c>
      <c r="F411" s="11">
        <v>0</v>
      </c>
      <c r="G411" s="11">
        <v>0</v>
      </c>
      <c r="H411" s="11">
        <v>13400707</v>
      </c>
      <c r="I411" s="11">
        <v>-13103824</v>
      </c>
      <c r="J411" s="11">
        <v>296883</v>
      </c>
      <c r="K411" s="11">
        <v>192851</v>
      </c>
      <c r="L411" s="11">
        <v>-151782</v>
      </c>
      <c r="M411" s="11">
        <v>41069</v>
      </c>
      <c r="N411" s="11">
        <v>255814</v>
      </c>
    </row>
    <row r="412" spans="1:14" ht="15.75" x14ac:dyDescent="0.25">
      <c r="A412" s="49" t="s">
        <v>620</v>
      </c>
      <c r="B412" s="72" t="s">
        <v>8</v>
      </c>
      <c r="C412" s="11">
        <v>283811</v>
      </c>
      <c r="D412" s="11">
        <v>-21784</v>
      </c>
      <c r="E412" s="11">
        <v>0</v>
      </c>
      <c r="F412" s="11">
        <v>0</v>
      </c>
      <c r="G412" s="11">
        <v>0</v>
      </c>
      <c r="H412" s="11">
        <v>262027</v>
      </c>
      <c r="I412" s="11">
        <v>-262027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</row>
    <row r="413" spans="1:14" ht="15.75" x14ac:dyDescent="0.25">
      <c r="A413" s="49" t="s">
        <v>619</v>
      </c>
      <c r="B413" s="72" t="s">
        <v>8</v>
      </c>
      <c r="C413" s="11">
        <v>45726</v>
      </c>
      <c r="D413" s="11">
        <v>-4438</v>
      </c>
      <c r="E413" s="11">
        <v>0</v>
      </c>
      <c r="F413" s="11">
        <v>0</v>
      </c>
      <c r="G413" s="11">
        <v>0</v>
      </c>
      <c r="H413" s="11">
        <v>41288</v>
      </c>
      <c r="I413" s="11">
        <v>-41288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</row>
    <row r="414" spans="1:14" ht="15.75" x14ac:dyDescent="0.25">
      <c r="A414" s="49" t="s">
        <v>618</v>
      </c>
      <c r="B414" s="72" t="s">
        <v>8</v>
      </c>
      <c r="C414" s="11">
        <v>664012</v>
      </c>
      <c r="D414" s="11">
        <v>-7876</v>
      </c>
      <c r="E414" s="11">
        <v>0</v>
      </c>
      <c r="F414" s="11">
        <v>0</v>
      </c>
      <c r="G414" s="11">
        <v>0</v>
      </c>
      <c r="H414" s="11">
        <v>656136</v>
      </c>
      <c r="I414" s="11">
        <v>-656136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</row>
    <row r="415" spans="1:14" ht="15.75" x14ac:dyDescent="0.25">
      <c r="A415" s="49" t="s">
        <v>617</v>
      </c>
      <c r="B415" s="72" t="s">
        <v>8</v>
      </c>
      <c r="C415" s="11">
        <v>57487</v>
      </c>
      <c r="D415" s="11">
        <v>-1260</v>
      </c>
      <c r="E415" s="11">
        <v>0</v>
      </c>
      <c r="F415" s="11">
        <v>0</v>
      </c>
      <c r="G415" s="11">
        <v>0</v>
      </c>
      <c r="H415" s="11">
        <v>56227</v>
      </c>
      <c r="I415" s="11">
        <v>-56227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</row>
    <row r="416" spans="1:14" ht="15.75" x14ac:dyDescent="0.25">
      <c r="A416" s="49" t="s">
        <v>616</v>
      </c>
      <c r="B416" s="72" t="s">
        <v>8</v>
      </c>
      <c r="C416" s="11">
        <v>2097</v>
      </c>
      <c r="D416" s="11">
        <v>0</v>
      </c>
      <c r="E416" s="11">
        <v>0</v>
      </c>
      <c r="F416" s="11">
        <v>0</v>
      </c>
      <c r="G416" s="11">
        <v>0</v>
      </c>
      <c r="H416" s="11">
        <v>2097</v>
      </c>
      <c r="I416" s="11">
        <v>-2097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</row>
    <row r="417" spans="1:14" ht="15.75" x14ac:dyDescent="0.25">
      <c r="A417" s="49" t="s">
        <v>615</v>
      </c>
      <c r="B417" s="72" t="s">
        <v>8</v>
      </c>
      <c r="C417" s="11">
        <v>4380</v>
      </c>
      <c r="D417" s="11">
        <v>0</v>
      </c>
      <c r="E417" s="11">
        <v>0</v>
      </c>
      <c r="F417" s="11">
        <v>0</v>
      </c>
      <c r="G417" s="11">
        <v>0</v>
      </c>
      <c r="H417" s="11">
        <v>4380</v>
      </c>
      <c r="I417" s="11">
        <v>-4380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</row>
    <row r="418" spans="1:14" ht="15.75" x14ac:dyDescent="0.25">
      <c r="A418" s="49" t="s">
        <v>614</v>
      </c>
      <c r="B418" s="72" t="s">
        <v>8</v>
      </c>
      <c r="C418" s="11">
        <v>1170</v>
      </c>
      <c r="D418" s="11">
        <v>0</v>
      </c>
      <c r="E418" s="11">
        <v>0</v>
      </c>
      <c r="F418" s="11">
        <v>0</v>
      </c>
      <c r="G418" s="11">
        <v>0</v>
      </c>
      <c r="H418" s="11">
        <v>1170</v>
      </c>
      <c r="I418" s="11">
        <v>-1170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</row>
    <row r="419" spans="1:14" ht="15.75" x14ac:dyDescent="0.25">
      <c r="A419" s="49" t="s">
        <v>613</v>
      </c>
      <c r="B419" s="72" t="s">
        <v>8</v>
      </c>
      <c r="C419" s="11">
        <v>7950354</v>
      </c>
      <c r="D419" s="11">
        <v>-575213</v>
      </c>
      <c r="E419" s="11">
        <v>0</v>
      </c>
      <c r="F419" s="11">
        <v>0</v>
      </c>
      <c r="G419" s="11">
        <v>0</v>
      </c>
      <c r="H419" s="11">
        <v>7375141</v>
      </c>
      <c r="I419" s="11">
        <v>-7333755</v>
      </c>
      <c r="J419" s="11">
        <v>41386</v>
      </c>
      <c r="K419" s="11">
        <v>0</v>
      </c>
      <c r="L419" s="11">
        <v>0</v>
      </c>
      <c r="M419" s="11">
        <v>0</v>
      </c>
      <c r="N419" s="11">
        <v>41386</v>
      </c>
    </row>
    <row r="420" spans="1:14" ht="15.75" x14ac:dyDescent="0.25">
      <c r="A420" s="52" t="s">
        <v>612</v>
      </c>
      <c r="B420" s="53" t="s">
        <v>8</v>
      </c>
      <c r="C420" s="19">
        <f>SUBTOTAL(109,College[(C)
Program
Costs])</f>
        <v>946412868</v>
      </c>
      <c r="D420" s="19">
        <f>SUBTOTAL(109,College[(D)
Prior Period Adjustments])</f>
        <v>-557096803</v>
      </c>
      <c r="E420" s="19">
        <f>SUBTOTAL(109,College[(E)
Current Period Desk 
Reviews])</f>
        <v>0</v>
      </c>
      <c r="F420" s="19">
        <f>SUBTOTAL(109,College[(F)
Current Period 
Final 
Audits])</f>
        <v>-34386559</v>
      </c>
      <c r="G420" s="19">
        <f>SUBTOTAL(109,College[(G)
Current Period 
Other Adjustments])</f>
        <v>0</v>
      </c>
      <c r="H420" s="19">
        <f>SUBTOTAL(109,College[(H)
Net Program Costs
Sum (C through G)])</f>
        <v>354929506</v>
      </c>
      <c r="I420" s="19">
        <f>SUBTOTAL(109,College[(I)
Payments
 and Offsets])</f>
        <v>-344238444</v>
      </c>
      <c r="J420" s="19">
        <f>SUBTOTAL(109,College[(J)
Accounts Payable Balance
(H + I)])</f>
        <v>10691062</v>
      </c>
      <c r="K420" s="19">
        <f>SUBTOTAL(109,College[(K)
Established 
Accounts Receivable])</f>
        <v>50624934</v>
      </c>
      <c r="L420" s="19">
        <f>SUBTOTAL(109,College[(L)
Recovered
 Accounts Receivable])</f>
        <v>-37833516</v>
      </c>
      <c r="M420" s="19">
        <f>SUBTOTAL(109,College[(M)
Accounts Receivable Balance
(K + L)])</f>
        <v>12791418</v>
      </c>
      <c r="N420" s="19">
        <f>SUBTOTAL(109,College[(N)
Net Balance
(J minus M)])</f>
        <v>-2100356</v>
      </c>
    </row>
    <row r="421" spans="1:14" ht="15.75" x14ac:dyDescent="0.25">
      <c r="A421" s="17" t="s">
        <v>13</v>
      </c>
      <c r="B421" s="54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</row>
    <row r="422" spans="1:14" ht="78.75" x14ac:dyDescent="0.25">
      <c r="A422" s="39" t="s">
        <v>32</v>
      </c>
      <c r="B422" s="40" t="s">
        <v>33</v>
      </c>
      <c r="C422" s="41" t="s">
        <v>34</v>
      </c>
      <c r="D422" s="41" t="s">
        <v>35</v>
      </c>
      <c r="E422" s="42" t="s">
        <v>36</v>
      </c>
      <c r="F422" s="42" t="s">
        <v>37</v>
      </c>
      <c r="G422" s="42" t="s">
        <v>38</v>
      </c>
      <c r="H422" s="43" t="s">
        <v>39</v>
      </c>
      <c r="I422" s="44" t="s">
        <v>40</v>
      </c>
      <c r="J422" s="44" t="s">
        <v>41</v>
      </c>
      <c r="K422" s="42" t="s">
        <v>42</v>
      </c>
      <c r="L422" s="44" t="s">
        <v>43</v>
      </c>
      <c r="M422" s="44" t="s">
        <v>44</v>
      </c>
      <c r="N422" s="45" t="s">
        <v>45</v>
      </c>
    </row>
    <row r="423" spans="1:14" ht="15.75" x14ac:dyDescent="0.25">
      <c r="A423" s="69" t="s">
        <v>611</v>
      </c>
      <c r="B423" s="70" t="s">
        <v>8</v>
      </c>
      <c r="C423" s="71">
        <v>4991239900.8800001</v>
      </c>
      <c r="D423" s="71">
        <v>-798800718</v>
      </c>
      <c r="E423" s="71">
        <v>-109946</v>
      </c>
      <c r="F423" s="71">
        <v>-5521366</v>
      </c>
      <c r="G423" s="71">
        <v>-133318</v>
      </c>
      <c r="H423" s="71">
        <v>4186674552.8800006</v>
      </c>
      <c r="I423" s="71">
        <v>-3417329260.2100005</v>
      </c>
      <c r="J423" s="71">
        <v>769345292.67000008</v>
      </c>
      <c r="K423" s="71">
        <v>302509990.28000003</v>
      </c>
      <c r="L423" s="71">
        <v>-300259126.28000003</v>
      </c>
      <c r="M423" s="71">
        <v>2250864</v>
      </c>
      <c r="N423" s="71">
        <v>767094428.67000008</v>
      </c>
    </row>
    <row r="424" spans="1:14" ht="15.75" x14ac:dyDescent="0.25">
      <c r="A424" s="49" t="s">
        <v>610</v>
      </c>
      <c r="B424" s="72" t="s">
        <v>8</v>
      </c>
      <c r="C424" s="11">
        <v>9235610308.5599995</v>
      </c>
      <c r="D424" s="11">
        <v>-1258731108.6700001</v>
      </c>
      <c r="E424" s="11">
        <v>-15201</v>
      </c>
      <c r="F424" s="11">
        <v>-26423533</v>
      </c>
      <c r="G424" s="11">
        <v>-2789</v>
      </c>
      <c r="H424" s="11">
        <v>7950437676.8900003</v>
      </c>
      <c r="I424" s="11">
        <v>-7023231535.8900003</v>
      </c>
      <c r="J424" s="11">
        <v>927206141</v>
      </c>
      <c r="K424" s="11">
        <v>321844305</v>
      </c>
      <c r="L424" s="11">
        <v>-270139105</v>
      </c>
      <c r="M424" s="11">
        <v>51705200</v>
      </c>
      <c r="N424" s="11">
        <v>875500941</v>
      </c>
    </row>
    <row r="425" spans="1:14" ht="15.75" x14ac:dyDescent="0.25">
      <c r="A425" s="49" t="s">
        <v>609</v>
      </c>
      <c r="B425" s="72" t="s">
        <v>8</v>
      </c>
      <c r="C425" s="11">
        <v>946412868</v>
      </c>
      <c r="D425" s="11">
        <v>-557096803</v>
      </c>
      <c r="E425" s="11">
        <v>0</v>
      </c>
      <c r="F425" s="11">
        <v>-34386559</v>
      </c>
      <c r="G425" s="11">
        <v>0</v>
      </c>
      <c r="H425" s="11">
        <v>354929506</v>
      </c>
      <c r="I425" s="11">
        <v>-344238444</v>
      </c>
      <c r="J425" s="11">
        <v>10691062</v>
      </c>
      <c r="K425" s="11">
        <v>50624934</v>
      </c>
      <c r="L425" s="11">
        <v>-37833516</v>
      </c>
      <c r="M425" s="11">
        <v>12791418</v>
      </c>
      <c r="N425" s="11">
        <v>-2100356</v>
      </c>
    </row>
    <row r="426" spans="1:14" ht="15.75" x14ac:dyDescent="0.25">
      <c r="A426" s="52" t="s">
        <v>6</v>
      </c>
      <c r="B426" s="53" t="s">
        <v>8</v>
      </c>
      <c r="C426" s="19">
        <f>SUBTOTAL(109,GrandTotal[(C)
Program
Costs])</f>
        <v>15173263077.439999</v>
      </c>
      <c r="D426" s="19">
        <f>SUBTOTAL(109,GrandTotal[(D)
Prior Period Adjustments])</f>
        <v>-2614628629.6700001</v>
      </c>
      <c r="E426" s="19">
        <f>SUBTOTAL(109,GrandTotal[(E)
Current Period Desk 
Reviews])</f>
        <v>-125147</v>
      </c>
      <c r="F426" s="19">
        <f>SUBTOTAL(109,GrandTotal[(F)
Current Period 
Final 
Audits])</f>
        <v>-66331458</v>
      </c>
      <c r="G426" s="19">
        <f>SUBTOTAL(109,GrandTotal[(G)
Current Period 
Other Adjustments])</f>
        <v>-136107</v>
      </c>
      <c r="H426" s="19">
        <f>SUBTOTAL(109,GrandTotal[(H)
Net Program Costs
Sum (C through G)])</f>
        <v>12492041735.77</v>
      </c>
      <c r="I426" s="19">
        <f>SUBTOTAL(109,GrandTotal[(I)
Payments
 and Offsets])</f>
        <v>-10784799240.1</v>
      </c>
      <c r="J426" s="19">
        <f>SUBTOTAL(109,GrandTotal[(J)
Accounts Payable Balance
(H + I)])</f>
        <v>1707242495.6700001</v>
      </c>
      <c r="K426" s="19">
        <f>SUBTOTAL(109,GrandTotal[(K)
Established 
Accounts Receivable])</f>
        <v>674979229.27999997</v>
      </c>
      <c r="L426" s="19">
        <f>SUBTOTAL(109,GrandTotal[(L)
Recovered
 Accounts Receivable])</f>
        <v>-608231747.27999997</v>
      </c>
      <c r="M426" s="19">
        <f>SUBTOTAL(109,GrandTotal[(M)
Accounts Receivable Balance
(K + L)])</f>
        <v>66747482</v>
      </c>
      <c r="N426" s="19">
        <f>SUBTOTAL(109,GrandTotal[(N)
Net Balance
(J minus M)])</f>
        <v>1640495013.6700001</v>
      </c>
    </row>
    <row r="427" spans="1:14" x14ac:dyDescent="0.25">
      <c r="A427" s="32" t="s">
        <v>608</v>
      </c>
      <c r="C427" s="86"/>
    </row>
  </sheetData>
  <printOptions horizontalCentered="1"/>
  <pageMargins left="0.45" right="0.45" top="0.25" bottom="0.75" header="0.4" footer="0.3"/>
  <pageSetup scale="45" firstPageNumber="76" orientation="landscape" useFirstPageNumber="1" r:id="rId1"/>
  <headerFooter>
    <oddFooter>&amp;LCommunity College Districts&amp;R&amp;P of &amp;P</oddFooter>
  </headerFooter>
  <tableParts count="37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Cover Page</vt:lpstr>
      <vt:lpstr>Table of Contents</vt:lpstr>
      <vt:lpstr>Summary </vt:lpstr>
      <vt:lpstr>Local Agencies</vt:lpstr>
      <vt:lpstr>School Districts</vt:lpstr>
      <vt:lpstr>Community College Districts</vt:lpstr>
      <vt:lpstr>'Community College Districts'!Print_Area</vt:lpstr>
      <vt:lpstr>'Local Agencies'!Print_Area</vt:lpstr>
      <vt:lpstr>'School Districts'!Print_Area</vt:lpstr>
      <vt:lpstr>'Summary '!Print_Area</vt:lpstr>
      <vt:lpstr>'Community College Districts'!Print_Titles</vt:lpstr>
      <vt:lpstr>'Local Agencies'!Print_Titles</vt:lpstr>
      <vt:lpstr>'School Districts'!Print_Titles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Luc, Everett</dc:creator>
  <cp:lastModifiedBy>Bui, Tin</cp:lastModifiedBy>
  <cp:lastPrinted>2021-06-22T21:09:42Z</cp:lastPrinted>
  <dcterms:created xsi:type="dcterms:W3CDTF">2021-06-18T20:37:00Z</dcterms:created>
  <dcterms:modified xsi:type="dcterms:W3CDTF">2021-06-29T15:11:42Z</dcterms:modified>
</cp:coreProperties>
</file>