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omments1.xml" ContentType="application/vnd.openxmlformats-officedocument.spreadsheetml.comments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comments2.xml" ContentType="application/vnd.openxmlformats-officedocument.spreadsheetml.comments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comments3.xml" ContentType="application/vnd.openxmlformats-officedocument.spreadsheetml.comments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comments4.xml" ContentType="application/vnd.openxmlformats-officedocument.spreadsheetml.comments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comments5.xml" ContentType="application/vnd.openxmlformats-officedocument.spreadsheetml.comments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comments6.xml" ContentType="application/vnd.openxmlformats-officedocument.spreadsheetml.comments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\\AD.SCONET.CA.GOV\Data\LGPSD\Group\Local Reimb\Reporting\Mandated Reports\Annual Reports\Deficiency Report (Apr)\Deficiency 2021\Working\Linda\ADA Compliance\"/>
    </mc:Choice>
  </mc:AlternateContent>
  <bookViews>
    <workbookView xWindow="0" yWindow="0" windowWidth="20490" windowHeight="6795" activeTab="2"/>
  </bookViews>
  <sheets>
    <sheet name="Cover Page" sheetId="11" r:id="rId1"/>
    <sheet name="Table of Contents" sheetId="12" r:id="rId2"/>
    <sheet name="Schedule A-Summary" sheetId="16" r:id="rId3"/>
    <sheet name="Schedule A1-Local Agencies" sheetId="18" r:id="rId4"/>
    <sheet name="Schedule A1-Schools" sheetId="20" r:id="rId5"/>
    <sheet name="Schedule B Summary" sheetId="21" r:id="rId6"/>
    <sheet name="Schedule B1-Local Agencies" sheetId="22" r:id="rId7"/>
    <sheet name="Schedule B1-Schools" sheetId="23" r:id="rId8"/>
    <sheet name="Schedule B1-Colleges" sheetId="24" r:id="rId9"/>
    <sheet name="Schedule B2-Local Agencies" sheetId="25" r:id="rId10"/>
    <sheet name="Schedule B2-Schools" sheetId="26" r:id="rId11"/>
  </sheets>
  <externalReferences>
    <externalReference r:id="rId12"/>
  </externalReferences>
  <definedNames>
    <definedName name="_xlnm._FilterDatabase" localSheetId="8" hidden="1">'Schedule B1-Colleges'!$A$2:$L$118</definedName>
    <definedName name="_xlnm._FilterDatabase" localSheetId="7" hidden="1">'Schedule B1-Schools'!$A$656:$L$933</definedName>
    <definedName name="_xlnm._FilterDatabase" localSheetId="9" hidden="1">'Schedule B2-Local Agencies'!$A$2:$K$2</definedName>
    <definedName name="a" localSheetId="8">'[1]Analysis (2)'!#REF!</definedName>
    <definedName name="a" localSheetId="7">'[1]Analysis (2)'!#REF!</definedName>
    <definedName name="a" localSheetId="9">'[1]Analysis (2)'!#REF!</definedName>
    <definedName name="a" localSheetId="10">'[1]Analysis (2)'!#REF!</definedName>
    <definedName name="a" localSheetId="1">'[1]Analysis (2)'!#REF!</definedName>
    <definedName name="a">'[1]Analysis (2)'!#REF!</definedName>
    <definedName name="NO">'[1]Analysis (2)'!#REF!</definedName>
    <definedName name="_xlnm.Print_Area" localSheetId="3">'Schedule A1-Local Agencies'!$A$2:$I$80</definedName>
    <definedName name="_xlnm.Print_Area" localSheetId="4">'Schedule A1-Schools'!$A$2:$I$41</definedName>
    <definedName name="_xlnm.Print_Area" localSheetId="2">'Schedule A-Summary'!$A$2:$M$42</definedName>
    <definedName name="_xlnm.Print_Area" localSheetId="5">'Schedule B Summary'!$A$2:$P$46</definedName>
    <definedName name="_xlnm.Print_Area" localSheetId="8">'Schedule B1-Colleges'!$A$2:$L$146</definedName>
    <definedName name="_xlnm.Print_Area" localSheetId="6">'Schedule B1-Local Agencies'!$A$2:$L$307</definedName>
    <definedName name="_xlnm.Print_Area" localSheetId="7">'Schedule B1-Schools'!$A$2:$L$933</definedName>
    <definedName name="_xlnm.Print_Area" localSheetId="9">'Schedule B2-Local Agencies'!$A$2:$K$232</definedName>
    <definedName name="_xlnm.Print_Area" localSheetId="10">'Schedule B2-Schools'!$A$2:$K$15</definedName>
    <definedName name="_xlnm.Print_Titles" localSheetId="5">'Schedule B Summary'!$2:$2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" i="26" l="1"/>
  <c r="I15" i="26"/>
  <c r="H15" i="26"/>
  <c r="G15" i="26"/>
  <c r="F15" i="26"/>
  <c r="E15" i="26"/>
  <c r="K13" i="26"/>
  <c r="J13" i="26"/>
  <c r="I13" i="26"/>
  <c r="H13" i="26"/>
  <c r="G13" i="26"/>
  <c r="F13" i="26"/>
  <c r="E13" i="26"/>
  <c r="H9" i="26" l="1"/>
  <c r="H10" i="26" s="1"/>
  <c r="H14" i="26" s="1"/>
  <c r="J6" i="26"/>
  <c r="J9" i="26" s="1"/>
  <c r="J10" i="26" s="1"/>
  <c r="J14" i="26" s="1"/>
  <c r="I6" i="26"/>
  <c r="I9" i="26" s="1"/>
  <c r="I10" i="26" s="1"/>
  <c r="I14" i="26" s="1"/>
  <c r="H6" i="26"/>
  <c r="G6" i="26"/>
  <c r="G9" i="26" s="1"/>
  <c r="G10" i="26" s="1"/>
  <c r="G14" i="26" s="1"/>
  <c r="F6" i="26"/>
  <c r="F9" i="26" s="1"/>
  <c r="F10" i="26" s="1"/>
  <c r="F14" i="26" s="1"/>
  <c r="E6" i="26"/>
  <c r="E9" i="26" s="1"/>
  <c r="E10" i="26" s="1"/>
  <c r="E14" i="26" s="1"/>
  <c r="K6" i="26"/>
  <c r="K9" i="26" s="1"/>
  <c r="K10" i="26" s="1"/>
  <c r="K14" i="26" s="1"/>
  <c r="K15" i="26" s="1"/>
  <c r="E157" i="25"/>
  <c r="E227" i="25" s="1"/>
  <c r="J213" i="25"/>
  <c r="J231" i="25" s="1"/>
  <c r="I213" i="25"/>
  <c r="I231" i="25" s="1"/>
  <c r="H213" i="25"/>
  <c r="H231" i="25" s="1"/>
  <c r="G213" i="25"/>
  <c r="G231" i="25" s="1"/>
  <c r="F213" i="25"/>
  <c r="F231" i="25" s="1"/>
  <c r="E213" i="25"/>
  <c r="E231" i="25" s="1"/>
  <c r="K213" i="25"/>
  <c r="K231" i="25" s="1"/>
  <c r="J199" i="25"/>
  <c r="J230" i="25" s="1"/>
  <c r="I199" i="25"/>
  <c r="I230" i="25" s="1"/>
  <c r="H199" i="25"/>
  <c r="H230" i="25" s="1"/>
  <c r="G199" i="25"/>
  <c r="G230" i="25" s="1"/>
  <c r="F199" i="25"/>
  <c r="F230" i="25" s="1"/>
  <c r="E199" i="25"/>
  <c r="E230" i="25" s="1"/>
  <c r="K199" i="25"/>
  <c r="K230" i="25" s="1"/>
  <c r="J185" i="25"/>
  <c r="I185" i="25"/>
  <c r="I229" i="25" s="1"/>
  <c r="H185" i="25"/>
  <c r="H229" i="25" s="1"/>
  <c r="G185" i="25"/>
  <c r="G229" i="25" s="1"/>
  <c r="F185" i="25"/>
  <c r="F229" i="25" s="1"/>
  <c r="E185" i="25"/>
  <c r="E229" i="25" s="1"/>
  <c r="K185" i="25"/>
  <c r="K229" i="25" s="1"/>
  <c r="J164" i="25"/>
  <c r="J228" i="25" s="1"/>
  <c r="I164" i="25"/>
  <c r="I228" i="25" s="1"/>
  <c r="H164" i="25"/>
  <c r="H228" i="25" s="1"/>
  <c r="G164" i="25"/>
  <c r="G228" i="25" s="1"/>
  <c r="F164" i="25"/>
  <c r="F228" i="25" s="1"/>
  <c r="E164" i="25"/>
  <c r="E228" i="25" s="1"/>
  <c r="K164" i="25"/>
  <c r="K228" i="25" s="1"/>
  <c r="J157" i="25"/>
  <c r="J227" i="25" s="1"/>
  <c r="I157" i="25"/>
  <c r="I227" i="25" s="1"/>
  <c r="H157" i="25"/>
  <c r="H227" i="25" s="1"/>
  <c r="G157" i="25"/>
  <c r="G227" i="25" s="1"/>
  <c r="F157" i="25"/>
  <c r="F227" i="25" s="1"/>
  <c r="K157" i="25"/>
  <c r="K227" i="25" s="1"/>
  <c r="J143" i="25"/>
  <c r="J226" i="25" s="1"/>
  <c r="I143" i="25"/>
  <c r="I226" i="25" s="1"/>
  <c r="H143" i="25"/>
  <c r="H226" i="25" s="1"/>
  <c r="G143" i="25"/>
  <c r="G226" i="25" s="1"/>
  <c r="F143" i="25"/>
  <c r="F226" i="25" s="1"/>
  <c r="E143" i="25"/>
  <c r="E226" i="25" s="1"/>
  <c r="K143" i="25"/>
  <c r="K226" i="25" s="1"/>
  <c r="J133" i="25"/>
  <c r="J225" i="25" s="1"/>
  <c r="I133" i="25"/>
  <c r="I225" i="25" s="1"/>
  <c r="H133" i="25"/>
  <c r="H225" i="25" s="1"/>
  <c r="G133" i="25"/>
  <c r="G225" i="25" s="1"/>
  <c r="F133" i="25"/>
  <c r="F225" i="25" s="1"/>
  <c r="E133" i="25"/>
  <c r="E225" i="25" s="1"/>
  <c r="K133" i="25"/>
  <c r="K225" i="25" s="1"/>
  <c r="J120" i="25"/>
  <c r="J224" i="25" s="1"/>
  <c r="I120" i="25"/>
  <c r="I224" i="25" s="1"/>
  <c r="H120" i="25"/>
  <c r="H224" i="25" s="1"/>
  <c r="G120" i="25"/>
  <c r="G224" i="25" s="1"/>
  <c r="F120" i="25"/>
  <c r="F224" i="25" s="1"/>
  <c r="E120" i="25"/>
  <c r="E224" i="25" s="1"/>
  <c r="K120" i="25"/>
  <c r="K224" i="25" s="1"/>
  <c r="J98" i="25"/>
  <c r="J223" i="25" s="1"/>
  <c r="I98" i="25"/>
  <c r="I223" i="25" s="1"/>
  <c r="H98" i="25"/>
  <c r="H223" i="25" s="1"/>
  <c r="G98" i="25"/>
  <c r="G223" i="25" s="1"/>
  <c r="F98" i="25"/>
  <c r="F223" i="25" s="1"/>
  <c r="E98" i="25"/>
  <c r="E223" i="25" s="1"/>
  <c r="K98" i="25"/>
  <c r="K223" i="25" s="1"/>
  <c r="J93" i="25"/>
  <c r="J222" i="25" s="1"/>
  <c r="I93" i="25"/>
  <c r="I222" i="25" s="1"/>
  <c r="H93" i="25"/>
  <c r="H222" i="25" s="1"/>
  <c r="G93" i="25"/>
  <c r="G222" i="25" s="1"/>
  <c r="F93" i="25"/>
  <c r="F222" i="25" s="1"/>
  <c r="E93" i="25"/>
  <c r="E222" i="25" s="1"/>
  <c r="K93" i="25"/>
  <c r="K222" i="25" s="1"/>
  <c r="J74" i="25"/>
  <c r="J221" i="25" s="1"/>
  <c r="I74" i="25"/>
  <c r="I221" i="25" s="1"/>
  <c r="H74" i="25"/>
  <c r="H221" i="25" s="1"/>
  <c r="G74" i="25"/>
  <c r="G221" i="25" s="1"/>
  <c r="F74" i="25"/>
  <c r="F221" i="25" s="1"/>
  <c r="E74" i="25"/>
  <c r="E221" i="25" s="1"/>
  <c r="K74" i="25"/>
  <c r="K221" i="25" s="1"/>
  <c r="J60" i="25"/>
  <c r="J220" i="25" s="1"/>
  <c r="I60" i="25"/>
  <c r="I220" i="25" s="1"/>
  <c r="H60" i="25"/>
  <c r="H220" i="25" s="1"/>
  <c r="G60" i="25"/>
  <c r="G220" i="25" s="1"/>
  <c r="F60" i="25"/>
  <c r="F220" i="25" s="1"/>
  <c r="E60" i="25"/>
  <c r="E220" i="25" s="1"/>
  <c r="J47" i="25"/>
  <c r="J219" i="25" s="1"/>
  <c r="I47" i="25"/>
  <c r="I219" i="25" s="1"/>
  <c r="H47" i="25"/>
  <c r="H219" i="25" s="1"/>
  <c r="G47" i="25"/>
  <c r="G219" i="25" s="1"/>
  <c r="F47" i="25"/>
  <c r="F219" i="25" s="1"/>
  <c r="E47" i="25"/>
  <c r="E219" i="25" s="1"/>
  <c r="K60" i="25"/>
  <c r="K220" i="25" s="1"/>
  <c r="K47" i="25"/>
  <c r="K219" i="25" s="1"/>
  <c r="J32" i="25"/>
  <c r="J218" i="25" s="1"/>
  <c r="I32" i="25"/>
  <c r="I218" i="25" s="1"/>
  <c r="H32" i="25"/>
  <c r="H218" i="25" s="1"/>
  <c r="G32" i="25"/>
  <c r="G218" i="25" s="1"/>
  <c r="F32" i="25"/>
  <c r="F218" i="25" s="1"/>
  <c r="E32" i="25"/>
  <c r="E218" i="25" s="1"/>
  <c r="K32" i="25"/>
  <c r="K218" i="25" s="1"/>
  <c r="J19" i="25"/>
  <c r="J217" i="25" s="1"/>
  <c r="I19" i="25"/>
  <c r="I217" i="25" s="1"/>
  <c r="H19" i="25"/>
  <c r="H217" i="25" s="1"/>
  <c r="G19" i="25"/>
  <c r="G217" i="25" s="1"/>
  <c r="G232" i="25" s="1"/>
  <c r="F19" i="25"/>
  <c r="F217" i="25" s="1"/>
  <c r="E19" i="25"/>
  <c r="E217" i="25" s="1"/>
  <c r="K19" i="25"/>
  <c r="K217" i="25" s="1"/>
  <c r="J5" i="25"/>
  <c r="J216" i="25" s="1"/>
  <c r="I5" i="25"/>
  <c r="I216" i="25" s="1"/>
  <c r="H5" i="25"/>
  <c r="H216" i="25" s="1"/>
  <c r="G5" i="25"/>
  <c r="G216" i="25" s="1"/>
  <c r="F5" i="25"/>
  <c r="F216" i="25" s="1"/>
  <c r="E5" i="25"/>
  <c r="E216" i="25" s="1"/>
  <c r="K5" i="25"/>
  <c r="K216" i="25" s="1"/>
  <c r="H232" i="25" l="1"/>
  <c r="I232" i="25"/>
  <c r="F232" i="25"/>
  <c r="K232" i="25"/>
  <c r="E232" i="25"/>
  <c r="J229" i="25"/>
  <c r="J232" i="25" s="1"/>
  <c r="L141" i="24"/>
  <c r="K141" i="24"/>
  <c r="J141" i="24"/>
  <c r="I141" i="24"/>
  <c r="H141" i="24"/>
  <c r="F141" i="24"/>
  <c r="E141" i="24"/>
  <c r="K119" i="24"/>
  <c r="K137" i="24" s="1"/>
  <c r="J119" i="24"/>
  <c r="J137" i="24" s="1"/>
  <c r="I119" i="24"/>
  <c r="I137" i="24" s="1"/>
  <c r="H119" i="24"/>
  <c r="H137" i="24" s="1"/>
  <c r="F119" i="24"/>
  <c r="F137" i="24" s="1"/>
  <c r="E119" i="24"/>
  <c r="E137" i="24" s="1"/>
  <c r="L119" i="24"/>
  <c r="L137" i="24" s="1"/>
  <c r="K115" i="24"/>
  <c r="K136" i="24" s="1"/>
  <c r="J115" i="24"/>
  <c r="J136" i="24" s="1"/>
  <c r="I115" i="24"/>
  <c r="I136" i="24" s="1"/>
  <c r="H115" i="24"/>
  <c r="H136" i="24" s="1"/>
  <c r="F115" i="24"/>
  <c r="F136" i="24" s="1"/>
  <c r="E115" i="24"/>
  <c r="E136" i="24" s="1"/>
  <c r="L115" i="24"/>
  <c r="L136" i="24" s="1"/>
  <c r="K111" i="24"/>
  <c r="K135" i="24" s="1"/>
  <c r="J111" i="24"/>
  <c r="J135" i="24" s="1"/>
  <c r="I111" i="24"/>
  <c r="I135" i="24" s="1"/>
  <c r="H111" i="24"/>
  <c r="H135" i="24" s="1"/>
  <c r="F111" i="24"/>
  <c r="F135" i="24" s="1"/>
  <c r="E111" i="24"/>
  <c r="E135" i="24" s="1"/>
  <c r="L111" i="24"/>
  <c r="L135" i="24" s="1"/>
  <c r="K107" i="24"/>
  <c r="K134" i="24" s="1"/>
  <c r="J107" i="24"/>
  <c r="J134" i="24" s="1"/>
  <c r="I107" i="24"/>
  <c r="I134" i="24" s="1"/>
  <c r="H107" i="24"/>
  <c r="H134" i="24" s="1"/>
  <c r="F107" i="24"/>
  <c r="F134" i="24" s="1"/>
  <c r="E107" i="24"/>
  <c r="E134" i="24" s="1"/>
  <c r="L107" i="24"/>
  <c r="L134" i="24" s="1"/>
  <c r="K101" i="24"/>
  <c r="K133" i="24" s="1"/>
  <c r="J101" i="24"/>
  <c r="J133" i="24" s="1"/>
  <c r="I101" i="24"/>
  <c r="I133" i="24" s="1"/>
  <c r="H101" i="24"/>
  <c r="H133" i="24" s="1"/>
  <c r="F101" i="24"/>
  <c r="F133" i="24" s="1"/>
  <c r="E101" i="24"/>
  <c r="E133" i="24" s="1"/>
  <c r="L101" i="24"/>
  <c r="L133" i="24" s="1"/>
  <c r="K95" i="24"/>
  <c r="K132" i="24" s="1"/>
  <c r="J95" i="24"/>
  <c r="J132" i="24" s="1"/>
  <c r="I95" i="24"/>
  <c r="I132" i="24" s="1"/>
  <c r="H95" i="24"/>
  <c r="H132" i="24" s="1"/>
  <c r="F95" i="24"/>
  <c r="F132" i="24" s="1"/>
  <c r="E95" i="24"/>
  <c r="E132" i="24" s="1"/>
  <c r="L95" i="24"/>
  <c r="L132" i="24" s="1"/>
  <c r="K91" i="24"/>
  <c r="K131" i="24" s="1"/>
  <c r="J91" i="24"/>
  <c r="J131" i="24" s="1"/>
  <c r="I91" i="24"/>
  <c r="I131" i="24" s="1"/>
  <c r="H91" i="24"/>
  <c r="H131" i="24" s="1"/>
  <c r="F91" i="24"/>
  <c r="F131" i="24" s="1"/>
  <c r="E91" i="24"/>
  <c r="E131" i="24" s="1"/>
  <c r="L91" i="24"/>
  <c r="L131" i="24" s="1"/>
  <c r="K85" i="24"/>
  <c r="K130" i="24" s="1"/>
  <c r="J85" i="24"/>
  <c r="J130" i="24" s="1"/>
  <c r="I85" i="24"/>
  <c r="I130" i="24" s="1"/>
  <c r="H85" i="24"/>
  <c r="H130" i="24" s="1"/>
  <c r="F85" i="24"/>
  <c r="F130" i="24" s="1"/>
  <c r="E85" i="24"/>
  <c r="E130" i="24" s="1"/>
  <c r="L85" i="24"/>
  <c r="L130" i="24" s="1"/>
  <c r="K74" i="24"/>
  <c r="K129" i="24" s="1"/>
  <c r="J74" i="24"/>
  <c r="J129" i="24" s="1"/>
  <c r="I74" i="24"/>
  <c r="I129" i="24" s="1"/>
  <c r="H74" i="24"/>
  <c r="H129" i="24" s="1"/>
  <c r="F74" i="24"/>
  <c r="F129" i="24" s="1"/>
  <c r="E74" i="24"/>
  <c r="E129" i="24" s="1"/>
  <c r="L74" i="24"/>
  <c r="L129" i="24" s="1"/>
  <c r="J61" i="24"/>
  <c r="J128" i="24" s="1"/>
  <c r="K61" i="24"/>
  <c r="K128" i="24" s="1"/>
  <c r="I61" i="24"/>
  <c r="I128" i="24" s="1"/>
  <c r="H61" i="24"/>
  <c r="H128" i="24" s="1"/>
  <c r="F61" i="24"/>
  <c r="F128" i="24" s="1"/>
  <c r="E61" i="24"/>
  <c r="E128" i="24" s="1"/>
  <c r="L61" i="24"/>
  <c r="L128" i="24" s="1"/>
  <c r="K50" i="24"/>
  <c r="K127" i="24" s="1"/>
  <c r="J50" i="24"/>
  <c r="J127" i="24" s="1"/>
  <c r="I50" i="24"/>
  <c r="I127" i="24" s="1"/>
  <c r="H50" i="24"/>
  <c r="H127" i="24" s="1"/>
  <c r="F50" i="24"/>
  <c r="F127" i="24" s="1"/>
  <c r="E50" i="24"/>
  <c r="E127" i="24" s="1"/>
  <c r="L50" i="24"/>
  <c r="L127" i="24" s="1"/>
  <c r="K40" i="24"/>
  <c r="K126" i="24" s="1"/>
  <c r="J40" i="24"/>
  <c r="J126" i="24" s="1"/>
  <c r="I40" i="24"/>
  <c r="I126" i="24" s="1"/>
  <c r="H40" i="24"/>
  <c r="H126" i="24" s="1"/>
  <c r="F40" i="24"/>
  <c r="F126" i="24" s="1"/>
  <c r="E40" i="24"/>
  <c r="E126" i="24" s="1"/>
  <c r="L40" i="24"/>
  <c r="L126" i="24" s="1"/>
  <c r="K31" i="24"/>
  <c r="K125" i="24" s="1"/>
  <c r="J31" i="24"/>
  <c r="J125" i="24" s="1"/>
  <c r="I31" i="24"/>
  <c r="I125" i="24" s="1"/>
  <c r="H31" i="24"/>
  <c r="H125" i="24" s="1"/>
  <c r="F31" i="24"/>
  <c r="F125" i="24" s="1"/>
  <c r="E31" i="24"/>
  <c r="E125" i="24" s="1"/>
  <c r="L31" i="24"/>
  <c r="L125" i="24" s="1"/>
  <c r="K20" i="24"/>
  <c r="K124" i="24" s="1"/>
  <c r="J20" i="24"/>
  <c r="J124" i="24" s="1"/>
  <c r="I20" i="24"/>
  <c r="I124" i="24" s="1"/>
  <c r="H20" i="24"/>
  <c r="H124" i="24" s="1"/>
  <c r="F20" i="24"/>
  <c r="F124" i="24" s="1"/>
  <c r="E20" i="24"/>
  <c r="E124" i="24" s="1"/>
  <c r="L20" i="24" l="1"/>
  <c r="L124" i="24" s="1"/>
  <c r="K12" i="24"/>
  <c r="K123" i="24" s="1"/>
  <c r="J12" i="24"/>
  <c r="J123" i="24" s="1"/>
  <c r="I12" i="24"/>
  <c r="I123" i="24" s="1"/>
  <c r="H12" i="24"/>
  <c r="H123" i="24" s="1"/>
  <c r="F12" i="24"/>
  <c r="F123" i="24" s="1"/>
  <c r="E12" i="24"/>
  <c r="E123" i="24" s="1"/>
  <c r="L12" i="24"/>
  <c r="L123" i="24" s="1"/>
  <c r="K6" i="24"/>
  <c r="K122" i="24" s="1"/>
  <c r="K138" i="24" s="1"/>
  <c r="K143" i="24" s="1"/>
  <c r="J6" i="24"/>
  <c r="J122" i="24" s="1"/>
  <c r="J138" i="24" s="1"/>
  <c r="J143" i="24" s="1"/>
  <c r="I6" i="24"/>
  <c r="I122" i="24" s="1"/>
  <c r="I138" i="24" s="1"/>
  <c r="I143" i="24" s="1"/>
  <c r="H6" i="24"/>
  <c r="H122" i="24" s="1"/>
  <c r="F6" i="24"/>
  <c r="F122" i="24" s="1"/>
  <c r="F138" i="24" s="1"/>
  <c r="F143" i="24" s="1"/>
  <c r="E6" i="24"/>
  <c r="E122" i="24" s="1"/>
  <c r="L6" i="24"/>
  <c r="L122" i="24" s="1"/>
  <c r="H138" i="24" l="1"/>
  <c r="H143" i="24" s="1"/>
  <c r="L138" i="24"/>
  <c r="L143" i="24" s="1"/>
  <c r="E138" i="24"/>
  <c r="E143" i="24" s="1"/>
  <c r="K893" i="23" l="1"/>
  <c r="K930" i="23" s="1"/>
  <c r="J893" i="23"/>
  <c r="J930" i="23" s="1"/>
  <c r="I893" i="23"/>
  <c r="I930" i="23" s="1"/>
  <c r="H893" i="23"/>
  <c r="H930" i="23" s="1"/>
  <c r="F893" i="23"/>
  <c r="F930" i="23" s="1"/>
  <c r="E893" i="23"/>
  <c r="E930" i="23" s="1"/>
  <c r="L893" i="23"/>
  <c r="L930" i="23" s="1"/>
  <c r="K889" i="23"/>
  <c r="K929" i="23" s="1"/>
  <c r="J889" i="23"/>
  <c r="J929" i="23" s="1"/>
  <c r="I889" i="23"/>
  <c r="I929" i="23" s="1"/>
  <c r="H889" i="23"/>
  <c r="H929" i="23" s="1"/>
  <c r="F889" i="23"/>
  <c r="F929" i="23" s="1"/>
  <c r="E889" i="23"/>
  <c r="E929" i="23" s="1"/>
  <c r="L889" i="23"/>
  <c r="L929" i="23" s="1"/>
  <c r="J885" i="23"/>
  <c r="J928" i="23" s="1"/>
  <c r="K885" i="23"/>
  <c r="K928" i="23" s="1"/>
  <c r="I885" i="23"/>
  <c r="I928" i="23" s="1"/>
  <c r="H885" i="23"/>
  <c r="H928" i="23" s="1"/>
  <c r="F885" i="23"/>
  <c r="F928" i="23" s="1"/>
  <c r="E885" i="23"/>
  <c r="E928" i="23" s="1"/>
  <c r="L885" i="23"/>
  <c r="L928" i="23" s="1"/>
  <c r="K881" i="23"/>
  <c r="K927" i="23" s="1"/>
  <c r="J881" i="23"/>
  <c r="J927" i="23" s="1"/>
  <c r="I881" i="23"/>
  <c r="I927" i="23" s="1"/>
  <c r="H881" i="23"/>
  <c r="H927" i="23" s="1"/>
  <c r="F881" i="23"/>
  <c r="F927" i="23" s="1"/>
  <c r="E881" i="23"/>
  <c r="E927" i="23" s="1"/>
  <c r="L881" i="23"/>
  <c r="L927" i="23" s="1"/>
  <c r="K877" i="23"/>
  <c r="K926" i="23" s="1"/>
  <c r="J877" i="23"/>
  <c r="J926" i="23" s="1"/>
  <c r="I877" i="23"/>
  <c r="I926" i="23" s="1"/>
  <c r="H877" i="23"/>
  <c r="H926" i="23" s="1"/>
  <c r="F877" i="23"/>
  <c r="F926" i="23" s="1"/>
  <c r="E877" i="23"/>
  <c r="E926" i="23" s="1"/>
  <c r="L877" i="23"/>
  <c r="L926" i="23" s="1"/>
  <c r="K872" i="23"/>
  <c r="K925" i="23" s="1"/>
  <c r="L872" i="23"/>
  <c r="L925" i="23" s="1"/>
  <c r="J872" i="23"/>
  <c r="J925" i="23" s="1"/>
  <c r="I872" i="23"/>
  <c r="I925" i="23" s="1"/>
  <c r="H872" i="23"/>
  <c r="H925" i="23" s="1"/>
  <c r="F872" i="23"/>
  <c r="F925" i="23" s="1"/>
  <c r="E872" i="23"/>
  <c r="E925" i="23" s="1"/>
  <c r="K867" i="23"/>
  <c r="K924" i="23" s="1"/>
  <c r="J867" i="23"/>
  <c r="J924" i="23" s="1"/>
  <c r="I867" i="23"/>
  <c r="I924" i="23" s="1"/>
  <c r="H867" i="23"/>
  <c r="H924" i="23" s="1"/>
  <c r="F867" i="23"/>
  <c r="F924" i="23" s="1"/>
  <c r="E867" i="23"/>
  <c r="E924" i="23" s="1"/>
  <c r="L867" i="23"/>
  <c r="L924" i="23" s="1"/>
  <c r="K862" i="23"/>
  <c r="K923" i="23" s="1"/>
  <c r="J862" i="23"/>
  <c r="J923" i="23" s="1"/>
  <c r="I862" i="23"/>
  <c r="I923" i="23" s="1"/>
  <c r="H862" i="23"/>
  <c r="H923" i="23" s="1"/>
  <c r="F862" i="23"/>
  <c r="F923" i="23" s="1"/>
  <c r="E862" i="23"/>
  <c r="E923" i="23" s="1"/>
  <c r="L862" i="23"/>
  <c r="L923" i="23" s="1"/>
  <c r="K856" i="23"/>
  <c r="K922" i="23" s="1"/>
  <c r="J856" i="23"/>
  <c r="J922" i="23" s="1"/>
  <c r="I856" i="23"/>
  <c r="I922" i="23" s="1"/>
  <c r="H856" i="23"/>
  <c r="H922" i="23" s="1"/>
  <c r="F856" i="23"/>
  <c r="F922" i="23" s="1"/>
  <c r="E856" i="23"/>
  <c r="E922" i="23" s="1"/>
  <c r="L856" i="23"/>
  <c r="L922" i="23" s="1"/>
  <c r="K849" i="23"/>
  <c r="K921" i="23" s="1"/>
  <c r="J849" i="23"/>
  <c r="J921" i="23" s="1"/>
  <c r="I849" i="23"/>
  <c r="I921" i="23" s="1"/>
  <c r="H849" i="23"/>
  <c r="H921" i="23" s="1"/>
  <c r="F849" i="23"/>
  <c r="F921" i="23" s="1"/>
  <c r="E849" i="23"/>
  <c r="E921" i="23" s="1"/>
  <c r="L849" i="23"/>
  <c r="L921" i="23" s="1"/>
  <c r="K842" i="23"/>
  <c r="K920" i="23" s="1"/>
  <c r="J842" i="23"/>
  <c r="J920" i="23" s="1"/>
  <c r="I842" i="23"/>
  <c r="I920" i="23" s="1"/>
  <c r="H842" i="23"/>
  <c r="H920" i="23" s="1"/>
  <c r="F842" i="23"/>
  <c r="F920" i="23" s="1"/>
  <c r="E842" i="23"/>
  <c r="E920" i="23" s="1"/>
  <c r="L842" i="23"/>
  <c r="L920" i="23" s="1"/>
  <c r="K831" i="23"/>
  <c r="K919" i="23" s="1"/>
  <c r="J831" i="23"/>
  <c r="J919" i="23" s="1"/>
  <c r="I831" i="23"/>
  <c r="I919" i="23" s="1"/>
  <c r="H831" i="23"/>
  <c r="H919" i="23" s="1"/>
  <c r="F831" i="23"/>
  <c r="F919" i="23" s="1"/>
  <c r="E831" i="23"/>
  <c r="E919" i="23" s="1"/>
  <c r="L831" i="23"/>
  <c r="L919" i="23" s="1"/>
  <c r="K823" i="23"/>
  <c r="K918" i="23" s="1"/>
  <c r="J823" i="23"/>
  <c r="J918" i="23" s="1"/>
  <c r="I823" i="23"/>
  <c r="I918" i="23" s="1"/>
  <c r="H823" i="23"/>
  <c r="H918" i="23" s="1"/>
  <c r="F823" i="23"/>
  <c r="F918" i="23" s="1"/>
  <c r="E823" i="23"/>
  <c r="E918" i="23" s="1"/>
  <c r="L823" i="23"/>
  <c r="L918" i="23" s="1"/>
  <c r="K814" i="23"/>
  <c r="K917" i="23" s="1"/>
  <c r="J814" i="23"/>
  <c r="J917" i="23" s="1"/>
  <c r="I814" i="23"/>
  <c r="I917" i="23" s="1"/>
  <c r="H814" i="23"/>
  <c r="H917" i="23" s="1"/>
  <c r="F814" i="23"/>
  <c r="F917" i="23" s="1"/>
  <c r="E814" i="23"/>
  <c r="E917" i="23" s="1"/>
  <c r="L814" i="23"/>
  <c r="L917" i="23" s="1"/>
  <c r="K805" i="23"/>
  <c r="K916" i="23" s="1"/>
  <c r="J805" i="23"/>
  <c r="J916" i="23" s="1"/>
  <c r="I805" i="23"/>
  <c r="I916" i="23" s="1"/>
  <c r="H805" i="23"/>
  <c r="H916" i="23" s="1"/>
  <c r="F805" i="23"/>
  <c r="F916" i="23" s="1"/>
  <c r="E805" i="23"/>
  <c r="E916" i="23" s="1"/>
  <c r="L805" i="23"/>
  <c r="L916" i="23" s="1"/>
  <c r="K791" i="23"/>
  <c r="K915" i="23" s="1"/>
  <c r="J791" i="23"/>
  <c r="J915" i="23" s="1"/>
  <c r="I791" i="23"/>
  <c r="I915" i="23" s="1"/>
  <c r="H791" i="23"/>
  <c r="H915" i="23" s="1"/>
  <c r="F791" i="23"/>
  <c r="F915" i="23" s="1"/>
  <c r="E791" i="23"/>
  <c r="E915" i="23" s="1"/>
  <c r="L791" i="23"/>
  <c r="L915" i="23" s="1"/>
  <c r="K767" i="23"/>
  <c r="K914" i="23" s="1"/>
  <c r="J767" i="23"/>
  <c r="J914" i="23" s="1"/>
  <c r="I767" i="23"/>
  <c r="I914" i="23" s="1"/>
  <c r="H767" i="23"/>
  <c r="H914" i="23" s="1"/>
  <c r="F767" i="23"/>
  <c r="F914" i="23" s="1"/>
  <c r="E767" i="23"/>
  <c r="E914" i="23" s="1"/>
  <c r="L767" i="23"/>
  <c r="L914" i="23" s="1"/>
  <c r="K733" i="23"/>
  <c r="K913" i="23" s="1"/>
  <c r="J733" i="23"/>
  <c r="J913" i="23" s="1"/>
  <c r="I733" i="23"/>
  <c r="I913" i="23" s="1"/>
  <c r="H733" i="23"/>
  <c r="H913" i="23" s="1"/>
  <c r="F733" i="23"/>
  <c r="F913" i="23" s="1"/>
  <c r="E733" i="23"/>
  <c r="E913" i="23" s="1"/>
  <c r="L733" i="23"/>
  <c r="L913" i="23" s="1"/>
  <c r="K716" i="23"/>
  <c r="K912" i="23" s="1"/>
  <c r="J716" i="23"/>
  <c r="J912" i="23" s="1"/>
  <c r="I716" i="23"/>
  <c r="I912" i="23" s="1"/>
  <c r="H716" i="23"/>
  <c r="H912" i="23" s="1"/>
  <c r="F716" i="23"/>
  <c r="F912" i="23" s="1"/>
  <c r="E716" i="23"/>
  <c r="E912" i="23" s="1"/>
  <c r="L716" i="23"/>
  <c r="L912" i="23" s="1"/>
  <c r="F697" i="23"/>
  <c r="F911" i="23" s="1"/>
  <c r="E697" i="23"/>
  <c r="E911" i="23" s="1"/>
  <c r="H697" i="23"/>
  <c r="H911" i="23" s="1"/>
  <c r="I697" i="23"/>
  <c r="I911" i="23" s="1"/>
  <c r="J697" i="23"/>
  <c r="J911" i="23" s="1"/>
  <c r="K697" i="23"/>
  <c r="K911" i="23" s="1"/>
  <c r="L697" i="23"/>
  <c r="L911" i="23" s="1"/>
  <c r="K654" i="23"/>
  <c r="K910" i="23" s="1"/>
  <c r="J654" i="23"/>
  <c r="J910" i="23" s="1"/>
  <c r="I654" i="23"/>
  <c r="I910" i="23" s="1"/>
  <c r="H654" i="23"/>
  <c r="H910" i="23" s="1"/>
  <c r="F654" i="23"/>
  <c r="F910" i="23" s="1"/>
  <c r="E654" i="23"/>
  <c r="E910" i="23" s="1"/>
  <c r="L654" i="23"/>
  <c r="L910" i="23" s="1"/>
  <c r="K605" i="23"/>
  <c r="K909" i="23" s="1"/>
  <c r="J605" i="23"/>
  <c r="J909" i="23" s="1"/>
  <c r="I605" i="23"/>
  <c r="I909" i="23" s="1"/>
  <c r="H605" i="23"/>
  <c r="H909" i="23" s="1"/>
  <c r="F605" i="23"/>
  <c r="F909" i="23" s="1"/>
  <c r="E605" i="23"/>
  <c r="E909" i="23" s="1"/>
  <c r="L605" i="23"/>
  <c r="L909" i="23" s="1"/>
  <c r="K552" i="23"/>
  <c r="K908" i="23" s="1"/>
  <c r="J552" i="23"/>
  <c r="J908" i="23" s="1"/>
  <c r="I552" i="23"/>
  <c r="I908" i="23" s="1"/>
  <c r="H552" i="23"/>
  <c r="H908" i="23" s="1"/>
  <c r="F552" i="23"/>
  <c r="F908" i="23" s="1"/>
  <c r="E552" i="23"/>
  <c r="E908" i="23" s="1"/>
  <c r="L552" i="23"/>
  <c r="L908" i="23" s="1"/>
  <c r="K500" i="23"/>
  <c r="K907" i="23" s="1"/>
  <c r="J500" i="23"/>
  <c r="J907" i="23" s="1"/>
  <c r="I500" i="23"/>
  <c r="I907" i="23" s="1"/>
  <c r="H500" i="23"/>
  <c r="H907" i="23" s="1"/>
  <c r="F500" i="23"/>
  <c r="F907" i="23" s="1"/>
  <c r="E500" i="23"/>
  <c r="E907" i="23" s="1"/>
  <c r="L500" i="23"/>
  <c r="L907" i="23" s="1"/>
  <c r="J304" i="23"/>
  <c r="J903" i="23" s="1"/>
  <c r="K450" i="23"/>
  <c r="K906" i="23" s="1"/>
  <c r="J450" i="23"/>
  <c r="J906" i="23" s="1"/>
  <c r="I450" i="23"/>
  <c r="I906" i="23" s="1"/>
  <c r="H450" i="23"/>
  <c r="H906" i="23" s="1"/>
  <c r="F450" i="23"/>
  <c r="F906" i="23" s="1"/>
  <c r="E450" i="23"/>
  <c r="E906" i="23" s="1"/>
  <c r="L450" i="23"/>
  <c r="L906" i="23" s="1"/>
  <c r="K403" i="23"/>
  <c r="K905" i="23" s="1"/>
  <c r="J403" i="23"/>
  <c r="J905" i="23" s="1"/>
  <c r="I403" i="23"/>
  <c r="I905" i="23" s="1"/>
  <c r="H403" i="23"/>
  <c r="H905" i="23" s="1"/>
  <c r="F403" i="23"/>
  <c r="F905" i="23" s="1"/>
  <c r="E403" i="23"/>
  <c r="E905" i="23" s="1"/>
  <c r="L403" i="23"/>
  <c r="L905" i="23" s="1"/>
  <c r="K351" i="23"/>
  <c r="K904" i="23" s="1"/>
  <c r="J351" i="23"/>
  <c r="J904" i="23" s="1"/>
  <c r="I351" i="23"/>
  <c r="I904" i="23" s="1"/>
  <c r="H351" i="23"/>
  <c r="H904" i="23" s="1"/>
  <c r="F351" i="23"/>
  <c r="F904" i="23" s="1"/>
  <c r="E351" i="23"/>
  <c r="E904" i="23" s="1"/>
  <c r="L351" i="23"/>
  <c r="L904" i="23" s="1"/>
  <c r="E304" i="23"/>
  <c r="E903" i="23" s="1"/>
  <c r="F304" i="23"/>
  <c r="F903" i="23" s="1"/>
  <c r="H304" i="23"/>
  <c r="H903" i="23" s="1"/>
  <c r="I304" i="23"/>
  <c r="I903" i="23" s="1"/>
  <c r="K304" i="23"/>
  <c r="K903" i="23" s="1"/>
  <c r="L304" i="23"/>
  <c r="L903" i="23" s="1"/>
  <c r="K257" i="23"/>
  <c r="K902" i="23" s="1"/>
  <c r="J257" i="23"/>
  <c r="J902" i="23" s="1"/>
  <c r="I257" i="23"/>
  <c r="I902" i="23" s="1"/>
  <c r="H257" i="23"/>
  <c r="H902" i="23" s="1"/>
  <c r="F257" i="23"/>
  <c r="F902" i="23" s="1"/>
  <c r="E257" i="23"/>
  <c r="E902" i="23" s="1"/>
  <c r="L257" i="23"/>
  <c r="L902" i="23" s="1"/>
  <c r="K212" i="23"/>
  <c r="K901" i="23" s="1"/>
  <c r="J212" i="23"/>
  <c r="J901" i="23" s="1"/>
  <c r="I212" i="23"/>
  <c r="I901" i="23" s="1"/>
  <c r="H212" i="23"/>
  <c r="H901" i="23" s="1"/>
  <c r="F212" i="23"/>
  <c r="F901" i="23" s="1"/>
  <c r="E212" i="23"/>
  <c r="E901" i="23" s="1"/>
  <c r="L212" i="23"/>
  <c r="L901" i="23" s="1"/>
  <c r="E169" i="23"/>
  <c r="E900" i="23" s="1"/>
  <c r="F169" i="23"/>
  <c r="F900" i="23" s="1"/>
  <c r="H169" i="23"/>
  <c r="H900" i="23" s="1"/>
  <c r="I169" i="23"/>
  <c r="I900" i="23" s="1"/>
  <c r="J169" i="23"/>
  <c r="J900" i="23" s="1"/>
  <c r="K169" i="23"/>
  <c r="K900" i="23" s="1"/>
  <c r="L169" i="23"/>
  <c r="L900" i="23" s="1"/>
  <c r="K133" i="23"/>
  <c r="K899" i="23" s="1"/>
  <c r="J133" i="23"/>
  <c r="J899" i="23" s="1"/>
  <c r="I133" i="23"/>
  <c r="I899" i="23" s="1"/>
  <c r="H133" i="23"/>
  <c r="H899" i="23" s="1"/>
  <c r="F133" i="23"/>
  <c r="F899" i="23" s="1"/>
  <c r="E133" i="23"/>
  <c r="E899" i="23" s="1"/>
  <c r="L133" i="23"/>
  <c r="L899" i="23" s="1"/>
  <c r="K97" i="23"/>
  <c r="K898" i="23" s="1"/>
  <c r="J97" i="23"/>
  <c r="J898" i="23" s="1"/>
  <c r="I97" i="23"/>
  <c r="I898" i="23" s="1"/>
  <c r="H97" i="23"/>
  <c r="H898" i="23" s="1"/>
  <c r="F97" i="23"/>
  <c r="F898" i="23" s="1"/>
  <c r="E97" i="23"/>
  <c r="E898" i="23" s="1"/>
  <c r="L97" i="23"/>
  <c r="L898" i="23" s="1"/>
  <c r="K62" i="23"/>
  <c r="K897" i="23" s="1"/>
  <c r="J62" i="23"/>
  <c r="J897" i="23" s="1"/>
  <c r="I62" i="23"/>
  <c r="I897" i="23" s="1"/>
  <c r="H62" i="23"/>
  <c r="H897" i="23" s="1"/>
  <c r="F62" i="23"/>
  <c r="F897" i="23" s="1"/>
  <c r="E62" i="23"/>
  <c r="E897" i="23" s="1"/>
  <c r="L62" i="23"/>
  <c r="L897" i="23" s="1"/>
  <c r="L28" i="23" l="1"/>
  <c r="L896" i="23" s="1"/>
  <c r="K28" i="23"/>
  <c r="K896" i="23" s="1"/>
  <c r="J28" i="23"/>
  <c r="J896" i="23" s="1"/>
  <c r="I28" i="23"/>
  <c r="I896" i="23" s="1"/>
  <c r="H28" i="23"/>
  <c r="H896" i="23" s="1"/>
  <c r="F28" i="23"/>
  <c r="F896" i="23" s="1"/>
  <c r="E28" i="23"/>
  <c r="E896" i="23" s="1"/>
  <c r="L931" i="23" l="1"/>
  <c r="L142" i="24" s="1"/>
  <c r="L144" i="24" s="1"/>
  <c r="E931" i="23"/>
  <c r="E142" i="24" s="1"/>
  <c r="E144" i="24" s="1"/>
  <c r="F931" i="23"/>
  <c r="F142" i="24" s="1"/>
  <c r="F144" i="24" s="1"/>
  <c r="K931" i="23"/>
  <c r="K142" i="24" s="1"/>
  <c r="K144" i="24" s="1"/>
  <c r="H931" i="23"/>
  <c r="H142" i="24" s="1"/>
  <c r="H144" i="24" s="1"/>
  <c r="I931" i="23"/>
  <c r="I142" i="24" s="1"/>
  <c r="I144" i="24" s="1"/>
  <c r="J931" i="23"/>
  <c r="J142" i="24" s="1"/>
  <c r="J144" i="24" s="1"/>
  <c r="F250" i="22"/>
  <c r="F299" i="22" l="1"/>
  <c r="E202" i="22"/>
  <c r="E291" i="22" s="1"/>
  <c r="L274" i="22"/>
  <c r="L304" i="22" s="1"/>
  <c r="K274" i="22"/>
  <c r="K304" i="22" s="1"/>
  <c r="J274" i="22"/>
  <c r="J304" i="22" s="1"/>
  <c r="I274" i="22"/>
  <c r="I304" i="22" s="1"/>
  <c r="H274" i="22"/>
  <c r="H304" i="22" s="1"/>
  <c r="F274" i="22"/>
  <c r="F304" i="22" s="1"/>
  <c r="E274" i="22"/>
  <c r="E304" i="22" s="1"/>
  <c r="L268" i="22"/>
  <c r="L303" i="22" s="1"/>
  <c r="K268" i="22"/>
  <c r="K303" i="22" s="1"/>
  <c r="J268" i="22"/>
  <c r="J303" i="22" s="1"/>
  <c r="I268" i="22"/>
  <c r="I303" i="22" s="1"/>
  <c r="H268" i="22"/>
  <c r="H303" i="22" s="1"/>
  <c r="F268" i="22"/>
  <c r="F303" i="22" s="1"/>
  <c r="E268" i="22"/>
  <c r="E303" i="22" s="1"/>
  <c r="L263" i="22"/>
  <c r="L302" i="22" s="1"/>
  <c r="K263" i="22"/>
  <c r="K302" i="22" s="1"/>
  <c r="J263" i="22"/>
  <c r="J302" i="22" s="1"/>
  <c r="I263" i="22"/>
  <c r="I302" i="22" s="1"/>
  <c r="H263" i="22"/>
  <c r="H302" i="22" s="1"/>
  <c r="F263" i="22"/>
  <c r="F302" i="22" s="1"/>
  <c r="E263" i="22"/>
  <c r="E302" i="22" s="1"/>
  <c r="L259" i="22"/>
  <c r="L301" i="22" s="1"/>
  <c r="K259" i="22"/>
  <c r="K301" i="22" s="1"/>
  <c r="J259" i="22"/>
  <c r="J301" i="22" s="1"/>
  <c r="I259" i="22"/>
  <c r="I301" i="22" s="1"/>
  <c r="H259" i="22"/>
  <c r="H301" i="22" s="1"/>
  <c r="F259" i="22"/>
  <c r="F301" i="22" s="1"/>
  <c r="E259" i="22"/>
  <c r="E301" i="22" s="1"/>
  <c r="E254" i="22"/>
  <c r="E300" i="22" s="1"/>
  <c r="L254" i="22"/>
  <c r="L300" i="22" s="1"/>
  <c r="K254" i="22"/>
  <c r="K300" i="22" s="1"/>
  <c r="J254" i="22"/>
  <c r="J300" i="22" s="1"/>
  <c r="I254" i="22"/>
  <c r="I300" i="22" s="1"/>
  <c r="H254" i="22"/>
  <c r="H300" i="22" s="1"/>
  <c r="F254" i="22"/>
  <c r="F300" i="22" s="1"/>
  <c r="L250" i="22"/>
  <c r="L299" i="22" s="1"/>
  <c r="K250" i="22"/>
  <c r="K299" i="22" s="1"/>
  <c r="J250" i="22"/>
  <c r="J299" i="22" s="1"/>
  <c r="I250" i="22"/>
  <c r="I299" i="22" s="1"/>
  <c r="H250" i="22"/>
  <c r="H299" i="22" s="1"/>
  <c r="E250" i="22"/>
  <c r="E299" i="22" s="1"/>
  <c r="L245" i="22"/>
  <c r="L298" i="22" s="1"/>
  <c r="K245" i="22"/>
  <c r="K298" i="22" s="1"/>
  <c r="J245" i="22"/>
  <c r="J298" i="22" s="1"/>
  <c r="I245" i="22"/>
  <c r="I298" i="22" s="1"/>
  <c r="H245" i="22"/>
  <c r="H298" i="22" s="1"/>
  <c r="F245" i="22"/>
  <c r="F298" i="22" s="1"/>
  <c r="E245" i="22"/>
  <c r="E298" i="22" s="1"/>
  <c r="L239" i="22"/>
  <c r="L297" i="22" s="1"/>
  <c r="K239" i="22"/>
  <c r="K297" i="22" s="1"/>
  <c r="J239" i="22"/>
  <c r="J297" i="22" s="1"/>
  <c r="I239" i="22"/>
  <c r="I297" i="22" s="1"/>
  <c r="H239" i="22"/>
  <c r="H297" i="22" s="1"/>
  <c r="F239" i="22"/>
  <c r="F297" i="22" s="1"/>
  <c r="E239" i="22"/>
  <c r="E297" i="22" s="1"/>
  <c r="L232" i="22"/>
  <c r="L296" i="22" s="1"/>
  <c r="K232" i="22"/>
  <c r="K296" i="22" s="1"/>
  <c r="J232" i="22"/>
  <c r="J296" i="22" s="1"/>
  <c r="I232" i="22"/>
  <c r="I296" i="22" s="1"/>
  <c r="H232" i="22"/>
  <c r="H296" i="22" s="1"/>
  <c r="F232" i="22"/>
  <c r="F296" i="22" s="1"/>
  <c r="E232" i="22"/>
  <c r="E296" i="22" s="1"/>
  <c r="L228" i="22"/>
  <c r="L295" i="22" s="1"/>
  <c r="K228" i="22"/>
  <c r="K295" i="22" s="1"/>
  <c r="J228" i="22"/>
  <c r="J295" i="22" s="1"/>
  <c r="I228" i="22"/>
  <c r="I295" i="22" s="1"/>
  <c r="H228" i="22"/>
  <c r="H295" i="22" s="1"/>
  <c r="F228" i="22"/>
  <c r="F295" i="22" s="1"/>
  <c r="E228" i="22"/>
  <c r="E295" i="22" s="1"/>
  <c r="L221" i="22"/>
  <c r="L294" i="22" s="1"/>
  <c r="K221" i="22"/>
  <c r="K294" i="22" s="1"/>
  <c r="J221" i="22"/>
  <c r="J294" i="22" s="1"/>
  <c r="I221" i="22"/>
  <c r="I294" i="22" s="1"/>
  <c r="H221" i="22"/>
  <c r="H294" i="22" s="1"/>
  <c r="F221" i="22"/>
  <c r="F294" i="22" s="1"/>
  <c r="E221" i="22"/>
  <c r="E294" i="22" s="1"/>
  <c r="L216" i="22"/>
  <c r="L293" i="22" s="1"/>
  <c r="K216" i="22"/>
  <c r="K293" i="22" s="1"/>
  <c r="J216" i="22"/>
  <c r="J293" i="22" s="1"/>
  <c r="I216" i="22"/>
  <c r="I293" i="22" s="1"/>
  <c r="H216" i="22"/>
  <c r="H293" i="22" s="1"/>
  <c r="F216" i="22"/>
  <c r="F293" i="22" s="1"/>
  <c r="E216" i="22"/>
  <c r="E293" i="22" s="1"/>
  <c r="L211" i="22"/>
  <c r="L292" i="22" s="1"/>
  <c r="K211" i="22"/>
  <c r="K292" i="22" s="1"/>
  <c r="J211" i="22"/>
  <c r="J292" i="22" s="1"/>
  <c r="I211" i="22"/>
  <c r="I292" i="22" s="1"/>
  <c r="H211" i="22"/>
  <c r="H292" i="22" s="1"/>
  <c r="F211" i="22"/>
  <c r="F292" i="22" s="1"/>
  <c r="E211" i="22"/>
  <c r="E292" i="22" s="1"/>
  <c r="L202" i="22"/>
  <c r="L291" i="22" s="1"/>
  <c r="K202" i="22"/>
  <c r="K291" i="22" s="1"/>
  <c r="J202" i="22"/>
  <c r="J291" i="22" s="1"/>
  <c r="I202" i="22"/>
  <c r="I291" i="22" s="1"/>
  <c r="H202" i="22"/>
  <c r="H291" i="22" s="1"/>
  <c r="F202" i="22"/>
  <c r="F291" i="22" s="1"/>
  <c r="L192" i="22"/>
  <c r="L290" i="22" s="1"/>
  <c r="K192" i="22"/>
  <c r="K290" i="22" s="1"/>
  <c r="J192" i="22"/>
  <c r="J290" i="22" s="1"/>
  <c r="I192" i="22"/>
  <c r="I290" i="22" s="1"/>
  <c r="H192" i="22"/>
  <c r="H290" i="22" s="1"/>
  <c r="F192" i="22"/>
  <c r="F290" i="22" s="1"/>
  <c r="L178" i="22"/>
  <c r="L289" i="22" s="1"/>
  <c r="K178" i="22"/>
  <c r="K289" i="22" s="1"/>
  <c r="J178" i="22"/>
  <c r="J289" i="22" s="1"/>
  <c r="I178" i="22"/>
  <c r="I289" i="22" s="1"/>
  <c r="H178" i="22"/>
  <c r="H289" i="22" s="1"/>
  <c r="F178" i="22"/>
  <c r="F289" i="22" s="1"/>
  <c r="E178" i="22"/>
  <c r="E289" i="22" s="1"/>
  <c r="L149" i="22"/>
  <c r="L288" i="22" s="1"/>
  <c r="K149" i="22"/>
  <c r="K288" i="22" s="1"/>
  <c r="J149" i="22"/>
  <c r="J288" i="22" s="1"/>
  <c r="I149" i="22"/>
  <c r="I288" i="22" s="1"/>
  <c r="H149" i="22"/>
  <c r="H288" i="22" s="1"/>
  <c r="F149" i="22"/>
  <c r="F288" i="22" s="1"/>
  <c r="E149" i="22"/>
  <c r="E288" i="22" s="1"/>
  <c r="L123" i="22"/>
  <c r="L287" i="22" s="1"/>
  <c r="K123" i="22"/>
  <c r="K287" i="22" s="1"/>
  <c r="J123" i="22"/>
  <c r="J287" i="22" s="1"/>
  <c r="I123" i="22"/>
  <c r="I287" i="22" s="1"/>
  <c r="H123" i="22"/>
  <c r="H287" i="22" s="1"/>
  <c r="F123" i="22"/>
  <c r="F287" i="22" s="1"/>
  <c r="E123" i="22"/>
  <c r="E287" i="22" s="1"/>
  <c r="K95" i="22"/>
  <c r="K286" i="22" s="1"/>
  <c r="L95" i="22"/>
  <c r="L286" i="22" s="1"/>
  <c r="J95" i="22"/>
  <c r="J286" i="22" s="1"/>
  <c r="I95" i="22"/>
  <c r="I286" i="22" s="1"/>
  <c r="H95" i="22"/>
  <c r="H286" i="22" s="1"/>
  <c r="F95" i="22"/>
  <c r="F286" i="22" s="1"/>
  <c r="E95" i="22"/>
  <c r="E286" i="22" s="1"/>
  <c r="E192" i="22"/>
  <c r="E290" i="22" s="1"/>
  <c r="L84" i="22"/>
  <c r="L285" i="22" s="1"/>
  <c r="K84" i="22"/>
  <c r="K285" i="22" s="1"/>
  <c r="J84" i="22"/>
  <c r="J285" i="22" s="1"/>
  <c r="I84" i="22"/>
  <c r="I285" i="22" s="1"/>
  <c r="H84" i="22"/>
  <c r="H285" i="22" s="1"/>
  <c r="F84" i="22"/>
  <c r="F285" i="22" s="1"/>
  <c r="E84" i="22"/>
  <c r="E285" i="22" s="1"/>
  <c r="L79" i="22"/>
  <c r="L284" i="22" s="1"/>
  <c r="K79" i="22"/>
  <c r="K284" i="22" s="1"/>
  <c r="J79" i="22"/>
  <c r="J284" i="22" s="1"/>
  <c r="I79" i="22"/>
  <c r="I284" i="22" s="1"/>
  <c r="H79" i="22"/>
  <c r="H284" i="22" s="1"/>
  <c r="F79" i="22"/>
  <c r="F284" i="22" s="1"/>
  <c r="E79" i="22"/>
  <c r="E284" i="22" s="1"/>
  <c r="L75" i="22"/>
  <c r="L283" i="22" s="1"/>
  <c r="K75" i="22"/>
  <c r="K283" i="22" s="1"/>
  <c r="J75" i="22"/>
  <c r="J283" i="22" s="1"/>
  <c r="I75" i="22"/>
  <c r="I283" i="22" s="1"/>
  <c r="H75" i="22"/>
  <c r="H283" i="22" s="1"/>
  <c r="F75" i="22"/>
  <c r="F283" i="22" s="1"/>
  <c r="E75" i="22"/>
  <c r="E283" i="22" s="1"/>
  <c r="L70" i="22"/>
  <c r="L282" i="22" s="1"/>
  <c r="K70" i="22"/>
  <c r="K282" i="22" s="1"/>
  <c r="J70" i="22"/>
  <c r="J282" i="22" s="1"/>
  <c r="I70" i="22"/>
  <c r="I282" i="22" s="1"/>
  <c r="H70" i="22"/>
  <c r="H282" i="22" s="1"/>
  <c r="F70" i="22"/>
  <c r="F282" i="22" s="1"/>
  <c r="E70" i="22"/>
  <c r="E282" i="22" s="1"/>
  <c r="L66" i="22"/>
  <c r="L281" i="22" s="1"/>
  <c r="K66" i="22"/>
  <c r="K281" i="22" s="1"/>
  <c r="J66" i="22"/>
  <c r="J281" i="22" s="1"/>
  <c r="I66" i="22"/>
  <c r="I281" i="22" s="1"/>
  <c r="H66" i="22"/>
  <c r="H281" i="22" s="1"/>
  <c r="F66" i="22"/>
  <c r="F281" i="22" s="1"/>
  <c r="E66" i="22"/>
  <c r="E281" i="22" s="1"/>
  <c r="L61" i="22"/>
  <c r="L280" i="22" s="1"/>
  <c r="K61" i="22"/>
  <c r="K280" i="22" s="1"/>
  <c r="J61" i="22"/>
  <c r="J280" i="22" s="1"/>
  <c r="I61" i="22"/>
  <c r="I280" i="22" s="1"/>
  <c r="H61" i="22"/>
  <c r="H280" i="22" s="1"/>
  <c r="F61" i="22"/>
  <c r="F280" i="22" s="1"/>
  <c r="E61" i="22"/>
  <c r="E280" i="22" s="1"/>
  <c r="L55" i="22"/>
  <c r="L279" i="22" s="1"/>
  <c r="K55" i="22"/>
  <c r="K279" i="22" s="1"/>
  <c r="J55" i="22"/>
  <c r="J279" i="22" s="1"/>
  <c r="I55" i="22"/>
  <c r="I279" i="22" s="1"/>
  <c r="H55" i="22"/>
  <c r="H279" i="22" s="1"/>
  <c r="F55" i="22"/>
  <c r="F279" i="22" s="1"/>
  <c r="E55" i="22"/>
  <c r="E279" i="22" s="1"/>
  <c r="L46" i="22"/>
  <c r="L278" i="22" s="1"/>
  <c r="K46" i="22"/>
  <c r="K278" i="22" s="1"/>
  <c r="J46" i="22"/>
  <c r="J278" i="22" s="1"/>
  <c r="I46" i="22"/>
  <c r="I278" i="22" s="1"/>
  <c r="H46" i="22"/>
  <c r="H278" i="22" s="1"/>
  <c r="F46" i="22"/>
  <c r="F278" i="22" s="1"/>
  <c r="E46" i="22"/>
  <c r="E278" i="22" s="1"/>
  <c r="L25" i="22"/>
  <c r="L277" i="22" s="1"/>
  <c r="K25" i="22"/>
  <c r="K277" i="22" s="1"/>
  <c r="J25" i="22"/>
  <c r="J277" i="22" s="1"/>
  <c r="I25" i="22"/>
  <c r="I277" i="22" s="1"/>
  <c r="H25" i="22"/>
  <c r="H277" i="22" s="1"/>
  <c r="F25" i="22"/>
  <c r="F277" i="22" s="1"/>
  <c r="E25" i="22"/>
  <c r="E277" i="22" s="1"/>
  <c r="J305" i="22" l="1"/>
  <c r="K305" i="22"/>
  <c r="E305" i="22"/>
  <c r="L305" i="22"/>
  <c r="F305" i="22"/>
  <c r="H305" i="22"/>
  <c r="I305" i="22"/>
  <c r="O38" i="21" l="1"/>
  <c r="M38" i="21"/>
  <c r="L38" i="21"/>
  <c r="J38" i="21"/>
  <c r="H38" i="21"/>
  <c r="F38" i="21"/>
  <c r="E38" i="21"/>
  <c r="O37" i="21" l="1"/>
  <c r="M37" i="21"/>
  <c r="L37" i="21"/>
  <c r="J37" i="21"/>
  <c r="H37" i="21"/>
  <c r="F37" i="21"/>
  <c r="E37" i="21"/>
  <c r="O27" i="21" l="1"/>
  <c r="M27" i="21"/>
  <c r="L27" i="21"/>
  <c r="J27" i="21"/>
  <c r="H27" i="21"/>
  <c r="F27" i="21"/>
  <c r="E27" i="21"/>
  <c r="M31" i="21" l="1"/>
  <c r="M36" i="21"/>
  <c r="F31" i="21"/>
  <c r="F36" i="21"/>
  <c r="H31" i="21"/>
  <c r="H36" i="21"/>
  <c r="J31" i="21"/>
  <c r="J36" i="21"/>
  <c r="O31" i="21"/>
  <c r="O36" i="21"/>
  <c r="E31" i="21"/>
  <c r="E36" i="21"/>
  <c r="L31" i="21"/>
  <c r="L36" i="21"/>
  <c r="O22" i="21"/>
  <c r="O30" i="21" s="1"/>
  <c r="O32" i="21" s="1"/>
  <c r="M22" i="21"/>
  <c r="M30" i="21" s="1"/>
  <c r="M32" i="21" s="1"/>
  <c r="L22" i="21"/>
  <c r="L30" i="21" s="1"/>
  <c r="L32" i="21" s="1"/>
  <c r="J22" i="21"/>
  <c r="J30" i="21" s="1"/>
  <c r="J32" i="21" s="1"/>
  <c r="H22" i="21"/>
  <c r="H30" i="21" s="1"/>
  <c r="H32" i="21" s="1"/>
  <c r="F22" i="21"/>
  <c r="F30" i="21" s="1"/>
  <c r="F32" i="21" s="1"/>
  <c r="E22" i="21"/>
  <c r="E30" i="21" s="1"/>
  <c r="E32" i="21" s="1"/>
  <c r="O16" i="21"/>
  <c r="O15" i="21"/>
  <c r="M16" i="21"/>
  <c r="M15" i="21"/>
  <c r="L16" i="21"/>
  <c r="L15" i="21"/>
  <c r="J16" i="21"/>
  <c r="J15" i="21"/>
  <c r="H16" i="21"/>
  <c r="H15" i="21"/>
  <c r="F16" i="21"/>
  <c r="E16" i="21"/>
  <c r="F15" i="21"/>
  <c r="E15" i="21"/>
  <c r="O11" i="21" l="1"/>
  <c r="M11" i="21"/>
  <c r="L11" i="21"/>
  <c r="J11" i="21"/>
  <c r="H11" i="21"/>
  <c r="F11" i="21"/>
  <c r="E11" i="21"/>
  <c r="O5" i="21"/>
  <c r="M5" i="21"/>
  <c r="L5" i="21"/>
  <c r="J5" i="21"/>
  <c r="H5" i="21"/>
  <c r="F5" i="21"/>
  <c r="E5" i="21"/>
  <c r="M14" i="21" l="1"/>
  <c r="M17" i="21" s="1"/>
  <c r="M35" i="21"/>
  <c r="E14" i="21"/>
  <c r="E17" i="21" s="1"/>
  <c r="E35" i="21"/>
  <c r="H14" i="21"/>
  <c r="H17" i="21" s="1"/>
  <c r="H35" i="21"/>
  <c r="L14" i="21"/>
  <c r="L17" i="21" s="1"/>
  <c r="L35" i="21"/>
  <c r="O14" i="21"/>
  <c r="O17" i="21" s="1"/>
  <c r="O35" i="21"/>
  <c r="F14" i="21"/>
  <c r="F17" i="21" s="1"/>
  <c r="F35" i="21"/>
  <c r="J14" i="21"/>
  <c r="J17" i="21" s="1"/>
  <c r="J35" i="21"/>
  <c r="G38" i="20"/>
  <c r="H39" i="20"/>
  <c r="G39" i="20"/>
  <c r="H34" i="20"/>
  <c r="H38" i="20" s="1"/>
  <c r="G34" i="20"/>
  <c r="I34" i="20"/>
  <c r="I38" i="20" s="1"/>
  <c r="I39" i="20" s="1"/>
  <c r="H80" i="18"/>
  <c r="G80" i="18"/>
  <c r="H70" i="18" l="1"/>
  <c r="H79" i="18" s="1"/>
  <c r="G70" i="18"/>
  <c r="G79" i="18" s="1"/>
  <c r="I70" i="18"/>
  <c r="I79" i="18" s="1"/>
  <c r="H66" i="18"/>
  <c r="H78" i="18" s="1"/>
  <c r="G66" i="18"/>
  <c r="G78" i="18" s="1"/>
  <c r="I66" i="18"/>
  <c r="I78" i="18" s="1"/>
  <c r="H62" i="18"/>
  <c r="H77" i="18" s="1"/>
  <c r="G62" i="18"/>
  <c r="G77" i="18" s="1"/>
  <c r="I62" i="18"/>
  <c r="I77" i="18" s="1"/>
  <c r="H58" i="18"/>
  <c r="H76" i="18" s="1"/>
  <c r="G58" i="18"/>
  <c r="G76" i="18" s="1"/>
  <c r="I58" i="18"/>
  <c r="I76" i="18" s="1"/>
  <c r="H54" i="18" l="1"/>
  <c r="H75" i="18" s="1"/>
  <c r="G54" i="18"/>
  <c r="G75" i="18" s="1"/>
  <c r="I54" i="18"/>
  <c r="I75" i="18" s="1"/>
  <c r="H40" i="18"/>
  <c r="H74" i="18" s="1"/>
  <c r="G40" i="18"/>
  <c r="G74" i="18" s="1"/>
  <c r="I40" i="18"/>
  <c r="I74" i="18" s="1"/>
  <c r="H26" i="18"/>
  <c r="H73" i="18" s="1"/>
  <c r="G26" i="18"/>
  <c r="G73" i="18" s="1"/>
  <c r="I26" i="18"/>
  <c r="I73" i="18" s="1"/>
  <c r="I80" i="18" s="1"/>
  <c r="F38" i="16" l="1"/>
  <c r="G38" i="16"/>
  <c r="I38" i="16"/>
  <c r="J38" i="16"/>
  <c r="L38" i="16"/>
  <c r="M38" i="16"/>
  <c r="L30" i="16"/>
  <c r="J30" i="16"/>
  <c r="I30" i="16"/>
  <c r="G30" i="16"/>
  <c r="F30" i="16"/>
  <c r="L24" i="16"/>
  <c r="J24" i="16"/>
  <c r="I24" i="16"/>
  <c r="G24" i="16"/>
  <c r="F24" i="16"/>
  <c r="L18" i="16"/>
  <c r="J18" i="16"/>
  <c r="I18" i="16"/>
  <c r="G18" i="16"/>
  <c r="F18" i="16"/>
  <c r="M18" i="16"/>
  <c r="M12" i="16"/>
  <c r="L12" i="16"/>
  <c r="J12" i="16"/>
  <c r="I12" i="16"/>
  <c r="G12" i="16"/>
  <c r="F12" i="16"/>
  <c r="L6" i="16"/>
  <c r="J6" i="16"/>
  <c r="I6" i="16"/>
  <c r="G6" i="16"/>
  <c r="F6" i="16"/>
  <c r="M6" i="16"/>
  <c r="M24" i="16" l="1"/>
  <c r="M30" i="16" l="1"/>
</calcChain>
</file>

<file path=xl/comments1.xml><?xml version="1.0" encoding="utf-8"?>
<comments xmlns="http://schemas.openxmlformats.org/spreadsheetml/2006/main">
  <authors>
    <author>Waty, Linda</author>
  </authors>
  <commentList>
    <comment ref="G2" authorId="0" shapeId="0">
      <text>
        <r>
          <rPr>
            <sz val="9"/>
            <color indexed="81"/>
            <rFont val="Tahoma"/>
            <family val="2"/>
          </rPr>
          <t>Footnote 1.</t>
        </r>
      </text>
    </comment>
    <comment ref="L2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  <comment ref="J4" authorId="0" shapeId="0">
      <text>
        <r>
          <rPr>
            <sz val="9"/>
            <color indexed="81"/>
            <rFont val="Tahoma"/>
            <family val="2"/>
          </rPr>
          <t>Footnote 2.</t>
        </r>
      </text>
    </comment>
    <comment ref="L29" authorId="0" shapeId="0">
      <text>
        <r>
          <rPr>
            <sz val="9"/>
            <color indexed="81"/>
            <rFont val="Tahoma"/>
            <family val="2"/>
          </rPr>
          <t>Footnote 3.</t>
        </r>
      </text>
    </comment>
  </commentList>
</comments>
</file>

<file path=xl/comments2.xml><?xml version="1.0" encoding="utf-8"?>
<comments xmlns="http://schemas.openxmlformats.org/spreadsheetml/2006/main">
  <authors>
    <author>Waty, Linda</author>
  </authors>
  <commentList>
    <comment ref="A39" authorId="0" shapeId="0">
      <text>
        <r>
          <rPr>
            <sz val="9"/>
            <color indexed="81"/>
            <rFont val="Tahoma"/>
            <family val="2"/>
          </rPr>
          <t>Footnote 4.</t>
        </r>
      </text>
    </comment>
  </commentList>
</comments>
</file>

<file path=xl/comments3.xml><?xml version="1.0" encoding="utf-8"?>
<comments xmlns="http://schemas.openxmlformats.org/spreadsheetml/2006/main">
  <authors>
    <author>Luc, Everett</author>
    <author>Waty, Linda</author>
  </authors>
  <commentList>
    <comment ref="H2" authorId="0" shapeId="0">
      <text>
        <r>
          <rPr>
            <sz val="9"/>
            <color indexed="81"/>
            <rFont val="Tahoma"/>
            <family val="2"/>
          </rPr>
          <t>Footnote 3</t>
        </r>
      </text>
    </comment>
    <comment ref="J2" authorId="0" shapeId="0">
      <text>
        <r>
          <rPr>
            <sz val="9"/>
            <color indexed="81"/>
            <rFont val="Tahoma"/>
            <family val="2"/>
          </rPr>
          <t xml:space="preserve">Footnote 4.
</t>
        </r>
      </text>
    </comment>
    <comment ref="M2" authorId="0" shapeId="0">
      <text>
        <r>
          <rPr>
            <sz val="9"/>
            <color indexed="81"/>
            <rFont val="Tahoma"/>
            <family val="2"/>
          </rPr>
          <t xml:space="preserve">Footnote 5.
</t>
        </r>
      </text>
    </comment>
    <comment ref="O2" authorId="0" shapeId="0">
      <text>
        <r>
          <rPr>
            <sz val="9"/>
            <color indexed="81"/>
            <rFont val="Tahoma"/>
            <family val="2"/>
          </rPr>
          <t xml:space="preserve">Footnote 6.
</t>
        </r>
      </text>
    </comment>
    <comment ref="F4" authorId="1" shapeId="0">
      <text>
        <r>
          <rPr>
            <sz val="9"/>
            <color indexed="81"/>
            <rFont val="Tahoma"/>
            <family val="2"/>
          </rPr>
          <t xml:space="preserve">Footnote 1.
</t>
        </r>
      </text>
    </comment>
    <comment ref="F9" authorId="1" shapeId="0">
      <text>
        <r>
          <rPr>
            <sz val="9"/>
            <color indexed="81"/>
            <rFont val="Tahoma"/>
            <family val="2"/>
          </rPr>
          <t xml:space="preserve">Footnote 2.
</t>
        </r>
      </text>
    </comment>
    <comment ref="A17" authorId="1" shapeId="0">
      <text>
        <r>
          <rPr>
            <sz val="9"/>
            <color indexed="81"/>
            <rFont val="Tahoma"/>
            <family val="2"/>
          </rPr>
          <t>Footnote 7.</t>
        </r>
      </text>
    </comment>
    <comment ref="A32" authorId="1" shapeId="0">
      <text>
        <r>
          <rPr>
            <b/>
            <sz val="9"/>
            <color indexed="81"/>
            <rFont val="Tahoma"/>
            <family val="2"/>
          </rPr>
          <t>Footnote 7.</t>
        </r>
      </text>
    </comment>
  </commentList>
</comments>
</file>

<file path=xl/comments4.xml><?xml version="1.0" encoding="utf-8"?>
<comments xmlns="http://schemas.openxmlformats.org/spreadsheetml/2006/main">
  <authors>
    <author>Luc, Everett</author>
  </authors>
  <commentList>
    <comment ref="F2" authorId="0" shapeId="0">
      <text>
        <r>
          <rPr>
            <sz val="9"/>
            <color indexed="81"/>
            <rFont val="Tahoma"/>
            <family val="2"/>
          </rPr>
          <t xml:space="preserve">Footnote 1.
</t>
        </r>
      </text>
    </comment>
  </commentList>
</comments>
</file>

<file path=xl/comments5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Footnote 2.</t>
        </r>
      </text>
    </comment>
  </commentList>
</comments>
</file>

<file path=xl/comments6.xml><?xml version="1.0" encoding="utf-8"?>
<comments xmlns="http://schemas.openxmlformats.org/spreadsheetml/2006/main">
  <authors>
    <author>Waty, Linda</author>
  </authors>
  <commentList>
    <comment ref="F2" authorId="0" shapeId="0">
      <text>
        <r>
          <rPr>
            <b/>
            <sz val="9"/>
            <color indexed="81"/>
            <rFont val="Tahoma"/>
            <family val="2"/>
          </rPr>
          <t>Footnote 2.</t>
        </r>
      </text>
    </comment>
  </commentList>
</comments>
</file>

<file path=xl/sharedStrings.xml><?xml version="1.0" encoding="utf-8"?>
<sst xmlns="http://schemas.openxmlformats.org/spreadsheetml/2006/main" count="8290" uniqueCount="598">
  <si>
    <t>Local Agencies</t>
  </si>
  <si>
    <t>2009-10</t>
  </si>
  <si>
    <t>Legal
Reference
(Ch./Year)</t>
  </si>
  <si>
    <t>Administrative License Suspension</t>
  </si>
  <si>
    <t>Ch. 1460/89</t>
  </si>
  <si>
    <t>Allocation of Property Tax Revenues</t>
  </si>
  <si>
    <t>Ch. 697/92</t>
  </si>
  <si>
    <t>Countywide Tax Rates</t>
  </si>
  <si>
    <t>Ch. 921/87</t>
  </si>
  <si>
    <t>Crime Victims' Domestic Violence Incident Reports</t>
  </si>
  <si>
    <t>Ch. 1022/99</t>
  </si>
  <si>
    <t>Custody of Minors – Child Abduction and Recovery</t>
  </si>
  <si>
    <t>Ch. 1399/76</t>
  </si>
  <si>
    <t>Domestic Violence Arrest Policies and Standards</t>
  </si>
  <si>
    <t>Ch. 246/95</t>
  </si>
  <si>
    <t>Domestic Violence Arrests and Victim Assistance</t>
  </si>
  <si>
    <t>Ch. 698/98</t>
  </si>
  <si>
    <t>Domestic Violence Treatment Services – Authorization and Case Management</t>
  </si>
  <si>
    <t>Ch. 183/92</t>
  </si>
  <si>
    <t>Health Benefits for Survivors of Peace Officers and Firefighters</t>
  </si>
  <si>
    <t>Ch. 1120/96</t>
  </si>
  <si>
    <t>Local Agency Employee Organizations: Impasse Procedures II</t>
  </si>
  <si>
    <t>Ch. 314/12</t>
  </si>
  <si>
    <t>Local Agency Ethics</t>
  </si>
  <si>
    <t>Ch. 700/05</t>
  </si>
  <si>
    <t>Medi-Cal Beneficiary Probate</t>
  </si>
  <si>
    <t>Ch. 102/81</t>
  </si>
  <si>
    <t>Medi-Cal Eligibility of Juvenile Offenders</t>
  </si>
  <si>
    <t>Ch. 657/06</t>
  </si>
  <si>
    <t>Peace Officers Personnel Records: Unfounded Complaints and Discovery</t>
  </si>
  <si>
    <t>Ch. 630/78</t>
  </si>
  <si>
    <t>Pesticide Use Reports</t>
  </si>
  <si>
    <t>Ch. 1200/89</t>
  </si>
  <si>
    <t>Rape Victims Counseling Center Notice</t>
  </si>
  <si>
    <t>Ch. 999/91</t>
  </si>
  <si>
    <t>Sexually Violent Predators</t>
  </si>
  <si>
    <t>Ch. 762/95</t>
  </si>
  <si>
    <t>State Authorized Risk Assessment Tool for Sex Offenders</t>
  </si>
  <si>
    <t>Ch. 336/06</t>
  </si>
  <si>
    <t>Tuberculosis Control</t>
  </si>
  <si>
    <t>Ch. 676/93</t>
  </si>
  <si>
    <t>U Visa 918 Form, Victims of Crime: Nonimmigrant Status</t>
  </si>
  <si>
    <t>Ch. 721/15</t>
  </si>
  <si>
    <t>2018-19</t>
  </si>
  <si>
    <t>2017-18</t>
  </si>
  <si>
    <t>2016-17</t>
  </si>
  <si>
    <t>2015-16</t>
  </si>
  <si>
    <t>2014-15</t>
  </si>
  <si>
    <t>2008-09</t>
  </si>
  <si>
    <t>2003-04</t>
  </si>
  <si>
    <t>Collective Bargaining and Collective Bargaining Agreement Disclosure</t>
  </si>
  <si>
    <t>Ch. 961/75</t>
  </si>
  <si>
    <t>Ch. 36/77</t>
  </si>
  <si>
    <t>AIDS Instruction and AIDS Prevention Instruction</t>
  </si>
  <si>
    <t>Ch. 818/91</t>
  </si>
  <si>
    <t>California Assessment of Student Performance and Progress (CAASPP)</t>
  </si>
  <si>
    <t>Ch. 489/13</t>
  </si>
  <si>
    <t>Caregiver Affidavits to Establish Residence for School Attendance</t>
  </si>
  <si>
    <t>Ch. 98/94</t>
  </si>
  <si>
    <t>Comprehensive School Safety Plans I and II</t>
  </si>
  <si>
    <t>Ch. 736/97</t>
  </si>
  <si>
    <t>Consolidated Suspensions, Expulsions, and Expulsion Appeals</t>
  </si>
  <si>
    <t>Ch. 1253/75</t>
  </si>
  <si>
    <t>Consolidation of Annual Parent Notification/Schoolsite Discipline Rules/Alternative Schools</t>
  </si>
  <si>
    <t>Ch. 448/75</t>
  </si>
  <si>
    <t>Consolidation of Law Enforcement Agency Notifications (LEAN) and Missing Children Reports (MCR)</t>
  </si>
  <si>
    <t>Ch. 249/86</t>
  </si>
  <si>
    <t>Consolidation of Notification to Teachers: Pupils Subject to Suspension or Expulsion and Pupil Discipline Records, Notification to Teachers: Pupils Subject to Suspension or Expulsion II</t>
  </si>
  <si>
    <t>Ch. 1306/89</t>
  </si>
  <si>
    <t>County Office of Education Fiscal Accountability Reporting</t>
  </si>
  <si>
    <t>Ch. 917/87</t>
  </si>
  <si>
    <t>Criminal Background Checks I</t>
  </si>
  <si>
    <t>Ch. 588/97</t>
  </si>
  <si>
    <t>Financial and Compliance Audits</t>
  </si>
  <si>
    <t>Graduation Requirements (On or after 1/1/2005)</t>
  </si>
  <si>
    <t>Ch. 498/83</t>
  </si>
  <si>
    <t>Habitual Truants</t>
  </si>
  <si>
    <t>Ch. 1184/75</t>
  </si>
  <si>
    <t>Immunization Records</t>
  </si>
  <si>
    <t>Ch. 1176/77</t>
  </si>
  <si>
    <t>Immunization Records – Mumps, Rubella, and Hepatitis B</t>
  </si>
  <si>
    <t>Ch. 325/78</t>
  </si>
  <si>
    <t>Immunization Records – Pertussis</t>
  </si>
  <si>
    <t>Ch. 434/10</t>
  </si>
  <si>
    <t>Intradistrict Attendance</t>
  </si>
  <si>
    <t>Ch. 161/93</t>
  </si>
  <si>
    <t>Notification of Truancy</t>
  </si>
  <si>
    <t>Parental Involvement Programs</t>
  </si>
  <si>
    <t>Ch. 1400/90</t>
  </si>
  <si>
    <t>School Accountability Report Cards</t>
  </si>
  <si>
    <t>Ch. 1463/89</t>
  </si>
  <si>
    <t>School District Fiscal Accountability Reporting and Employee Benefits Disclosure</t>
  </si>
  <si>
    <t>Ch. 100/81</t>
  </si>
  <si>
    <t>The Stull Act</t>
  </si>
  <si>
    <t>Training for School Employee Mandated Reporters</t>
  </si>
  <si>
    <t>Ch. 797/14</t>
  </si>
  <si>
    <t>Williams Case Implementation I, II, and III</t>
  </si>
  <si>
    <t>Ch. 900/04</t>
  </si>
  <si>
    <t>Cal Grant: Opt-Out Notice and Grade Point Average Submission</t>
  </si>
  <si>
    <t>Ch. 679/14</t>
  </si>
  <si>
    <t>Criminal Background Checks II</t>
  </si>
  <si>
    <t>Ch. 594/98</t>
  </si>
  <si>
    <t>Juvenile Court Notices II</t>
  </si>
  <si>
    <t>Ch. 1423/84</t>
  </si>
  <si>
    <t>Physical Performance Tests</t>
  </si>
  <si>
    <t>Ch. 975/95</t>
  </si>
  <si>
    <t>Pupil Promotion and Retention</t>
  </si>
  <si>
    <t>Uniform Complaint Procedures (K-12)</t>
  </si>
  <si>
    <t>Ch. 1117/82</t>
  </si>
  <si>
    <t>Total School Districts</t>
  </si>
  <si>
    <t>Ch. 29,30,449/18</t>
  </si>
  <si>
    <t>0001-6870-2018-295-98</t>
  </si>
  <si>
    <t>0001-6870-2019-295-98</t>
  </si>
  <si>
    <t>Ch. 6,7,40/20</t>
  </si>
  <si>
    <t>0001-6870-2020-295-98</t>
  </si>
  <si>
    <t>0001-6100-2018-295-98</t>
  </si>
  <si>
    <t>0001-6100-2019-295-98</t>
  </si>
  <si>
    <t>0001-6100-2020-295-98</t>
  </si>
  <si>
    <t>0106-8885-2018-295-98</t>
  </si>
  <si>
    <t>0106-8885-2019-295-98</t>
  </si>
  <si>
    <t>0106-8885-2020-295-98</t>
  </si>
  <si>
    <t>0044-8885-2018-295-98</t>
  </si>
  <si>
    <t>0044-8885-2019-295-98</t>
  </si>
  <si>
    <t>0044-8885-2020-295-98</t>
  </si>
  <si>
    <t>2015-16 and prior</t>
  </si>
  <si>
    <t>0001-8885-2018-295-98</t>
  </si>
  <si>
    <t>0001-8885-2019-295-98</t>
  </si>
  <si>
    <t>2018-19 and prior</t>
  </si>
  <si>
    <t>0001-8885-2020-295-98</t>
  </si>
  <si>
    <t>Reversion Date</t>
  </si>
  <si>
    <t>0106-8885-2018-295-98 Total</t>
  </si>
  <si>
    <t>0106-8885-2020-295-98 Total</t>
  </si>
  <si>
    <t>0044-8885-2019-295-98 Total</t>
  </si>
  <si>
    <t>0044-8885-2020-295-98 Total</t>
  </si>
  <si>
    <t>0001-8885-2018-295-98 Total</t>
  </si>
  <si>
    <t>0001-8885-2019-295-98 Total</t>
  </si>
  <si>
    <t>Ch. 684/00</t>
  </si>
  <si>
    <t>Racial Profiling: Law Enforcement Training</t>
  </si>
  <si>
    <t>0001-8885-2020-295-98 Total</t>
  </si>
  <si>
    <t>Handicapped and Disabled Students, Handicapped and Disabled Students II, and Seriously Emotionally Disturbed (SED) Pupils: Out of State Mental Health Services</t>
  </si>
  <si>
    <t>Ch. 1747/84</t>
  </si>
  <si>
    <t>Ch. 23,55,80,363/19</t>
  </si>
  <si>
    <t>Appropriation
Number</t>
  </si>
  <si>
    <t>Fiscal Year of
Claims Paid</t>
  </si>
  <si>
    <t>Original
Appropriation
Amount</t>
  </si>
  <si>
    <t>Add: Receipts
and Recovered
Amounts</t>
  </si>
  <si>
    <t>Less: Mandated Program Payments,
Offsets, and Interest
(see Schedule A1)</t>
  </si>
  <si>
    <t>Appropriation
Balances
as of 4/1/2021</t>
  </si>
  <si>
    <t>2017-18 and prior</t>
  </si>
  <si>
    <t xml:space="preserve"> State of California</t>
  </si>
  <si>
    <t>State-Mandated Program Cost Report</t>
  </si>
  <si>
    <t>of Unpaid Claims and Deficiencies</t>
  </si>
  <si>
    <t>(Government Code section 17562(b)(2))</t>
  </si>
  <si>
    <t>N/A</t>
  </si>
  <si>
    <t>Image on Office of the Controller, State of California Seal</t>
  </si>
  <si>
    <t>BETTY T. YEE</t>
  </si>
  <si>
    <t>California State Controller’s Office</t>
  </si>
  <si>
    <t>CONTENTS</t>
  </si>
  <si>
    <t>STATE-MANDATED PROGRAM COST REPORT OF UNPAID CLAIMS AND DEFICIENCIES</t>
  </si>
  <si>
    <t>FOR LOCAL AGENCIES, SCHOOL DISTRICTS, AND COMMUNITY COLLEGE DISTRICTS</t>
  </si>
  <si>
    <t>SCHEDULE A:</t>
  </si>
  <si>
    <t>SUMMARY OF STATE-MANDATED PROGRAM APPROPRIATIONS, RECEIPTS, AND PAYMENTS</t>
  </si>
  <si>
    <t>Page 3</t>
  </si>
  <si>
    <r>
      <t>SCHEDULE A1:</t>
    </r>
    <r>
      <rPr>
        <sz val="14"/>
        <color theme="1"/>
        <rFont val="Arial"/>
        <family val="2"/>
      </rPr>
      <t xml:space="preserve"> </t>
    </r>
  </si>
  <si>
    <t>DETAIL OF STATE-MANDATED PROGRAM PAYMENTS BY FISCAL YEAR</t>
  </si>
  <si>
    <t>SCHEDULE B:</t>
  </si>
  <si>
    <t>SUMMARY OF FUNDED AND UNFUNDED STATE-MANDATED PROGRAMS</t>
  </si>
  <si>
    <t>SCHEDULE B1:</t>
  </si>
  <si>
    <t>DETAIL OF FUNDED STATE-MANDATED PROGRAMS BY FISCAL YEAR</t>
  </si>
  <si>
    <t>SCHEDULE B2:</t>
  </si>
  <si>
    <t>DETAIL OF UNFUNDED STATE-MANDATED PROGRAMS</t>
  </si>
  <si>
    <t>As of April 1, 2021</t>
  </si>
  <si>
    <t>For the Budget Acts of 2018-19, 2019-20, and 2020-21</t>
  </si>
  <si>
    <t>For 2019-20 and Prior Fiscal Years</t>
  </si>
  <si>
    <t>Program Category
 and Fund</t>
  </si>
  <si>
    <t>Legal 
Reference
(Ch./Year)</t>
  </si>
  <si>
    <t>Comment</t>
  </si>
  <si>
    <t>Comment2</t>
  </si>
  <si>
    <t>Local Agencies-General Fund</t>
  </si>
  <si>
    <t>Comment: Includes interest payments (see Schedule A1 for detail).</t>
  </si>
  <si>
    <t>Total Local Agencies-General Fund</t>
  </si>
  <si>
    <t>Please continue to next table.</t>
  </si>
  <si>
    <t>Motor Vehicle Account-Non-General Fund</t>
  </si>
  <si>
    <t>Total Motor Vehicle Account-Non-General Fund</t>
  </si>
  <si>
    <t>Pesticide Regulation-Non-General Fund</t>
  </si>
  <si>
    <t>Total Pesticide Regulation-Non-General Fund</t>
  </si>
  <si>
    <t>School Districts-General Fund</t>
  </si>
  <si>
    <t>Total School Districts-General Fund</t>
  </si>
  <si>
    <t>Community College Districts-General Fund</t>
  </si>
  <si>
    <t>Total Community College Districts-General Fund</t>
  </si>
  <si>
    <t>Grand Total</t>
  </si>
  <si>
    <t>State Controller's Office
Schedule A: Summary of State-Mandated Program Appropriations, Receipts, and Payments
As of April 1, 2021</t>
  </si>
  <si>
    <r>
      <t>Appropriation Balances</t>
    </r>
    <r>
      <rPr>
        <b/>
        <vertAlign val="superscript"/>
        <sz val="12"/>
        <color theme="1"/>
        <rFont val="Arial"/>
        <family val="2"/>
      </rPr>
      <t xml:space="preserve">1 </t>
    </r>
  </si>
  <si>
    <r>
      <t>Less: Reappropriations</t>
    </r>
    <r>
      <rPr>
        <b/>
        <vertAlign val="superscript"/>
        <sz val="12"/>
        <color theme="1"/>
        <rFont val="Arial"/>
        <family val="2"/>
      </rPr>
      <t>3</t>
    </r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</si>
  <si>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 As of 4/1/2020, except for the Budget Act of 2020 appropriation as of 7/1/2020.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</si>
  <si>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 Includes interest payments (see Schedule A1 for detail).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</si>
  <si>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 Per Item 0001-6870-2020-488, Schedule (6) of the Budget Act of 2020, $13,000 was reappropriated from Item 0001-6870-2018-295 of the Budget Act of 2018.</t>
    </r>
  </si>
  <si>
    <t>Comment: Per Item 0001-6870-2020-488, Schedule (6) of the Budget Act of 2020, $13,000 was reappropriated from Item 0001-6870-2018-295 of the Budget Act of 2018.</t>
  </si>
  <si>
    <t>Comment: As of 4/1/2020, except for the Budget Act of 2020 appropriation as of 7/1/2020.</t>
  </si>
  <si>
    <t>Program Category
and Type of Payment</t>
  </si>
  <si>
    <t>Fiscal 
Year</t>
  </si>
  <si>
    <t>Appropriation 
Number</t>
  </si>
  <si>
    <t>Program 
Name</t>
  </si>
  <si>
    <t>Program
 Number</t>
  </si>
  <si>
    <t>Program 
Payments and Offsets</t>
  </si>
  <si>
    <t>Interest
Payments and Offsets</t>
  </si>
  <si>
    <t>Total 
Payments</t>
  </si>
  <si>
    <t>Local Agencies-Annual Claim</t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</si>
  <si>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H2, K3, and K29 )</t>
    </r>
  </si>
  <si>
    <t>Local Agencies-Motor Vehicle</t>
  </si>
  <si>
    <t>Local Agencies-Pesticide</t>
  </si>
  <si>
    <t>State Controller's Office
Schedule A1: Detail of State-Mandated Program Payments by Fiscal Year 
As of April 1, 2021</t>
  </si>
  <si>
    <t>State Controller's Office
Schedule A1: Detail of State-Mandated Program Payments by Fiscal Year
As of April 1, 2021</t>
  </si>
  <si>
    <t>School District-Annual Claim</t>
  </si>
  <si>
    <t>School District</t>
  </si>
  <si>
    <t xml:space="preserve">Comment: All community college districts participate in the block grant program. Therefore, no payments were made to any community college districts.  </t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</si>
  <si>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All community college districts participate in the block grant program. Therefore, no payments were made to any community college districts.</t>
    </r>
  </si>
  <si>
    <r>
      <t>Footnote:</t>
    </r>
    <r>
      <rPr>
        <sz val="12"/>
        <color theme="0"/>
        <rFont val="Arial"/>
        <family val="2"/>
      </rPr>
      <t xml:space="preserve"> (For those using screen readers this footnote is identical to comment referenced in cell B39.)</t>
    </r>
  </si>
  <si>
    <r>
      <t xml:space="preserve">Grant Total Local Agencies and School Districts </t>
    </r>
    <r>
      <rPr>
        <b/>
        <vertAlign val="superscript"/>
        <sz val="12"/>
        <rFont val="Arial"/>
        <family val="2"/>
      </rPr>
      <t>4</t>
    </r>
  </si>
  <si>
    <t>State Controller's Office
Schedule B: Summary of Funded and Unfunded State-Mandated Programs
As of April 1, 2021</t>
  </si>
  <si>
    <t>Program
Category</t>
  </si>
  <si>
    <t>Fiscal
Year</t>
  </si>
  <si>
    <t>Schedules</t>
  </si>
  <si>
    <t>Program
Costs</t>
  </si>
  <si>
    <t>Comment: Amount due to local agencies, school districts, and community college districts.</t>
  </si>
  <si>
    <t>Comment: Total accounts receivable established due to desk reviews and field audit claim adjustments.</t>
  </si>
  <si>
    <t>Less: Recovered
Amount</t>
  </si>
  <si>
    <t>Comment: Amount due from local agencies, school districts (includes ineligible charter schools), and community college districts.</t>
  </si>
  <si>
    <t>Less: Net Payments and Offsets</t>
  </si>
  <si>
    <r>
      <t>Accounts Payable
Balance</t>
    </r>
    <r>
      <rPr>
        <b/>
        <vertAlign val="superscript"/>
        <sz val="12"/>
        <color theme="1"/>
        <rFont val="Arial"/>
        <family val="2"/>
      </rPr>
      <t xml:space="preserve"> 3</t>
    </r>
  </si>
  <si>
    <r>
      <t xml:space="preserve">Established
Accounts 
Receivable </t>
    </r>
    <r>
      <rPr>
        <b/>
        <vertAlign val="superscript"/>
        <sz val="12"/>
        <color theme="1"/>
        <rFont val="Arial"/>
        <family val="2"/>
      </rPr>
      <t>4</t>
    </r>
  </si>
  <si>
    <r>
      <t xml:space="preserve">Accounts Receivable
Balance </t>
    </r>
    <r>
      <rPr>
        <b/>
        <vertAlign val="superscript"/>
        <sz val="12"/>
        <color theme="1"/>
        <rFont val="Arial"/>
        <family val="2"/>
      </rPr>
      <t>5</t>
    </r>
  </si>
  <si>
    <r>
      <t xml:space="preserve">Net
Balance </t>
    </r>
    <r>
      <rPr>
        <b/>
        <vertAlign val="superscript"/>
        <sz val="12"/>
        <color theme="1"/>
        <rFont val="Arial"/>
        <family val="2"/>
      </rPr>
      <t xml:space="preserve">6 </t>
    </r>
  </si>
  <si>
    <t>General Government</t>
  </si>
  <si>
    <t>2019-20 and Prior</t>
  </si>
  <si>
    <t>B1-Funded</t>
  </si>
  <si>
    <t>Total Local Agencies</t>
  </si>
  <si>
    <t>Comment: Local agencies do not receive funding offsets.</t>
  </si>
  <si>
    <t>Comment1</t>
  </si>
  <si>
    <t>Comment: Net amount of deficiencies and surpluses (A/P Balance less A/R Balance equals Net Balance).</t>
  </si>
  <si>
    <t>Education</t>
  </si>
  <si>
    <t>School Districts</t>
  </si>
  <si>
    <t>Community College Districts</t>
  </si>
  <si>
    <t>2014-15 and Prior</t>
  </si>
  <si>
    <t>Comment: This amount includes offsets applied from prior years.</t>
  </si>
  <si>
    <t>Comment3</t>
  </si>
  <si>
    <t>Comment4</t>
  </si>
  <si>
    <t>Comment5</t>
  </si>
  <si>
    <t>Comment6</t>
  </si>
  <si>
    <t>Total School Districts and Community College Districts</t>
  </si>
  <si>
    <t>Comment: State-mandated programs appropriated for payments in the Budget Act (funded) and programs without appropriations (unfunded).</t>
  </si>
  <si>
    <t>B2-Unfunded</t>
  </si>
  <si>
    <t>Grand Total Local Agencies, School Districts, and Community College Districts</t>
  </si>
  <si>
    <r>
      <rPr>
        <vertAlign val="superscript"/>
        <sz val="12"/>
        <color theme="1"/>
        <rFont val="Arial"/>
        <family val="2"/>
      </rPr>
      <t>1</t>
    </r>
    <r>
      <rPr>
        <sz val="12"/>
        <color theme="1"/>
        <rFont val="Arial"/>
        <family val="2"/>
      </rPr>
      <t xml:space="preserve"> Local agencies do not receive funding offsets.</t>
    </r>
  </si>
  <si>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 xml:space="preserve"> This amount includes offsets applied from prior years.</t>
    </r>
  </si>
  <si>
    <r>
      <rPr>
        <vertAlign val="superscript"/>
        <sz val="12"/>
        <color theme="1"/>
        <rFont val="Arial"/>
        <family val="2"/>
      </rPr>
      <t>3</t>
    </r>
    <r>
      <rPr>
        <sz val="12"/>
        <color theme="1"/>
        <rFont val="Arial"/>
        <family val="2"/>
      </rPr>
      <t xml:space="preserve"> Amount due to local agencies, school districts, and community college districts.</t>
    </r>
  </si>
  <si>
    <r>
      <rPr>
        <vertAlign val="superscript"/>
        <sz val="12"/>
        <color theme="1"/>
        <rFont val="Arial"/>
        <family val="2"/>
      </rPr>
      <t>4</t>
    </r>
    <r>
      <rPr>
        <sz val="12"/>
        <color theme="1"/>
        <rFont val="Arial"/>
        <family val="2"/>
      </rPr>
      <t xml:space="preserve"> Total accounts receivable established due to desk reviews and field audit claim adjustments.</t>
    </r>
  </si>
  <si>
    <r>
      <rPr>
        <vertAlign val="superscript"/>
        <sz val="12"/>
        <color theme="1"/>
        <rFont val="Arial"/>
        <family val="2"/>
      </rPr>
      <t>5</t>
    </r>
    <r>
      <rPr>
        <sz val="12"/>
        <color theme="1"/>
        <rFont val="Arial"/>
        <family val="2"/>
      </rPr>
      <t xml:space="preserve"> Amount due from local agencies, school districts (includes ineligible charter schools), and community college districts.</t>
    </r>
  </si>
  <si>
    <r>
      <rPr>
        <vertAlign val="superscript"/>
        <sz val="12"/>
        <color theme="1"/>
        <rFont val="Arial"/>
        <family val="2"/>
      </rPr>
      <t>6</t>
    </r>
    <r>
      <rPr>
        <sz val="12"/>
        <color theme="1"/>
        <rFont val="Arial"/>
        <family val="2"/>
      </rPr>
      <t xml:space="preserve"> Net amount of deficiencies and surpluses (A/P Balance less A/R Balance equals Net Balance).</t>
    </r>
  </si>
  <si>
    <r>
      <rPr>
        <vertAlign val="superscript"/>
        <sz val="12"/>
        <color theme="1"/>
        <rFont val="Arial"/>
        <family val="2"/>
      </rPr>
      <t>7</t>
    </r>
    <r>
      <rPr>
        <sz val="12"/>
        <color theme="1"/>
        <rFont val="Arial"/>
        <family val="2"/>
      </rPr>
      <t xml:space="preserve"> State-mandated programs appropriated for payments in the Budget Act (funded) and programs without appropriations (unfunded).</t>
    </r>
  </si>
  <si>
    <r>
      <t xml:space="preserve">Accounts Payable
Balance </t>
    </r>
    <r>
      <rPr>
        <b/>
        <vertAlign val="superscript"/>
        <sz val="12"/>
        <rFont val="Arial"/>
        <family val="2"/>
      </rPr>
      <t>3</t>
    </r>
  </si>
  <si>
    <r>
      <t xml:space="preserve">Established
Accounts 
Receivable </t>
    </r>
    <r>
      <rPr>
        <b/>
        <vertAlign val="superscript"/>
        <sz val="12"/>
        <rFont val="Arial"/>
        <family val="2"/>
      </rPr>
      <t>4</t>
    </r>
  </si>
  <si>
    <r>
      <t xml:space="preserve">Accounts Receivable
Balance </t>
    </r>
    <r>
      <rPr>
        <b/>
        <vertAlign val="superscript"/>
        <sz val="12"/>
        <rFont val="Arial"/>
        <family val="2"/>
      </rPr>
      <t>5</t>
    </r>
  </si>
  <si>
    <r>
      <t xml:space="preserve">Net
Balance </t>
    </r>
    <r>
      <rPr>
        <b/>
        <vertAlign val="superscript"/>
        <sz val="12"/>
        <rFont val="Arial"/>
        <family val="2"/>
      </rPr>
      <t>6</t>
    </r>
    <r>
      <rPr>
        <b/>
        <sz val="12"/>
        <rFont val="Arial"/>
        <family val="2"/>
      </rPr>
      <t xml:space="preserve"> </t>
    </r>
  </si>
  <si>
    <r>
      <t xml:space="preserve">Total Schedule B2: Unfunded Mandates </t>
    </r>
    <r>
      <rPr>
        <b/>
        <vertAlign val="superscript"/>
        <sz val="12"/>
        <rFont val="Arial"/>
        <family val="2"/>
      </rPr>
      <t>7</t>
    </r>
  </si>
  <si>
    <r>
      <t xml:space="preserve">Total Schedule B1: Funded Mandates </t>
    </r>
    <r>
      <rPr>
        <b/>
        <vertAlign val="superscript"/>
        <sz val="12"/>
        <rFont val="Arial"/>
        <family val="2"/>
      </rPr>
      <t>7</t>
    </r>
  </si>
  <si>
    <r>
      <t xml:space="preserve">Footnotes: </t>
    </r>
    <r>
      <rPr>
        <sz val="12"/>
        <color theme="0"/>
        <rFont val="Arial"/>
        <family val="2"/>
      </rPr>
      <t>(For those using screen readers these footnotes are identical to comments referenced in cells G3, G8, I2, K2, N2, P2, B17 and B32.)</t>
    </r>
  </si>
  <si>
    <t>State Controller's Office
Schedule B1: Detail of Funded State-Mandated Programs by Fiscal Year
As of April 1, 2021</t>
  </si>
  <si>
    <t>Program
Name</t>
  </si>
  <si>
    <t>Comment: Local agencies did not receive one-time funding offsets.</t>
  </si>
  <si>
    <t>Accounts Payable
Balance</t>
  </si>
  <si>
    <t>Established
Accounts Receivable</t>
  </si>
  <si>
    <t>Accounts Receivable
Balance</t>
  </si>
  <si>
    <t>Net
Balance</t>
  </si>
  <si>
    <t>2019-20</t>
  </si>
  <si>
    <t>Peace Officers Procedural Bill of Rights</t>
  </si>
  <si>
    <t>Ch. 465/76</t>
  </si>
  <si>
    <t>Threats Against Peace Officers</t>
  </si>
  <si>
    <t>Ch. 1249/92</t>
  </si>
  <si>
    <t>2019-20 Total</t>
  </si>
  <si>
    <t>Program
Number</t>
  </si>
  <si>
    <r>
      <t xml:space="preserve">Less: Net 
Payments
 and Offsets </t>
    </r>
    <r>
      <rPr>
        <b/>
        <vertAlign val="superscript"/>
        <sz val="12"/>
        <color theme="1"/>
        <rFont val="Arial"/>
        <family val="2"/>
      </rPr>
      <t>1</t>
    </r>
  </si>
  <si>
    <t>Less: 
Recovered 
Amount</t>
  </si>
  <si>
    <t>2018-19 Total</t>
  </si>
  <si>
    <t>2017-18 Total</t>
  </si>
  <si>
    <t>2016-17 Total</t>
  </si>
  <si>
    <t>2015-16 Total</t>
  </si>
  <si>
    <t>2014-15 Total</t>
  </si>
  <si>
    <t>2013-14</t>
  </si>
  <si>
    <t>2013-14 Total</t>
  </si>
  <si>
    <t>2012-13</t>
  </si>
  <si>
    <t>2012-13 Total</t>
  </si>
  <si>
    <t>2011-12</t>
  </si>
  <si>
    <t>Open Meetings Act/Brown Act Reform</t>
  </si>
  <si>
    <t>Ch. 641/86</t>
  </si>
  <si>
    <t>2011-12 Total</t>
  </si>
  <si>
    <t>2010-11</t>
  </si>
  <si>
    <t>Absentee Ballots</t>
  </si>
  <si>
    <t>Ch. 77/78</t>
  </si>
  <si>
    <t>Absentee Ballots: Tabulation by Precinct</t>
  </si>
  <si>
    <t>Ch. 697/99</t>
  </si>
  <si>
    <t>California Public Records Act</t>
  </si>
  <si>
    <t>Ch. 463/92</t>
  </si>
  <si>
    <t>In-Home Supportive Services II</t>
  </si>
  <si>
    <t>Ch. 90/99</t>
  </si>
  <si>
    <t>Mandate Reimbursement Process I</t>
  </si>
  <si>
    <t>Ch. 486/75</t>
  </si>
  <si>
    <t>Voter Registration Procedures</t>
  </si>
  <si>
    <t>Ch. 704/75</t>
  </si>
  <si>
    <t>Animal Adoption</t>
  </si>
  <si>
    <t>Ch. 752/98</t>
  </si>
  <si>
    <t>Conservatorship: Developmentally Disabled Adults</t>
  </si>
  <si>
    <t>Ch. 1304/80</t>
  </si>
  <si>
    <t>Coroner's Costs</t>
  </si>
  <si>
    <t>Ch. 498/77</t>
  </si>
  <si>
    <t>Crime Victims' Rights</t>
  </si>
  <si>
    <t>Ch. 411/95</t>
  </si>
  <si>
    <t>Developmentally Disabled: Attorneys' Services</t>
  </si>
  <si>
    <t>Ch. 694/75</t>
  </si>
  <si>
    <t>Local Agency Formation Commissions (LAFCO)</t>
  </si>
  <si>
    <t>Ch. 761/00</t>
  </si>
  <si>
    <t>Mentally Disordered Offenders' Extended Commitment Proceedings</t>
  </si>
  <si>
    <t>Ch. 1418/85</t>
  </si>
  <si>
    <t>Mentally Disordered Sex Offenders: Extended Commitment Proceedings</t>
  </si>
  <si>
    <t>Ch. 1036/78</t>
  </si>
  <si>
    <t>Mentally Retarded Defendants: Diversion</t>
  </si>
  <si>
    <t>Ch. 1253/80</t>
  </si>
  <si>
    <t>Not Guilty by Reason of Insanity</t>
  </si>
  <si>
    <t>Ch. 1114/79</t>
  </si>
  <si>
    <t>Pacific Beach Safety: Water Quality and Closures</t>
  </si>
  <si>
    <t>Ch. 961/92</t>
  </si>
  <si>
    <t>Perinatal Services</t>
  </si>
  <si>
    <t>Ch. 1603/90</t>
  </si>
  <si>
    <t>Permanent Absent Voters</t>
  </si>
  <si>
    <t>Ch. 1422/82</t>
  </si>
  <si>
    <t>Photographic Record of Evidence</t>
  </si>
  <si>
    <t>Ch. 875/85</t>
  </si>
  <si>
    <t>Post Conviction: DNA Court Proceedings</t>
  </si>
  <si>
    <t>Ch. 821/00</t>
  </si>
  <si>
    <t>Search Warrant: AIDS</t>
  </si>
  <si>
    <t>Ch. 1088/88</t>
  </si>
  <si>
    <t>Stolen Vehicle Notification</t>
  </si>
  <si>
    <t>Ch. 337/90</t>
  </si>
  <si>
    <t>DNA Database</t>
  </si>
  <si>
    <t>Ch. 822/00</t>
  </si>
  <si>
    <t>False Reports of Police Misconduct</t>
  </si>
  <si>
    <t>Ch. 590/95</t>
  </si>
  <si>
    <t>Judicial Proceedings For Mentally Retarded Persons</t>
  </si>
  <si>
    <t>Ch. 644/80</t>
  </si>
  <si>
    <t>Postmortem Examinations: Unidentified Bodies, Human Remains</t>
  </si>
  <si>
    <t>Ch. 284/00</t>
  </si>
  <si>
    <t>Senior Citizens Property Tax Postponement</t>
  </si>
  <si>
    <t>Ch. 1242/77</t>
  </si>
  <si>
    <t>2007-08</t>
  </si>
  <si>
    <t>Firefighters' Cancer Presumption</t>
  </si>
  <si>
    <t>Ch. 1568/82</t>
  </si>
  <si>
    <t>Peace Officers Cancer Presumption</t>
  </si>
  <si>
    <t>Ch. 1171/89</t>
  </si>
  <si>
    <t>2006-07</t>
  </si>
  <si>
    <t>2005-06</t>
  </si>
  <si>
    <t>2004-05</t>
  </si>
  <si>
    <t>2002-03</t>
  </si>
  <si>
    <t>2001-02</t>
  </si>
  <si>
    <t>Investment Reports</t>
  </si>
  <si>
    <t>Ch. 783/95</t>
  </si>
  <si>
    <t>2000-01</t>
  </si>
  <si>
    <t>1999-00</t>
  </si>
  <si>
    <t>SIDS Training for Firefighters</t>
  </si>
  <si>
    <t>Ch. 1111/89</t>
  </si>
  <si>
    <t>1998-99</t>
  </si>
  <si>
    <t>Open Meetings Act</t>
  </si>
  <si>
    <t>Regional Housing Need Determination</t>
  </si>
  <si>
    <t>Ch. 1143/80</t>
  </si>
  <si>
    <t>1997-98</t>
  </si>
  <si>
    <t>1996-97</t>
  </si>
  <si>
    <t>1995-96</t>
  </si>
  <si>
    <t>1994-95</t>
  </si>
  <si>
    <t>1992-93</t>
  </si>
  <si>
    <t>Personal Alarm Devices</t>
  </si>
  <si>
    <t>Title 8</t>
  </si>
  <si>
    <t>1991-92</t>
  </si>
  <si>
    <t>Structural and Wildland Firefighter Safety Clothing and Equipment</t>
  </si>
  <si>
    <t xml:space="preserve">Title 8 </t>
  </si>
  <si>
    <t>2010-11 Total</t>
  </si>
  <si>
    <t>2009-10 Total</t>
  </si>
  <si>
    <t>2008-09 Total</t>
  </si>
  <si>
    <t>2007-08 Total</t>
  </si>
  <si>
    <t>2006-07 Total</t>
  </si>
  <si>
    <t>2005-06 Total</t>
  </si>
  <si>
    <t>2004-05 Total</t>
  </si>
  <si>
    <t>2003-04 Total</t>
  </si>
  <si>
    <t>2002-03 Total</t>
  </si>
  <si>
    <t>2001-02 Total</t>
  </si>
  <si>
    <t>2000-01 Total</t>
  </si>
  <si>
    <t>1999-00 Total</t>
  </si>
  <si>
    <t>1998-99 Total</t>
  </si>
  <si>
    <t>1997-98 Total</t>
  </si>
  <si>
    <t>1996-97 Total</t>
  </si>
  <si>
    <t>1995-96 Total</t>
  </si>
  <si>
    <t>1994-95 Total</t>
  </si>
  <si>
    <t>1992-93 Total</t>
  </si>
  <si>
    <t>1991-92 Total</t>
  </si>
  <si>
    <r>
      <t xml:space="preserve">Footnote: </t>
    </r>
    <r>
      <rPr>
        <sz val="12"/>
        <color theme="0"/>
        <rFont val="Arial"/>
        <family val="2"/>
      </rPr>
      <t>(For those using screen readers this footnote is identical to comment referenced in cell G2.)</t>
    </r>
  </si>
  <si>
    <t>Charter Schools I, II, and III</t>
  </si>
  <si>
    <t>Ch. 781/92</t>
  </si>
  <si>
    <t>Pupil Health Screenings (For Fiscal Year 2004-2005 and Subsequent Years)</t>
  </si>
  <si>
    <t>Ch. 1208/76</t>
  </si>
  <si>
    <t>Academic Performance Index</t>
  </si>
  <si>
    <t>Ch. 3/99</t>
  </si>
  <si>
    <t>Child Abuse and Neglect Reporting</t>
  </si>
  <si>
    <t>Ch. 640/87</t>
  </si>
  <si>
    <t>Expulsion of Pupils: Transcript Cost for Appeals</t>
  </si>
  <si>
    <t>High School Exit Examination</t>
  </si>
  <si>
    <t>Ch. 1/99</t>
  </si>
  <si>
    <t>Interdistrict Attendance Permits</t>
  </si>
  <si>
    <t>Ch. 172/86</t>
  </si>
  <si>
    <t>Pupil Safety Notices</t>
  </si>
  <si>
    <t>School District Reorganization</t>
  </si>
  <si>
    <t>Ch. 1192/80</t>
  </si>
  <si>
    <t>Student Records</t>
  </si>
  <si>
    <t>Ch. 593/89</t>
  </si>
  <si>
    <t>California Public Records Act (CPRA)</t>
  </si>
  <si>
    <t>California State Teachers' Retirement System (CalSTRS) Service Credit</t>
  </si>
  <si>
    <t>Ch. 603/94</t>
  </si>
  <si>
    <t>Charter Schools IV</t>
  </si>
  <si>
    <t>Ch. 1058/02</t>
  </si>
  <si>
    <t>Race to the Top</t>
  </si>
  <si>
    <t>Title 5</t>
  </si>
  <si>
    <t>Behavioral Intervention Plans (On or after 7/1/2012)</t>
  </si>
  <si>
    <t xml:space="preserve">Title 5 </t>
  </si>
  <si>
    <t>Immunization Records – Hepatitis B</t>
  </si>
  <si>
    <t>Mandate Reimbursement Process I and II</t>
  </si>
  <si>
    <t>Public Contracts (K-14)</t>
  </si>
  <si>
    <t>Ch. 1073/85</t>
  </si>
  <si>
    <t>Behavioral Intervention Plans (7/1/1993 to 6/30/2012)</t>
  </si>
  <si>
    <t>Prevailing Wage Rate</t>
  </si>
  <si>
    <t>Ch. 1249/78</t>
  </si>
  <si>
    <t>Pupil Expulsions II, Pupil Suspensions II, and Educational Services Plan for Expelled Pupils (7/1/2001 to 6/30/2012)</t>
  </si>
  <si>
    <t>Ch. 972/95</t>
  </si>
  <si>
    <t>Pupil Suspensions, Expulsions, and Expulsion Appeals</t>
  </si>
  <si>
    <t>Agency Fee Arrangements</t>
  </si>
  <si>
    <t>Ch. 893/00</t>
  </si>
  <si>
    <t>Developer Fees</t>
  </si>
  <si>
    <t>Ch. 955/77</t>
  </si>
  <si>
    <t>Physical Education Reports</t>
  </si>
  <si>
    <t>Ch. 640/97</t>
  </si>
  <si>
    <t>Removal of Chemicals</t>
  </si>
  <si>
    <t>Ch. 1107/84</t>
  </si>
  <si>
    <t>Scoliosis Screening</t>
  </si>
  <si>
    <t>Ch. 1347/80</t>
  </si>
  <si>
    <t>Pupil Residency Verification and Appeals</t>
  </si>
  <si>
    <t>Ch. 309/95</t>
  </si>
  <si>
    <t>Comprehensive School Safety Plans</t>
  </si>
  <si>
    <t>National Norm-Referenced Achievement Test (formerly Standardized Testing and Reporting (STAR))</t>
  </si>
  <si>
    <t>Ch. 828/97</t>
  </si>
  <si>
    <t>Consolidation of Pupil Discipline Records and Notification to Teachers: Pupils Subject to Suspension or Expulsion II</t>
  </si>
  <si>
    <t>Ch. 345/00</t>
  </si>
  <si>
    <t>Graduation Requirements</t>
  </si>
  <si>
    <t>Notification to Teachers: Pupils Subject to Suspension or Expulsion</t>
  </si>
  <si>
    <t>Charter Schools II</t>
  </si>
  <si>
    <t>Ch. 34/98</t>
  </si>
  <si>
    <t>Charter Schools III</t>
  </si>
  <si>
    <t>Differential Pay and Reemployment</t>
  </si>
  <si>
    <t>Ch. 30/98</t>
  </si>
  <si>
    <t>Law Enforcement Agency Notifications</t>
  </si>
  <si>
    <t>Ch. 1117/89</t>
  </si>
  <si>
    <t>Missing Children Reports</t>
  </si>
  <si>
    <t>Pupil Classroom Suspension: Counseling</t>
  </si>
  <si>
    <t>Ch. 965/77</t>
  </si>
  <si>
    <t>Pupil Expulsions from School: Additional Hearing Costs for Mandatory Recommendations for Expulsion</t>
  </si>
  <si>
    <t>American Government Course Document Requirements</t>
  </si>
  <si>
    <t>Ch. 778/96</t>
  </si>
  <si>
    <t>Annual Parent Notification (7/1/1999 through 6/30/2001)</t>
  </si>
  <si>
    <t>Emergency Procedures, Earthquake Procedures, and Disasters and Comprehensive School Safety Plans</t>
  </si>
  <si>
    <t>Ch. 1659/84</t>
  </si>
  <si>
    <t>Graduation Requirements (7/1/2004 to 12/31/2004)</t>
  </si>
  <si>
    <t>Pupil Exclusions</t>
  </si>
  <si>
    <t>Ch. 668/78</t>
  </si>
  <si>
    <t>Pupil Health Screenings (7/1/2003 and Prior)</t>
  </si>
  <si>
    <t>School District Fiscal Accountability Reporting</t>
  </si>
  <si>
    <t>Graduation Requirements (7/1/1995 to 6/30/2004)</t>
  </si>
  <si>
    <t>Standardized Testing and Reporting</t>
  </si>
  <si>
    <t>AIDS Prevention Instruction</t>
  </si>
  <si>
    <t>Charter Schools</t>
  </si>
  <si>
    <t>Emergency Procedures: Earthquakes and Disasters</t>
  </si>
  <si>
    <t>Open Meetings Act II</t>
  </si>
  <si>
    <t>School District of Choice: Transfers and Appeals</t>
  </si>
  <si>
    <t>Ch. 160/93</t>
  </si>
  <si>
    <t>Schoolsite Discipline Rules</t>
  </si>
  <si>
    <t>Ch. 87/86</t>
  </si>
  <si>
    <t>Pupil Expulsions II, Pupil Suspensions II, and Educational Services Plan (7/1/1999 to 6/30/2001)</t>
  </si>
  <si>
    <t>Ch. 332/99</t>
  </si>
  <si>
    <t>School Bus Safety I and II</t>
  </si>
  <si>
    <t>Ch. 624/92</t>
  </si>
  <si>
    <t>School Bus Safety</t>
  </si>
  <si>
    <t>Interdistrict Transfer Requests: Parent's Employment</t>
  </si>
  <si>
    <t>Credential Monitoring</t>
  </si>
  <si>
    <t>Ch. 1376/87</t>
  </si>
  <si>
    <t>School Testing – Physical Fitness</t>
  </si>
  <si>
    <t>Ch. 1675/84</t>
  </si>
  <si>
    <t>1993-94</t>
  </si>
  <si>
    <t>Civic Center Act</t>
  </si>
  <si>
    <t>Ch. 49/84</t>
  </si>
  <si>
    <t>1990-91</t>
  </si>
  <si>
    <t>1989-90</t>
  </si>
  <si>
    <t>1988-89</t>
  </si>
  <si>
    <t>1987-88</t>
  </si>
  <si>
    <t>1986-87</t>
  </si>
  <si>
    <t>1985-86</t>
  </si>
  <si>
    <r>
      <t xml:space="preserve">Less: Net
 Payments and 
Offsets </t>
    </r>
    <r>
      <rPr>
        <b/>
        <vertAlign val="superscript"/>
        <sz val="12"/>
        <color theme="1"/>
        <rFont val="Arial"/>
        <family val="2"/>
      </rPr>
      <t>2</t>
    </r>
  </si>
  <si>
    <r>
      <rPr>
        <vertAlign val="superscript"/>
        <sz val="12"/>
        <color theme="1"/>
        <rFont val="Arial"/>
        <family val="2"/>
      </rPr>
      <t xml:space="preserve">2 </t>
    </r>
    <r>
      <rPr>
        <sz val="12"/>
        <color theme="1"/>
        <rFont val="Arial"/>
        <family val="2"/>
      </rPr>
      <t>This amount includes offsets applied from prior years.</t>
    </r>
  </si>
  <si>
    <t>Column1</t>
  </si>
  <si>
    <t>1993-94 Total</t>
  </si>
  <si>
    <t>1990-91 Total</t>
  </si>
  <si>
    <t>1989-90 Total</t>
  </si>
  <si>
    <t>1988-89 Total</t>
  </si>
  <si>
    <t>1987-88 Total</t>
  </si>
  <si>
    <t>1986-87 Total</t>
  </si>
  <si>
    <t>1985-86 Total</t>
  </si>
  <si>
    <t>g</t>
  </si>
  <si>
    <r>
      <t xml:space="preserve">Less: Net
 Payments and 
Offsets </t>
    </r>
    <r>
      <rPr>
        <b/>
        <vertAlign val="superscript"/>
        <sz val="12"/>
        <rFont val="Arial"/>
        <family val="2"/>
      </rPr>
      <t>2</t>
    </r>
  </si>
  <si>
    <t>Enrollment Fee Collection and Waivers</t>
  </si>
  <si>
    <t>Minimum Conditions for State Aid</t>
  </si>
  <si>
    <t>Ch. 973/88</t>
  </si>
  <si>
    <t>Open Meetings/Brown Act Reform</t>
  </si>
  <si>
    <t>Community College Construction</t>
  </si>
  <si>
    <t>Ch. 910/80</t>
  </si>
  <si>
    <t>Health Fee Elimination (On or after 7/1/1994)</t>
  </si>
  <si>
    <t>Ch. 1/84</t>
  </si>
  <si>
    <t>Tuition Fee Waivers</t>
  </si>
  <si>
    <t>Integrated Waste Management</t>
  </si>
  <si>
    <t>Ch. 1116/92</t>
  </si>
  <si>
    <t>Cal Grants</t>
  </si>
  <si>
    <t>Ch. 403/00</t>
  </si>
  <si>
    <t>Total Community College Districts</t>
  </si>
  <si>
    <t>Total Funded Mandates</t>
  </si>
  <si>
    <t>California Fire Incident Reporting System (CFIRS)</t>
  </si>
  <si>
    <t>Ch. 345/87</t>
  </si>
  <si>
    <t>Crime Statistics Reports for the Department of Justice</t>
  </si>
  <si>
    <t>Ch. 1172/89</t>
  </si>
  <si>
    <t>Crime Victims' Domestic Violence Incident Reports II</t>
  </si>
  <si>
    <t>Ch. 483/01</t>
  </si>
  <si>
    <t>Domestic Violence Background Checks</t>
  </si>
  <si>
    <t>Ch. 713/01</t>
  </si>
  <si>
    <t xml:space="preserve">Firearm Hearings for Discharged Inpatients </t>
  </si>
  <si>
    <t>Ch. 578/99</t>
  </si>
  <si>
    <t>Identity Theft</t>
  </si>
  <si>
    <t>Ch. 956/00</t>
  </si>
  <si>
    <t>Interagency Child Abuse and Neglect Investigation Reports</t>
  </si>
  <si>
    <t>Ch. 958/77</t>
  </si>
  <si>
    <t>Local Elections: Consolidation</t>
  </si>
  <si>
    <t>Ch. 1013/81</t>
  </si>
  <si>
    <t>Local Government Employee Relations</t>
  </si>
  <si>
    <t>Ch. 901/00</t>
  </si>
  <si>
    <t>Mentally Disordered Offenders: Treatment as a Condition of Parole</t>
  </si>
  <si>
    <t>Ch. 1419/85</t>
  </si>
  <si>
    <t>Modified Primary Election</t>
  </si>
  <si>
    <t>Ch. 898/00</t>
  </si>
  <si>
    <t>Municipal Storm Water and Urban Runoff Discharges</t>
  </si>
  <si>
    <t>Title 2</t>
  </si>
  <si>
    <t>Peace Officer Training: Mental Health/Crisis Intervention</t>
  </si>
  <si>
    <t>Ch. 469/15</t>
  </si>
  <si>
    <t>Peace Officers Procedural Bill of Rights II</t>
  </si>
  <si>
    <t>Permanent Absent Voters II</t>
  </si>
  <si>
    <t>Ch. 922/01</t>
  </si>
  <si>
    <t>Voter Identification Procedures</t>
  </si>
  <si>
    <t>Ch. 260/00</t>
  </si>
  <si>
    <t>State Controller's Office
Schedule B2: Detail of Unfunded State-Mandated Programs
As of April 1, 2021</t>
  </si>
  <si>
    <t>Program 
Number</t>
  </si>
  <si>
    <t>Less: Net
Payments 
and Offsets</t>
  </si>
  <si>
    <t>Less:
 Recovered
Amount</t>
  </si>
  <si>
    <t>California Fire Incident Reporting System (CFIRS) Total</t>
  </si>
  <si>
    <t>Crime Statistics Reports for the Department of Justice Total</t>
  </si>
  <si>
    <t>Crime Victims' Domestic Violence Incident Reports II Total</t>
  </si>
  <si>
    <t>Domestic Violence Background Checks Total</t>
  </si>
  <si>
    <t>Firearm Hearings for Discharged Inpatients Total</t>
  </si>
  <si>
    <t>Identity Theft Total</t>
  </si>
  <si>
    <t>Interagency Child Abuse and Neglect Investigation Reports Total</t>
  </si>
  <si>
    <t>Local Elections: Consolidation Total</t>
  </si>
  <si>
    <t>Local Government Employee Relations Total</t>
  </si>
  <si>
    <t>Mentally Disordered Offenders: Treatment as a Condition of Parole Total</t>
  </si>
  <si>
    <t>Modified Primary Election Total</t>
  </si>
  <si>
    <t>Municipal Storm Water and Urban Runoff Discharges Total</t>
  </si>
  <si>
    <t>Peace Officer Training: Mental Health/Crisis Intervention Total</t>
  </si>
  <si>
    <t>Peace Officers Procedural Bill of Rights II Total</t>
  </si>
  <si>
    <t>Permanent Absent Voters II Total</t>
  </si>
  <si>
    <t>Voter Identification Procedures Total</t>
  </si>
  <si>
    <t>Public School Restrooms: Feminine Hygiene Products</t>
  </si>
  <si>
    <t>Ch. 687/17</t>
  </si>
  <si>
    <t>Public School Restrooms: Feminine Hygiene Products Total</t>
  </si>
  <si>
    <t>Page 7</t>
  </si>
  <si>
    <t>Page 9</t>
  </si>
  <si>
    <t>Page 51</t>
  </si>
  <si>
    <t>Page 4</t>
  </si>
  <si>
    <t xml:space="preserve">Total Unfunded Mandates </t>
  </si>
  <si>
    <r>
      <t xml:space="preserve">Less: Net 
Payments
 and Offsets </t>
    </r>
    <r>
      <rPr>
        <b/>
        <vertAlign val="superscript"/>
        <sz val="12"/>
        <rFont val="Arial"/>
        <family val="2"/>
      </rPr>
      <t>1</t>
    </r>
  </si>
  <si>
    <r>
      <t xml:space="preserve">Appropriation Balances 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 xml:space="preserve"> </t>
    </r>
  </si>
  <si>
    <r>
      <t xml:space="preserve">Less: Reappropriations </t>
    </r>
    <r>
      <rPr>
        <b/>
        <vertAlign val="superscript"/>
        <sz val="12"/>
        <rFont val="Arial"/>
        <family val="2"/>
      </rPr>
      <t>3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</si>
</sst>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5" formatCode="&quot;$&quot;#,##0_);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164" formatCode="_(&quot;$&quot;* #,##0_);_(&quot;$&quot;* \(#,##0\);_(&quot;$&quot;* &quot;-&quot;??_);_(@_)"/>
    <numFmt numFmtId="165" formatCode="&quot;$&quot;#,##0"/>
  </numFmts>
  <fonts count="29" x14ac:knownFonts="1">
    <font>
      <sz val="11"/>
      <color theme="1"/>
      <name val="Calibri"/>
      <family val="2"/>
      <scheme val="minor"/>
    </font>
    <font>
      <sz val="24"/>
      <name val="Arial"/>
      <family val="2"/>
    </font>
    <font>
      <b/>
      <sz val="36"/>
      <name val="Arial"/>
      <family val="2"/>
    </font>
    <font>
      <b/>
      <sz val="36"/>
      <name val="Franklin Gothic Medium Cond"/>
      <family val="2"/>
    </font>
    <font>
      <sz val="12"/>
      <color theme="0"/>
      <name val="Arial"/>
      <family val="2"/>
    </font>
    <font>
      <b/>
      <sz val="32"/>
      <name val="Arial"/>
      <family val="2"/>
    </font>
    <font>
      <b/>
      <sz val="16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2"/>
      <color theme="0"/>
      <name val="Arial"/>
      <family val="2"/>
    </font>
    <font>
      <u/>
      <sz val="11"/>
      <color theme="10"/>
      <name val="Calibri"/>
      <family val="2"/>
      <scheme val="minor"/>
    </font>
    <font>
      <b/>
      <sz val="12"/>
      <name val="Arial"/>
      <family val="2"/>
    </font>
    <font>
      <b/>
      <vertAlign val="superscript"/>
      <sz val="12"/>
      <name val="Arial"/>
      <family val="2"/>
    </font>
    <font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sz val="9"/>
      <color indexed="81"/>
      <name val="Tahoma"/>
      <family val="2"/>
    </font>
    <font>
      <sz val="11"/>
      <color theme="0"/>
      <name val="Arial"/>
      <family val="2"/>
    </font>
    <font>
      <vertAlign val="superscript"/>
      <sz val="12"/>
      <name val="Arial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2" fillId="0" borderId="0" applyNumberFormat="0" applyFill="0" applyBorder="0" applyAlignment="0" applyProtection="0"/>
    <xf numFmtId="44" fontId="22" fillId="0" borderId="0" applyFont="0" applyFill="0" applyBorder="0" applyAlignment="0" applyProtection="0"/>
  </cellStyleXfs>
  <cellXfs count="369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1" fillId="0" borderId="0" xfId="0" applyFont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/>
    </xf>
    <xf numFmtId="0" fontId="5" fillId="0" borderId="0" xfId="0" applyFont="1" applyAlignment="1">
      <alignment horizontal="centerContinuous" vertical="center"/>
    </xf>
    <xf numFmtId="0" fontId="6" fillId="0" borderId="0" xfId="0" applyFont="1" applyAlignment="1">
      <alignment horizontal="centerContinuous" vertical="center"/>
    </xf>
    <xf numFmtId="0" fontId="0" fillId="0" borderId="0" xfId="0" applyAlignment="1">
      <alignment horizontal="centerContinuous"/>
    </xf>
    <xf numFmtId="0" fontId="7" fillId="0" borderId="0" xfId="0" applyFont="1" applyAlignment="1">
      <alignment horizontal="centerContinuous" vertical="center"/>
    </xf>
    <xf numFmtId="0" fontId="8" fillId="0" borderId="0" xfId="0" applyFont="1" applyAlignment="1">
      <alignment horizontal="centerContinuous" vertical="center"/>
    </xf>
    <xf numFmtId="0" fontId="8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Continuous"/>
    </xf>
    <xf numFmtId="0" fontId="4" fillId="0" borderId="1" xfId="0" applyFont="1" applyBorder="1" applyAlignment="1">
      <alignment horizontal="center"/>
    </xf>
    <xf numFmtId="164" fontId="10" fillId="0" borderId="7" xfId="0" applyNumberFormat="1" applyFont="1" applyBorder="1" applyAlignment="1" applyProtection="1">
      <alignment horizontal="center" wrapText="1"/>
      <protection locked="0"/>
    </xf>
    <xf numFmtId="164" fontId="10" fillId="0" borderId="3" xfId="0" applyNumberFormat="1" applyFont="1" applyBorder="1" applyAlignment="1" applyProtection="1">
      <alignment horizontal="center" wrapText="1"/>
      <protection locked="0"/>
    </xf>
    <xf numFmtId="0" fontId="0" fillId="0" borderId="0" xfId="0" applyAlignment="1">
      <alignment horizontal="centerContinuous" wrapText="1"/>
    </xf>
    <xf numFmtId="0" fontId="8" fillId="0" borderId="0" xfId="0" applyFont="1" applyAlignment="1">
      <alignment horizontal="centerContinuous" wrapText="1"/>
    </xf>
    <xf numFmtId="0" fontId="10" fillId="0" borderId="6" xfId="0" applyFont="1" applyBorder="1" applyAlignment="1">
      <alignment horizontal="center" wrapText="1"/>
    </xf>
    <xf numFmtId="0" fontId="4" fillId="0" borderId="8" xfId="0" applyFont="1" applyFill="1" applyBorder="1"/>
    <xf numFmtId="0" fontId="15" fillId="0" borderId="0" xfId="0" applyFont="1"/>
    <xf numFmtId="0" fontId="15" fillId="0" borderId="0" xfId="0" applyFont="1" applyAlignment="1">
      <alignment horizontal="center"/>
    </xf>
    <xf numFmtId="0" fontId="4" fillId="0" borderId="0" xfId="0" applyFont="1"/>
    <xf numFmtId="0" fontId="15" fillId="0" borderId="8" xfId="0" applyFont="1" applyFill="1" applyBorder="1"/>
    <xf numFmtId="0" fontId="10" fillId="0" borderId="4" xfId="0" applyFont="1" applyBorder="1" applyAlignment="1">
      <alignment horizontal="center" wrapText="1"/>
    </xf>
    <xf numFmtId="0" fontId="10" fillId="0" borderId="7" xfId="0" applyFont="1" applyBorder="1" applyAlignment="1">
      <alignment horizontal="center" wrapText="1"/>
    </xf>
    <xf numFmtId="0" fontId="10" fillId="0" borderId="7" xfId="0" applyFont="1" applyFill="1" applyBorder="1" applyAlignment="1" applyProtection="1">
      <alignment horizontal="center" wrapText="1"/>
      <protection locked="0"/>
    </xf>
    <xf numFmtId="164" fontId="10" fillId="0" borderId="7" xfId="0" applyNumberFormat="1" applyFont="1" applyBorder="1" applyAlignment="1">
      <alignment horizontal="center" wrapText="1"/>
    </xf>
    <xf numFmtId="49" fontId="10" fillId="0" borderId="7" xfId="0" applyNumberFormat="1" applyFont="1" applyFill="1" applyBorder="1" applyAlignment="1">
      <alignment horizontal="center" wrapText="1"/>
    </xf>
    <xf numFmtId="0" fontId="10" fillId="0" borderId="4" xfId="0" applyFont="1" applyFill="1" applyBorder="1" applyAlignment="1">
      <alignment horizontal="center" wrapText="1"/>
    </xf>
    <xf numFmtId="0" fontId="10" fillId="0" borderId="3" xfId="0" applyFont="1" applyFill="1" applyBorder="1" applyAlignment="1">
      <alignment horizontal="center" wrapText="1"/>
    </xf>
    <xf numFmtId="0" fontId="10" fillId="0" borderId="7" xfId="0" applyFont="1" applyFill="1" applyBorder="1" applyAlignment="1">
      <alignment horizontal="center" wrapText="1"/>
    </xf>
    <xf numFmtId="164" fontId="10" fillId="0" borderId="7" xfId="0" applyNumberFormat="1" applyFont="1" applyFill="1" applyBorder="1" applyAlignment="1" applyProtection="1">
      <alignment horizontal="center" wrapText="1"/>
      <protection locked="0"/>
    </xf>
    <xf numFmtId="164" fontId="10" fillId="0" borderId="7" xfId="0" applyNumberFormat="1" applyFont="1" applyFill="1" applyBorder="1" applyAlignment="1">
      <alignment horizontal="center" wrapText="1"/>
    </xf>
    <xf numFmtId="164" fontId="11" fillId="0" borderId="7" xfId="0" applyNumberFormat="1" applyFont="1" applyFill="1" applyBorder="1" applyAlignment="1">
      <alignment horizontal="center"/>
    </xf>
    <xf numFmtId="164" fontId="10" fillId="0" borderId="3" xfId="0" applyNumberFormat="1" applyFont="1" applyFill="1" applyBorder="1" applyAlignment="1" applyProtection="1">
      <alignment horizontal="center" wrapText="1"/>
      <protection locked="0"/>
    </xf>
    <xf numFmtId="42" fontId="10" fillId="0" borderId="0" xfId="0" applyNumberFormat="1" applyFont="1" applyBorder="1"/>
    <xf numFmtId="5" fontId="10" fillId="0" borderId="0" xfId="0" applyNumberFormat="1" applyFont="1" applyBorder="1"/>
    <xf numFmtId="42" fontId="0" fillId="0" borderId="0" xfId="0" applyNumberFormat="1"/>
    <xf numFmtId="42" fontId="10" fillId="0" borderId="2" xfId="0" applyNumberFormat="1" applyFont="1" applyBorder="1"/>
    <xf numFmtId="0" fontId="10" fillId="0" borderId="5" xfId="0" applyFont="1" applyBorder="1"/>
    <xf numFmtId="0" fontId="10" fillId="0" borderId="1" xfId="0" applyFont="1" applyBorder="1"/>
    <xf numFmtId="0" fontId="11" fillId="0" borderId="0" xfId="0" applyFont="1" applyFill="1" applyBorder="1"/>
    <xf numFmtId="0" fontId="15" fillId="0" borderId="0" xfId="0" applyFont="1" applyBorder="1"/>
    <xf numFmtId="0" fontId="4" fillId="0" borderId="0" xfId="0" applyFont="1" applyBorder="1" applyAlignment="1">
      <alignment horizontal="center"/>
    </xf>
    <xf numFmtId="14" fontId="15" fillId="0" borderId="0" xfId="0" applyNumberFormat="1" applyFont="1" applyBorder="1" applyAlignment="1">
      <alignment horizontal="center"/>
    </xf>
    <xf numFmtId="42" fontId="15" fillId="0" borderId="0" xfId="0" applyNumberFormat="1" applyFont="1" applyBorder="1"/>
    <xf numFmtId="5" fontId="15" fillId="0" borderId="0" xfId="0" applyNumberFormat="1" applyFont="1" applyBorder="1"/>
    <xf numFmtId="42" fontId="4" fillId="0" borderId="0" xfId="0" applyNumberFormat="1" applyFont="1" applyBorder="1"/>
    <xf numFmtId="0" fontId="9" fillId="0" borderId="0" xfId="0" applyFont="1"/>
    <xf numFmtId="0" fontId="9" fillId="0" borderId="0" xfId="0" applyFont="1" applyAlignment="1">
      <alignment horizontal="center"/>
    </xf>
    <xf numFmtId="0" fontId="19" fillId="0" borderId="0" xfId="0" applyFont="1"/>
    <xf numFmtId="42" fontId="15" fillId="0" borderId="0" xfId="0" applyNumberFormat="1" applyFont="1"/>
    <xf numFmtId="5" fontId="15" fillId="0" borderId="0" xfId="0" applyNumberFormat="1" applyFont="1"/>
    <xf numFmtId="0" fontId="4" fillId="0" borderId="0" xfId="0" applyFont="1" applyBorder="1"/>
    <xf numFmtId="42" fontId="4" fillId="0" borderId="9" xfId="0" applyNumberFormat="1" applyFont="1" applyFill="1" applyBorder="1"/>
    <xf numFmtId="0" fontId="11" fillId="0" borderId="7" xfId="0" applyFont="1" applyFill="1" applyBorder="1" applyAlignment="1" applyProtection="1">
      <alignment horizontal="center" wrapText="1"/>
      <protection locked="0"/>
    </xf>
    <xf numFmtId="0" fontId="13" fillId="0" borderId="7" xfId="1" applyFont="1" applyFill="1" applyBorder="1" applyAlignment="1" applyProtection="1">
      <alignment horizontal="center" wrapText="1"/>
      <protection locked="0"/>
    </xf>
    <xf numFmtId="49" fontId="13" fillId="0" borderId="7" xfId="1" applyNumberFormat="1" applyFont="1" applyFill="1" applyBorder="1" applyAlignment="1">
      <alignment horizontal="center" wrapText="1"/>
    </xf>
    <xf numFmtId="0" fontId="9" fillId="0" borderId="0" xfId="0" applyFont="1" applyAlignment="1">
      <alignment horizontal="centerContinuous" wrapText="1"/>
    </xf>
    <xf numFmtId="0" fontId="19" fillId="0" borderId="0" xfId="0" applyFont="1" applyAlignment="1">
      <alignment horizontal="centerContinuous"/>
    </xf>
    <xf numFmtId="0" fontId="4" fillId="0" borderId="0" xfId="0" applyFont="1" applyBorder="1" applyAlignment="1">
      <alignment horizontal="left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center"/>
    </xf>
    <xf numFmtId="14" fontId="15" fillId="0" borderId="0" xfId="0" applyNumberFormat="1" applyFont="1" applyFill="1" applyBorder="1" applyAlignment="1">
      <alignment horizontal="center"/>
    </xf>
    <xf numFmtId="42" fontId="15" fillId="0" borderId="0" xfId="0" applyNumberFormat="1" applyFont="1" applyFill="1" applyBorder="1"/>
    <xf numFmtId="5" fontId="15" fillId="0" borderId="0" xfId="0" applyNumberFormat="1" applyFont="1" applyFill="1" applyBorder="1"/>
    <xf numFmtId="0" fontId="20" fillId="0" borderId="0" xfId="1" applyFont="1" applyFill="1" applyBorder="1" applyAlignment="1">
      <alignment horizontal="left" vertical="top"/>
    </xf>
    <xf numFmtId="0" fontId="15" fillId="0" borderId="1" xfId="0" applyFont="1" applyFill="1" applyBorder="1"/>
    <xf numFmtId="0" fontId="15" fillId="0" borderId="1" xfId="0" applyFont="1" applyFill="1" applyBorder="1" applyAlignment="1">
      <alignment horizontal="center"/>
    </xf>
    <xf numFmtId="14" fontId="15" fillId="0" borderId="1" xfId="0" applyNumberFormat="1" applyFont="1" applyFill="1" applyBorder="1" applyAlignment="1">
      <alignment horizontal="center"/>
    </xf>
    <xf numFmtId="42" fontId="15" fillId="0" borderId="1" xfId="0" applyNumberFormat="1" applyFont="1" applyFill="1" applyBorder="1"/>
    <xf numFmtId="42" fontId="4" fillId="0" borderId="1" xfId="0" applyNumberFormat="1" applyFont="1" applyFill="1" applyBorder="1"/>
    <xf numFmtId="0" fontId="4" fillId="0" borderId="1" xfId="0" applyFont="1" applyFill="1" applyBorder="1" applyAlignment="1">
      <alignment horizontal="left"/>
    </xf>
    <xf numFmtId="5" fontId="15" fillId="0" borderId="1" xfId="0" applyNumberFormat="1" applyFont="1" applyFill="1" applyBorder="1"/>
    <xf numFmtId="0" fontId="15" fillId="0" borderId="2" xfId="0" applyFont="1" applyFill="1" applyBorder="1"/>
    <xf numFmtId="0" fontId="15" fillId="0" borderId="2" xfId="0" applyFont="1" applyFill="1" applyBorder="1" applyAlignment="1">
      <alignment horizontal="center"/>
    </xf>
    <xf numFmtId="14" fontId="15" fillId="0" borderId="2" xfId="0" applyNumberFormat="1" applyFont="1" applyFill="1" applyBorder="1" applyAlignment="1">
      <alignment horizontal="center"/>
    </xf>
    <xf numFmtId="42" fontId="15" fillId="0" borderId="2" xfId="0" applyNumberFormat="1" applyFont="1" applyFill="1" applyBorder="1"/>
    <xf numFmtId="0" fontId="11" fillId="0" borderId="2" xfId="0" applyFont="1" applyFill="1" applyBorder="1"/>
    <xf numFmtId="0" fontId="20" fillId="0" borderId="2" xfId="1" applyFont="1" applyFill="1" applyBorder="1" applyAlignment="1">
      <alignment horizontal="left" vertical="top"/>
    </xf>
    <xf numFmtId="5" fontId="15" fillId="0" borderId="2" xfId="0" applyNumberFormat="1" applyFont="1" applyFill="1" applyBorder="1"/>
    <xf numFmtId="0" fontId="15" fillId="0" borderId="1" xfId="0" applyFont="1" applyBorder="1"/>
    <xf numFmtId="0" fontId="15" fillId="0" borderId="1" xfId="0" applyFont="1" applyBorder="1" applyAlignment="1">
      <alignment horizontal="center"/>
    </xf>
    <xf numFmtId="14" fontId="15" fillId="0" borderId="1" xfId="0" applyNumberFormat="1" applyFont="1" applyBorder="1" applyAlignment="1">
      <alignment horizontal="center"/>
    </xf>
    <xf numFmtId="42" fontId="15" fillId="0" borderId="1" xfId="0" applyNumberFormat="1" applyFont="1" applyBorder="1"/>
    <xf numFmtId="0" fontId="11" fillId="0" borderId="1" xfId="0" applyFont="1" applyFill="1" applyBorder="1"/>
    <xf numFmtId="42" fontId="4" fillId="0" borderId="1" xfId="0" applyNumberFormat="1" applyFont="1" applyBorder="1"/>
    <xf numFmtId="5" fontId="15" fillId="0" borderId="1" xfId="0" applyNumberFormat="1" applyFont="1" applyBorder="1"/>
    <xf numFmtId="0" fontId="15" fillId="0" borderId="0" xfId="0" applyFont="1" applyBorder="1" applyAlignment="1">
      <alignment horizontal="center"/>
    </xf>
    <xf numFmtId="0" fontId="15" fillId="0" borderId="2" xfId="0" applyFont="1" applyBorder="1"/>
    <xf numFmtId="0" fontId="4" fillId="0" borderId="2" xfId="0" applyFont="1" applyBorder="1" applyAlignment="1">
      <alignment horizontal="center"/>
    </xf>
    <xf numFmtId="14" fontId="15" fillId="0" borderId="2" xfId="0" applyNumberFormat="1" applyFont="1" applyBorder="1" applyAlignment="1">
      <alignment horizontal="center"/>
    </xf>
    <xf numFmtId="42" fontId="15" fillId="0" borderId="2" xfId="0" applyNumberFormat="1" applyFont="1" applyBorder="1"/>
    <xf numFmtId="5" fontId="15" fillId="0" borderId="2" xfId="0" applyNumberFormat="1" applyFont="1" applyBorder="1"/>
    <xf numFmtId="42" fontId="4" fillId="0" borderId="2" xfId="0" applyNumberFormat="1" applyFont="1" applyBorder="1"/>
    <xf numFmtId="0" fontId="10" fillId="0" borderId="1" xfId="0" applyFont="1" applyFill="1" applyBorder="1"/>
    <xf numFmtId="42" fontId="10" fillId="0" borderId="1" xfId="0" applyNumberFormat="1" applyFont="1" applyFill="1" applyBorder="1"/>
    <xf numFmtId="5" fontId="10" fillId="0" borderId="1" xfId="0" applyNumberFormat="1" applyFont="1" applyFill="1" applyBorder="1"/>
    <xf numFmtId="0" fontId="11" fillId="0" borderId="5" xfId="0" applyFont="1" applyFill="1" applyBorder="1"/>
    <xf numFmtId="42" fontId="10" fillId="0" borderId="5" xfId="0" applyNumberFormat="1" applyFont="1" applyBorder="1"/>
    <xf numFmtId="5" fontId="10" fillId="0" borderId="5" xfId="0" applyNumberFormat="1" applyFont="1" applyBorder="1"/>
    <xf numFmtId="0" fontId="15" fillId="0" borderId="2" xfId="0" applyFont="1" applyBorder="1" applyAlignment="1">
      <alignment horizontal="center"/>
    </xf>
    <xf numFmtId="0" fontId="10" fillId="0" borderId="0" xfId="0" applyFont="1" applyBorder="1"/>
    <xf numFmtId="0" fontId="4" fillId="0" borderId="1" xfId="0" applyFont="1" applyFill="1" applyBorder="1"/>
    <xf numFmtId="0" fontId="4" fillId="0" borderId="1" xfId="0" applyFont="1" applyBorder="1"/>
    <xf numFmtId="0" fontId="4" fillId="0" borderId="1" xfId="0" applyFont="1" applyBorder="1" applyAlignment="1">
      <alignment wrapText="1"/>
    </xf>
    <xf numFmtId="0" fontId="4" fillId="0" borderId="0" xfId="0" applyFont="1" applyFill="1" applyBorder="1"/>
    <xf numFmtId="42" fontId="10" fillId="0" borderId="1" xfId="0" applyNumberFormat="1" applyFont="1" applyBorder="1"/>
    <xf numFmtId="5" fontId="10" fillId="0" borderId="1" xfId="0" applyNumberFormat="1" applyFont="1" applyBorder="1"/>
    <xf numFmtId="0" fontId="11" fillId="0" borderId="1" xfId="0" applyFont="1" applyBorder="1"/>
    <xf numFmtId="0" fontId="4" fillId="0" borderId="2" xfId="0" applyFont="1" applyBorder="1"/>
    <xf numFmtId="0" fontId="15" fillId="0" borderId="0" xfId="0" applyFont="1" applyAlignment="1">
      <alignment horizontal="left"/>
    </xf>
    <xf numFmtId="165" fontId="15" fillId="0" borderId="0" xfId="0" applyNumberFormat="1" applyFont="1"/>
    <xf numFmtId="0" fontId="11" fillId="0" borderId="5" xfId="0" applyFont="1" applyBorder="1" applyAlignment="1">
      <alignment horizontal="center"/>
    </xf>
    <xf numFmtId="0" fontId="11" fillId="0" borderId="5" xfId="0" applyFont="1" applyBorder="1"/>
    <xf numFmtId="0" fontId="11" fillId="0" borderId="5" xfId="0" applyFont="1" applyBorder="1" applyAlignment="1">
      <alignment horizontal="left"/>
    </xf>
    <xf numFmtId="165" fontId="10" fillId="0" borderId="5" xfId="0" applyNumberFormat="1" applyFont="1" applyBorder="1"/>
    <xf numFmtId="0" fontId="11" fillId="0" borderId="2" xfId="0" applyFont="1" applyBorder="1" applyAlignment="1">
      <alignment horizontal="center"/>
    </xf>
    <xf numFmtId="0" fontId="11" fillId="0" borderId="2" xfId="0" applyFont="1" applyBorder="1"/>
    <xf numFmtId="0" fontId="11" fillId="0" borderId="2" xfId="0" applyFont="1" applyBorder="1" applyAlignment="1">
      <alignment horizontal="left"/>
    </xf>
    <xf numFmtId="165" fontId="10" fillId="0" borderId="2" xfId="0" applyNumberFormat="1" applyFont="1" applyBorder="1"/>
    <xf numFmtId="0" fontId="4" fillId="0" borderId="0" xfId="0" applyFont="1" applyAlignment="1">
      <alignment horizontal="center"/>
    </xf>
    <xf numFmtId="0" fontId="4" fillId="0" borderId="1" xfId="0" applyFont="1" applyBorder="1" applyAlignment="1">
      <alignment horizontal="left" vertical="center"/>
    </xf>
    <xf numFmtId="0" fontId="13" fillId="0" borderId="5" xfId="1" applyFont="1" applyBorder="1"/>
    <xf numFmtId="0" fontId="15" fillId="0" borderId="0" xfId="0" applyFont="1" applyAlignment="1">
      <alignment horizontal="center" vertical="center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vertical="center"/>
    </xf>
    <xf numFmtId="42" fontId="15" fillId="0" borderId="0" xfId="0" applyNumberFormat="1" applyFont="1" applyAlignment="1">
      <alignment vertical="center"/>
    </xf>
    <xf numFmtId="5" fontId="15" fillId="0" borderId="0" xfId="0" applyNumberFormat="1" applyFont="1" applyAlignment="1">
      <alignment vertical="center"/>
    </xf>
    <xf numFmtId="0" fontId="8" fillId="0" borderId="0" xfId="0" applyFont="1" applyFill="1" applyAlignment="1">
      <alignment horizontal="centerContinuous" wrapText="1"/>
    </xf>
    <xf numFmtId="0" fontId="11" fillId="0" borderId="6" xfId="0" applyFont="1" applyFill="1" applyBorder="1" applyAlignment="1">
      <alignment horizontal="center" wrapText="1"/>
    </xf>
    <xf numFmtId="0" fontId="17" fillId="0" borderId="0" xfId="0" applyFont="1" applyAlignment="1">
      <alignment horizontal="left"/>
    </xf>
    <xf numFmtId="0" fontId="11" fillId="0" borderId="7" xfId="0" applyFont="1" applyFill="1" applyBorder="1" applyAlignment="1">
      <alignment horizontal="center" wrapText="1"/>
    </xf>
    <xf numFmtId="0" fontId="10" fillId="0" borderId="7" xfId="0" applyNumberFormat="1" applyFont="1" applyFill="1" applyBorder="1" applyAlignment="1">
      <alignment horizontal="center" wrapText="1"/>
    </xf>
    <xf numFmtId="0" fontId="10" fillId="0" borderId="7" xfId="0" applyNumberFormat="1" applyFont="1" applyBorder="1" applyAlignment="1">
      <alignment horizontal="center" wrapText="1"/>
    </xf>
    <xf numFmtId="0" fontId="11" fillId="0" borderId="7" xfId="0" applyFont="1" applyFill="1" applyBorder="1" applyAlignment="1">
      <alignment horizontal="center"/>
    </xf>
    <xf numFmtId="0" fontId="4" fillId="0" borderId="7" xfId="0" applyFont="1" applyFill="1" applyBorder="1" applyAlignment="1"/>
    <xf numFmtId="0" fontId="4" fillId="0" borderId="7" xfId="0" applyFont="1" applyFill="1" applyBorder="1" applyAlignment="1">
      <alignment wrapText="1"/>
    </xf>
    <xf numFmtId="0" fontId="11" fillId="0" borderId="7" xfId="0" applyFont="1" applyFill="1" applyBorder="1" applyAlignment="1"/>
    <xf numFmtId="42" fontId="9" fillId="0" borderId="0" xfId="0" applyNumberFormat="1" applyFont="1" applyAlignment="1">
      <alignment horizontal="centerContinuous"/>
    </xf>
    <xf numFmtId="0" fontId="10" fillId="0" borderId="0" xfId="0" applyFont="1"/>
    <xf numFmtId="0" fontId="11" fillId="0" borderId="1" xfId="0" applyFont="1" applyFill="1" applyBorder="1" applyAlignment="1">
      <alignment horizontal="center"/>
    </xf>
    <xf numFmtId="0" fontId="11" fillId="0" borderId="10" xfId="0" applyFont="1" applyFill="1" applyBorder="1" applyAlignment="1"/>
    <xf numFmtId="0" fontId="4" fillId="0" borderId="0" xfId="0" applyFont="1" applyAlignment="1">
      <alignment vertical="center"/>
    </xf>
    <xf numFmtId="0" fontId="11" fillId="0" borderId="5" xfId="0" applyFont="1" applyBorder="1" applyAlignment="1">
      <alignment vertical="center"/>
    </xf>
    <xf numFmtId="0" fontId="13" fillId="0" borderId="7" xfId="1" applyNumberFormat="1" applyFont="1" applyBorder="1" applyAlignment="1">
      <alignment horizontal="center" wrapText="1"/>
    </xf>
    <xf numFmtId="0" fontId="20" fillId="0" borderId="0" xfId="1" applyNumberFormat="1" applyFont="1" applyFill="1" applyBorder="1" applyAlignment="1">
      <alignment horizontal="center"/>
    </xf>
    <xf numFmtId="42" fontId="10" fillId="0" borderId="6" xfId="2" applyNumberFormat="1" applyFont="1" applyBorder="1" applyAlignment="1">
      <alignment horizontal="center" wrapText="1"/>
    </xf>
    <xf numFmtId="0" fontId="15" fillId="0" borderId="0" xfId="0" applyFont="1" applyAlignment="1">
      <alignment wrapText="1"/>
    </xf>
    <xf numFmtId="0" fontId="10" fillId="0" borderId="11" xfId="2" applyNumberFormat="1" applyFont="1" applyBorder="1" applyAlignment="1">
      <alignment horizontal="center" wrapText="1"/>
    </xf>
    <xf numFmtId="0" fontId="11" fillId="0" borderId="12" xfId="2" applyNumberFormat="1" applyFont="1" applyBorder="1" applyAlignment="1">
      <alignment horizontal="center" wrapText="1"/>
    </xf>
    <xf numFmtId="0" fontId="10" fillId="0" borderId="3" xfId="2" applyNumberFormat="1" applyFont="1" applyBorder="1" applyAlignment="1">
      <alignment horizontal="center" wrapText="1"/>
    </xf>
    <xf numFmtId="42" fontId="10" fillId="0" borderId="7" xfId="2" applyNumberFormat="1" applyFont="1" applyBorder="1" applyAlignment="1">
      <alignment horizontal="center" wrapText="1"/>
    </xf>
    <xf numFmtId="0" fontId="9" fillId="0" borderId="5" xfId="0" applyFont="1" applyBorder="1"/>
    <xf numFmtId="0" fontId="10" fillId="0" borderId="5" xfId="0" applyFont="1" applyBorder="1" applyAlignment="1">
      <alignment horizontal="left"/>
    </xf>
    <xf numFmtId="0" fontId="10" fillId="0" borderId="5" xfId="0" applyFont="1" applyBorder="1" applyAlignment="1"/>
    <xf numFmtId="164" fontId="9" fillId="0" borderId="0" xfId="2" applyNumberFormat="1" applyFont="1"/>
    <xf numFmtId="164" fontId="9" fillId="0" borderId="0" xfId="0" applyNumberFormat="1" applyFont="1"/>
    <xf numFmtId="0" fontId="10" fillId="0" borderId="2" xfId="0" applyFont="1" applyBorder="1" applyAlignment="1"/>
    <xf numFmtId="42" fontId="10" fillId="0" borderId="2" xfId="0" applyNumberFormat="1" applyFont="1" applyBorder="1" applyAlignment="1"/>
    <xf numFmtId="0" fontId="23" fillId="0" borderId="10" xfId="0" applyFont="1" applyBorder="1" applyAlignment="1">
      <alignment horizontal="left"/>
    </xf>
    <xf numFmtId="0" fontId="10" fillId="0" borderId="2" xfId="0" applyFont="1" applyBorder="1" applyAlignment="1">
      <alignment horizontal="left"/>
    </xf>
    <xf numFmtId="0" fontId="11" fillId="0" borderId="5" xfId="0" applyFont="1" applyBorder="1" applyAlignment="1"/>
    <xf numFmtId="0" fontId="11" fillId="0" borderId="2" xfId="0" applyFont="1" applyBorder="1" applyAlignment="1"/>
    <xf numFmtId="0" fontId="13" fillId="0" borderId="6" xfId="1" applyFont="1" applyBorder="1" applyAlignment="1">
      <alignment horizontal="center" wrapText="1"/>
    </xf>
    <xf numFmtId="0" fontId="13" fillId="0" borderId="7" xfId="0" applyFont="1" applyBorder="1" applyAlignment="1">
      <alignment horizontal="center" wrapText="1"/>
    </xf>
    <xf numFmtId="0" fontId="23" fillId="0" borderId="0" xfId="0" applyFont="1" applyAlignment="1">
      <alignment horizontal="center"/>
    </xf>
    <xf numFmtId="0" fontId="11" fillId="0" borderId="2" xfId="0" applyFont="1" applyBorder="1" applyAlignment="1">
      <alignment wrapText="1"/>
    </xf>
    <xf numFmtId="0" fontId="11" fillId="0" borderId="5" xfId="0" applyFont="1" applyBorder="1" applyAlignment="1">
      <alignment wrapText="1"/>
    </xf>
    <xf numFmtId="0" fontId="4" fillId="0" borderId="0" xfId="0" applyFont="1" applyAlignment="1">
      <alignment wrapText="1"/>
    </xf>
    <xf numFmtId="0" fontId="24" fillId="0" borderId="2" xfId="0" applyFont="1" applyBorder="1" applyAlignment="1">
      <alignment horizontal="centerContinuous" wrapText="1"/>
    </xf>
    <xf numFmtId="0" fontId="25" fillId="0" borderId="0" xfId="0" applyFont="1" applyFill="1"/>
    <xf numFmtId="0" fontId="0" fillId="0" borderId="0" xfId="0" applyFont="1" applyFill="1" applyAlignment="1">
      <alignment wrapText="1"/>
    </xf>
    <xf numFmtId="0" fontId="25" fillId="0" borderId="0" xfId="0" applyFont="1" applyFill="1" applyAlignment="1">
      <alignment horizontal="center"/>
    </xf>
    <xf numFmtId="0" fontId="25" fillId="0" borderId="0" xfId="0" applyFont="1" applyFill="1" applyAlignment="1">
      <alignment wrapText="1"/>
    </xf>
    <xf numFmtId="0" fontId="25" fillId="0" borderId="0" xfId="0" applyFont="1" applyFill="1" applyAlignment="1">
      <alignment horizontal="left"/>
    </xf>
    <xf numFmtId="164" fontId="25" fillId="0" borderId="0" xfId="2" applyNumberFormat="1" applyFont="1" applyFill="1" applyAlignment="1">
      <alignment horizontal="right"/>
    </xf>
    <xf numFmtId="164" fontId="25" fillId="0" borderId="0" xfId="2" applyNumberFormat="1" applyFont="1" applyFill="1" applyAlignment="1"/>
    <xf numFmtId="0" fontId="10" fillId="0" borderId="0" xfId="0" applyFont="1" applyFill="1" applyAlignment="1">
      <alignment horizontal="center" wrapText="1"/>
    </xf>
    <xf numFmtId="0" fontId="10" fillId="0" borderId="0" xfId="0" applyFont="1" applyAlignment="1">
      <alignment horizontal="centerContinuous" wrapText="1"/>
    </xf>
    <xf numFmtId="0" fontId="10" fillId="0" borderId="0" xfId="0" applyFont="1" applyFill="1" applyAlignment="1">
      <alignment horizontal="centerContinuous" wrapText="1"/>
    </xf>
    <xf numFmtId="0" fontId="10" fillId="0" borderId="0" xfId="0" applyFont="1" applyFill="1" applyAlignment="1">
      <alignment horizontal="centerContinuous"/>
    </xf>
    <xf numFmtId="164" fontId="10" fillId="0" borderId="0" xfId="2" applyNumberFormat="1" applyFont="1" applyFill="1" applyAlignment="1">
      <alignment horizontal="centerContinuous"/>
    </xf>
    <xf numFmtId="0" fontId="15" fillId="0" borderId="0" xfId="0" applyFont="1" applyFill="1" applyAlignment="1">
      <alignment horizontal="center"/>
    </xf>
    <xf numFmtId="0" fontId="15" fillId="0" borderId="0" xfId="0" applyFont="1" applyFill="1" applyAlignment="1">
      <alignment wrapText="1"/>
    </xf>
    <xf numFmtId="0" fontId="15" fillId="0" borderId="0" xfId="0" applyFont="1" applyFill="1" applyAlignment="1">
      <alignment horizontal="left"/>
    </xf>
    <xf numFmtId="42" fontId="15" fillId="0" borderId="0" xfId="2" applyNumberFormat="1" applyFont="1" applyFill="1" applyAlignment="1">
      <alignment horizontal="right"/>
    </xf>
    <xf numFmtId="42" fontId="15" fillId="0" borderId="0" xfId="2" applyNumberFormat="1" applyFont="1" applyFill="1" applyAlignment="1"/>
    <xf numFmtId="5" fontId="15" fillId="0" borderId="0" xfId="2" applyNumberFormat="1" applyFont="1" applyFill="1" applyAlignment="1">
      <alignment horizontal="right"/>
    </xf>
    <xf numFmtId="5" fontId="15" fillId="0" borderId="0" xfId="2" applyNumberFormat="1" applyFont="1" applyFill="1" applyAlignment="1"/>
    <xf numFmtId="164" fontId="10" fillId="0" borderId="7" xfId="2" applyNumberFormat="1" applyFont="1" applyFill="1" applyBorder="1" applyAlignment="1">
      <alignment horizontal="center" wrapText="1"/>
    </xf>
    <xf numFmtId="0" fontId="10" fillId="0" borderId="7" xfId="2" applyNumberFormat="1" applyFont="1" applyBorder="1" applyAlignment="1">
      <alignment horizontal="center" wrapText="1"/>
    </xf>
    <xf numFmtId="164" fontId="10" fillId="0" borderId="7" xfId="2" applyNumberFormat="1" applyFont="1" applyBorder="1" applyAlignment="1">
      <alignment horizontal="center" wrapText="1"/>
    </xf>
    <xf numFmtId="0" fontId="15" fillId="0" borderId="0" xfId="0" applyNumberFormat="1" applyFont="1" applyFill="1" applyAlignment="1">
      <alignment horizontal="right"/>
    </xf>
    <xf numFmtId="0" fontId="15" fillId="0" borderId="0" xfId="0" applyNumberFormat="1" applyFont="1" applyFill="1" applyAlignment="1"/>
    <xf numFmtId="42" fontId="15" fillId="0" borderId="0" xfId="0" applyNumberFormat="1" applyFont="1" applyFill="1" applyAlignment="1">
      <alignment horizontal="right"/>
    </xf>
    <xf numFmtId="5" fontId="15" fillId="0" borderId="0" xfId="0" applyNumberFormat="1" applyFont="1" applyFill="1" applyAlignment="1">
      <alignment horizontal="right"/>
    </xf>
    <xf numFmtId="0" fontId="10" fillId="0" borderId="0" xfId="0" applyFont="1" applyFill="1" applyAlignment="1">
      <alignment horizontal="center"/>
    </xf>
    <xf numFmtId="0" fontId="10" fillId="0" borderId="0" xfId="0" applyFont="1" applyFill="1" applyAlignment="1">
      <alignment wrapText="1"/>
    </xf>
    <xf numFmtId="0" fontId="10" fillId="0" borderId="0" xfId="0" applyFont="1" applyFill="1" applyAlignment="1">
      <alignment horizontal="left"/>
    </xf>
    <xf numFmtId="42" fontId="10" fillId="0" borderId="0" xfId="0" applyNumberFormat="1" applyFont="1" applyFill="1" applyAlignment="1">
      <alignment horizontal="right"/>
    </xf>
    <xf numFmtId="0" fontId="10" fillId="0" borderId="0" xfId="0" applyNumberFormat="1" applyFont="1" applyFill="1" applyAlignment="1"/>
    <xf numFmtId="0" fontId="10" fillId="0" borderId="2" xfId="0" applyFont="1" applyFill="1" applyBorder="1" applyAlignment="1">
      <alignment horizontal="left"/>
    </xf>
    <xf numFmtId="42" fontId="10" fillId="0" borderId="2" xfId="0" applyNumberFormat="1" applyFont="1" applyFill="1" applyBorder="1" applyAlignment="1">
      <alignment horizontal="right"/>
    </xf>
    <xf numFmtId="5" fontId="10" fillId="0" borderId="2" xfId="0" applyNumberFormat="1" applyFont="1" applyFill="1" applyBorder="1" applyAlignment="1"/>
    <xf numFmtId="5" fontId="10" fillId="0" borderId="2" xfId="0" applyNumberFormat="1" applyFont="1" applyFill="1" applyBorder="1" applyAlignment="1">
      <alignment horizontal="right"/>
    </xf>
    <xf numFmtId="0" fontId="15" fillId="0" borderId="0" xfId="0" applyFont="1" applyFill="1" applyAlignment="1"/>
    <xf numFmtId="0" fontId="10" fillId="0" borderId="6" xfId="0" applyFont="1" applyFill="1" applyBorder="1" applyAlignment="1">
      <alignment horizontal="center" wrapText="1"/>
    </xf>
    <xf numFmtId="164" fontId="10" fillId="0" borderId="6" xfId="2" applyNumberFormat="1" applyFont="1" applyFill="1" applyBorder="1" applyAlignment="1">
      <alignment horizontal="center" wrapText="1"/>
    </xf>
    <xf numFmtId="0" fontId="10" fillId="0" borderId="6" xfId="2" applyNumberFormat="1" applyFont="1" applyBorder="1" applyAlignment="1">
      <alignment horizontal="center" wrapText="1"/>
    </xf>
    <xf numFmtId="164" fontId="10" fillId="0" borderId="6" xfId="2" applyNumberFormat="1" applyFont="1" applyBorder="1" applyAlignment="1">
      <alignment horizontal="center" wrapText="1"/>
    </xf>
    <xf numFmtId="42" fontId="15" fillId="0" borderId="0" xfId="0" applyNumberFormat="1" applyFont="1" applyFill="1" applyAlignment="1"/>
    <xf numFmtId="42" fontId="10" fillId="0" borderId="2" xfId="0" applyNumberFormat="1" applyFont="1" applyFill="1" applyBorder="1" applyAlignment="1"/>
    <xf numFmtId="0" fontId="15" fillId="0" borderId="0" xfId="0" applyFont="1" applyFill="1" applyAlignment="1">
      <alignment horizontal="left" wrapText="1"/>
    </xf>
    <xf numFmtId="0" fontId="15" fillId="0" borderId="0" xfId="0" applyFont="1" applyFill="1" applyAlignment="1">
      <alignment horizontal="left" vertical="top" wrapText="1"/>
    </xf>
    <xf numFmtId="0" fontId="15" fillId="0" borderId="0" xfId="0" applyFont="1" applyFill="1" applyAlignment="1">
      <alignment vertical="top" wrapText="1"/>
    </xf>
    <xf numFmtId="0" fontId="10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wrapText="1"/>
    </xf>
    <xf numFmtId="0" fontId="10" fillId="0" borderId="0" xfId="0" applyFont="1" applyFill="1" applyBorder="1" applyAlignment="1">
      <alignment horizontal="center"/>
    </xf>
    <xf numFmtId="42" fontId="10" fillId="0" borderId="0" xfId="0" applyNumberFormat="1" applyFont="1" applyFill="1" applyBorder="1" applyAlignment="1">
      <alignment horizontal="right"/>
    </xf>
    <xf numFmtId="42" fontId="10" fillId="0" borderId="0" xfId="0" applyNumberFormat="1" applyFont="1" applyFill="1" applyBorder="1" applyAlignment="1"/>
    <xf numFmtId="0" fontId="10" fillId="0" borderId="0" xfId="0" applyNumberFormat="1" applyFont="1" applyFill="1" applyBorder="1" applyAlignment="1"/>
    <xf numFmtId="5" fontId="10" fillId="0" borderId="0" xfId="0" applyNumberFormat="1" applyFont="1" applyFill="1" applyBorder="1" applyAlignment="1">
      <alignment horizontal="right"/>
    </xf>
    <xf numFmtId="0" fontId="10" fillId="0" borderId="0" xfId="0" applyNumberFormat="1" applyFont="1" applyFill="1" applyAlignment="1">
      <alignment horizontal="right"/>
    </xf>
    <xf numFmtId="0" fontId="25" fillId="0" borderId="2" xfId="0" applyFont="1" applyFill="1" applyBorder="1"/>
    <xf numFmtId="0" fontId="25" fillId="0" borderId="0" xfId="0" applyFont="1" applyFill="1" applyBorder="1"/>
    <xf numFmtId="0" fontId="10" fillId="0" borderId="0" xfId="0" applyNumberFormat="1" applyFont="1" applyFill="1" applyBorder="1" applyAlignment="1">
      <alignment horizontal="right"/>
    </xf>
    <xf numFmtId="0" fontId="25" fillId="0" borderId="0" xfId="0" applyFont="1" applyFill="1" applyAlignment="1"/>
    <xf numFmtId="0" fontId="15" fillId="0" borderId="0" xfId="0" applyFont="1" applyFill="1" applyBorder="1" applyAlignment="1"/>
    <xf numFmtId="0" fontId="15" fillId="0" borderId="0" xfId="0" applyFont="1" applyFill="1" applyBorder="1" applyAlignment="1">
      <alignment wrapText="1"/>
    </xf>
    <xf numFmtId="0" fontId="15" fillId="0" borderId="0" xfId="0" applyNumberFormat="1" applyFont="1" applyFill="1" applyBorder="1" applyAlignment="1"/>
    <xf numFmtId="42" fontId="15" fillId="0" borderId="0" xfId="0" applyNumberFormat="1" applyFont="1" applyFill="1" applyBorder="1" applyAlignment="1"/>
    <xf numFmtId="0" fontId="10" fillId="0" borderId="2" xfId="0" applyFont="1" applyFill="1" applyBorder="1" applyAlignment="1"/>
    <xf numFmtId="0" fontId="10" fillId="0" borderId="0" xfId="0" applyFont="1" applyFill="1" applyAlignment="1"/>
    <xf numFmtId="0" fontId="10" fillId="0" borderId="0" xfId="0" applyFont="1" applyFill="1" applyBorder="1" applyAlignment="1"/>
    <xf numFmtId="0" fontId="25" fillId="0" borderId="0" xfId="0" applyFont="1"/>
    <xf numFmtId="0" fontId="25" fillId="0" borderId="2" xfId="0" applyFont="1" applyBorder="1"/>
    <xf numFmtId="42" fontId="25" fillId="0" borderId="2" xfId="0" applyNumberFormat="1" applyFont="1" applyBorder="1"/>
    <xf numFmtId="42" fontId="25" fillId="0" borderId="0" xfId="0" applyNumberFormat="1" applyFont="1" applyBorder="1"/>
    <xf numFmtId="0" fontId="0" fillId="0" borderId="0" xfId="0" applyBorder="1"/>
    <xf numFmtId="0" fontId="15" fillId="0" borderId="0" xfId="0" applyFont="1" applyFill="1" applyBorder="1" applyAlignment="1">
      <alignment horizontal="left"/>
    </xf>
    <xf numFmtId="0" fontId="15" fillId="0" borderId="0" xfId="0" applyNumberFormat="1" applyFont="1" applyFill="1" applyBorder="1" applyAlignment="1">
      <alignment horizontal="right"/>
    </xf>
    <xf numFmtId="42" fontId="15" fillId="0" borderId="0" xfId="0" applyNumberFormat="1" applyFont="1" applyFill="1" applyBorder="1" applyAlignment="1">
      <alignment horizontal="right"/>
    </xf>
    <xf numFmtId="0" fontId="25" fillId="0" borderId="0" xfId="0" applyFont="1" applyBorder="1"/>
    <xf numFmtId="0" fontId="15" fillId="0" borderId="0" xfId="0" applyFont="1" applyFill="1" applyBorder="1" applyAlignment="1">
      <alignment horizontal="center" wrapText="1"/>
    </xf>
    <xf numFmtId="0" fontId="0" fillId="0" borderId="0" xfId="0" applyFont="1" applyFill="1"/>
    <xf numFmtId="164" fontId="11" fillId="0" borderId="0" xfId="2" applyNumberFormat="1" applyFont="1" applyBorder="1" applyAlignment="1">
      <alignment wrapText="1"/>
    </xf>
    <xf numFmtId="0" fontId="11" fillId="0" borderId="0" xfId="0" applyFont="1" applyBorder="1"/>
    <xf numFmtId="0" fontId="11" fillId="0" borderId="6" xfId="2" applyNumberFormat="1" applyFont="1" applyBorder="1" applyAlignment="1">
      <alignment horizontal="center"/>
    </xf>
    <xf numFmtId="0" fontId="13" fillId="0" borderId="6" xfId="1" applyNumberFormat="1" applyFont="1" applyBorder="1" applyAlignment="1">
      <alignment horizontal="center" wrapText="1"/>
    </xf>
    <xf numFmtId="0" fontId="11" fillId="0" borderId="6" xfId="2" applyNumberFormat="1" applyFont="1" applyBorder="1" applyAlignment="1">
      <alignment horizontal="center" wrapText="1"/>
    </xf>
    <xf numFmtId="42" fontId="4" fillId="0" borderId="0" xfId="2" applyNumberFormat="1" applyFont="1" applyFill="1" applyAlignment="1"/>
    <xf numFmtId="0" fontId="11" fillId="0" borderId="2" xfId="0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wrapText="1"/>
    </xf>
    <xf numFmtId="0" fontId="11" fillId="0" borderId="2" xfId="0" applyFont="1" applyFill="1" applyBorder="1" applyAlignment="1">
      <alignment wrapText="1"/>
    </xf>
    <xf numFmtId="0" fontId="25" fillId="0" borderId="0" xfId="0" applyFont="1" applyAlignment="1">
      <alignment horizontal="center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/>
    </xf>
    <xf numFmtId="164" fontId="25" fillId="0" borderId="0" xfId="2" applyNumberFormat="1" applyFont="1" applyAlignment="1">
      <alignment horizontal="center"/>
    </xf>
    <xf numFmtId="0" fontId="10" fillId="0" borderId="0" xfId="0" applyFont="1" applyAlignment="1">
      <alignment horizontal="center"/>
    </xf>
    <xf numFmtId="0" fontId="27" fillId="0" borderId="0" xfId="0" applyFont="1" applyAlignment="1">
      <alignment horizontal="centerContinuous" wrapText="1"/>
    </xf>
    <xf numFmtId="0" fontId="27" fillId="0" borderId="0" xfId="0" applyFont="1" applyAlignment="1">
      <alignment horizontal="centerContinuous"/>
    </xf>
    <xf numFmtId="164" fontId="27" fillId="0" borderId="0" xfId="2" applyNumberFormat="1" applyFont="1" applyAlignment="1">
      <alignment horizontal="centerContinuous"/>
    </xf>
    <xf numFmtId="0" fontId="15" fillId="0" borderId="0" xfId="0" applyFont="1" applyAlignment="1">
      <alignment horizontal="left" wrapText="1"/>
    </xf>
    <xf numFmtId="42" fontId="15" fillId="0" borderId="0" xfId="2" applyNumberFormat="1" applyFont="1" applyAlignment="1">
      <alignment horizontal="right"/>
    </xf>
    <xf numFmtId="5" fontId="15" fillId="0" borderId="0" xfId="2" applyNumberFormat="1" applyFont="1" applyAlignment="1">
      <alignment horizontal="right"/>
    </xf>
    <xf numFmtId="0" fontId="15" fillId="0" borderId="0" xfId="0" applyNumberFormat="1" applyFont="1" applyAlignment="1">
      <alignment horizontal="right"/>
    </xf>
    <xf numFmtId="42" fontId="15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10" fillId="0" borderId="0" xfId="0" applyFont="1" applyAlignment="1">
      <alignment horizontal="left"/>
    </xf>
    <xf numFmtId="42" fontId="10" fillId="0" borderId="0" xfId="0" applyNumberFormat="1" applyFont="1" applyAlignment="1">
      <alignment horizontal="right"/>
    </xf>
    <xf numFmtId="0" fontId="10" fillId="0" borderId="0" xfId="0" applyNumberFormat="1" applyFont="1" applyAlignment="1">
      <alignment horizontal="right"/>
    </xf>
    <xf numFmtId="0" fontId="10" fillId="0" borderId="2" xfId="0" applyFont="1" applyBorder="1" applyAlignment="1">
      <alignment horizontal="center"/>
    </xf>
    <xf numFmtId="42" fontId="10" fillId="0" borderId="2" xfId="0" applyNumberFormat="1" applyFont="1" applyBorder="1" applyAlignment="1">
      <alignment horizontal="right"/>
    </xf>
    <xf numFmtId="0" fontId="10" fillId="0" borderId="2" xfId="0" applyNumberFormat="1" applyFont="1" applyBorder="1" applyAlignment="1">
      <alignment horizontal="right"/>
    </xf>
    <xf numFmtId="5" fontId="10" fillId="0" borderId="2" xfId="0" applyNumberFormat="1" applyFont="1" applyBorder="1" applyAlignment="1">
      <alignment horizontal="right"/>
    </xf>
    <xf numFmtId="0" fontId="15" fillId="0" borderId="0" xfId="0" applyFont="1" applyAlignment="1"/>
    <xf numFmtId="0" fontId="10" fillId="0" borderId="0" xfId="0" applyFont="1" applyAlignment="1"/>
    <xf numFmtId="0" fontId="10" fillId="0" borderId="0" xfId="0" applyNumberFormat="1" applyFont="1" applyAlignment="1"/>
    <xf numFmtId="42" fontId="10" fillId="0" borderId="0" xfId="0" applyNumberFormat="1" applyFont="1" applyAlignment="1"/>
    <xf numFmtId="5" fontId="10" fillId="0" borderId="2" xfId="0" applyNumberFormat="1" applyFont="1" applyBorder="1" applyAlignment="1"/>
    <xf numFmtId="41" fontId="10" fillId="0" borderId="2" xfId="0" applyNumberFormat="1" applyFont="1" applyBorder="1"/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42" fontId="10" fillId="0" borderId="0" xfId="0" applyNumberFormat="1" applyFont="1" applyBorder="1" applyAlignment="1">
      <alignment horizontal="right"/>
    </xf>
    <xf numFmtId="0" fontId="10" fillId="0" borderId="0" xfId="0" applyNumberFormat="1" applyFont="1" applyBorder="1" applyAlignment="1">
      <alignment horizontal="right"/>
    </xf>
    <xf numFmtId="5" fontId="10" fillId="0" borderId="0" xfId="0" applyNumberFormat="1" applyFont="1" applyBorder="1" applyAlignment="1">
      <alignment horizontal="right"/>
    </xf>
    <xf numFmtId="0" fontId="10" fillId="0" borderId="0" xfId="0" applyFont="1" applyAlignment="1">
      <alignment horizontal="left" vertical="top"/>
    </xf>
    <xf numFmtId="0" fontId="25" fillId="0" borderId="0" xfId="0" applyFont="1" applyAlignment="1">
      <alignment vertical="top"/>
    </xf>
    <xf numFmtId="0" fontId="10" fillId="0" borderId="0" xfId="0" applyFont="1" applyAlignment="1">
      <alignment horizontal="center" vertical="top"/>
    </xf>
    <xf numFmtId="0" fontId="10" fillId="0" borderId="0" xfId="0" applyNumberFormat="1" applyFont="1" applyAlignment="1">
      <alignment horizontal="right" vertical="top"/>
    </xf>
    <xf numFmtId="42" fontId="10" fillId="0" borderId="0" xfId="0" applyNumberFormat="1" applyFont="1" applyAlignment="1">
      <alignment horizontal="right" vertical="top"/>
    </xf>
    <xf numFmtId="0" fontId="10" fillId="0" borderId="2" xfId="0" applyFont="1" applyBorder="1" applyAlignment="1">
      <alignment horizontal="left" vertical="top"/>
    </xf>
    <xf numFmtId="42" fontId="10" fillId="0" borderId="2" xfId="0" applyNumberFormat="1" applyFont="1" applyBorder="1" applyAlignment="1">
      <alignment horizontal="right" vertical="top"/>
    </xf>
    <xf numFmtId="42" fontId="10" fillId="0" borderId="2" xfId="0" applyNumberFormat="1" applyFont="1" applyBorder="1" applyAlignment="1">
      <alignment vertical="top"/>
    </xf>
    <xf numFmtId="42" fontId="15" fillId="0" borderId="0" xfId="0" applyNumberFormat="1" applyFont="1" applyBorder="1" applyAlignment="1">
      <alignment horizontal="right"/>
    </xf>
    <xf numFmtId="5" fontId="15" fillId="0" borderId="0" xfId="0" applyNumberFormat="1" applyFont="1" applyBorder="1" applyAlignment="1">
      <alignment horizontal="right"/>
    </xf>
    <xf numFmtId="0" fontId="15" fillId="0" borderId="0" xfId="0" applyFont="1" applyBorder="1" applyAlignment="1">
      <alignment horizontal="left"/>
    </xf>
    <xf numFmtId="0" fontId="11" fillId="0" borderId="2" xfId="0" applyNumberFormat="1" applyFont="1" applyBorder="1" applyAlignment="1">
      <alignment horizontal="left"/>
    </xf>
    <xf numFmtId="42" fontId="4" fillId="0" borderId="0" xfId="2" applyNumberFormat="1" applyFont="1" applyAlignment="1">
      <alignment horizontal="left"/>
    </xf>
    <xf numFmtId="164" fontId="28" fillId="0" borderId="0" xfId="2" applyNumberFormat="1" applyFont="1" applyAlignment="1">
      <alignment horizontal="centerContinuous"/>
    </xf>
    <xf numFmtId="0" fontId="4" fillId="0" borderId="0" xfId="0" applyNumberFormat="1" applyFont="1" applyAlignment="1">
      <alignment horizontal="right"/>
    </xf>
    <xf numFmtId="0" fontId="11" fillId="0" borderId="0" xfId="0" applyNumberFormat="1" applyFont="1" applyAlignment="1"/>
    <xf numFmtId="0" fontId="11" fillId="0" borderId="0" xfId="0" applyNumberFormat="1" applyFont="1" applyAlignment="1">
      <alignment horizontal="right"/>
    </xf>
    <xf numFmtId="0" fontId="11" fillId="0" borderId="0" xfId="0" applyNumberFormat="1" applyFont="1" applyBorder="1" applyAlignment="1">
      <alignment horizontal="right"/>
    </xf>
    <xf numFmtId="0" fontId="11" fillId="0" borderId="2" xfId="0" applyNumberFormat="1" applyFont="1" applyBorder="1" applyAlignment="1">
      <alignment horizontal="right"/>
    </xf>
    <xf numFmtId="0" fontId="11" fillId="0" borderId="0" xfId="0" applyNumberFormat="1" applyFont="1" applyAlignment="1">
      <alignment horizontal="right" vertical="top"/>
    </xf>
    <xf numFmtId="164" fontId="26" fillId="0" borderId="0" xfId="2" applyNumberFormat="1" applyFont="1" applyAlignment="1">
      <alignment horizontal="center"/>
    </xf>
    <xf numFmtId="0" fontId="25" fillId="0" borderId="0" xfId="0" applyFont="1" applyAlignment="1"/>
    <xf numFmtId="164" fontId="25" fillId="0" borderId="0" xfId="2" applyNumberFormat="1" applyFont="1" applyAlignment="1">
      <alignment horizontal="right"/>
    </xf>
    <xf numFmtId="0" fontId="25" fillId="0" borderId="0" xfId="0" applyFont="1" applyBorder="1" applyAlignment="1">
      <alignment horizontal="center"/>
    </xf>
    <xf numFmtId="0" fontId="25" fillId="0" borderId="0" xfId="0" applyFont="1" applyAlignment="1">
      <alignment horizontal="centerContinuous"/>
    </xf>
    <xf numFmtId="0" fontId="25" fillId="0" borderId="0" xfId="0" applyFont="1" applyBorder="1" applyAlignment="1">
      <alignment horizontal="centerContinuous"/>
    </xf>
    <xf numFmtId="164" fontId="25" fillId="0" borderId="0" xfId="2" applyNumberFormat="1" applyFont="1" applyAlignment="1">
      <alignment horizontal="centerContinuous"/>
    </xf>
    <xf numFmtId="0" fontId="25" fillId="0" borderId="2" xfId="0" applyFont="1" applyBorder="1" applyAlignment="1"/>
    <xf numFmtId="0" fontId="4" fillId="0" borderId="0" xfId="0" applyFont="1" applyAlignment="1"/>
    <xf numFmtId="0" fontId="10" fillId="0" borderId="2" xfId="0" applyFont="1" applyBorder="1" applyAlignment="1">
      <alignment wrapText="1"/>
    </xf>
    <xf numFmtId="0" fontId="10" fillId="0" borderId="0" xfId="0" applyFont="1" applyAlignment="1">
      <alignment wrapText="1"/>
    </xf>
    <xf numFmtId="0" fontId="15" fillId="0" borderId="0" xfId="0" applyFont="1" applyBorder="1" applyAlignment="1">
      <alignment wrapText="1"/>
    </xf>
    <xf numFmtId="42" fontId="15" fillId="0" borderId="0" xfId="2" applyNumberFormat="1" applyFont="1" applyBorder="1" applyAlignment="1">
      <alignment horizontal="right"/>
    </xf>
    <xf numFmtId="5" fontId="15" fillId="0" borderId="0" xfId="2" applyNumberFormat="1" applyFont="1" applyBorder="1" applyAlignment="1">
      <alignment horizontal="right"/>
    </xf>
    <xf numFmtId="164" fontId="10" fillId="0" borderId="0" xfId="2" applyNumberFormat="1" applyFont="1" applyAlignment="1">
      <alignment horizontal="right"/>
    </xf>
    <xf numFmtId="5" fontId="15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11" fillId="0" borderId="2" xfId="0" applyFont="1" applyBorder="1" applyAlignment="1">
      <alignment horizontal="right"/>
    </xf>
    <xf numFmtId="42" fontId="10" fillId="0" borderId="5" xfId="0" applyNumberFormat="1" applyFont="1" applyBorder="1" applyAlignment="1">
      <alignment horizontal="right"/>
    </xf>
    <xf numFmtId="0" fontId="11" fillId="0" borderId="5" xfId="0" applyFont="1" applyBorder="1" applyAlignment="1">
      <alignment horizontal="right"/>
    </xf>
    <xf numFmtId="5" fontId="10" fillId="0" borderId="5" xfId="0" applyNumberFormat="1" applyFont="1" applyBorder="1" applyAlignment="1">
      <alignment horizontal="right"/>
    </xf>
    <xf numFmtId="165" fontId="15" fillId="0" borderId="0" xfId="0" applyNumberFormat="1" applyFont="1" applyAlignment="1">
      <alignment horizontal="right"/>
    </xf>
    <xf numFmtId="165" fontId="10" fillId="0" borderId="5" xfId="0" applyNumberFormat="1" applyFont="1" applyBorder="1" applyAlignment="1">
      <alignment horizontal="right"/>
    </xf>
    <xf numFmtId="0" fontId="23" fillId="0" borderId="0" xfId="0" applyFont="1" applyAlignment="1">
      <alignment horizontal="right"/>
    </xf>
    <xf numFmtId="0" fontId="15" fillId="0" borderId="0" xfId="0" applyFont="1" applyAlignment="1">
      <alignment horizontal="right"/>
    </xf>
    <xf numFmtId="42" fontId="4" fillId="0" borderId="0" xfId="0" applyNumberFormat="1" applyFont="1" applyAlignment="1">
      <alignment horizontal="right"/>
    </xf>
    <xf numFmtId="164" fontId="15" fillId="0" borderId="0" xfId="2" applyNumberFormat="1" applyFont="1" applyFill="1" applyBorder="1" applyAlignment="1">
      <alignment horizontal="right" wrapText="1"/>
    </xf>
    <xf numFmtId="165" fontId="15" fillId="0" borderId="0" xfId="2" applyNumberFormat="1" applyFont="1" applyBorder="1" applyAlignment="1">
      <alignment horizontal="right" wrapText="1"/>
    </xf>
    <xf numFmtId="42" fontId="4" fillId="0" borderId="0" xfId="2" applyNumberFormat="1" applyFont="1" applyFill="1" applyAlignment="1">
      <alignment horizontal="right"/>
    </xf>
    <xf numFmtId="164" fontId="15" fillId="0" borderId="0" xfId="2" applyNumberFormat="1" applyFont="1" applyBorder="1" applyAlignment="1">
      <alignment horizontal="right" wrapText="1"/>
    </xf>
    <xf numFmtId="165" fontId="15" fillId="0" borderId="0" xfId="2" applyNumberFormat="1" applyFont="1" applyFill="1" applyBorder="1" applyAlignment="1">
      <alignment horizontal="right" wrapText="1"/>
    </xf>
    <xf numFmtId="42" fontId="15" fillId="0" borderId="0" xfId="2" applyNumberFormat="1" applyFont="1" applyBorder="1" applyAlignment="1">
      <alignment horizontal="right" wrapText="1"/>
    </xf>
    <xf numFmtId="5" fontId="15" fillId="0" borderId="0" xfId="2" applyNumberFormat="1" applyFont="1" applyBorder="1" applyAlignment="1">
      <alignment horizontal="right" wrapText="1"/>
    </xf>
    <xf numFmtId="164" fontId="10" fillId="0" borderId="2" xfId="0" applyNumberFormat="1" applyFont="1" applyFill="1" applyBorder="1" applyAlignment="1">
      <alignment horizontal="right" wrapText="1"/>
    </xf>
    <xf numFmtId="165" fontId="10" fillId="0" borderId="2" xfId="0" applyNumberFormat="1" applyFont="1" applyBorder="1" applyAlignment="1">
      <alignment horizontal="right" wrapText="1"/>
    </xf>
    <xf numFmtId="0" fontId="11" fillId="0" borderId="2" xfId="0" applyFont="1" applyFill="1" applyBorder="1" applyAlignment="1">
      <alignment horizontal="right"/>
    </xf>
    <xf numFmtId="164" fontId="10" fillId="0" borderId="2" xfId="0" applyNumberFormat="1" applyFont="1" applyBorder="1" applyAlignment="1">
      <alignment horizontal="right" wrapText="1"/>
    </xf>
    <xf numFmtId="42" fontId="10" fillId="0" borderId="2" xfId="0" applyNumberFormat="1" applyFont="1" applyBorder="1" applyAlignment="1">
      <alignment horizontal="right" wrapText="1"/>
    </xf>
    <xf numFmtId="0" fontId="25" fillId="0" borderId="0" xfId="0" applyFont="1" applyBorder="1" applyAlignment="1">
      <alignment horizontal="center" wrapText="1"/>
    </xf>
    <xf numFmtId="0" fontId="11" fillId="0" borderId="6" xfId="2" applyNumberFormat="1" applyFont="1" applyBorder="1" applyAlignment="1">
      <alignment horizontal="left"/>
    </xf>
    <xf numFmtId="0" fontId="25" fillId="0" borderId="0" xfId="0" applyFont="1" applyBorder="1" applyAlignment="1"/>
    <xf numFmtId="0" fontId="0" fillId="0" borderId="0" xfId="0" applyAlignment="1"/>
    <xf numFmtId="0" fontId="10" fillId="0" borderId="0" xfId="0" applyFont="1" applyAlignment="1">
      <alignment horizontal="left" wrapText="1"/>
    </xf>
    <xf numFmtId="0" fontId="10" fillId="0" borderId="0" xfId="0" applyFont="1" applyBorder="1" applyAlignment="1">
      <alignment horizontal="left" wrapText="1"/>
    </xf>
    <xf numFmtId="164" fontId="15" fillId="0" borderId="0" xfId="2" applyNumberFormat="1" applyFont="1" applyAlignment="1">
      <alignment horizontal="right"/>
    </xf>
    <xf numFmtId="164" fontId="10" fillId="0" borderId="2" xfId="0" applyNumberFormat="1" applyFont="1" applyBorder="1" applyAlignment="1">
      <alignment horizontal="right"/>
    </xf>
    <xf numFmtId="0" fontId="10" fillId="0" borderId="0" xfId="0" applyFont="1" applyAlignment="1">
      <alignment horizontal="centerContinuous"/>
    </xf>
    <xf numFmtId="164" fontId="10" fillId="0" borderId="0" xfId="2" applyNumberFormat="1" applyFont="1" applyAlignment="1">
      <alignment horizontal="centerContinuous"/>
    </xf>
    <xf numFmtId="0" fontId="10" fillId="0" borderId="0" xfId="0" applyFont="1" applyBorder="1" applyAlignment="1">
      <alignment horizontal="center" wrapText="1"/>
    </xf>
    <xf numFmtId="164" fontId="10" fillId="0" borderId="0" xfId="2" applyNumberFormat="1" applyFont="1" applyAlignment="1">
      <alignment horizontal="center"/>
    </xf>
    <xf numFmtId="0" fontId="26" fillId="0" borderId="2" xfId="0" applyFont="1" applyBorder="1" applyAlignment="1">
      <alignment horizontal="center"/>
    </xf>
    <xf numFmtId="164" fontId="15" fillId="0" borderId="0" xfId="2" applyNumberFormat="1" applyFont="1" applyAlignment="1">
      <alignment horizontal="center"/>
    </xf>
    <xf numFmtId="164" fontId="10" fillId="0" borderId="2" xfId="0" applyNumberFormat="1" applyFont="1" applyBorder="1" applyAlignment="1">
      <alignment horizontal="center"/>
    </xf>
    <xf numFmtId="0" fontId="11" fillId="0" borderId="0" xfId="0" applyFont="1" applyAlignment="1">
      <alignment horizontal="center"/>
    </xf>
    <xf numFmtId="42" fontId="9" fillId="0" borderId="0" xfId="0" applyNumberFormat="1" applyFont="1" applyAlignment="1">
      <alignment horizontal="centerContinuous" wrapText="1"/>
    </xf>
    <xf numFmtId="0" fontId="19" fillId="0" borderId="0" xfId="0" applyFont="1" applyAlignment="1">
      <alignment horizontal="centerContinuous" wrapText="1"/>
    </xf>
    <xf numFmtId="0" fontId="7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Continuous"/>
    </xf>
  </cellXfs>
  <cellStyles count="3">
    <cellStyle name="Currency" xfId="2" builtinId="4"/>
    <cellStyle name="Hyperlink" xfId="1" builtinId="8"/>
    <cellStyle name="Normal" xfId="0" builtinId="0"/>
  </cellStyles>
  <dxfs count="3561"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_(\$* #,##0_);_(\$* \(#,##0\);_(\$* &quot;-&quot;??_);_(@_)"/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1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166" formatCode="_(\$* #,##0_);_(\$* \(#,##0\);_(\$* &quot;-&quot;??_);_(@_)"/>
      <alignment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6" formatCode="_(\$* #,##0_);_(\$* \(#,##0\);_(\$* &quot;-&quot;??_);_(@_)"/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top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3" formatCode="_(* #,##0_);_(* \(#,##0\);_(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  <alignment horizontal="general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  <alignment horizontal="general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  <alignment horizontal="general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alignment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bottom style="thin">
          <color indexed="64"/>
        </bottom>
      </border>
    </dxf>
    <dxf>
      <alignment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color theme="0"/>
      </font>
      <alignment horizontal="left" vertical="bottom" textRotation="0" wrapText="0" indent="0" justifyLastLine="0" shrinkToFit="0" readingOrder="0"/>
    </dxf>
    <dxf>
      <alignment vertical="bottom" textRotation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border>
        <bottom style="thin">
          <color indexed="64"/>
        </bottom>
      </border>
    </dxf>
    <dxf>
      <alignment horizontal="center" vertical="bottom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4" formatCode="_(&quot;$&quot;* #,##0_);_(&quot;$&quot;* \(#,##0\);_(&quot;$&quot;* &quot;-&quot;??_);_(@_)"/>
      <fill>
        <patternFill patternType="none">
          <fgColor indexed="64"/>
          <bgColor indexed="65"/>
        </patternFill>
      </fill>
      <alignment horizontal="right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1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2" formatCode="_(&quot;$&quot;* #,##0_);_(&quot;$&quot;* \(#,##0\);_(&quot;$&quot;* &quot;-&quot;_);_(@_)"/>
      <border diagonalUp="0" diagonalDown="0" outline="0">
        <left/>
        <right/>
        <top/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  <alignment horizontal="general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  <alignment horizontal="general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  <alignment horizontal="general" vertical="bottom" textRotation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  <alignment horizontal="general" vertical="bottom" textRotation="0" wrapText="0" indent="0" justifyLastLine="0" shrinkToFit="0" readingOrder="0"/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bottom" textRotation="0" wrapText="1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/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9" formatCode="&quot;$&quot;#,##0_);\(&quot;$&quot;#,##0\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  <alignment horizontal="right" vertical="bottom" textRotation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auto="1"/>
        <name val="Arial"/>
        <scheme val="none"/>
      </font>
      <alignment horizontal="center" vertical="bottom" textRotation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  <alignment vertical="bottom" textRotation="0" wrapText="1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indent="0" justifyLastLine="0" shrinkToFit="0" readingOrder="0"/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font>
        <strike val="0"/>
        <outline val="0"/>
        <shadow val="0"/>
        <u val="none"/>
        <sz val="12"/>
        <name val="Arial"/>
        <scheme val="none"/>
      </font>
      <numFmt numFmtId="167" formatCode="_(\$* #,##0_);_(\$* \(#,##0\);_(\$* &quot;-&quot;_);_(@_)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general" vertical="center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auto="1"/>
        </top>
      </border>
    </dxf>
    <dxf>
      <font>
        <b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superscript"/>
        <sz val="12"/>
        <color theme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strike val="0"/>
        <outline val="0"/>
        <shadow val="0"/>
        <u val="no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vertAlign val="baseline"/>
        <name val="Arial"/>
        <scheme val="none"/>
      </font>
    </dxf>
    <dxf>
      <border outline="0"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9" formatCode="&quot;$&quot;#,##0_);\(&quot;$&quot;#,##0\)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65" formatCode="&quot;$&quot;#,##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165" formatCode="&quot;$&quot;#,##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indent="0" justifyLastLine="0" shrinkToFit="0" readingOrder="0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>
        <top style="thin">
          <color auto="1"/>
        </top>
      </border>
    </dxf>
    <dxf>
      <font>
        <b/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alignment horizontal="center" vertical="bottom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indexed="64"/>
        </top>
        <bottom/>
        <vertical/>
        <horizontal/>
      </border>
    </dxf>
    <dxf>
      <font>
        <strike val="0"/>
        <outline val="0"/>
        <shadow val="0"/>
        <u val="none"/>
        <vertAlign val="baseline"/>
        <sz val="12"/>
        <color theme="0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strike val="0"/>
        <outline val="0"/>
        <shadow val="0"/>
        <u val="none"/>
        <sz val="12"/>
        <name val="Arial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border diagonalUp="0" diagonalDown="0" outline="0">
        <left/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9" formatCode="&quot;$&quot;#,##0_);\(&quot;$&quot;#,##0\)"/>
      <fill>
        <patternFill patternType="none">
          <fgColor indexed="64"/>
          <bgColor indexed="65"/>
        </patternFill>
      </fill>
    </dxf>
    <dxf>
      <font>
        <b/>
        <strike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32" formatCode="_(&quot;$&quot;* #,##0_);_(&quot;$&quot;* \(#,##0\);_(&quot;$&quot;* &quot;-&quot;_);_(@_)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numFmt numFmtId="19" formatCode="m/d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>
        <top style="thin">
          <color indexed="64"/>
        </top>
      </border>
    </dxf>
    <dxf>
      <font>
        <b/>
        <strike val="0"/>
        <outline val="0"/>
        <shadow val="0"/>
        <u val="none"/>
        <sz val="12"/>
        <name val="Arial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strike val="0"/>
        <outline val="0"/>
        <shadow val="0"/>
        <u val="none"/>
        <sz val="12"/>
        <name val="Arial"/>
        <scheme val="none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2648857</xdr:colOff>
      <xdr:row>5</xdr:row>
      <xdr:rowOff>144133</xdr:rowOff>
    </xdr:from>
    <xdr:to>
      <xdr:col>0</xdr:col>
      <xdr:colOff>5849257</xdr:colOff>
      <xdr:row>21</xdr:row>
      <xdr:rowOff>117120</xdr:rowOff>
    </xdr:to>
    <xdr:pic>
      <xdr:nvPicPr>
        <xdr:cNvPr id="2" name="Picture 1" descr="Seal, Office of the Controller, State of California." title="Seal"/>
        <xdr:cNvPicPr/>
      </xdr:nvPicPr>
      <xdr:blipFill>
        <a:blip xmlns:r="http://schemas.openxmlformats.org/officeDocument/2006/relationships" r:embed="rId1" cstate="print">
          <a:duotone>
            <a:prstClr val="black"/>
            <a:schemeClr val="bg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harpenSoften amount="50000"/>
                  </a14:imgEffect>
                  <a14:imgEffect>
                    <a14:colorTemperature colorTemp="5300"/>
                  </a14:imgEffect>
                  <a14:imgEffect>
                    <a14:saturation sat="400000"/>
                  </a14:imgEffect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48857" y="2468233"/>
          <a:ext cx="3200400" cy="302098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onet\data\Local%20Reimb\Reporting\Mandated%20Reports\Payments\$765M%20Payments%20to%20Locals%20(Pre-2004)\Interest\Interest-2nd%20Payment%20(10.02.2015)%20_%20assigned%20analy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by Program, FY"/>
      <sheetName val="2ND ROUND PYMT"/>
      <sheetName val="Verified Amounts (Analysis)"/>
      <sheetName val="Analysis 3 - HDS, 111, FY200203"/>
      <sheetName val="By Claimant"/>
      <sheetName val="Analysis (2)"/>
      <sheetName val="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ables/table1.xml><?xml version="1.0" encoding="utf-8"?>
<table xmlns="http://schemas.openxmlformats.org/spreadsheetml/2006/main" id="14" name="localgeneralfund" displayName="localgeneralfund" ref="A2:M6" totalsRowCount="1" headerRowDxfId="3560" dataDxfId="3558" totalsRowDxfId="3556" headerRowBorderDxfId="3559" tableBorderDxfId="3557" totalsRowBorderDxfId="3555">
  <autoFilter ref="A2:M5"/>
  <tableColumns count="13">
    <tableColumn id="1" name="Program Category_x000a_ and Fund" totalsRowLabel="Total Local Agencies-General Fund" dataDxfId="3554" totalsRowDxfId="121"/>
    <tableColumn id="2" name="Appropriation_x000a_Number" totalsRowLabel="N/A" dataDxfId="3553" totalsRowDxfId="120"/>
    <tableColumn id="3" name="Legal_x000a_Reference_x000a_(Ch./Year)" totalsRowLabel="N/A" dataDxfId="3552" totalsRowDxfId="119"/>
    <tableColumn id="4" name="Fiscal Year of_x000a_Claims Paid" totalsRowLabel="N/A" dataDxfId="3551" totalsRowDxfId="118"/>
    <tableColumn id="5" name="Reversion Date" totalsRowLabel="N/A" dataDxfId="3550" totalsRowDxfId="117"/>
    <tableColumn id="6" name="Original_x000a_Appropriation_x000a_Amount" totalsRowFunction="sum" dataDxfId="3549" totalsRowDxfId="116"/>
    <tableColumn id="7" name="Appropriation Balances 1 " totalsRowFunction="sum" dataDxfId="3548" totalsRowDxfId="115"/>
    <tableColumn id="8" name="Comment: As of 4/1/2020, except for the Budget Act of 2020 appropriation as of 7/1/2020." totalsRowLabel="N/A" dataDxfId="3547" totalsRowDxfId="114"/>
    <tableColumn id="9" name="Add: Receipts_x000a_and Recovered_x000a_Amounts" totalsRowFunction="sum" dataDxfId="3546" totalsRowDxfId="113"/>
    <tableColumn id="10" name="Less: Mandated Program Payments,_x000a_Offsets, and Interest_x000a_(see Schedule A1)" totalsRowFunction="sum" dataDxfId="3545" totalsRowDxfId="112"/>
    <tableColumn id="11" name="Comment2" totalsRowLabel="N/A" dataDxfId="3544" totalsRowDxfId="111"/>
    <tableColumn id="12" name="Less: Reappropriations 3" totalsRowFunction="sum" dataDxfId="3543" totalsRowDxfId="110"/>
    <tableColumn id="13" name="Appropriation_x000a_Balances_x000a_as of 4/1/2021" totalsRowFunction="sum" dataDxfId="3542" totalsRowDxfId="10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For Local Agencies-General Fund."/>
    </ext>
  </extLst>
</table>
</file>

<file path=xl/tables/table10.xml><?xml version="1.0" encoding="utf-8"?>
<table xmlns="http://schemas.openxmlformats.org/spreadsheetml/2006/main" id="25" name="localmotor20" displayName="localmotor20" ref="A56:I58" totalsRowCount="1" headerRowDxfId="3311" dataDxfId="3309" totalsRowDxfId="3307" headerRowBorderDxfId="3310" tableBorderDxfId="3308" totalsRowBorderDxfId="3306">
  <autoFilter ref="A56:I57"/>
  <tableColumns count="9">
    <tableColumn id="1" name="Program Category_x000a_and Type of Payment" totalsRowLabel="0044-8885-2020-295-98 Total" dataDxfId="3305" totalsRowDxfId="3304"/>
    <tableColumn id="2" name="Fiscal _x000a_Year" totalsRowLabel="N/A" dataDxfId="3303" totalsRowDxfId="3302"/>
    <tableColumn id="3" name="Appropriation _x000a_Number" totalsRowLabel="N/A" dataDxfId="3301" totalsRowDxfId="3300"/>
    <tableColumn id="4" name="Program _x000a_Name" totalsRowLabel="N/A" dataDxfId="3299" totalsRowDxfId="3298"/>
    <tableColumn id="5" name="Legal _x000a_Reference_x000a_(Ch./Year)" totalsRowLabel="N/A" dataDxfId="3297" totalsRowDxfId="3296"/>
    <tableColumn id="6" name="Program_x000a_ Number" totalsRowLabel="N/A" dataDxfId="3295" totalsRowDxfId="3294"/>
    <tableColumn id="7" name="Program _x000a_Payments and Offsets" totalsRowFunction="sum" dataDxfId="3293" totalsRowDxfId="3292"/>
    <tableColumn id="8" name="Interest_x000a_Payments and Offsets" totalsRowFunction="sum" dataDxfId="3291" totalsRowDxfId="3290"/>
    <tableColumn id="9" name="Total _x000a_Payments" totalsRowFunction="sum" dataDxfId="3289" totalsRowDxfId="328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Motor Vehicle."/>
    </ext>
  </extLst>
</table>
</file>

<file path=xl/tables/table100.xml><?xml version="1.0" encoding="utf-8"?>
<table xmlns="http://schemas.openxmlformats.org/spreadsheetml/2006/main" id="100" name="college200203" displayName="college200203" ref="A97:L101" totalsRowCount="1" headerRowDxfId="851" dataDxfId="849" totalsRowDxfId="847" headerRowBorderDxfId="850" tableBorderDxfId="848" dataCellStyle="Currency">
  <autoFilter ref="A97:L100"/>
  <tableColumns count="12">
    <tableColumn id="1" name="Fiscal_x000a_Year" totalsRowLabel="2002-03 Total" dataDxfId="846" totalsRowDxfId="845"/>
    <tableColumn id="2" name="Program_x000a_Name" totalsRowLabel="N/A" dataDxfId="844" totalsRowDxfId="843"/>
    <tableColumn id="3" name="Legal_x000a_Reference_x000a_(Ch./Year)" totalsRowLabel="N/A" dataDxfId="842" totalsRowDxfId="841"/>
    <tableColumn id="4" name="Program_x000a_Number" totalsRowLabel="N/A" dataDxfId="840" totalsRowDxfId="839"/>
    <tableColumn id="5" name="Program_x000a_Costs" totalsRowFunction="sum" dataDxfId="838" totalsRowDxfId="837" dataCellStyle="Currency"/>
    <tableColumn id="6" name="Less: Net_x000a_ Payments and _x000a_Offsets 2" totalsRowFunction="sum" dataDxfId="836" totalsRowDxfId="835" dataCellStyle="Currency"/>
    <tableColumn id="7" name="Comment" totalsRowLabel="N/A" dataDxfId="834" totalsRowDxfId="833" dataCellStyle="Currency"/>
    <tableColumn id="8" name="Accounts Payable_x000a_Balance" totalsRowFunction="sum" totalsRowDxfId="832"/>
    <tableColumn id="9" name="Established_x000a_Accounts Receivable" totalsRowFunction="sum" dataDxfId="831" totalsRowDxfId="830" dataCellStyle="Currency"/>
    <tableColumn id="10" name="Less: _x000a_Recovered _x000a_Amount" totalsRowFunction="sum" dataDxfId="829" totalsRowDxfId="828" dataCellStyle="Currency"/>
    <tableColumn id="11" name="Accounts Receivable_x000a_Balance" totalsRowFunction="sum" dataDxfId="827" totalsRowDxfId="826" dataCellStyle="Currency"/>
    <tableColumn id="12" name="Net_x000a_Balance" totalsRowFunction="sum" dataDxfId="825" totalsRowDxfId="82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1.xml><?xml version="1.0" encoding="utf-8"?>
<table xmlns="http://schemas.openxmlformats.org/spreadsheetml/2006/main" id="101" name="college200102" displayName="college200102" ref="A103:L107" totalsRowCount="1" headerRowDxfId="823" dataDxfId="821" totalsRowDxfId="820" headerRowBorderDxfId="822" dataCellStyle="Currency">
  <autoFilter ref="A103:L106"/>
  <tableColumns count="12">
    <tableColumn id="1" name="Fiscal_x000a_Year" totalsRowLabel="2001-02 Total" dataDxfId="819" totalsRowDxfId="818"/>
    <tableColumn id="2" name="Program_x000a_Name" totalsRowLabel="N/A" dataDxfId="817" totalsRowDxfId="816"/>
    <tableColumn id="3" name="Legal_x000a_Reference_x000a_(Ch./Year)" totalsRowLabel="N/A" dataDxfId="815" totalsRowDxfId="814"/>
    <tableColumn id="4" name="Program_x000a_Number" totalsRowLabel="N/A" dataDxfId="813" totalsRowDxfId="812"/>
    <tableColumn id="5" name="Program_x000a_Costs" totalsRowFunction="sum" dataDxfId="811" totalsRowDxfId="810" dataCellStyle="Currency"/>
    <tableColumn id="6" name="Less: Net_x000a_ Payments and _x000a_Offsets 2" totalsRowFunction="sum" dataDxfId="809" totalsRowDxfId="808" dataCellStyle="Currency"/>
    <tableColumn id="7" name="Comment" totalsRowLabel="N/A" dataDxfId="807" totalsRowDxfId="806" dataCellStyle="Currency"/>
    <tableColumn id="8" name="Accounts Payable_x000a_Balance" totalsRowFunction="sum" totalsRowDxfId="805"/>
    <tableColumn id="9" name="Established_x000a_Accounts Receivable" totalsRowFunction="sum" dataDxfId="804" totalsRowDxfId="803" dataCellStyle="Currency"/>
    <tableColumn id="10" name="Less: _x000a_Recovered _x000a_Amount" totalsRowFunction="sum" dataDxfId="802" totalsRowDxfId="801" dataCellStyle="Currency"/>
    <tableColumn id="11" name="Accounts Receivable_x000a_Balance" totalsRowFunction="sum" dataDxfId="800" totalsRowDxfId="799" dataCellStyle="Currency"/>
    <tableColumn id="12" name="Net_x000a_Balance" totalsRowFunction="sum" dataDxfId="798" totalsRowDxfId="79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2.xml><?xml version="1.0" encoding="utf-8"?>
<table xmlns="http://schemas.openxmlformats.org/spreadsheetml/2006/main" id="102" name="college200001" displayName="college200001" ref="A109:L111" totalsRowCount="1" headerRowDxfId="796" dataDxfId="794" totalsRowDxfId="792" headerRowBorderDxfId="795" tableBorderDxfId="793" dataCellStyle="Currency">
  <autoFilter ref="A109:L110"/>
  <tableColumns count="12">
    <tableColumn id="1" name="Fiscal_x000a_Year" totalsRowLabel="2000-01 Total" dataDxfId="791" totalsRowDxfId="790"/>
    <tableColumn id="2" name="Program_x000a_Name" totalsRowLabel="N/A" dataDxfId="789" totalsRowDxfId="788"/>
    <tableColumn id="3" name="Legal_x000a_Reference_x000a_(Ch./Year)" totalsRowLabel="N/A" dataDxfId="787" totalsRowDxfId="786"/>
    <tableColumn id="4" name="Program_x000a_Number" totalsRowLabel="N/A" dataDxfId="785" totalsRowDxfId="784"/>
    <tableColumn id="5" name="Program_x000a_Costs" totalsRowFunction="sum" dataDxfId="783" totalsRowDxfId="782" dataCellStyle="Currency"/>
    <tableColumn id="6" name="Less: Net_x000a_ Payments and _x000a_Offsets 2" totalsRowFunction="sum" dataDxfId="781" totalsRowDxfId="780" dataCellStyle="Currency"/>
    <tableColumn id="7" name="Comment" totalsRowLabel="N/A" dataDxfId="779" totalsRowDxfId="778" dataCellStyle="Currency"/>
    <tableColumn id="8" name="Accounts Payable_x000a_Balance" totalsRowFunction="sum" dataDxfId="777" totalsRowDxfId="776" dataCellStyle="Currency"/>
    <tableColumn id="9" name="Established_x000a_Accounts Receivable" totalsRowFunction="sum" dataDxfId="775" totalsRowDxfId="774" dataCellStyle="Currency"/>
    <tableColumn id="10" name="Less: _x000a_Recovered _x000a_Amount" totalsRowFunction="sum" dataDxfId="773" totalsRowDxfId="772" dataCellStyle="Currency"/>
    <tableColumn id="11" name="Accounts Receivable_x000a_Balance" totalsRowFunction="sum" dataDxfId="771" totalsRowDxfId="770" dataCellStyle="Currency"/>
    <tableColumn id="12" name="Net_x000a_Balance" totalsRowFunction="sum" dataDxfId="769" totalsRowDxfId="76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3.xml><?xml version="1.0" encoding="utf-8"?>
<table xmlns="http://schemas.openxmlformats.org/spreadsheetml/2006/main" id="103" name="college199900" displayName="college199900" ref="A113:L115" totalsRowCount="1" headerRowDxfId="767" dataDxfId="765" totalsRowDxfId="763" headerRowBorderDxfId="766" tableBorderDxfId="764" dataCellStyle="Currency">
  <autoFilter ref="A113:L114"/>
  <tableColumns count="12">
    <tableColumn id="1" name="Fiscal_x000a_Year" totalsRowLabel="1999-00 Total" dataDxfId="762" totalsRowDxfId="761"/>
    <tableColumn id="2" name="Program_x000a_Name" totalsRowLabel="N/A" dataDxfId="760" totalsRowDxfId="759"/>
    <tableColumn id="3" name="Legal_x000a_Reference_x000a_(Ch./Year)" totalsRowLabel="N/A" dataDxfId="758" totalsRowDxfId="757"/>
    <tableColumn id="4" name="Program_x000a_Number" totalsRowLabel="N/A" dataDxfId="756" totalsRowDxfId="755"/>
    <tableColumn id="5" name="Program_x000a_Costs" totalsRowFunction="sum" dataDxfId="754" totalsRowDxfId="753" dataCellStyle="Currency"/>
    <tableColumn id="6" name="Less: Net_x000a_ Payments and _x000a_Offsets 2" totalsRowFunction="sum" dataDxfId="752" totalsRowDxfId="751" dataCellStyle="Currency"/>
    <tableColumn id="7" name="Comment" totalsRowLabel="N/A" dataDxfId="750" totalsRowDxfId="749" dataCellStyle="Currency"/>
    <tableColumn id="8" name="Accounts Payable_x000a_Balance" totalsRowFunction="sum" dataDxfId="748" totalsRowDxfId="747" dataCellStyle="Currency"/>
    <tableColumn id="9" name="Established_x000a_Accounts Receivable" totalsRowFunction="sum" dataDxfId="746" totalsRowDxfId="745" dataCellStyle="Currency"/>
    <tableColumn id="10" name="Less: _x000a_Recovered _x000a_Amount" totalsRowFunction="sum" dataDxfId="744" totalsRowDxfId="743" dataCellStyle="Currency"/>
    <tableColumn id="11" name="Accounts Receivable_x000a_Balance" totalsRowFunction="sum" dataDxfId="742" totalsRowDxfId="741" dataCellStyle="Currency"/>
    <tableColumn id="12" name="Net_x000a_Balance" totalsRowFunction="sum" dataDxfId="740" totalsRowDxfId="73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4.xml><?xml version="1.0" encoding="utf-8"?>
<table xmlns="http://schemas.openxmlformats.org/spreadsheetml/2006/main" id="104" name="college199899" displayName="college199899" ref="A117:L119" totalsRowCount="1" headerRowDxfId="738" dataDxfId="736" totalsRowDxfId="734" headerRowBorderDxfId="737" tableBorderDxfId="735" dataCellStyle="Currency">
  <autoFilter ref="A117:L118"/>
  <tableColumns count="12">
    <tableColumn id="1" name="Fiscal_x000a_Year" totalsRowLabel="1998-99 Total" dataDxfId="733" totalsRowDxfId="732"/>
    <tableColumn id="2" name="Program_x000a_Name" totalsRowLabel="N/A" dataDxfId="731" totalsRowDxfId="730"/>
    <tableColumn id="3" name="Legal_x000a_Reference_x000a_(Ch./Year)" totalsRowLabel="N/A" dataDxfId="729" totalsRowDxfId="728"/>
    <tableColumn id="4" name="Program_x000a_Number" totalsRowLabel="N/A" dataDxfId="727" totalsRowDxfId="726"/>
    <tableColumn id="5" name="Program_x000a_Costs" totalsRowFunction="sum" dataDxfId="725" totalsRowDxfId="724" dataCellStyle="Currency"/>
    <tableColumn id="6" name="Less: Net_x000a_ Payments and _x000a_Offsets 2" totalsRowFunction="sum" dataDxfId="723" totalsRowDxfId="722" dataCellStyle="Currency"/>
    <tableColumn id="7" name="Comment" totalsRowLabel="N/A" dataDxfId="721" totalsRowDxfId="720" dataCellStyle="Currency"/>
    <tableColumn id="8" name="Accounts Payable_x000a_Balance" totalsRowFunction="sum" dataDxfId="719" totalsRowDxfId="718" dataCellStyle="Currency"/>
    <tableColumn id="9" name="Established_x000a_Accounts Receivable" totalsRowFunction="sum" dataDxfId="717" totalsRowDxfId="716" dataCellStyle="Currency"/>
    <tableColumn id="10" name="Less: _x000a_Recovered _x000a_Amount" totalsRowFunction="sum" dataDxfId="715" totalsRowDxfId="714" dataCellStyle="Currency"/>
    <tableColumn id="11" name="Accounts Receivable_x000a_Balance" totalsRowFunction="sum" dataDxfId="713" totalsRowDxfId="712" dataCellStyle="Currency"/>
    <tableColumn id="12" name="Net_x000a_Balance" totalsRowFunction="sum" dataDxfId="711" totalsRowDxfId="71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5.xml><?xml version="1.0" encoding="utf-8"?>
<table xmlns="http://schemas.openxmlformats.org/spreadsheetml/2006/main" id="105" name="collegegrandtotal5" displayName="collegegrandtotal5" ref="A121:L138" totalsRowCount="1" headerRowDxfId="709" dataDxfId="707" totalsRowDxfId="705" headerRowBorderDxfId="708" tableBorderDxfId="706">
  <autoFilter ref="A121:L137"/>
  <tableColumns count="12">
    <tableColumn id="1" name="Fiscal_x000a_Year" totalsRowLabel="Total Community College Districts" dataDxfId="704" totalsRowDxfId="703"/>
    <tableColumn id="2" name="Program_x000a_Name" totalsRowLabel="N/A" dataDxfId="702" totalsRowDxfId="701"/>
    <tableColumn id="3" name="Legal_x000a_Reference_x000a_(Ch./Year)" totalsRowLabel="N/A" dataDxfId="700" totalsRowDxfId="699"/>
    <tableColumn id="4" name="Program_x000a_Number" totalsRowLabel="N/A" dataDxfId="698" totalsRowDxfId="697"/>
    <tableColumn id="5" name="Program_x000a_Costs" totalsRowFunction="sum" dataDxfId="696" totalsRowDxfId="695"/>
    <tableColumn id="6" name="Less: Net_x000a_ Payments and _x000a_Offsets 2" totalsRowFunction="sum" dataDxfId="694" totalsRowDxfId="693"/>
    <tableColumn id="7" name="Comment" totalsRowLabel="N/A" dataDxfId="692" totalsRowDxfId="691" dataCellStyle="Currency"/>
    <tableColumn id="8" name="Accounts Payable_x000a_Balance" totalsRowFunction="sum" dataDxfId="690" totalsRowDxfId="689"/>
    <tableColumn id="9" name="Established_x000a_Accounts Receivable" totalsRowFunction="sum" dataDxfId="688" totalsRowDxfId="687"/>
    <tableColumn id="10" name="Less: _x000a_Recovered _x000a_Amount" totalsRowFunction="sum" dataDxfId="686" totalsRowDxfId="685"/>
    <tableColumn id="11" name="Accounts Receivable_x000a_Balance" totalsRowFunction="sum" dataDxfId="684" totalsRowDxfId="683"/>
    <tableColumn id="12" name="Net_x000a_Balance" totalsRowFunction="sum" dataDxfId="682" totalsRowDxfId="68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6.xml><?xml version="1.0" encoding="utf-8"?>
<table xmlns="http://schemas.openxmlformats.org/spreadsheetml/2006/main" id="106" name="totalfunded" displayName="totalfunded" ref="A140:L144" totalsRowCount="1" headerRowDxfId="680" dataDxfId="678" totalsRowDxfId="676" headerRowBorderDxfId="679" tableBorderDxfId="677">
  <autoFilter ref="A140:L143"/>
  <tableColumns count="12">
    <tableColumn id="1" name="Fiscal_x000a_Year" totalsRowLabel="Total Funded Mandates" dataDxfId="675" totalsRowDxfId="674"/>
    <tableColumn id="2" name="Program_x000a_Name" totalsRowLabel="N/A" dataDxfId="673" totalsRowDxfId="672" dataCellStyle="Currency"/>
    <tableColumn id="3" name="Legal_x000a_Reference_x000a_(Ch./Year)" totalsRowLabel="N/A" dataDxfId="671" totalsRowDxfId="670" dataCellStyle="Currency"/>
    <tableColumn id="4" name="Program_x000a_Number" totalsRowLabel="N/A" dataDxfId="669" totalsRowDxfId="668" dataCellStyle="Currency"/>
    <tableColumn id="5" name="Program_x000a_Costs" totalsRowFunction="sum" dataDxfId="667" totalsRowDxfId="666"/>
    <tableColumn id="6" name="Less: Net_x000a_ Payments and _x000a_Offsets 2" totalsRowFunction="sum" dataDxfId="665" totalsRowDxfId="664"/>
    <tableColumn id="7" name="Comment" totalsRowLabel="N/A" dataDxfId="663" totalsRowDxfId="662" dataCellStyle="Currency"/>
    <tableColumn id="8" name="Accounts Payable_x000a_Balance" totalsRowFunction="sum" dataDxfId="661" totalsRowDxfId="660"/>
    <tableColumn id="9" name="Established_x000a_Accounts Receivable" totalsRowFunction="sum" dataDxfId="659" totalsRowDxfId="658"/>
    <tableColumn id="10" name="Less: _x000a_Recovered _x000a_Amount" totalsRowFunction="sum" dataDxfId="657" totalsRowDxfId="656"/>
    <tableColumn id="11" name="Accounts Receivable_x000a_Balance" totalsRowFunction="sum" dataDxfId="655" totalsRowDxfId="654"/>
    <tableColumn id="12" name="Net_x000a_Balance" totalsRowFunction="sum" dataDxfId="653" totalsRowDxfId="6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107.xml><?xml version="1.0" encoding="utf-8"?>
<table xmlns="http://schemas.openxmlformats.org/spreadsheetml/2006/main" id="107" name="local288" displayName="local288" ref="A2:K5" totalsRowCount="1" headerRowDxfId="651" dataDxfId="649" totalsRowDxfId="647" headerRowBorderDxfId="650" tableBorderDxfId="648" headerRowCellStyle="Currency" dataCellStyle="Currency">
  <autoFilter ref="A2:K4"/>
  <tableColumns count="11">
    <tableColumn id="1" name="Program_x000a_Name" totalsRowLabel="California Fire Incident Reporting System (CFIRS) Total" dataDxfId="646" totalsRowDxfId="645"/>
    <tableColumn id="2" name="Legal_x000a_Reference_x000a_(Ch./Year)" totalsRowLabel="N/A" dataDxfId="644" totalsRowDxfId="643"/>
    <tableColumn id="3" name="Program _x000a_Number" totalsRowLabel="N/A" dataDxfId="642" totalsRowDxfId="641"/>
    <tableColumn id="4" name="Fiscal_x000a_Year" totalsRowLabel="N/A" dataDxfId="640" totalsRowDxfId="639"/>
    <tableColumn id="5" name="Program_x000a_Costs" totalsRowFunction="sum" dataDxfId="638" totalsRowDxfId="637" dataCellStyle="Currency"/>
    <tableColumn id="6" name="Less: Net_x000a_Payments _x000a_and Offsets" totalsRowFunction="sum" dataDxfId="636" totalsRowDxfId="635" dataCellStyle="Currency"/>
    <tableColumn id="7" name="Accounts Payable_x000a_Balance" totalsRowFunction="sum" dataDxfId="634" totalsRowDxfId="633" dataCellStyle="Currency"/>
    <tableColumn id="8" name="Established_x000a_Accounts Receivable" totalsRowFunction="sum" dataDxfId="632" totalsRowDxfId="631" dataCellStyle="Currency"/>
    <tableColumn id="9" name="Less:_x000a_ Recovered_x000a_Amount" totalsRowFunction="sum" dataDxfId="630" totalsRowDxfId="629" dataCellStyle="Currency"/>
    <tableColumn id="10" name="Accounts Receivable_x000a_Balance" totalsRowFunction="sum" dataDxfId="628" totalsRowDxfId="627" dataCellStyle="Currency"/>
    <tableColumn id="11" name="Net_x000a_Balance" totalsRowFunction="sum" dataDxfId="626" totalsRowDxfId="62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08.xml><?xml version="1.0" encoding="utf-8"?>
<table xmlns="http://schemas.openxmlformats.org/spreadsheetml/2006/main" id="108" name="local310" displayName="local310" ref="A7:K19" totalsRowCount="1" headerRowDxfId="624" dataDxfId="622" totalsRowDxfId="620" headerRowBorderDxfId="623" tableBorderDxfId="621" headerRowCellStyle="Currency" dataCellStyle="Currency">
  <autoFilter ref="A7:K18"/>
  <tableColumns count="11">
    <tableColumn id="1" name="Program_x000a_Name" totalsRowLabel="Crime Statistics Reports for the Department of Justice Total" dataDxfId="619" totalsRowDxfId="618"/>
    <tableColumn id="2" name="Legal_x000a_Reference_x000a_(Ch./Year)" totalsRowLabel="N/A" dataDxfId="617" totalsRowDxfId="616"/>
    <tableColumn id="3" name="Program _x000a_Number" totalsRowLabel="N/A" dataDxfId="615" totalsRowDxfId="614"/>
    <tableColumn id="4" name="Fiscal_x000a_Year" totalsRowLabel="N/A" dataDxfId="613" totalsRowDxfId="612"/>
    <tableColumn id="5" name="Program_x000a_Costs" totalsRowFunction="sum" dataDxfId="611" totalsRowDxfId="610" dataCellStyle="Currency"/>
    <tableColumn id="6" name="Less: Net_x000a_Payments _x000a_and Offsets" totalsRowFunction="sum" dataDxfId="609" totalsRowDxfId="608" dataCellStyle="Currency"/>
    <tableColumn id="7" name="Accounts Payable_x000a_Balance" totalsRowFunction="sum" dataDxfId="607" totalsRowDxfId="606" dataCellStyle="Currency"/>
    <tableColumn id="8" name="Established_x000a_Accounts Receivable" totalsRowFunction="sum" dataDxfId="605" totalsRowDxfId="604" dataCellStyle="Currency"/>
    <tableColumn id="9" name="Less:_x000a_ Recovered_x000a_Amount" totalsRowFunction="sum" dataDxfId="603" totalsRowDxfId="602" dataCellStyle="Currency"/>
    <tableColumn id="10" name="Accounts Receivable_x000a_Balance" totalsRowFunction="sum" dataDxfId="601" totalsRowDxfId="600" dataCellStyle="Currency"/>
    <tableColumn id="11" name="Net_x000a_Balance" totalsRowFunction="sum" dataDxfId="599" totalsRowDxfId="59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09.xml><?xml version="1.0" encoding="utf-8"?>
<table xmlns="http://schemas.openxmlformats.org/spreadsheetml/2006/main" id="109" name="local306" displayName="local306" ref="A21:K32" totalsRowCount="1" headerRowDxfId="597" dataDxfId="595" totalsRowDxfId="593" headerRowBorderDxfId="596" tableBorderDxfId="594" headerRowCellStyle="Currency" dataCellStyle="Currency">
  <autoFilter ref="A21:K31"/>
  <tableColumns count="11">
    <tableColumn id="1" name="Program_x000a_Name" totalsRowLabel="Crime Victims' Domestic Violence Incident Reports II Total" dataDxfId="592" totalsRowDxfId="591"/>
    <tableColumn id="2" name="Legal_x000a_Reference_x000a_(Ch./Year)" totalsRowLabel="N/A" dataDxfId="590" totalsRowDxfId="589"/>
    <tableColumn id="3" name="Program _x000a_Number" totalsRowLabel="N/A" dataDxfId="588" totalsRowDxfId="587"/>
    <tableColumn id="4" name="Fiscal_x000a_Year" totalsRowLabel="N/A" dataDxfId="586" totalsRowDxfId="585"/>
    <tableColumn id="5" name="Program_x000a_Costs" totalsRowFunction="sum" dataDxfId="584" totalsRowDxfId="583" dataCellStyle="Currency"/>
    <tableColumn id="6" name="Less: Net_x000a_Payments _x000a_and Offsets" totalsRowFunction="sum" dataDxfId="582" totalsRowDxfId="581" dataCellStyle="Currency"/>
    <tableColumn id="7" name="Accounts Payable_x000a_Balance" totalsRowFunction="sum" dataDxfId="580" totalsRowDxfId="579" dataCellStyle="Currency"/>
    <tableColumn id="8" name="Established_x000a_Accounts Receivable" totalsRowFunction="sum" dataDxfId="578" totalsRowDxfId="577" dataCellStyle="Currency"/>
    <tableColumn id="9" name="Less:_x000a_ Recovered_x000a_Amount" totalsRowFunction="sum" dataDxfId="576" totalsRowDxfId="575" dataCellStyle="Currency"/>
    <tableColumn id="10" name="Accounts Receivable_x000a_Balance" totalsRowFunction="sum" dataDxfId="574" totalsRowDxfId="573" dataCellStyle="Currency"/>
    <tableColumn id="11" name="Net_x000a_Balance" totalsRowFunction="sum" dataDxfId="572" totalsRowDxfId="57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.xml><?xml version="1.0" encoding="utf-8"?>
<table xmlns="http://schemas.openxmlformats.org/spreadsheetml/2006/main" id="26" name="localmotor19" displayName="localmotor19" ref="A60:I62" totalsRowCount="1" headerRowDxfId="3287" dataDxfId="3285" totalsRowDxfId="3283" headerRowBorderDxfId="3286" tableBorderDxfId="3284" totalsRowBorderDxfId="3282">
  <autoFilter ref="A60:I61"/>
  <tableColumns count="9">
    <tableColumn id="1" name="Program Category_x000a_and Type of Payment" totalsRowLabel="0044-8885-2019-295-98 Total" dataDxfId="3281" totalsRowDxfId="3280"/>
    <tableColumn id="2" name="Fiscal _x000a_Year" totalsRowLabel="N/A" dataDxfId="3279" totalsRowDxfId="3278"/>
    <tableColumn id="3" name="Appropriation _x000a_Number" totalsRowLabel="N/A" dataDxfId="3277" totalsRowDxfId="3276"/>
    <tableColumn id="4" name="Program _x000a_Name" totalsRowLabel="N/A" dataDxfId="3275" totalsRowDxfId="3274"/>
    <tableColumn id="5" name="Legal _x000a_Reference_x000a_(Ch./Year)" totalsRowLabel="N/A" dataDxfId="3273" totalsRowDxfId="3272"/>
    <tableColumn id="6" name="Program_x000a_ Number" totalsRowLabel="N/A" dataDxfId="3271" totalsRowDxfId="3270"/>
    <tableColumn id="7" name="Program _x000a_Payments and Offsets" totalsRowFunction="sum" dataDxfId="3269" totalsRowDxfId="3268"/>
    <tableColumn id="8" name="Interest_x000a_Payments and Offsets" totalsRowFunction="sum" dataDxfId="3267" totalsRowDxfId="3266"/>
    <tableColumn id="9" name="Total _x000a_Payments" totalsRowFunction="sum" dataDxfId="3265" totalsRowDxfId="326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Motor Vehicle."/>
    </ext>
  </extLst>
</table>
</file>

<file path=xl/tables/table110.xml><?xml version="1.0" encoding="utf-8"?>
<table xmlns="http://schemas.openxmlformats.org/spreadsheetml/2006/main" id="110" name="local322" displayName="local322" ref="A34:K47" totalsRowCount="1" headerRowDxfId="570" dataDxfId="568" totalsRowDxfId="566" headerRowBorderDxfId="569" tableBorderDxfId="567" headerRowCellStyle="Currency" dataCellStyle="Currency">
  <autoFilter ref="A34:K46"/>
  <tableColumns count="11">
    <tableColumn id="1" name="Program_x000a_Name" totalsRowLabel="Domestic Violence Background Checks Total" dataDxfId="565" totalsRowDxfId="564"/>
    <tableColumn id="2" name="Legal_x000a_Reference_x000a_(Ch./Year)" totalsRowLabel="N/A" dataDxfId="563" totalsRowDxfId="562"/>
    <tableColumn id="3" name="Program _x000a_Number" totalsRowLabel="N/A" dataDxfId="561" totalsRowDxfId="560"/>
    <tableColumn id="4" name="Fiscal_x000a_Year" totalsRowLabel="N/A" dataDxfId="559" totalsRowDxfId="558"/>
    <tableColumn id="5" name="Program_x000a_Costs" totalsRowFunction="sum" dataDxfId="557" totalsRowDxfId="556" dataCellStyle="Currency"/>
    <tableColumn id="6" name="Less: Net_x000a_Payments _x000a_and Offsets" totalsRowFunction="sum" dataDxfId="555" totalsRowDxfId="554" dataCellStyle="Currency"/>
    <tableColumn id="7" name="Accounts Payable_x000a_Balance" totalsRowFunction="sum" dataDxfId="553" totalsRowDxfId="552" dataCellStyle="Currency"/>
    <tableColumn id="8" name="Established_x000a_Accounts Receivable" totalsRowFunction="sum" dataDxfId="551" totalsRowDxfId="550" dataCellStyle="Currency"/>
    <tableColumn id="9" name="Less:_x000a_ Recovered_x000a_Amount" totalsRowFunction="sum" dataDxfId="549" totalsRowDxfId="548" dataCellStyle="Currency"/>
    <tableColumn id="10" name="Accounts Receivable_x000a_Balance" totalsRowFunction="sum" dataDxfId="547" totalsRowDxfId="546" dataCellStyle="Currency"/>
    <tableColumn id="11" name="Net_x000a_Balance" totalsRowFunction="sum" dataDxfId="545" totalsRowDxfId="54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1.xml><?xml version="1.0" encoding="utf-8"?>
<table xmlns="http://schemas.openxmlformats.org/spreadsheetml/2006/main" id="111" name="local293" displayName="local293" ref="A49:K60" totalsRowCount="1" headerRowDxfId="543" dataDxfId="541" totalsRowDxfId="540" headerRowBorderDxfId="542" headerRowCellStyle="Currency" dataCellStyle="Currency">
  <autoFilter ref="A49:K59"/>
  <tableColumns count="11">
    <tableColumn id="1" name="Program_x000a_Name" totalsRowLabel="Firearm Hearings for Discharged Inpatients Total" dataDxfId="539" totalsRowDxfId="538"/>
    <tableColumn id="2" name="Legal_x000a_Reference_x000a_(Ch./Year)" totalsRowLabel="N/A" dataDxfId="537" totalsRowDxfId="536"/>
    <tableColumn id="3" name="Program _x000a_Number" totalsRowLabel="N/A" dataDxfId="535" totalsRowDxfId="534"/>
    <tableColumn id="4" name="Fiscal_x000a_Year" totalsRowLabel="N/A" dataDxfId="533" totalsRowDxfId="532"/>
    <tableColumn id="5" name="Program_x000a_Costs" totalsRowFunction="sum" dataDxfId="531" totalsRowDxfId="530" dataCellStyle="Currency"/>
    <tableColumn id="6" name="Less: Net_x000a_Payments _x000a_and Offsets" totalsRowFunction="sum" dataDxfId="529" totalsRowDxfId="528" dataCellStyle="Currency"/>
    <tableColumn id="7" name="Accounts Payable_x000a_Balance" totalsRowFunction="sum" dataDxfId="527" totalsRowDxfId="526" dataCellStyle="Currency"/>
    <tableColumn id="8" name="Established_x000a_Accounts Receivable" totalsRowFunction="sum" dataDxfId="525" totalsRowDxfId="524" dataCellStyle="Currency"/>
    <tableColumn id="9" name="Less:_x000a_ Recovered_x000a_Amount" totalsRowFunction="sum" dataDxfId="523" totalsRowDxfId="522" dataCellStyle="Currency"/>
    <tableColumn id="10" name="Accounts Receivable_x000a_Balance" totalsRowFunction="sum" dataDxfId="521" totalsRowDxfId="520" dataCellStyle="Currency"/>
    <tableColumn id="11" name="Net_x000a_Balance" totalsRowFunction="sum" dataDxfId="519" totalsRowDxfId="51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2.xml><?xml version="1.0" encoding="utf-8"?>
<table xmlns="http://schemas.openxmlformats.org/spreadsheetml/2006/main" id="112" name="local321" displayName="local321" ref="A62:K74" totalsRowCount="1" headerRowDxfId="517" dataDxfId="515" totalsRowDxfId="513" headerRowBorderDxfId="516" tableBorderDxfId="514" headerRowCellStyle="Currency" dataCellStyle="Currency">
  <autoFilter ref="A62:K73"/>
  <tableColumns count="11">
    <tableColumn id="1" name="Program_x000a_Name" totalsRowLabel="Identity Theft Total" dataDxfId="512" totalsRowDxfId="511"/>
    <tableColumn id="2" name="Legal_x000a_Reference_x000a_(Ch./Year)" totalsRowLabel="N/A" dataDxfId="510" totalsRowDxfId="509"/>
    <tableColumn id="3" name="Program _x000a_Number" totalsRowLabel="N/A" dataDxfId="508" totalsRowDxfId="507"/>
    <tableColumn id="4" name="Fiscal_x000a_Year" totalsRowLabel="N/A" dataDxfId="506" totalsRowDxfId="505"/>
    <tableColumn id="5" name="Program_x000a_Costs" totalsRowFunction="sum" dataDxfId="504" totalsRowDxfId="503" dataCellStyle="Currency"/>
    <tableColumn id="6" name="Less: Net_x000a_Payments _x000a_and Offsets" totalsRowFunction="sum" dataDxfId="502" totalsRowDxfId="501" dataCellStyle="Currency"/>
    <tableColumn id="7" name="Accounts Payable_x000a_Balance" totalsRowFunction="sum" dataDxfId="500" totalsRowDxfId="499" dataCellStyle="Currency"/>
    <tableColumn id="8" name="Established_x000a_Accounts Receivable" totalsRowFunction="sum" dataDxfId="498" totalsRowDxfId="497" dataCellStyle="Currency"/>
    <tableColumn id="9" name="Less:_x000a_ Recovered_x000a_Amount" totalsRowFunction="sum" dataDxfId="496" totalsRowDxfId="495" dataCellStyle="Currency"/>
    <tableColumn id="10" name="Accounts Receivable_x000a_Balance" totalsRowFunction="sum" dataDxfId="494" totalsRowDxfId="493" dataCellStyle="Currency"/>
    <tableColumn id="11" name="Net_x000a_Balance" totalsRowFunction="sum" dataDxfId="492" totalsRowDxfId="49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3.xml><?xml version="1.0" encoding="utf-8"?>
<table xmlns="http://schemas.openxmlformats.org/spreadsheetml/2006/main" id="113" name="local358" displayName="local358" ref="A76:K93" totalsRowCount="1" headerRowDxfId="490" dataDxfId="488" totalsRowDxfId="486" headerRowBorderDxfId="489" tableBorderDxfId="487" headerRowCellStyle="Currency" dataCellStyle="Currency">
  <autoFilter ref="A76:K92"/>
  <tableColumns count="11">
    <tableColumn id="1" name="Program_x000a_Name" totalsRowLabel="Interagency Child Abuse and Neglect Investigation Reports Total" dataDxfId="485" totalsRowDxfId="484"/>
    <tableColumn id="2" name="Legal_x000a_Reference_x000a_(Ch./Year)" totalsRowLabel="N/A" dataDxfId="483" totalsRowDxfId="482"/>
    <tableColumn id="3" name="Program _x000a_Number" totalsRowLabel="N/A" dataDxfId="481" totalsRowDxfId="480"/>
    <tableColumn id="4" name="Fiscal_x000a_Year" totalsRowLabel="N/A" dataDxfId="479" totalsRowDxfId="478"/>
    <tableColumn id="5" name="Program_x000a_Costs" totalsRowFunction="sum" dataDxfId="477" totalsRowDxfId="476" dataCellStyle="Currency"/>
    <tableColumn id="6" name="Less: Net_x000a_Payments _x000a_and Offsets" totalsRowFunction="sum" dataDxfId="475" totalsRowDxfId="474" dataCellStyle="Currency"/>
    <tableColumn id="7" name="Accounts Payable_x000a_Balance" totalsRowFunction="sum" dataDxfId="473" totalsRowDxfId="472" dataCellStyle="Currency"/>
    <tableColumn id="8" name="Established_x000a_Accounts Receivable" totalsRowFunction="sum" dataDxfId="471" totalsRowDxfId="470" dataCellStyle="Currency"/>
    <tableColumn id="9" name="Less:_x000a_ Recovered_x000a_Amount" totalsRowFunction="sum" dataDxfId="469" totalsRowDxfId="468" dataCellStyle="Currency"/>
    <tableColumn id="10" name="Accounts Receivable_x000a_Balance" totalsRowFunction="sum" dataDxfId="467" totalsRowDxfId="466" dataCellStyle="Currency"/>
    <tableColumn id="11" name="Net_x000a_Balance" totalsRowFunction="sum" dataDxfId="465" totalsRowDxfId="46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4.xml><?xml version="1.0" encoding="utf-8"?>
<table xmlns="http://schemas.openxmlformats.org/spreadsheetml/2006/main" id="114" name="local259" displayName="local259" ref="A95:K98" totalsRowCount="1" headerRowDxfId="463" dataDxfId="461" totalsRowDxfId="460" headerRowBorderDxfId="462" headerRowCellStyle="Currency" dataCellStyle="Currency">
  <autoFilter ref="A95:K97"/>
  <tableColumns count="11">
    <tableColumn id="1" name="Program_x000a_Name" totalsRowLabel="Local Elections: Consolidation Total" dataDxfId="459" totalsRowDxfId="458"/>
    <tableColumn id="2" name="Legal_x000a_Reference_x000a_(Ch./Year)" totalsRowLabel="N/A" dataDxfId="457" totalsRowDxfId="456"/>
    <tableColumn id="3" name="Program _x000a_Number" totalsRowLabel="N/A" dataDxfId="455" totalsRowDxfId="454"/>
    <tableColumn id="4" name="Fiscal_x000a_Year" totalsRowLabel="N/A" dataDxfId="453" totalsRowDxfId="452"/>
    <tableColumn id="5" name="Program_x000a_Costs" totalsRowFunction="sum" dataDxfId="451" totalsRowDxfId="450" dataCellStyle="Currency"/>
    <tableColumn id="6" name="Less: Net_x000a_Payments _x000a_and Offsets" totalsRowFunction="sum" dataDxfId="449" totalsRowDxfId="448" dataCellStyle="Currency"/>
    <tableColumn id="7" name="Accounts Payable_x000a_Balance" totalsRowFunction="sum" dataDxfId="447" totalsRowDxfId="446" dataCellStyle="Currency"/>
    <tableColumn id="8" name="Established_x000a_Accounts Receivable" totalsRowFunction="sum" dataDxfId="445" totalsRowDxfId="444" dataCellStyle="Currency"/>
    <tableColumn id="9" name="Less:_x000a_ Recovered_x000a_Amount" totalsRowFunction="sum" dataDxfId="443" totalsRowDxfId="442" dataCellStyle="Currency"/>
    <tableColumn id="10" name="Accounts Receivable_x000a_Balance" totalsRowFunction="sum" dataDxfId="441" totalsRowDxfId="440" dataCellStyle="Currency"/>
    <tableColumn id="11" name="Net_x000a_Balance" totalsRowFunction="sum" dataDxfId="439" totalsRowDxfId="43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5.xml><?xml version="1.0" encoding="utf-8"?>
<table xmlns="http://schemas.openxmlformats.org/spreadsheetml/2006/main" id="115" name="local298" displayName="local298" ref="A100:K120" totalsRowCount="1" headerRowDxfId="437" dataDxfId="435" totalsRowDxfId="433" headerRowBorderDxfId="436" tableBorderDxfId="434" headerRowCellStyle="Currency" dataCellStyle="Currency">
  <autoFilter ref="A100:K119"/>
  <tableColumns count="11">
    <tableColumn id="1" name="Program_x000a_Name" totalsRowLabel="Local Government Employee Relations Total" dataDxfId="432" totalsRowDxfId="431"/>
    <tableColumn id="2" name="Legal_x000a_Reference_x000a_(Ch./Year)" totalsRowLabel="N/A" dataDxfId="430" totalsRowDxfId="429"/>
    <tableColumn id="3" name="Program _x000a_Number" totalsRowLabel="N/A" dataDxfId="428" totalsRowDxfId="427"/>
    <tableColumn id="4" name="Fiscal_x000a_Year" totalsRowLabel="N/A" dataDxfId="426" totalsRowDxfId="425"/>
    <tableColumn id="5" name="Program_x000a_Costs" totalsRowFunction="sum" dataDxfId="424" totalsRowDxfId="423" dataCellStyle="Currency"/>
    <tableColumn id="6" name="Less: Net_x000a_Payments _x000a_and Offsets" totalsRowFunction="sum" dataDxfId="422" totalsRowDxfId="421" dataCellStyle="Currency"/>
    <tableColumn id="7" name="Accounts Payable_x000a_Balance" totalsRowFunction="sum" dataDxfId="420" totalsRowDxfId="419" dataCellStyle="Currency"/>
    <tableColumn id="8" name="Established_x000a_Accounts Receivable" totalsRowFunction="sum" dataDxfId="418" totalsRowDxfId="417" dataCellStyle="Currency"/>
    <tableColumn id="9" name="Less:_x000a_ Recovered_x000a_Amount" totalsRowFunction="sum" dataDxfId="416" totalsRowDxfId="415" dataCellStyle="Currency"/>
    <tableColumn id="10" name="Accounts Receivable_x000a_Balance" totalsRowFunction="sum" dataDxfId="414" totalsRowDxfId="413" dataCellStyle="Currency"/>
    <tableColumn id="11" name="Net_x000a_Balance" totalsRowFunction="sum" dataDxfId="412" totalsRowDxfId="41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6.xml><?xml version="1.0" encoding="utf-8"?>
<table xmlns="http://schemas.openxmlformats.org/spreadsheetml/2006/main" id="116" name="local281" displayName="local281" ref="A122:K133" totalsRowCount="1" headerRowDxfId="410" dataDxfId="408" totalsRowDxfId="406" headerRowBorderDxfId="409" tableBorderDxfId="407" headerRowCellStyle="Currency" dataCellStyle="Currency">
  <autoFilter ref="A122:K132"/>
  <tableColumns count="11">
    <tableColumn id="1" name="Program_x000a_Name" totalsRowLabel="Mentally Disordered Offenders: Treatment as a Condition of Parole Total" dataDxfId="405" totalsRowDxfId="404"/>
    <tableColumn id="2" name="Legal_x000a_Reference_x000a_(Ch./Year)" totalsRowLabel="N/A" dataDxfId="403" totalsRowDxfId="402"/>
    <tableColumn id="3" name="Program _x000a_Number" totalsRowLabel="N/A" dataDxfId="401" totalsRowDxfId="400"/>
    <tableColumn id="4" name="Fiscal_x000a_Year" totalsRowLabel="N/A" dataDxfId="399" totalsRowDxfId="398"/>
    <tableColumn id="5" name="Program_x000a_Costs" totalsRowFunction="sum" dataDxfId="397" totalsRowDxfId="396" dataCellStyle="Currency"/>
    <tableColumn id="6" name="Less: Net_x000a_Payments _x000a_and Offsets" totalsRowFunction="sum" dataDxfId="395" totalsRowDxfId="394" dataCellStyle="Currency"/>
    <tableColumn id="7" name="Accounts Payable_x000a_Balance" totalsRowFunction="sum" dataDxfId="393" totalsRowDxfId="392" dataCellStyle="Currency"/>
    <tableColumn id="8" name="Established_x000a_Accounts Receivable" totalsRowFunction="sum" dataDxfId="391" totalsRowDxfId="390" dataCellStyle="Currency"/>
    <tableColumn id="9" name="Less:_x000a_ Recovered_x000a_Amount" totalsRowFunction="sum" dataDxfId="389" totalsRowDxfId="388" dataCellStyle="Currency"/>
    <tableColumn id="10" name="Accounts Receivable_x000a_Balance" totalsRowFunction="min" dataDxfId="387" totalsRowDxfId="386" dataCellStyle="Currency"/>
    <tableColumn id="11" name="Net_x000a_Balance" totalsRowFunction="sum" dataDxfId="385" totalsRowDxfId="38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7.xml><?xml version="1.0" encoding="utf-8"?>
<table xmlns="http://schemas.openxmlformats.org/spreadsheetml/2006/main" id="117" name="local323" displayName="local323" ref="A135:K143" totalsRowCount="1" headerRowDxfId="383" dataDxfId="381" totalsRowDxfId="380" headerRowBorderDxfId="382" headerRowCellStyle="Currency" dataCellStyle="Currency">
  <autoFilter ref="A135:K142"/>
  <tableColumns count="11">
    <tableColumn id="1" name="Program_x000a_Name" totalsRowLabel="Modified Primary Election Total" dataDxfId="379" totalsRowDxfId="378"/>
    <tableColumn id="2" name="Legal_x000a_Reference_x000a_(Ch./Year)" totalsRowLabel="N/A" dataDxfId="377" totalsRowDxfId="376"/>
    <tableColumn id="3" name="Program _x000a_Number" totalsRowLabel="N/A" dataDxfId="375" totalsRowDxfId="374"/>
    <tableColumn id="4" name="Fiscal_x000a_Year" totalsRowLabel="N/A" dataDxfId="373" totalsRowDxfId="372"/>
    <tableColumn id="5" name="Program_x000a_Costs" totalsRowFunction="sum" dataDxfId="371" totalsRowDxfId="370" dataCellStyle="Currency"/>
    <tableColumn id="6" name="Less: Net_x000a_Payments _x000a_and Offsets" totalsRowFunction="sum" dataDxfId="369" totalsRowDxfId="368" dataCellStyle="Currency"/>
    <tableColumn id="7" name="Accounts Payable_x000a_Balance" totalsRowFunction="sum" dataDxfId="367" totalsRowDxfId="366" dataCellStyle="Currency"/>
    <tableColumn id="8" name="Established_x000a_Accounts Receivable" totalsRowFunction="sum" dataDxfId="365" totalsRowDxfId="364" dataCellStyle="Currency"/>
    <tableColumn id="9" name="Less:_x000a_ Recovered_x000a_Amount" totalsRowFunction="sum" dataDxfId="363" totalsRowDxfId="362" dataCellStyle="Currency"/>
    <tableColumn id="10" name="Accounts Receivable_x000a_Balance" totalsRowFunction="sum" dataDxfId="361" totalsRowDxfId="360" dataCellStyle="Currency"/>
    <tableColumn id="11" name="Net_x000a_Balance" totalsRowFunction="sum" dataDxfId="359" totalsRowDxfId="35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8.xml><?xml version="1.0" encoding="utf-8"?>
<table xmlns="http://schemas.openxmlformats.org/spreadsheetml/2006/main" id="118" name="local314" displayName="local314" ref="A145:K157" totalsRowCount="1" headerRowDxfId="357" dataDxfId="355" totalsRowDxfId="353" headerRowBorderDxfId="356" tableBorderDxfId="354" headerRowCellStyle="Currency" dataCellStyle="Currency">
  <autoFilter ref="A145:K156"/>
  <tableColumns count="11">
    <tableColumn id="1" name="Program_x000a_Name" totalsRowLabel="Municipal Storm Water and Urban Runoff Discharges Total" dataDxfId="352" totalsRowDxfId="351"/>
    <tableColumn id="2" name="Legal_x000a_Reference_x000a_(Ch./Year)" totalsRowLabel="N/A" dataDxfId="350" totalsRowDxfId="349"/>
    <tableColumn id="3" name="Program _x000a_Number" totalsRowLabel="N/A" dataDxfId="348" totalsRowDxfId="347"/>
    <tableColumn id="4" name="Fiscal_x000a_Year" totalsRowLabel="N/A" dataDxfId="346" totalsRowDxfId="345"/>
    <tableColumn id="5" name="Program_x000a_Costs" totalsRowFunction="sum" dataDxfId="344" totalsRowDxfId="343" dataCellStyle="Currency"/>
    <tableColumn id="6" name="Less: Net_x000a_Payments _x000a_and Offsets" totalsRowFunction="sum" dataDxfId="342" totalsRowDxfId="341" dataCellStyle="Currency"/>
    <tableColumn id="7" name="Accounts Payable_x000a_Balance" totalsRowFunction="sum" dataDxfId="340" totalsRowDxfId="339" dataCellStyle="Currency"/>
    <tableColumn id="8" name="Established_x000a_Accounts Receivable" totalsRowFunction="sum" dataDxfId="338" totalsRowDxfId="337" dataCellStyle="Currency"/>
    <tableColumn id="9" name="Less:_x000a_ Recovered_x000a_Amount" totalsRowFunction="sum" dataDxfId="336" totalsRowDxfId="335" dataCellStyle="Currency"/>
    <tableColumn id="10" name="Accounts Receivable_x000a_Balance" totalsRowFunction="sum" dataDxfId="334" totalsRowDxfId="333" dataCellStyle="Currency"/>
    <tableColumn id="11" name="Net_x000a_Balance" totalsRowFunction="sum" dataDxfId="332" totalsRowDxfId="33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19.xml><?xml version="1.0" encoding="utf-8"?>
<table xmlns="http://schemas.openxmlformats.org/spreadsheetml/2006/main" id="119" name="local373" displayName="local373" ref="A159:K164" totalsRowCount="1" headerRowDxfId="330" dataDxfId="328" totalsRowDxfId="327" headerRowBorderDxfId="329" headerRowCellStyle="Currency" dataCellStyle="Currency">
  <autoFilter ref="A159:K163"/>
  <tableColumns count="11">
    <tableColumn id="1" name="Program_x000a_Name" totalsRowLabel="Peace Officer Training: Mental Health/Crisis Intervention Total" dataDxfId="326" totalsRowDxfId="325"/>
    <tableColumn id="2" name="Legal_x000a_Reference_x000a_(Ch./Year)" totalsRowLabel="N/A" dataDxfId="324" totalsRowDxfId="323"/>
    <tableColumn id="3" name="Program _x000a_Number" totalsRowLabel="N/A" dataDxfId="322" totalsRowDxfId="321"/>
    <tableColumn id="4" name="Fiscal_x000a_Year" totalsRowLabel="N/A" dataDxfId="320" totalsRowDxfId="319"/>
    <tableColumn id="5" name="Program_x000a_Costs" totalsRowFunction="sum" dataDxfId="318" totalsRowDxfId="317" dataCellStyle="Currency"/>
    <tableColumn id="6" name="Less: Net_x000a_Payments _x000a_and Offsets" totalsRowFunction="sum" dataDxfId="316" totalsRowDxfId="315" dataCellStyle="Currency"/>
    <tableColumn id="7" name="Accounts Payable_x000a_Balance" totalsRowFunction="sum" dataDxfId="314" totalsRowDxfId="313" dataCellStyle="Currency"/>
    <tableColumn id="8" name="Established_x000a_Accounts Receivable" totalsRowFunction="sum" dataDxfId="312" totalsRowDxfId="311" dataCellStyle="Currency"/>
    <tableColumn id="9" name="Less:_x000a_ Recovered_x000a_Amount" totalsRowFunction="sum" dataDxfId="310" totalsRowDxfId="309" dataCellStyle="Currency"/>
    <tableColumn id="10" name="Accounts Receivable_x000a_Balance" totalsRowFunction="sum" dataDxfId="308" totalsRowDxfId="307" dataCellStyle="Currency"/>
    <tableColumn id="11" name="Net_x000a_Balance" totalsRowFunction="sum" dataDxfId="306" totalsRowDxfId="30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2.xml><?xml version="1.0" encoding="utf-8"?>
<table xmlns="http://schemas.openxmlformats.org/spreadsheetml/2006/main" id="27" name="localpest20" displayName="localpest20" ref="A64:I66" totalsRowCount="1" headerRowDxfId="3263" dataDxfId="3261" totalsRowDxfId="3259" headerRowBorderDxfId="3262" tableBorderDxfId="3260" totalsRowBorderDxfId="3258">
  <autoFilter ref="A64:I65"/>
  <tableColumns count="9">
    <tableColumn id="1" name="Program Category_x000a_and Type of Payment" totalsRowLabel="0106-8885-2020-295-98 Total" dataDxfId="3257" totalsRowDxfId="3256"/>
    <tableColumn id="2" name="Fiscal _x000a_Year" totalsRowLabel="N/A" dataDxfId="3255" totalsRowDxfId="3254"/>
    <tableColumn id="3" name="Appropriation _x000a_Number" totalsRowLabel="N/A" dataDxfId="3253" totalsRowDxfId="3252"/>
    <tableColumn id="4" name="Program _x000a_Name" totalsRowLabel="N/A" dataDxfId="3251" totalsRowDxfId="3250"/>
    <tableColumn id="5" name="Legal _x000a_Reference_x000a_(Ch./Year)" totalsRowLabel="N/A" dataDxfId="3249" totalsRowDxfId="3248"/>
    <tableColumn id="6" name="Program_x000a_ Number" totalsRowLabel="N/A" dataDxfId="3247" totalsRowDxfId="3246"/>
    <tableColumn id="7" name="Program _x000a_Payments and Offsets" totalsRowFunction="sum" dataDxfId="3245" totalsRowDxfId="3244"/>
    <tableColumn id="8" name="Interest_x000a_Payments and Offsets" totalsRowFunction="sum" dataDxfId="3243" totalsRowDxfId="3242"/>
    <tableColumn id="9" name="Total _x000a_Payments" totalsRowFunction="sum" dataDxfId="3241" totalsRowDxfId="324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Pesticide"/>
    </ext>
  </extLst>
</table>
</file>

<file path=xl/tables/table120.xml><?xml version="1.0" encoding="utf-8"?>
<table xmlns="http://schemas.openxmlformats.org/spreadsheetml/2006/main" id="120" name="local356" displayName="local356" ref="A166:K185" totalsRowCount="1" headerRowDxfId="304" dataDxfId="302" totalsRowDxfId="300" headerRowBorderDxfId="303" tableBorderDxfId="301" headerRowCellStyle="Currency" dataCellStyle="Currency">
  <autoFilter ref="A166:K184"/>
  <tableColumns count="11">
    <tableColumn id="1" name="Program_x000a_Name" totalsRowLabel="Peace Officers Procedural Bill of Rights II Total" dataDxfId="299" totalsRowDxfId="298"/>
    <tableColumn id="2" name="Legal_x000a_Reference_x000a_(Ch./Year)" totalsRowLabel="N/A" dataDxfId="297" totalsRowDxfId="296"/>
    <tableColumn id="3" name="Program _x000a_Number" totalsRowLabel="N/A" dataDxfId="295" totalsRowDxfId="294"/>
    <tableColumn id="4" name="Fiscal_x000a_Year" totalsRowLabel="N/A" dataDxfId="293" totalsRowDxfId="292"/>
    <tableColumn id="5" name="Program_x000a_Costs" totalsRowFunction="sum" dataDxfId="291" totalsRowDxfId="290" dataCellStyle="Currency"/>
    <tableColumn id="6" name="Less: Net_x000a_Payments _x000a_and Offsets" totalsRowFunction="sum" dataDxfId="289" totalsRowDxfId="288" dataCellStyle="Currency"/>
    <tableColumn id="7" name="Accounts Payable_x000a_Balance" totalsRowFunction="sum" dataDxfId="287" totalsRowDxfId="286" dataCellStyle="Currency"/>
    <tableColumn id="8" name="Established_x000a_Accounts Receivable" totalsRowFunction="sum" dataDxfId="285" totalsRowDxfId="284" dataCellStyle="Currency"/>
    <tableColumn id="9" name="Less:_x000a_ Recovered_x000a_Amount" totalsRowFunction="sum" dataDxfId="283" totalsRowDxfId="282" dataCellStyle="Currency"/>
    <tableColumn id="10" name="Accounts Receivable_x000a_Balance" totalsRowFunction="sum" dataDxfId="281" totalsRowDxfId="280" dataCellStyle="Currency"/>
    <tableColumn id="11" name="Net_x000a_Balance" totalsRowFunction="sum" dataDxfId="279" totalsRowDxfId="27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21.xml><?xml version="1.0" encoding="utf-8"?>
<table xmlns="http://schemas.openxmlformats.org/spreadsheetml/2006/main" id="121" name="local324" displayName="local324" ref="A187:K199" totalsRowCount="1" headerRowDxfId="277" dataDxfId="275" totalsRowDxfId="273" headerRowBorderDxfId="276" tableBorderDxfId="274" headerRowCellStyle="Currency" dataCellStyle="Currency">
  <autoFilter ref="A187:K198"/>
  <tableColumns count="11">
    <tableColumn id="1" name="Program_x000a_Name" totalsRowLabel="Permanent Absent Voters II Total" dataDxfId="272" totalsRowDxfId="271"/>
    <tableColumn id="2" name="Legal_x000a_Reference_x000a_(Ch./Year)" totalsRowLabel="N/A" dataDxfId="270" totalsRowDxfId="269"/>
    <tableColumn id="3" name="Program _x000a_Number" totalsRowLabel="N/A" dataDxfId="268" totalsRowDxfId="267"/>
    <tableColumn id="4" name="Fiscal_x000a_Year" totalsRowLabel="N/A" dataDxfId="266" totalsRowDxfId="265"/>
    <tableColumn id="5" name="Program_x000a_Costs" totalsRowFunction="sum" dataDxfId="264" totalsRowDxfId="263" dataCellStyle="Currency"/>
    <tableColumn id="6" name="Less: Net_x000a_Payments _x000a_and Offsets" totalsRowFunction="sum" dataDxfId="262" totalsRowDxfId="261" dataCellStyle="Currency"/>
    <tableColumn id="7" name="Accounts Payable_x000a_Balance" totalsRowFunction="sum" dataDxfId="260" totalsRowDxfId="259" dataCellStyle="Currency"/>
    <tableColumn id="8" name="Established_x000a_Accounts Receivable" totalsRowFunction="sum" dataDxfId="258" totalsRowDxfId="257" dataCellStyle="Currency"/>
    <tableColumn id="9" name="Less:_x000a_ Recovered_x000a_Amount" totalsRowFunction="sum" dataDxfId="256" totalsRowDxfId="255" dataCellStyle="Currency"/>
    <tableColumn id="10" name="Accounts Receivable_x000a_Balance" totalsRowFunction="sum" dataDxfId="254" totalsRowDxfId="253" dataCellStyle="Currency"/>
    <tableColumn id="11" name="Net_x000a_Balance" totalsRowFunction="sum" dataDxfId="252" totalsRowDxfId="25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22.xml><?xml version="1.0" encoding="utf-8"?>
<table xmlns="http://schemas.openxmlformats.org/spreadsheetml/2006/main" id="122" name="local331" displayName="local331" ref="A201:K213" totalsRowCount="1" headerRowDxfId="250" dataDxfId="248" totalsRowDxfId="247" headerRowBorderDxfId="249" headerRowCellStyle="Currency" dataCellStyle="Currency">
  <autoFilter ref="A201:K212"/>
  <tableColumns count="11">
    <tableColumn id="1" name="Program_x000a_Name" totalsRowLabel="Voter Identification Procedures Total" dataDxfId="246" totalsRowDxfId="245"/>
    <tableColumn id="2" name="Legal_x000a_Reference_x000a_(Ch./Year)" totalsRowLabel="N/A" dataDxfId="244" totalsRowDxfId="243"/>
    <tableColumn id="3" name="Program _x000a_Number" totalsRowLabel="N/A" dataDxfId="242" totalsRowDxfId="241"/>
    <tableColumn id="4" name="Fiscal_x000a_Year" totalsRowLabel="N/A" dataDxfId="240" totalsRowDxfId="239"/>
    <tableColumn id="5" name="Program_x000a_Costs" totalsRowFunction="sum" dataDxfId="238" totalsRowDxfId="237" dataCellStyle="Currency"/>
    <tableColumn id="6" name="Less: Net_x000a_Payments _x000a_and Offsets" totalsRowFunction="sum" dataDxfId="236" totalsRowDxfId="235" dataCellStyle="Currency"/>
    <tableColumn id="7" name="Accounts Payable_x000a_Balance" totalsRowFunction="sum" dataDxfId="234" totalsRowDxfId="233" dataCellStyle="Currency"/>
    <tableColumn id="8" name="Established_x000a_Accounts Receivable" totalsRowFunction="sum" dataDxfId="232" totalsRowDxfId="231" dataCellStyle="Currency"/>
    <tableColumn id="9" name="Less:_x000a_ Recovered_x000a_Amount" totalsRowFunction="sum" dataDxfId="230" totalsRowDxfId="229" dataCellStyle="Currency"/>
    <tableColumn id="10" name="Accounts Receivable_x000a_Balance" totalsRowFunction="sum" dataDxfId="228" totalsRowDxfId="227" dataCellStyle="Currency"/>
    <tableColumn id="11" name="Net_x000a_Balance" totalsRowFunction="sum" dataDxfId="226" totalsRowDxfId="22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."/>
    </ext>
  </extLst>
</table>
</file>

<file path=xl/tables/table123.xml><?xml version="1.0" encoding="utf-8"?>
<table xmlns="http://schemas.openxmlformats.org/spreadsheetml/2006/main" id="123" name="localunfundedgrandtotal" displayName="localunfundedgrandtotal" ref="A215:K232" totalsRowCount="1" headerRowDxfId="224" dataDxfId="222" totalsRowDxfId="220" headerRowBorderDxfId="223" tableBorderDxfId="221" headerRowCellStyle="Currency" dataCellStyle="Currency">
  <autoFilter ref="A215:K231"/>
  <tableColumns count="11">
    <tableColumn id="1" name="Program_x000a_Name" totalsRowLabel="Total Local Agencies" dataDxfId="219" totalsRowDxfId="218"/>
    <tableColumn id="2" name="Legal_x000a_Reference_x000a_(Ch./Year)" totalsRowLabel="N/A" dataDxfId="217" totalsRowDxfId="216"/>
    <tableColumn id="3" name="Program _x000a_Number" totalsRowLabel="N/A" dataDxfId="215" totalsRowDxfId="214"/>
    <tableColumn id="4" name="Fiscal_x000a_Year" totalsRowLabel="N/A" dataDxfId="213" totalsRowDxfId="212"/>
    <tableColumn id="5" name="Program_x000a_Costs" totalsRowFunction="sum" dataDxfId="211" totalsRowDxfId="210" dataCellStyle="Currency"/>
    <tableColumn id="6" name="Less: Net_x000a_Payments _x000a_and Offsets" totalsRowFunction="sum" dataDxfId="209" totalsRowDxfId="208" dataCellStyle="Currency"/>
    <tableColumn id="7" name="Accounts Payable_x000a_Balance" totalsRowFunction="sum" dataDxfId="207" totalsRowDxfId="206" dataCellStyle="Currency"/>
    <tableColumn id="8" name="Established_x000a_Accounts Receivable" totalsRowFunction="sum" dataDxfId="205" totalsRowDxfId="204" dataCellStyle="Currency"/>
    <tableColumn id="9" name="Less:_x000a_ Recovered_x000a_Amount" totalsRowFunction="sum" dataDxfId="203" totalsRowDxfId="202" dataCellStyle="Currency"/>
    <tableColumn id="10" name="Accounts Receivable_x000a_Balance" totalsRowFunction="sum" dataDxfId="201" totalsRowDxfId="200" dataCellStyle="Currency"/>
    <tableColumn id="11" name="Net_x000a_Balance" totalsRowFunction="sum" dataDxfId="199" totalsRowDxfId="19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Local Agencies Grand Totals."/>
    </ext>
  </extLst>
</table>
</file>

<file path=xl/tables/table124.xml><?xml version="1.0" encoding="utf-8"?>
<table xmlns="http://schemas.openxmlformats.org/spreadsheetml/2006/main" id="124" name="school374" displayName="school374" ref="A2:K6" totalsRowCount="1" headerRowDxfId="197" dataDxfId="195" totalsRowDxfId="193" headerRowBorderDxfId="196" tableBorderDxfId="194" headerRowCellStyle="Currency" dataCellStyle="Currency">
  <autoFilter ref="A2:K5"/>
  <tableColumns count="11">
    <tableColumn id="1" name="Program_x000a_Name" totalsRowLabel="Public School Restrooms: Feminine Hygiene Products Total" dataDxfId="192" totalsRowDxfId="191"/>
    <tableColumn id="2" name="Legal_x000a_Reference_x000a_(Ch./Year)" totalsRowLabel="N/A" totalsRowDxfId="190"/>
    <tableColumn id="3" name="Program _x000a_Number" totalsRowLabel="N/A" dataDxfId="189" totalsRowDxfId="188"/>
    <tableColumn id="4" name="Fiscal_x000a_Year" totalsRowLabel="N/A" dataDxfId="187" totalsRowDxfId="186"/>
    <tableColumn id="5" name="Program_x000a_Costs" totalsRowFunction="sum" dataDxfId="185" totalsRowDxfId="184" dataCellStyle="Currency"/>
    <tableColumn id="6" name="Less: Net_x000a_Payments _x000a_and Offsets" totalsRowFunction="sum" dataDxfId="183" totalsRowDxfId="182" dataCellStyle="Currency"/>
    <tableColumn id="7" name="Accounts Payable_x000a_Balance" totalsRowFunction="sum" dataDxfId="181" totalsRowDxfId="180" dataCellStyle="Currency"/>
    <tableColumn id="8" name="Established_x000a_Accounts Receivable" totalsRowFunction="sum" dataDxfId="179" totalsRowDxfId="178" dataCellStyle="Currency"/>
    <tableColumn id="9" name="Less:_x000a_ Recovered_x000a_Amount" totalsRowFunction="sum" dataDxfId="177" totalsRowDxfId="176" dataCellStyle="Currency"/>
    <tableColumn id="10" name="Accounts Receivable_x000a_Balance" totalsRowFunction="sum" dataDxfId="175" totalsRowDxfId="174" dataCellStyle="Currency"/>
    <tableColumn id="11" name="Net_x000a_Balance" totalsRowFunction="sum" dataDxfId="173" totalsRowDxfId="17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School Districts."/>
    </ext>
  </extLst>
</table>
</file>

<file path=xl/tables/table125.xml><?xml version="1.0" encoding="utf-8"?>
<table xmlns="http://schemas.openxmlformats.org/spreadsheetml/2006/main" id="125" name="schoolunfundedgrandtotal" displayName="schoolunfundedgrandtotal" ref="A8:K10" totalsRowCount="1" headerRowDxfId="171" dataDxfId="169" totalsRowDxfId="167" headerRowBorderDxfId="170" tableBorderDxfId="168" headerRowCellStyle="Currency" dataCellStyle="Currency">
  <autoFilter ref="A8:K9"/>
  <tableColumns count="11">
    <tableColumn id="1" name="Program_x000a_Name" totalsRowLabel="Total School Districts" dataDxfId="166" totalsRowDxfId="165"/>
    <tableColumn id="2" name="Legal_x000a_Reference_x000a_(Ch./Year)" totalsRowLabel="N/A" dataDxfId="164" totalsRowDxfId="163"/>
    <tableColumn id="3" name="Program _x000a_Number" totalsRowLabel="N/A" dataDxfId="162" totalsRowDxfId="161"/>
    <tableColumn id="4" name="Fiscal_x000a_Year" totalsRowLabel="N/A" dataDxfId="160" totalsRowDxfId="159"/>
    <tableColumn id="5" name="Program_x000a_Costs" totalsRowFunction="sum" dataDxfId="158" totalsRowDxfId="157" dataCellStyle="Currency">
      <calculatedColumnFormula>school374[[#Totals],[Program
Costs]]</calculatedColumnFormula>
    </tableColumn>
    <tableColumn id="6" name="Less: Net_x000a_Payments _x000a_and Offsets" totalsRowFunction="sum" dataDxfId="156" totalsRowDxfId="155" dataCellStyle="Currency">
      <calculatedColumnFormula>school374[[#Totals],[Less: Net
Payments 
and Offsets]]</calculatedColumnFormula>
    </tableColumn>
    <tableColumn id="7" name="Accounts Payable_x000a_Balance" totalsRowFunction="sum" dataDxfId="154" totalsRowDxfId="153" dataCellStyle="Currency">
      <calculatedColumnFormula>school374[[#Totals],[Accounts Payable
Balance]]</calculatedColumnFormula>
    </tableColumn>
    <tableColumn id="8" name="Established_x000a_Accounts Receivable" totalsRowFunction="sum" dataDxfId="152" totalsRowDxfId="151" dataCellStyle="Currency">
      <calculatedColumnFormula>school374[[#Totals],[Established
Accounts Receivable]]</calculatedColumnFormula>
    </tableColumn>
    <tableColumn id="9" name="Less:_x000a_ Recovered_x000a_Amount" totalsRowFunction="sum" dataDxfId="150" totalsRowDxfId="149" dataCellStyle="Currency">
      <calculatedColumnFormula>school374[[#Totals],[Less:
 Recovered
Amount]]</calculatedColumnFormula>
    </tableColumn>
    <tableColumn id="10" name="Accounts Receivable_x000a_Balance" totalsRowFunction="sum" dataDxfId="148" totalsRowDxfId="147" dataCellStyle="Currency">
      <calculatedColumnFormula>school374[[#Totals],[Accounts Receivable
Balance]]</calculatedColumnFormula>
    </tableColumn>
    <tableColumn id="11" name="Net_x000a_Balance" totalsRowFunction="sum" dataDxfId="146" totalsRowDxfId="145" dataCellStyle="Currency">
      <calculatedColumnFormula>school374[[#Totals],[Net
Balance]]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School Districts Grand Totals."/>
    </ext>
  </extLst>
</table>
</file>

<file path=xl/tables/table126.xml><?xml version="1.0" encoding="utf-8"?>
<table xmlns="http://schemas.openxmlformats.org/spreadsheetml/2006/main" id="126" name="totalunfunded" displayName="totalunfunded" ref="A12:K15" totalsRowCount="1" headerRowDxfId="144" dataDxfId="142" totalsRowDxfId="140" headerRowBorderDxfId="143" tableBorderDxfId="141" headerRowCellStyle="Currency" dataCellStyle="Currency">
  <autoFilter ref="A12:K14"/>
  <tableColumns count="11">
    <tableColumn id="1" name="Program_x000a_Name" totalsRowLabel="Total Unfunded Mandates " totalsRowDxfId="139"/>
    <tableColumn id="2" name="Legal_x000a_Reference_x000a_(Ch./Year)" totalsRowLabel="N/A" totalsRowDxfId="138"/>
    <tableColumn id="3" name="Program _x000a_Number" totalsRowLabel="N/A" totalsRowDxfId="137"/>
    <tableColumn id="4" name="Fiscal_x000a_Year" totalsRowLabel="N/A" totalsRowDxfId="136"/>
    <tableColumn id="5" name="Program_x000a_Costs" totalsRowFunction="sum" dataDxfId="135" totalsRowDxfId="134" dataCellStyle="Currency">
      <calculatedColumnFormula>schoolunfundedgrandtotal[[#Totals],[Program
Costs]]</calculatedColumnFormula>
    </tableColumn>
    <tableColumn id="6" name="Less: Net_x000a_Payments _x000a_and Offsets" totalsRowFunction="sum" dataDxfId="133" totalsRowDxfId="132" dataCellStyle="Currency">
      <calculatedColumnFormula>schoolunfundedgrandtotal[[#Totals],[Less: Net
Payments 
and Offsets]]</calculatedColumnFormula>
    </tableColumn>
    <tableColumn id="7" name="Accounts Payable_x000a_Balance" totalsRowFunction="sum" dataDxfId="131" totalsRowDxfId="130" dataCellStyle="Currency">
      <calculatedColumnFormula>schoolunfundedgrandtotal[[#Totals],[Accounts Payable
Balance]]</calculatedColumnFormula>
    </tableColumn>
    <tableColumn id="8" name="Established_x000a_Accounts Receivable" totalsRowFunction="sum" dataDxfId="129" totalsRowDxfId="128" dataCellStyle="Currency">
      <calculatedColumnFormula>schoolunfundedgrandtotal[[#Totals],[Established
Accounts Receivable]]</calculatedColumnFormula>
    </tableColumn>
    <tableColumn id="9" name="Less:_x000a_ Recovered_x000a_Amount" totalsRowFunction="sum" dataDxfId="127" totalsRowDxfId="126" dataCellStyle="Currency">
      <calculatedColumnFormula>schoolunfundedgrandtotal[[#Totals],[Less:
 Recovered
Amount]]</calculatedColumnFormula>
    </tableColumn>
    <tableColumn id="10" name="Accounts Receivable_x000a_Balance" totalsRowFunction="sum" dataDxfId="125" totalsRowDxfId="124" dataCellStyle="Currency">
      <calculatedColumnFormula>schoolunfundedgrandtotal[[#Totals],[Accounts Receivable
Balance]]</calculatedColumnFormula>
    </tableColumn>
    <tableColumn id="11" name="Net_x000a_Balance" totalsRowFunction="sum" dataDxfId="123" totalsRowDxfId="122" dataCellStyle="Currency">
      <calculatedColumnFormula>schoolunfundedgrandtotal[[#Totals],[Net
Balance]]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2: Detail of UnFunded State-Mandated Programs. As of April 1, 2021. Total Unfunded Mandates."/>
    </ext>
  </extLst>
</table>
</file>

<file path=xl/tables/table13.xml><?xml version="1.0" encoding="utf-8"?>
<table xmlns="http://schemas.openxmlformats.org/spreadsheetml/2006/main" id="28" name="localpest18" displayName="localpest18" ref="A68:I70" totalsRowCount="1" headerRowDxfId="3239" dataDxfId="3237" totalsRowDxfId="3235" headerRowBorderDxfId="3238" tableBorderDxfId="3236" totalsRowBorderDxfId="3234">
  <autoFilter ref="A68:I69"/>
  <tableColumns count="9">
    <tableColumn id="1" name="Program Category_x000a_and Type of Payment" totalsRowLabel="0106-8885-2018-295-98 Total" dataDxfId="3233" totalsRowDxfId="3232"/>
    <tableColumn id="2" name="Fiscal _x000a_Year" totalsRowLabel="N/A" dataDxfId="3231" totalsRowDxfId="3230"/>
    <tableColumn id="3" name="Appropriation _x000a_Number" totalsRowLabel="N/A" dataDxfId="3229" totalsRowDxfId="3228"/>
    <tableColumn id="4" name="Program _x000a_Name" totalsRowLabel="N/A" dataDxfId="3227" totalsRowDxfId="3226"/>
    <tableColumn id="5" name="Legal _x000a_Reference_x000a_(Ch./Year)" totalsRowLabel="N/A" dataDxfId="3225" totalsRowDxfId="3224"/>
    <tableColumn id="6" name="Program_x000a_ Number" totalsRowLabel="N/A" dataDxfId="3223" totalsRowDxfId="3222"/>
    <tableColumn id="7" name="Program _x000a_Payments and Offsets" totalsRowFunction="sum" dataDxfId="3221" totalsRowDxfId="3220"/>
    <tableColumn id="8" name="Interest_x000a_Payments and Offsets" totalsRowFunction="sum" dataDxfId="3219" totalsRowDxfId="3218"/>
    <tableColumn id="9" name="Total _x000a_Payments" totalsRowFunction="sum" dataDxfId="3217" totalsRowDxfId="32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Pesticide"/>
    </ext>
  </extLst>
</table>
</file>

<file path=xl/tables/table14.xml><?xml version="1.0" encoding="utf-8"?>
<table xmlns="http://schemas.openxmlformats.org/spreadsheetml/2006/main" id="29" name="localgrandtotala1" displayName="localgrandtotala1" ref="A72:I80" totalsRowCount="1" headerRowDxfId="3215" dataDxfId="3213" totalsRowDxfId="3211" headerRowBorderDxfId="3214" tableBorderDxfId="3212" totalsRowBorderDxfId="3210">
  <autoFilter ref="A72:I79"/>
  <tableColumns count="9">
    <tableColumn id="1" name="Program Category_x000a_and Type of Payment" totalsRowLabel="Grand Total" dataDxfId="3209" totalsRowDxfId="3208"/>
    <tableColumn id="2" name="Fiscal _x000a_Year" totalsRowLabel="N/A" dataDxfId="3207" totalsRowDxfId="3206"/>
    <tableColumn id="3" name="Appropriation _x000a_Number" totalsRowLabel="N/A" dataDxfId="3205" totalsRowDxfId="3204"/>
    <tableColumn id="4" name="Program _x000a_Name" totalsRowLabel="N/A" dataDxfId="3203" totalsRowDxfId="3202"/>
    <tableColumn id="5" name="Legal _x000a_Reference_x000a_(Ch./Year)" totalsRowLabel="N/A" dataDxfId="3201" totalsRowDxfId="3200"/>
    <tableColumn id="6" name="Program_x000a_ Number" totalsRowLabel="N/A" dataDxfId="3199" totalsRowDxfId="3198"/>
    <tableColumn id="7" name="Program _x000a_Payments and Offsets" totalsRowFunction="sum" dataDxfId="3197" totalsRowDxfId="3196"/>
    <tableColumn id="8" name="Interest_x000a_Payments and Offsets" totalsRowFunction="sum" dataDxfId="3195" totalsRowDxfId="3194"/>
    <tableColumn id="9" name="Total _x000a_Payments" totalsRowFunction="sum" dataDxfId="3193" totalsRowDxfId="319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Grand Totals."/>
    </ext>
  </extLst>
</table>
</file>

<file path=xl/tables/table15.xml><?xml version="1.0" encoding="utf-8"?>
<table xmlns="http://schemas.openxmlformats.org/spreadsheetml/2006/main" id="30" name="schoolannualclaim" displayName="schoolannualclaim" ref="A2:I34" totalsRowCount="1" headerRowDxfId="3191" dataDxfId="3189" totalsRowDxfId="3187" headerRowBorderDxfId="3190" tableBorderDxfId="3188" totalsRowBorderDxfId="3186">
  <autoFilter ref="A2:I33"/>
  <tableColumns count="9">
    <tableColumn id="1" name="Program Category_x000a_and Type of Payment" totalsRowLabel="Total School Districts" dataDxfId="3185" totalsRowDxfId="3184"/>
    <tableColumn id="2" name="Fiscal _x000a_Year" totalsRowLabel="N/A" dataDxfId="3183" totalsRowDxfId="3182"/>
    <tableColumn id="3" name="Appropriation _x000a_Number" totalsRowLabel="N/A" dataDxfId="3181" totalsRowDxfId="3180"/>
    <tableColumn id="4" name="Program _x000a_Name" totalsRowLabel="N/A" dataDxfId="3179" totalsRowDxfId="3178"/>
    <tableColumn id="5" name="Legal _x000a_Reference_x000a_(Ch./Year)" totalsRowLabel="N/A" dataDxfId="3177" totalsRowDxfId="3176"/>
    <tableColumn id="6" name="Program_x000a_ Number" totalsRowLabel="N/A" dataDxfId="3175" totalsRowDxfId="3174"/>
    <tableColumn id="7" name="Program _x000a_Payments and Offsets" totalsRowFunction="sum" dataDxfId="3173" totalsRowDxfId="3172"/>
    <tableColumn id="8" name="Interest_x000a_Payments and Offsets" totalsRowFunction="sum" dataDxfId="3171" totalsRowDxfId="3170"/>
    <tableColumn id="9" name="Total _x000a_Payments" totalsRowFunction="sum" dataDxfId="3169" totalsRowDxfId="31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School District-Annual Claim."/>
    </ext>
  </extLst>
</table>
</file>

<file path=xl/tables/table16.xml><?xml version="1.0" encoding="utf-8"?>
<table xmlns="http://schemas.openxmlformats.org/spreadsheetml/2006/main" id="31" name="schoolgrandtotala1" displayName="schoolgrandtotala1" ref="A36:I39" totalsRowCount="1" headerRowDxfId="3167" dataDxfId="3165" totalsRowDxfId="3163" headerRowBorderDxfId="3166" tableBorderDxfId="3164" totalsRowBorderDxfId="3162">
  <autoFilter ref="A36:I38"/>
  <tableColumns count="9">
    <tableColumn id="1" name="Program Category_x000a_and Type of Payment" totalsRowLabel="Grant Total Local Agencies and School Districts 4" totalsRowDxfId="108" dataCellStyle="Hyperlink"/>
    <tableColumn id="2" name="Fiscal _x000a_Year" totalsRowLabel="Comment: All community college districts participate in the block grant program. Therefore, no payments were made to any community college districts.  " totalsRowDxfId="107"/>
    <tableColumn id="3" name="Appropriation _x000a_Number" totalsRowLabel="N/A" totalsRowDxfId="106"/>
    <tableColumn id="4" name="Program _x000a_Name" totalsRowLabel="N/A" totalsRowDxfId="105"/>
    <tableColumn id="5" name="Legal _x000a_Reference_x000a_(Ch./Year)" totalsRowLabel="N/A" totalsRowDxfId="104"/>
    <tableColumn id="6" name="Program_x000a_ Number" totalsRowLabel="N/A" totalsRowDxfId="103"/>
    <tableColumn id="7" name="Program _x000a_Payments and Offsets" totalsRowFunction="sum" totalsRowDxfId="102">
      <calculatedColumnFormula>schoolannualclaim[[#Totals],[Program 
Payments and Offsets]]</calculatedColumnFormula>
    </tableColumn>
    <tableColumn id="8" name="Interest_x000a_Payments and Offsets" totalsRowFunction="sum" totalsRowDxfId="101">
      <calculatedColumnFormula>schoolannualclaim[[#Totals],[Interest
Payments and Offsets]]</calculatedColumnFormula>
    </tableColumn>
    <tableColumn id="9" name="Total _x000a_Payments" totalsRowFunction="sum" totalsRowDxfId="100">
      <calculatedColumnFormula>schoolannualclaim[[#Totals],[Total 
Payments]]</calculatedColumnFormula>
    </tableColumn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Grand total local agencies and school districts."/>
    </ext>
  </extLst>
</table>
</file>

<file path=xl/tables/table17.xml><?xml version="1.0" encoding="utf-8"?>
<table xmlns="http://schemas.openxmlformats.org/spreadsheetml/2006/main" id="1" name="scheduleblocalfunded" displayName="scheduleblocalfunded" ref="A2:P5" totalsRowCount="1" headerRowDxfId="3161" dataDxfId="3159" totalsRowDxfId="3157" headerRowBorderDxfId="3160" tableBorderDxfId="3158" totalsRowBorderDxfId="3156">
  <autoFilter ref="A2:P4"/>
  <tableColumns count="16">
    <tableColumn id="1" name="Program_x000a_Category" totalsRowLabel="Total Local Agencies" dataDxfId="3155" totalsRowDxfId="99"/>
    <tableColumn id="2" name="Comment" totalsRowLabel="N/A" dataDxfId="3154" totalsRowDxfId="98"/>
    <tableColumn id="3" name="Fiscal_x000a_Year" totalsRowLabel="N/A" dataDxfId="3153" totalsRowDxfId="97"/>
    <tableColumn id="4" name="Schedules" totalsRowLabel="N/A" dataDxfId="3152" totalsRowDxfId="96"/>
    <tableColumn id="5" name="Program_x000a_Costs" totalsRowFunction="sum" dataDxfId="3151" totalsRowDxfId="95"/>
    <tableColumn id="6" name="Less: Net Payments and Offsets" totalsRowFunction="sum" dataDxfId="3150" totalsRowDxfId="94"/>
    <tableColumn id="7" name="Comment2" totalsRowLabel="N/A" dataDxfId="3149" totalsRowDxfId="93"/>
    <tableColumn id="8" name="Accounts Payable_x000a_Balance 3" totalsRowFunction="sum" dataDxfId="3148" totalsRowDxfId="92"/>
    <tableColumn id="9" name="Comment: Amount due to local agencies, school districts, and community college districts." totalsRowLabel="N/A" dataDxfId="3147" totalsRowDxfId="91"/>
    <tableColumn id="10" name="Established_x000a_Accounts _x000a_Receivable 4" totalsRowFunction="sum" dataDxfId="3146" totalsRowDxfId="90"/>
    <tableColumn id="11" name="Comment: Total accounts receivable established due to desk reviews and field audit claim adjustments." totalsRowLabel="N/A" dataDxfId="3145" totalsRowDxfId="89"/>
    <tableColumn id="12" name="Less: Recovered_x000a_Amount" totalsRowFunction="sum" dataDxfId="3144" totalsRowDxfId="88"/>
    <tableColumn id="13" name="Accounts Receivable_x000a_Balance 5" totalsRowFunction="sum" dataDxfId="3143" totalsRowDxfId="87"/>
    <tableColumn id="14" name="Comment: Amount due from local agencies, school districts (includes ineligible charter schools), and community college districts." totalsRowLabel="N/A" dataDxfId="3142" totalsRowDxfId="86"/>
    <tableColumn id="15" name="Net_x000a_Balance 6 " totalsRowFunction="sum" dataDxfId="3141" totalsRowDxfId="85"/>
    <tableColumn id="16" name="Comment: Net amount of deficiencies and surpluses (A/P Balance less A/R Balance equals Net Balance)." totalsRowLabel="N/A" dataDxfId="3140" totalsRowDxfId="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Local Agencies-Funded."/>
    </ext>
  </extLst>
</table>
</file>

<file path=xl/tables/table18.xml><?xml version="1.0" encoding="utf-8"?>
<table xmlns="http://schemas.openxmlformats.org/spreadsheetml/2006/main" id="2" name="schedulebsdandccdfunded" displayName="schedulebsdandccdfunded" ref="A7:P11" totalsRowCount="1" dataDxfId="3138" totalsRowDxfId="3136" headerRowBorderDxfId="3139" tableBorderDxfId="3137" totalsRowBorderDxfId="3135">
  <autoFilter ref="A7:P10"/>
  <tableColumns count="16">
    <tableColumn id="1" name="Program_x000a_Category" totalsRowLabel="Total School Districts and Community College Districts" dataDxfId="3134" totalsRowDxfId="83"/>
    <tableColumn id="2" name="Comment" totalsRowLabel="N/A" dataDxfId="3133" totalsRowDxfId="82"/>
    <tableColumn id="3" name="Fiscal_x000a_Year" totalsRowLabel="N/A" dataDxfId="3132" totalsRowDxfId="81"/>
    <tableColumn id="4" name="Schedules" totalsRowLabel="N/A" dataDxfId="3131" totalsRowDxfId="80"/>
    <tableColumn id="5" name="Program_x000a_Costs" totalsRowFunction="sum" dataDxfId="3130" totalsRowDxfId="79"/>
    <tableColumn id="6" name="Less: Net Payments and Offsets" totalsRowFunction="sum" dataDxfId="3129" totalsRowDxfId="78"/>
    <tableColumn id="7" name="Comment1" totalsRowLabel="N/A" totalsRowDxfId="77"/>
    <tableColumn id="8" name="Accounts Payable_x000a_Balance 3" totalsRowFunction="sum" dataDxfId="3128" totalsRowDxfId="76"/>
    <tableColumn id="9" name="Comment3" totalsRowLabel="N/A" dataDxfId="3127" totalsRowDxfId="75"/>
    <tableColumn id="10" name="Established_x000a_Accounts _x000a_Receivable 4" totalsRowFunction="sum" dataDxfId="3126" totalsRowDxfId="74"/>
    <tableColumn id="11" name="Comment4" totalsRowLabel="N/A" dataDxfId="3125" totalsRowDxfId="73"/>
    <tableColumn id="12" name="Less: Recovered_x000a_Amount" totalsRowFunction="sum" dataDxfId="3124" totalsRowDxfId="72"/>
    <tableColumn id="13" name="Accounts Receivable_x000a_Balance 5" totalsRowFunction="sum" dataDxfId="3123" totalsRowDxfId="71"/>
    <tableColumn id="14" name="Comment5" totalsRowLabel="N/A" dataDxfId="3122" totalsRowDxfId="70"/>
    <tableColumn id="15" name="Net_x000a_Balance 6 " totalsRowFunction="sum" dataDxfId="3121" totalsRowDxfId="69"/>
    <tableColumn id="16" name="Comment6" totalsRowLabel="N/A" dataDxfId="3120" totalsRowDxfId="6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School District and Community College Districts-Funded."/>
    </ext>
  </extLst>
</table>
</file>

<file path=xl/tables/table19.xml><?xml version="1.0" encoding="utf-8"?>
<table xmlns="http://schemas.openxmlformats.org/spreadsheetml/2006/main" id="3" name="schedulebfunded" displayName="schedulebfunded" ref="A13:P17" totalsRowCount="1" dataDxfId="3118" totalsRowDxfId="3116" headerRowBorderDxfId="3119" tableBorderDxfId="3117" totalsRowBorderDxfId="3115">
  <autoFilter ref="A13:P16"/>
  <tableColumns count="16">
    <tableColumn id="1" name="Program_x000a_Category" totalsRowLabel="Total Schedule B1: Funded Mandates 7" totalsRowDxfId="51" dataCellStyle="Hyperlink"/>
    <tableColumn id="2" name="Comment" totalsRowLabel="Comment: State-mandated programs appropriated for payments in the Budget Act (funded) and programs without appropriations (unfunded)." dataDxfId="3114" totalsRowDxfId="50"/>
    <tableColumn id="3" name="Fiscal_x000a_Year" totalsRowLabel="N/A" dataDxfId="3113" totalsRowDxfId="49"/>
    <tableColumn id="4" name="Schedules" totalsRowLabel="N/A" dataDxfId="3112" totalsRowDxfId="48"/>
    <tableColumn id="5" name="Program_x000a_Costs" totalsRowFunction="sum" dataDxfId="3111" totalsRowDxfId="47">
      <calculatedColumnFormula>E8</calculatedColumnFormula>
    </tableColumn>
    <tableColumn id="6" name="Less: Net Payments and Offsets" totalsRowFunction="sum" dataDxfId="3110" totalsRowDxfId="46">
      <calculatedColumnFormula>F8</calculatedColumnFormula>
    </tableColumn>
    <tableColumn id="7" name="Comment1" totalsRowLabel="N/A" dataDxfId="3109" totalsRowDxfId="45"/>
    <tableColumn id="8" name="Accounts Payable_x000a_Balance 3" totalsRowFunction="sum" dataDxfId="3108" totalsRowDxfId="44">
      <calculatedColumnFormula>H8</calculatedColumnFormula>
    </tableColumn>
    <tableColumn id="9" name="Comment3" totalsRowLabel="N/A" dataDxfId="3107" totalsRowDxfId="43"/>
    <tableColumn id="10" name="Established_x000a_Accounts _x000a_Receivable 4" totalsRowFunction="sum" dataDxfId="3106" totalsRowDxfId="42">
      <calculatedColumnFormula>J8</calculatedColumnFormula>
    </tableColumn>
    <tableColumn id="11" name="Comment4" totalsRowLabel="N/A" dataDxfId="3105" totalsRowDxfId="41"/>
    <tableColumn id="12" name="Less: Recovered_x000a_Amount" totalsRowFunction="sum" dataDxfId="3104" totalsRowDxfId="40">
      <calculatedColumnFormula>L8</calculatedColumnFormula>
    </tableColumn>
    <tableColumn id="13" name="Accounts Receivable_x000a_Balance 5" totalsRowFunction="sum" dataDxfId="3103" totalsRowDxfId="39">
      <calculatedColumnFormula>M8</calculatedColumnFormula>
    </tableColumn>
    <tableColumn id="14" name="Comment5" totalsRowLabel="N/A" dataDxfId="3102" totalsRowDxfId="38"/>
    <tableColumn id="15" name="Net_x000a_Balance 6 " totalsRowFunction="sum" dataDxfId="3101" totalsRowDxfId="37">
      <calculatedColumnFormula>O8</calculatedColumnFormula>
    </tableColumn>
    <tableColumn id="16" name="Comment6" totalsRowLabel="N/A" dataDxfId="3100" totalsRowDxfId="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Total Funded."/>
    </ext>
  </extLst>
</table>
</file>

<file path=xl/tables/table2.xml><?xml version="1.0" encoding="utf-8"?>
<table xmlns="http://schemas.openxmlformats.org/spreadsheetml/2006/main" id="15" name="dmvnongeneralfund" displayName="dmvnongeneralfund" ref="A8:M12" totalsRowCount="1" headerRowDxfId="3541" dataDxfId="3539" totalsRowDxfId="3537" headerRowBorderDxfId="3540" tableBorderDxfId="3538" totalsRowBorderDxfId="3536">
  <autoFilter ref="A8:M11"/>
  <tableColumns count="13">
    <tableColumn id="1" name="Program Category_x000a_ and Fund" totalsRowLabel="Total Motor Vehicle Account-Non-General Fund" dataDxfId="3535" totalsRowDxfId="3534"/>
    <tableColumn id="2" name="Appropriation_x000a_Number" totalsRowLabel="N/A" dataDxfId="3533" totalsRowDxfId="3532"/>
    <tableColumn id="3" name="Legal_x000a_Reference_x000a_(Ch./Year)" totalsRowLabel="N/A" dataDxfId="3531" totalsRowDxfId="3530"/>
    <tableColumn id="4" name="Fiscal Year of_x000a_Claims Paid" totalsRowLabel="N/A" dataDxfId="3529" totalsRowDxfId="3528"/>
    <tableColumn id="5" name="Reversion Date" totalsRowLabel="N/A" dataDxfId="3527" totalsRowDxfId="3526"/>
    <tableColumn id="6" name="Original_x000a_Appropriation_x000a_Amount" totalsRowFunction="sum" dataDxfId="3525" totalsRowDxfId="3524"/>
    <tableColumn id="7" name="Appropriation Balances1 " totalsRowFunction="sum" dataDxfId="3523" totalsRowDxfId="3522"/>
    <tableColumn id="8" name="Comment" totalsRowLabel="N/A" dataDxfId="3521" totalsRowDxfId="3520"/>
    <tableColumn id="9" name="Add: Receipts_x000a_and Recovered_x000a_Amounts" totalsRowFunction="sum" dataDxfId="3519" totalsRowDxfId="3518"/>
    <tableColumn id="10" name="Less: Mandated Program Payments,_x000a_Offsets, and Interest_x000a_(see Schedule A1)" totalsRowFunction="sum" dataDxfId="3517" totalsRowDxfId="3516"/>
    <tableColumn id="11" name="Comment2" totalsRowLabel="N/A" dataDxfId="3515" totalsRowDxfId="3514"/>
    <tableColumn id="12" name="Less: Reappropriations3" totalsRowFunction="sum" dataDxfId="3513" totalsRowDxfId="3512"/>
    <tableColumn id="13" name="Appropriation_x000a_Balances_x000a_as of 4/1/2021" totalsRowFunction="sum" dataDxfId="3511" totalsRowDxfId="351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For Motor Vehicle Account-Non General Fund."/>
    </ext>
  </extLst>
</table>
</file>

<file path=xl/tables/table20.xml><?xml version="1.0" encoding="utf-8"?>
<table xmlns="http://schemas.openxmlformats.org/spreadsheetml/2006/main" id="4" name="scheduleblocalunfunded" displayName="scheduleblocalunfunded" ref="A19:P22" totalsRowCount="1" dataDxfId="3098" totalsRowDxfId="3096" headerRowBorderDxfId="3099" tableBorderDxfId="3097" totalsRowBorderDxfId="3095">
  <autoFilter ref="A19:P21"/>
  <tableColumns count="16">
    <tableColumn id="1" name="Program_x000a_Category" totalsRowLabel="Total Local Agencies" totalsRowDxfId="3094"/>
    <tableColumn id="2" name="Comment" totalsRowLabel="N/A" dataDxfId="3093" totalsRowDxfId="3092"/>
    <tableColumn id="3" name="Fiscal_x000a_Year" totalsRowLabel="N/A" totalsRowDxfId="3091"/>
    <tableColumn id="4" name="Schedules" totalsRowLabel="N/A" dataDxfId="3090" totalsRowDxfId="3089"/>
    <tableColumn id="5" name="Program_x000a_Costs" totalsRowFunction="sum" totalsRowDxfId="3088"/>
    <tableColumn id="6" name="Less: Net Payments and Offsets" totalsRowFunction="sum" totalsRowDxfId="3087"/>
    <tableColumn id="7" name="Comment1" totalsRowLabel="N/A" totalsRowDxfId="3086"/>
    <tableColumn id="8" name="Accounts Payable_x000a_Balance 3" totalsRowFunction="sum" totalsRowDxfId="3085"/>
    <tableColumn id="9" name="Comment3" totalsRowLabel="N/A" totalsRowDxfId="3084"/>
    <tableColumn id="10" name="Established_x000a_Accounts _x000a_Receivable 4" totalsRowFunction="sum" totalsRowDxfId="3083"/>
    <tableColumn id="11" name="Comment4" totalsRowLabel="N/A" totalsRowDxfId="3082"/>
    <tableColumn id="12" name="Less: Recovered_x000a_Amount" totalsRowFunction="sum" totalsRowDxfId="3081"/>
    <tableColumn id="13" name="Accounts Receivable_x000a_Balance 5" totalsRowFunction="sum" totalsRowDxfId="3080"/>
    <tableColumn id="14" name="Comment5" totalsRowLabel="N/A" totalsRowDxfId="3079"/>
    <tableColumn id="15" name="Net_x000a_Balance 6 " totalsRowFunction="sum" totalsRowDxfId="3078"/>
    <tableColumn id="16" name="Comment6" totalsRowLabel="N/A" totalsRowDxfId="30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Local Agencies-Unfunded."/>
    </ext>
  </extLst>
</table>
</file>

<file path=xl/tables/table21.xml><?xml version="1.0" encoding="utf-8"?>
<table xmlns="http://schemas.openxmlformats.org/spreadsheetml/2006/main" id="5" name="schedulebsdunfunded" displayName="schedulebsdunfunded" ref="A24:P27" totalsRowCount="1" dataDxfId="3075" totalsRowDxfId="3073" headerRowBorderDxfId="3076" tableBorderDxfId="3074" totalsRowBorderDxfId="3072">
  <autoFilter ref="A24:P26"/>
  <tableColumns count="16">
    <tableColumn id="1" name="Program_x000a_Category" totalsRowLabel="Total School Districts" totalsRowDxfId="3071"/>
    <tableColumn id="2" name="Comment" totalsRowLabel="N/A" dataDxfId="3070" totalsRowDxfId="3069"/>
    <tableColumn id="3" name="Fiscal_x000a_Year" totalsRowLabel="N/A" dataDxfId="3068" totalsRowDxfId="3067"/>
    <tableColumn id="4" name="Schedules" totalsRowLabel="N/A" dataDxfId="3066" totalsRowDxfId="3065"/>
    <tableColumn id="5" name="Program_x000a_Costs" totalsRowFunction="sum" dataDxfId="3064" totalsRowDxfId="3063"/>
    <tableColumn id="6" name="Less: Net Payments and Offsets" totalsRowFunction="sum" dataDxfId="3062" totalsRowDxfId="3061"/>
    <tableColumn id="7" name="Comment1" totalsRowLabel="N/A" dataDxfId="3060" totalsRowDxfId="3059"/>
    <tableColumn id="8" name="Accounts Payable_x000a_Balance 3" totalsRowFunction="sum" dataDxfId="3058" totalsRowDxfId="3057"/>
    <tableColumn id="9" name="Comment3" totalsRowLabel="N/A" dataDxfId="3056" totalsRowDxfId="3055"/>
    <tableColumn id="10" name="Established_x000a_Accounts _x000a_Receivable 4" totalsRowFunction="sum" dataDxfId="3054" totalsRowDxfId="3053"/>
    <tableColumn id="11" name="Comment4" totalsRowLabel="N/A" dataDxfId="3052" totalsRowDxfId="3051"/>
    <tableColumn id="12" name="Less: Recovered_x000a_Amount" totalsRowFunction="sum" dataDxfId="3050" totalsRowDxfId="3049"/>
    <tableColumn id="13" name="Accounts Receivable_x000a_Balance 5" totalsRowFunction="sum" dataDxfId="3048" totalsRowDxfId="3047"/>
    <tableColumn id="14" name="Comment5" totalsRowLabel="N/A" dataDxfId="3046" totalsRowDxfId="3045"/>
    <tableColumn id="15" name="Net_x000a_Balance 6 " totalsRowFunction="sum" dataDxfId="3044" totalsRowDxfId="3043"/>
    <tableColumn id="16" name="Comment6" totalsRowLabel="N/A" dataDxfId="3042" totalsRowDxfId="3041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School District-Unfunded."/>
    </ext>
  </extLst>
</table>
</file>

<file path=xl/tables/table22.xml><?xml version="1.0" encoding="utf-8"?>
<table xmlns="http://schemas.openxmlformats.org/spreadsheetml/2006/main" id="6" name="schedulebunfunded" displayName="schedulebunfunded" ref="A29:P32" totalsRowCount="1" dataDxfId="3039" totalsRowDxfId="3037" headerRowBorderDxfId="3040" tableBorderDxfId="3038" totalsRowBorderDxfId="3036">
  <autoFilter ref="A29:P31"/>
  <tableColumns count="16">
    <tableColumn id="1" name="Program_x000a_Category" totalsRowLabel="Total Schedule B2: Unfunded Mandates 7" totalsRowDxfId="67" dataCellStyle="Hyperlink"/>
    <tableColumn id="2" name="Comment" totalsRowLabel="Comment: State-mandated programs appropriated for payments in the Budget Act (funded) and programs without appropriations (unfunded)." dataDxfId="3035" totalsRowDxfId="66"/>
    <tableColumn id="3" name="Fiscal_x000a_Year" totalsRowLabel="N/A" dataDxfId="3034" totalsRowDxfId="65"/>
    <tableColumn id="4" name="Schedules" totalsRowLabel="N/A" dataDxfId="3033" totalsRowDxfId="64"/>
    <tableColumn id="5" name="Program_x000a_Costs" totalsRowFunction="sum" dataDxfId="3032" totalsRowDxfId="63">
      <calculatedColumnFormula>schedulebsdunfunded[[#Totals],[Program
Costs]]</calculatedColumnFormula>
    </tableColumn>
    <tableColumn id="6" name="Less: Net Payments and Offsets" totalsRowFunction="sum" dataDxfId="3031" totalsRowDxfId="62">
      <calculatedColumnFormula>schedulebsdunfunded[[#Totals],[Less: Net Payments and Offsets]]</calculatedColumnFormula>
    </tableColumn>
    <tableColumn id="7" name="Comment1" totalsRowLabel="N/A" dataDxfId="3030" totalsRowDxfId="61"/>
    <tableColumn id="8" name="Accounts Payable_x000a_Balance 3" totalsRowFunction="sum" dataDxfId="3029" totalsRowDxfId="60">
      <calculatedColumnFormula>schedulebsdunfunded[[#Totals],[Accounts Payable
Balance 3]]</calculatedColumnFormula>
    </tableColumn>
    <tableColumn id="9" name="Comment3" totalsRowLabel="N/A" dataDxfId="3028" totalsRowDxfId="59"/>
    <tableColumn id="10" name="Established_x000a_Accounts _x000a_Receivable 4" totalsRowFunction="sum" dataDxfId="3027" totalsRowDxfId="58">
      <calculatedColumnFormula>schedulebsdunfunded[[#Totals],[Established
Accounts 
Receivable 4]]</calculatedColumnFormula>
    </tableColumn>
    <tableColumn id="11" name="Comment4" totalsRowLabel="N/A" dataDxfId="3026" totalsRowDxfId="57"/>
    <tableColumn id="12" name="Less: Recovered_x000a_Amount" totalsRowFunction="sum" dataDxfId="3025" totalsRowDxfId="56">
      <calculatedColumnFormula>schedulebsdunfunded[[#Totals],[Less: Recovered
Amount]]</calculatedColumnFormula>
    </tableColumn>
    <tableColumn id="13" name="Accounts Receivable_x000a_Balance 5" totalsRowFunction="sum" dataDxfId="3024" totalsRowDxfId="55">
      <calculatedColumnFormula>schedulebsdunfunded[[#Totals],[Accounts Receivable
Balance 5]]</calculatedColumnFormula>
    </tableColumn>
    <tableColumn id="14" name="Comment5" totalsRowLabel="N/A" dataDxfId="3023" totalsRowDxfId="54"/>
    <tableColumn id="15" name="Net_x000a_Balance 6 " totalsRowFunction="sum" dataDxfId="3022" totalsRowDxfId="53">
      <calculatedColumnFormula>schedulebsdunfunded[[#Totals],[Net
Balance 6 ]]</calculatedColumnFormula>
    </tableColumn>
    <tableColumn id="16" name="Comment6" totalsRowLabel="N/A" dataDxfId="3021" totalsRowDxfId="5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Total Unfunded."/>
    </ext>
  </extLst>
</table>
</file>

<file path=xl/tables/table23.xml><?xml version="1.0" encoding="utf-8"?>
<table xmlns="http://schemas.openxmlformats.org/spreadsheetml/2006/main" id="7" name="schedulebgrandtotal" displayName="schedulebgrandtotal" ref="A34:P38" totalsRowCount="1" dataDxfId="3019" totalsRowDxfId="3017" headerRowBorderDxfId="3020" tableBorderDxfId="3018" totalsRowBorderDxfId="3016">
  <autoFilter ref="A34:P37"/>
  <tableColumns count="16">
    <tableColumn id="1" name="Program_x000a_Category" totalsRowLabel="Grand Total Local Agencies, School Districts, and Community College Districts" dataDxfId="3015" totalsRowDxfId="3014"/>
    <tableColumn id="2" name="Comment" totalsRowLabel="N/A" dataDxfId="3013" totalsRowDxfId="3012"/>
    <tableColumn id="3" name="Fiscal_x000a_Year" totalsRowLabel="N/A" dataDxfId="3011" totalsRowDxfId="3010"/>
    <tableColumn id="4" name="Schedules" totalsRowLabel="N/A" dataDxfId="3009" totalsRowDxfId="3008"/>
    <tableColumn id="5" name="Program_x000a_Costs" totalsRowFunction="sum" dataDxfId="3007" totalsRowDxfId="3006"/>
    <tableColumn id="6" name="Less: Net Payments and Offsets" totalsRowFunction="sum" dataDxfId="3005" totalsRowDxfId="3004"/>
    <tableColumn id="7" name="Comment1" totalsRowLabel="N/A" dataDxfId="3003" totalsRowDxfId="3002"/>
    <tableColumn id="8" name="Accounts Payable_x000a_Balance 3" totalsRowFunction="sum" dataDxfId="3001" totalsRowDxfId="3000"/>
    <tableColumn id="9" name="Comment3" totalsRowLabel="N/A" dataDxfId="2999" totalsRowDxfId="2998"/>
    <tableColumn id="10" name="Established_x000a_Accounts _x000a_Receivable 4" totalsRowFunction="sum" dataDxfId="2997" totalsRowDxfId="2996"/>
    <tableColumn id="11" name="Comment4" totalsRowLabel="N/A" dataDxfId="2995" totalsRowDxfId="2994"/>
    <tableColumn id="12" name="Less: Recovered_x000a_Amount" totalsRowFunction="sum" dataDxfId="2993" totalsRowDxfId="2992"/>
    <tableColumn id="13" name="Accounts Receivable_x000a_Balance 5" totalsRowFunction="sum" dataDxfId="2991" totalsRowDxfId="2990"/>
    <tableColumn id="14" name="Comment5" totalsRowLabel="N/A" dataDxfId="2989" totalsRowDxfId="2988"/>
    <tableColumn id="15" name="Net_x000a_Balance 6 " totalsRowFunction="sum" dataDxfId="2987" totalsRowDxfId="2986"/>
    <tableColumn id="16" name="Comment6" totalsRowLabel="N/A" dataDxfId="2985" totalsRowDxfId="29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: Summary of Funded and Unfunded State-Mandated Programs. As of April 1, 2021. Grand total."/>
    </ext>
  </extLst>
</table>
</file>

<file path=xl/tables/table24.xml><?xml version="1.0" encoding="utf-8"?>
<table xmlns="http://schemas.openxmlformats.org/spreadsheetml/2006/main" id="8" name="local201920" displayName="local201920" ref="A2:L25" totalsRowCount="1" headerRowDxfId="2983" dataDxfId="2981" totalsRowDxfId="2980" headerRowBorderDxfId="2982" totalsRowBorderDxfId="2979" headerRowCellStyle="Currency">
  <autoFilter ref="A2:L24"/>
  <tableColumns count="12">
    <tableColumn id="1" name="Fiscal_x000a_Year" totalsRowLabel="2019-20 Total" dataDxfId="2978" totalsRowDxfId="35"/>
    <tableColumn id="2" name="Program_x000a_Name" totalsRowLabel="N/A" dataDxfId="2977" totalsRowDxfId="34"/>
    <tableColumn id="3" name="Legal_x000a_Reference_x000a_(Ch./Year)" totalsRowLabel="N/A" dataDxfId="2976" totalsRowDxfId="33"/>
    <tableColumn id="4" name="Program_x000a_Number" totalsRowLabel="N/A" dataDxfId="2975" totalsRowDxfId="32"/>
    <tableColumn id="5" name="Program_x000a_Costs" totalsRowFunction="sum" dataDxfId="2974" totalsRowDxfId="31"/>
    <tableColumn id="6" name="Less: Net _x000a_Payments_x000a_ and Offsets 1" totalsRowFunction="sum" dataDxfId="2973" totalsRowDxfId="30"/>
    <tableColumn id="7" name="Comment: Local agencies did not receive one-time funding offsets." totalsRowLabel="N/A" dataDxfId="2972" totalsRowDxfId="29"/>
    <tableColumn id="8" name="Accounts Payable_x000a_Balance" totalsRowFunction="sum" dataDxfId="2971" totalsRowDxfId="28"/>
    <tableColumn id="9" name="Established_x000a_Accounts Receivable" totalsRowFunction="sum" dataDxfId="2970" totalsRowDxfId="27"/>
    <tableColumn id="10" name="Less: _x000a_Recovered _x000a_Amount" totalsRowFunction="sum" dataDxfId="2969" totalsRowDxfId="26"/>
    <tableColumn id="11" name="Accounts Receivable_x000a_Balance" totalsRowFunction="sum" dataDxfId="2968" totalsRowDxfId="25"/>
    <tableColumn id="12" name="Net_x000a_Balance" totalsRowFunction="sum" dataDxfId="2967" totalsRowDxfId="2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25.xml><?xml version="1.0" encoding="utf-8"?>
<table xmlns="http://schemas.openxmlformats.org/spreadsheetml/2006/main" id="9" name="local201819" displayName="local201819" ref="A27:L46" totalsRowCount="1" headerRowDxfId="2966" dataDxfId="2964" totalsRowDxfId="2962" headerRowBorderDxfId="2965" tableBorderDxfId="2963" totalsRowBorderDxfId="2961" headerRowCellStyle="Currency">
  <autoFilter ref="A27:L45"/>
  <tableColumns count="12">
    <tableColumn id="1" name="Fiscal_x000a_Year" totalsRowLabel="2018-19 Total" dataDxfId="2960" totalsRowDxfId="2959"/>
    <tableColumn id="2" name="Program_x000a_Name" totalsRowLabel="N/A" dataDxfId="2958" totalsRowDxfId="2957"/>
    <tableColumn id="3" name="Legal_x000a_Reference_x000a_(Ch./Year)" totalsRowLabel="N/A" dataDxfId="2956" totalsRowDxfId="2955"/>
    <tableColumn id="4" name="Program_x000a_Number" totalsRowLabel="N/A" dataDxfId="2954" totalsRowDxfId="2953"/>
    <tableColumn id="5" name="Program_x000a_Costs" totalsRowFunction="sum" dataDxfId="2952" totalsRowDxfId="2951"/>
    <tableColumn id="6" name="Less: Net _x000a_Payments_x000a_ and Offsets 1" totalsRowFunction="sum" dataDxfId="2950" totalsRowDxfId="2949"/>
    <tableColumn id="7" name="Comment" totalsRowLabel="N/A" dataDxfId="2948" totalsRowDxfId="2947"/>
    <tableColumn id="8" name="Accounts Payable_x000a_Balance" totalsRowFunction="sum" dataDxfId="2946" totalsRowDxfId="2945"/>
    <tableColumn id="9" name="Established_x000a_Accounts Receivable" totalsRowFunction="sum" dataDxfId="2944" totalsRowDxfId="2943"/>
    <tableColumn id="10" name="Less: _x000a_Recovered _x000a_Amount" totalsRowFunction="sum" dataDxfId="2942" totalsRowDxfId="2941"/>
    <tableColumn id="11" name="Accounts Receivable_x000a_Balance" totalsRowFunction="sum" dataDxfId="2940" totalsRowDxfId="2939"/>
    <tableColumn id="12" name="Net_x000a_Balance" totalsRowFunction="sum" dataDxfId="2938" totalsRowDxfId="293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26.xml><?xml version="1.0" encoding="utf-8"?>
<table xmlns="http://schemas.openxmlformats.org/spreadsheetml/2006/main" id="10" name="local201718" displayName="local201718" ref="A48:L55" totalsRowCount="1" headerRowDxfId="2936" dataDxfId="2934" totalsRowDxfId="2932" headerRowBorderDxfId="2935" tableBorderDxfId="2933" totalsRowBorderDxfId="2931" headerRowCellStyle="Currency">
  <autoFilter ref="A48:L54"/>
  <tableColumns count="12">
    <tableColumn id="1" name="Fiscal_x000a_Year" totalsRowLabel="2017-18 Total" dataDxfId="2930" totalsRowDxfId="2929"/>
    <tableColumn id="2" name="Program_x000a_Name" totalsRowLabel="N/A" dataDxfId="2928" totalsRowDxfId="2927"/>
    <tableColumn id="3" name="Legal_x000a_Reference_x000a_(Ch./Year)" totalsRowLabel="N/A" dataDxfId="2926" totalsRowDxfId="2925"/>
    <tableColumn id="4" name="Program_x000a_Number" totalsRowLabel="N/A" dataDxfId="2924" totalsRowDxfId="2923"/>
    <tableColumn id="5" name="Program_x000a_Costs" totalsRowFunction="sum" dataDxfId="2922" totalsRowDxfId="2921"/>
    <tableColumn id="6" name="Less: Net _x000a_Payments_x000a_ and Offsets 1" totalsRowFunction="sum" dataDxfId="2920" totalsRowDxfId="2919"/>
    <tableColumn id="7" name="Comment" totalsRowLabel="N/A" dataDxfId="2918" totalsRowDxfId="2917"/>
    <tableColumn id="8" name="Accounts Payable_x000a_Balance" totalsRowFunction="sum" dataDxfId="2916" totalsRowDxfId="2915"/>
    <tableColumn id="9" name="Established_x000a_Accounts Receivable" totalsRowFunction="sum" dataDxfId="2914" totalsRowDxfId="2913"/>
    <tableColumn id="10" name="Less: _x000a_Recovered _x000a_Amount" totalsRowFunction="sum" dataDxfId="2912" totalsRowDxfId="2911"/>
    <tableColumn id="11" name="Accounts Receivable_x000a_Balance" totalsRowFunction="sum" dataDxfId="2910" totalsRowDxfId="2909"/>
    <tableColumn id="12" name="Net_x000a_Balance" totalsRowFunction="sum" dataDxfId="2908" totalsRowDxfId="29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27.xml><?xml version="1.0" encoding="utf-8"?>
<table xmlns="http://schemas.openxmlformats.org/spreadsheetml/2006/main" id="11" name="local201617" displayName="local201617" ref="A57:L61" totalsRowCount="1" headerRowDxfId="2906" dataDxfId="2904" totalsRowDxfId="2902" headerRowBorderDxfId="2905" tableBorderDxfId="2903" totalsRowBorderDxfId="2901" headerRowCellStyle="Currency">
  <autoFilter ref="A57:L60"/>
  <tableColumns count="12">
    <tableColumn id="1" name="Fiscal_x000a_Year" totalsRowLabel="2016-17 Total" dataDxfId="2900" totalsRowDxfId="2899"/>
    <tableColumn id="2" name="Program_x000a_Name" totalsRowLabel="N/A" dataDxfId="2898" totalsRowDxfId="2897"/>
    <tableColumn id="3" name="Legal_x000a_Reference_x000a_(Ch./Year)" totalsRowLabel="N/A" dataDxfId="2896" totalsRowDxfId="2895"/>
    <tableColumn id="4" name="Program_x000a_Number" totalsRowLabel="N/A" dataDxfId="2894" totalsRowDxfId="2893"/>
    <tableColumn id="5" name="Program_x000a_Costs" totalsRowFunction="sum" dataDxfId="2892" totalsRowDxfId="2891"/>
    <tableColumn id="6" name="Less: Net _x000a_Payments_x000a_ and Offsets 1" totalsRowFunction="sum" dataDxfId="2890" totalsRowDxfId="2889"/>
    <tableColumn id="7" name="Comment" totalsRowLabel="N/A" dataDxfId="2888" totalsRowDxfId="2887"/>
    <tableColumn id="8" name="Accounts Payable_x000a_Balance" totalsRowFunction="sum" dataDxfId="2886" totalsRowDxfId="2885"/>
    <tableColumn id="9" name="Established_x000a_Accounts Receivable" totalsRowFunction="sum" dataDxfId="2884" totalsRowDxfId="2883"/>
    <tableColumn id="10" name="Less: _x000a_Recovered _x000a_Amount" totalsRowFunction="sum" dataDxfId="2882" totalsRowDxfId="2881"/>
    <tableColumn id="11" name="Accounts Receivable_x000a_Balance" totalsRowFunction="sum" dataDxfId="2880" totalsRowDxfId="2879"/>
    <tableColumn id="12" name="Net_x000a_Balance" totalsRowFunction="sum" dataDxfId="2878" totalsRowDxfId="28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28.xml><?xml version="1.0" encoding="utf-8"?>
<table xmlns="http://schemas.openxmlformats.org/spreadsheetml/2006/main" id="12" name="local201516" displayName="local201516" ref="A63:L66" totalsRowCount="1" headerRowDxfId="2876" dataDxfId="2874" totalsRowDxfId="2872" headerRowBorderDxfId="2875" tableBorderDxfId="2873" totalsRowBorderDxfId="2871" headerRowCellStyle="Currency">
  <autoFilter ref="A63:L65"/>
  <tableColumns count="12">
    <tableColumn id="1" name="Fiscal_x000a_Year" totalsRowLabel="2015-16 Total" dataDxfId="2870" totalsRowDxfId="2869"/>
    <tableColumn id="2" name="Program_x000a_Name" totalsRowLabel="N/A" dataDxfId="2868" totalsRowDxfId="2867"/>
    <tableColumn id="3" name="Legal_x000a_Reference_x000a_(Ch./Year)" totalsRowLabel="N/A" dataDxfId="2866" totalsRowDxfId="2865"/>
    <tableColumn id="4" name="Program_x000a_Number" totalsRowLabel="N/A" dataDxfId="2864" totalsRowDxfId="2863"/>
    <tableColumn id="5" name="Program_x000a_Costs" totalsRowFunction="sum" dataDxfId="2862" totalsRowDxfId="2861"/>
    <tableColumn id="6" name="Less: Net _x000a_Payments_x000a_ and Offsets 1" totalsRowFunction="sum" dataDxfId="2860" totalsRowDxfId="2859"/>
    <tableColumn id="7" name="Comment" totalsRowLabel="N/A" dataDxfId="2858" totalsRowDxfId="2857"/>
    <tableColumn id="8" name="Accounts Payable_x000a_Balance" totalsRowFunction="sum" dataDxfId="2856" totalsRowDxfId="2855"/>
    <tableColumn id="9" name="Established_x000a_Accounts Receivable" totalsRowFunction="sum" dataDxfId="2854" totalsRowDxfId="2853"/>
    <tableColumn id="10" name="Less: _x000a_Recovered _x000a_Amount" totalsRowFunction="sum" dataDxfId="2852" totalsRowDxfId="2851"/>
    <tableColumn id="11" name="Accounts Receivable_x000a_Balance" totalsRowFunction="sum" dataDxfId="2850" totalsRowDxfId="2849"/>
    <tableColumn id="12" name="Net_x000a_Balance" totalsRowFunction="sum" dataDxfId="2848" totalsRowDxfId="28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29.xml><?xml version="1.0" encoding="utf-8"?>
<table xmlns="http://schemas.openxmlformats.org/spreadsheetml/2006/main" id="13" name="local201415" displayName="local201415" ref="A68:L70" totalsRowCount="1" headerRowDxfId="2846" dataDxfId="2844" totalsRowDxfId="2842" headerRowBorderDxfId="2845" tableBorderDxfId="2843" totalsRowBorderDxfId="2841" headerRowCellStyle="Currency">
  <autoFilter ref="A68:L69"/>
  <tableColumns count="12">
    <tableColumn id="1" name="Fiscal_x000a_Year" totalsRowLabel="2014-15 Total" dataDxfId="2840" totalsRowDxfId="2839"/>
    <tableColumn id="2" name="Program_x000a_Name" totalsRowLabel="N/A" dataDxfId="2838" totalsRowDxfId="2837"/>
    <tableColumn id="3" name="Legal_x000a_Reference_x000a_(Ch./Year)" totalsRowLabel="N/A" dataDxfId="2836" totalsRowDxfId="2835"/>
    <tableColumn id="4" name="Program_x000a_Number" totalsRowLabel="N/A" dataDxfId="2834" totalsRowDxfId="2833"/>
    <tableColumn id="5" name="Program_x000a_Costs" totalsRowFunction="sum" dataDxfId="2832" totalsRowDxfId="2831"/>
    <tableColumn id="6" name="Less: Net _x000a_Payments_x000a_ and Offsets 1" totalsRowFunction="sum" dataDxfId="2830" totalsRowDxfId="2829"/>
    <tableColumn id="7" name="Comment" totalsRowLabel="N/A" dataDxfId="2828" totalsRowDxfId="2827"/>
    <tableColumn id="8" name="Accounts Payable_x000a_Balance" totalsRowFunction="sum" dataDxfId="2826" totalsRowDxfId="2825"/>
    <tableColumn id="9" name="Established_x000a_Accounts Receivable" totalsRowFunction="sum" dataDxfId="2824" totalsRowDxfId="2823"/>
    <tableColumn id="10" name="Less: _x000a_Recovered _x000a_Amount" totalsRowFunction="sum" dataDxfId="2822" totalsRowDxfId="2821"/>
    <tableColumn id="11" name="Accounts Receivable_x000a_Balance" totalsRowFunction="sum" dataDxfId="2820" totalsRowDxfId="2819"/>
    <tableColumn id="12" name="Net_x000a_Balance" totalsRowFunction="sum" dataDxfId="2818" totalsRowDxfId="281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.xml><?xml version="1.0" encoding="utf-8"?>
<table xmlns="http://schemas.openxmlformats.org/spreadsheetml/2006/main" id="16" name="pestnongeneralfund" displayName="pestnongeneralfund" ref="A14:M18" totalsRowCount="1" headerRowDxfId="3509" dataDxfId="3507" totalsRowDxfId="3505" headerRowBorderDxfId="3508" tableBorderDxfId="3506">
  <autoFilter ref="A14:M17"/>
  <tableColumns count="13">
    <tableColumn id="1" name="Program Category_x000a_ and Fund" totalsRowLabel="Total Pesticide Regulation-Non-General Fund" dataDxfId="3504" totalsRowDxfId="3503"/>
    <tableColumn id="2" name="Appropriation_x000a_Number" totalsRowLabel="N/A" dataDxfId="3502" totalsRowDxfId="3501"/>
    <tableColumn id="3" name="Legal_x000a_Reference_x000a_(Ch./Year)" totalsRowLabel="N/A" dataDxfId="3500" totalsRowDxfId="3499"/>
    <tableColumn id="4" name="Fiscal Year of_x000a_Claims Paid" totalsRowLabel="N/A" dataDxfId="3498" totalsRowDxfId="3497"/>
    <tableColumn id="5" name="Reversion Date" totalsRowLabel="N/A" dataDxfId="3496" totalsRowDxfId="3495"/>
    <tableColumn id="6" name="Original_x000a_Appropriation_x000a_Amount" totalsRowFunction="sum" dataDxfId="3494" totalsRowDxfId="3493"/>
    <tableColumn id="7" name="Appropriation Balances1 " totalsRowFunction="sum" dataDxfId="3492" totalsRowDxfId="3491"/>
    <tableColumn id="8" name="Comment" totalsRowLabel="N/A" dataDxfId="3490" totalsRowDxfId="3489"/>
    <tableColumn id="9" name="Add: Receipts_x000a_and Recovered_x000a_Amounts" totalsRowFunction="sum" dataDxfId="3488" totalsRowDxfId="3487"/>
    <tableColumn id="10" name="Less: Mandated Program Payments,_x000a_Offsets, and Interest_x000a_(see Schedule A1)" totalsRowFunction="sum" dataDxfId="3486" totalsRowDxfId="3485"/>
    <tableColumn id="11" name="Comment2" totalsRowLabel="N/A" dataDxfId="3484" totalsRowDxfId="3483"/>
    <tableColumn id="12" name="Less: Reappropriations3" totalsRowFunction="sum" dataDxfId="3482" totalsRowDxfId="3481"/>
    <tableColumn id="13" name="Appropriation_x000a_Balances_x000a_as of 4/1/2021" totalsRowFunction="sum" dataDxfId="3480" totalsRowDxfId="347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For Pesticide Regulation-Non General Fund."/>
    </ext>
  </extLst>
</table>
</file>

<file path=xl/tables/table30.xml><?xml version="1.0" encoding="utf-8"?>
<table xmlns="http://schemas.openxmlformats.org/spreadsheetml/2006/main" id="18" name="local201314" displayName="local201314" ref="A72:L75" totalsRowCount="1" headerRowDxfId="2816" dataDxfId="2814" totalsRowDxfId="2812" headerRowBorderDxfId="2815" tableBorderDxfId="2813" totalsRowBorderDxfId="2811" headerRowCellStyle="Currency">
  <autoFilter ref="A72:L74"/>
  <tableColumns count="12">
    <tableColumn id="1" name="Fiscal_x000a_Year" totalsRowLabel="2013-14 Total" dataDxfId="2810" totalsRowDxfId="2809"/>
    <tableColumn id="2" name="Program_x000a_Name" totalsRowLabel="N/A" dataDxfId="2808" totalsRowDxfId="2807"/>
    <tableColumn id="3" name="Legal_x000a_Reference_x000a_(Ch./Year)" totalsRowLabel="N/A" dataDxfId="2806" totalsRowDxfId="2805"/>
    <tableColumn id="4" name="Program_x000a_Number" totalsRowLabel="N/A" dataDxfId="2804" totalsRowDxfId="2803"/>
    <tableColumn id="5" name="Program_x000a_Costs" totalsRowFunction="sum" dataDxfId="2802" totalsRowDxfId="2801"/>
    <tableColumn id="6" name="Less: Net _x000a_Payments_x000a_ and Offsets 1" totalsRowFunction="sum" dataDxfId="2800" totalsRowDxfId="2799"/>
    <tableColumn id="7" name="Comment" totalsRowLabel="N/A" dataDxfId="2798" totalsRowDxfId="2797"/>
    <tableColumn id="8" name="Accounts Payable_x000a_Balance" totalsRowFunction="sum" dataDxfId="2796" totalsRowDxfId="2795"/>
    <tableColumn id="9" name="Established_x000a_Accounts Receivable" totalsRowFunction="sum" dataDxfId="2794" totalsRowDxfId="2793"/>
    <tableColumn id="10" name="Less: _x000a_Recovered _x000a_Amount" totalsRowFunction="sum" dataDxfId="2792" totalsRowDxfId="2791"/>
    <tableColumn id="11" name="Accounts Receivable_x000a_Balance" totalsRowFunction="sum" dataDxfId="2790" totalsRowDxfId="2789"/>
    <tableColumn id="12" name="Net_x000a_Balance" totalsRowFunction="sum" dataDxfId="2788" totalsRowDxfId="278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1.xml><?xml version="1.0" encoding="utf-8"?>
<table xmlns="http://schemas.openxmlformats.org/spreadsheetml/2006/main" id="19" name="local201213" displayName="local201213" ref="A77:L79" totalsRowCount="1" headerRowDxfId="2786" dataDxfId="2784" totalsRowDxfId="2782" headerRowBorderDxfId="2785" tableBorderDxfId="2783" totalsRowBorderDxfId="2781" headerRowCellStyle="Currency">
  <autoFilter ref="A77:L78"/>
  <tableColumns count="12">
    <tableColumn id="1" name="Fiscal_x000a_Year" totalsRowLabel="2012-13 Total" dataDxfId="2780" totalsRowDxfId="2779"/>
    <tableColumn id="2" name="Program_x000a_Name" totalsRowLabel="N/A" dataDxfId="2778" totalsRowDxfId="2777"/>
    <tableColumn id="3" name="Legal_x000a_Reference_x000a_(Ch./Year)" totalsRowLabel="N/A" dataDxfId="2776" totalsRowDxfId="2775"/>
    <tableColumn id="4" name="Program_x000a_Number" totalsRowLabel="N/A" dataDxfId="2774" totalsRowDxfId="2773"/>
    <tableColumn id="5" name="Program_x000a_Costs" totalsRowFunction="sum" dataDxfId="2772" totalsRowDxfId="2771"/>
    <tableColumn id="6" name="Less: Net _x000a_Payments_x000a_ and Offsets 1" totalsRowFunction="sum" dataDxfId="2770" totalsRowDxfId="2769"/>
    <tableColumn id="7" name="Comment" totalsRowLabel="N/A" dataDxfId="2768" totalsRowDxfId="2767"/>
    <tableColumn id="8" name="Accounts Payable_x000a_Balance" totalsRowFunction="sum" dataDxfId="2766" totalsRowDxfId="2765"/>
    <tableColumn id="9" name="Established_x000a_Accounts Receivable" totalsRowFunction="sum" dataDxfId="2764" totalsRowDxfId="2763"/>
    <tableColumn id="10" name="Less: _x000a_Recovered _x000a_Amount" totalsRowFunction="sum" dataDxfId="2762" totalsRowDxfId="2761"/>
    <tableColumn id="11" name="Accounts Receivable_x000a_Balance" totalsRowFunction="sum" dataDxfId="2760" totalsRowDxfId="2759"/>
    <tableColumn id="12" name="Net_x000a_Balance" totalsRowFunction="sum" dataDxfId="2758" totalsRowDxfId="275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2.xml><?xml version="1.0" encoding="utf-8"?>
<table xmlns="http://schemas.openxmlformats.org/spreadsheetml/2006/main" id="32" name="local201112" displayName="local201112" ref="A81:L84" totalsRowCount="1" headerRowDxfId="2756" dataDxfId="2754" totalsRowDxfId="2752" headerRowBorderDxfId="2755" tableBorderDxfId="2753" totalsRowBorderDxfId="2751" headerRowCellStyle="Currency">
  <autoFilter ref="A81:L83"/>
  <tableColumns count="12">
    <tableColumn id="1" name="Fiscal_x000a_Year" totalsRowLabel="2011-12 Total" dataDxfId="2750" totalsRowDxfId="2749"/>
    <tableColumn id="2" name="Program_x000a_Name" totalsRowLabel="N/A" dataDxfId="2748" totalsRowDxfId="2747"/>
    <tableColumn id="3" name="Legal_x000a_Reference_x000a_(Ch./Year)" totalsRowLabel="N/A" dataDxfId="2746" totalsRowDxfId="2745"/>
    <tableColumn id="4" name="Program_x000a_Number" totalsRowLabel="N/A" dataDxfId="2744" totalsRowDxfId="2743"/>
    <tableColumn id="5" name="Program_x000a_Costs" totalsRowFunction="sum" dataDxfId="2742" totalsRowDxfId="2741"/>
    <tableColumn id="6" name="Less: Net _x000a_Payments_x000a_ and Offsets 1" totalsRowFunction="sum" dataDxfId="2740" totalsRowDxfId="2739"/>
    <tableColumn id="7" name="Comment" totalsRowLabel="N/A" dataDxfId="2738" totalsRowDxfId="2737"/>
    <tableColumn id="8" name="Accounts Payable_x000a_Balance" totalsRowFunction="sum" dataDxfId="2736" totalsRowDxfId="2735"/>
    <tableColumn id="9" name="Established_x000a_Accounts Receivable" totalsRowFunction="sum" dataDxfId="2734" totalsRowDxfId="2733"/>
    <tableColumn id="10" name="Less: _x000a_Recovered _x000a_Amount" totalsRowFunction="sum" dataDxfId="2732" totalsRowDxfId="2731"/>
    <tableColumn id="11" name="Accounts Receivable_x000a_Balance" totalsRowFunction="sum" dataDxfId="2730" totalsRowDxfId="2729"/>
    <tableColumn id="12" name="Net_x000a_Balance" totalsRowFunction="sum" dataDxfId="2728" totalsRowDxfId="272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3.xml><?xml version="1.0" encoding="utf-8"?>
<table xmlns="http://schemas.openxmlformats.org/spreadsheetml/2006/main" id="33" name="local201011" displayName="local201011" ref="A86:L95" totalsRowCount="1" headerRowDxfId="2726" dataDxfId="2724" totalsRowDxfId="2722" headerRowBorderDxfId="2725" tableBorderDxfId="2723" totalsRowBorderDxfId="2721" headerRowCellStyle="Currency">
  <autoFilter ref="A86:L94"/>
  <tableColumns count="12">
    <tableColumn id="1" name="Fiscal_x000a_Year" totalsRowLabel="2010-11 Total" dataDxfId="2720" totalsRowDxfId="2719"/>
    <tableColumn id="2" name="Program_x000a_Name" totalsRowLabel="N/A" dataDxfId="2718" totalsRowDxfId="2717"/>
    <tableColumn id="3" name="Legal_x000a_Reference_x000a_(Ch./Year)" totalsRowLabel="N/A" dataDxfId="2716" totalsRowDxfId="2715"/>
    <tableColumn id="4" name="Program_x000a_Number" totalsRowLabel="N/A" dataDxfId="2714" totalsRowDxfId="2713"/>
    <tableColumn id="5" name="Program_x000a_Costs" totalsRowFunction="sum" dataDxfId="2712" totalsRowDxfId="2711"/>
    <tableColumn id="6" name="Less: Net _x000a_Payments_x000a_ and Offsets 1" totalsRowFunction="sum" dataDxfId="2710" totalsRowDxfId="2709"/>
    <tableColumn id="7" name="Comment" totalsRowLabel="N/A" dataDxfId="2708" totalsRowDxfId="2707"/>
    <tableColumn id="8" name="Accounts Payable_x000a_Balance" totalsRowFunction="sum" dataDxfId="2706" totalsRowDxfId="2705"/>
    <tableColumn id="9" name="Established_x000a_Accounts Receivable" totalsRowFunction="sum" dataDxfId="2704" totalsRowDxfId="2703"/>
    <tableColumn id="10" name="Less: _x000a_Recovered _x000a_Amount" totalsRowFunction="sum" dataDxfId="2702" totalsRowDxfId="2701"/>
    <tableColumn id="11" name="Accounts Receivable_x000a_Balance" totalsRowFunction="sum" dataDxfId="2700" totalsRowDxfId="2699"/>
    <tableColumn id="12" name="Net_x000a_Balance" totalsRowFunction="sum" dataDxfId="2698" totalsRowDxfId="269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4.xml><?xml version="1.0" encoding="utf-8"?>
<table xmlns="http://schemas.openxmlformats.org/spreadsheetml/2006/main" id="34" name="local200910" displayName="local200910" ref="A97:L123" totalsRowCount="1" headerRowDxfId="2696" dataDxfId="2694" totalsRowDxfId="2692" headerRowBorderDxfId="2695" tableBorderDxfId="2693" totalsRowBorderDxfId="2691" headerRowCellStyle="Currency">
  <autoFilter ref="A97:L122"/>
  <tableColumns count="12">
    <tableColumn id="1" name="Fiscal_x000a_Year" totalsRowLabel="2009-10 Total" dataDxfId="2690" totalsRowDxfId="2689"/>
    <tableColumn id="2" name="Program_x000a_Name" totalsRowLabel="N/A" dataDxfId="2688" totalsRowDxfId="2687"/>
    <tableColumn id="3" name="Legal_x000a_Reference_x000a_(Ch./Year)" totalsRowLabel="N/A" dataDxfId="2686" totalsRowDxfId="2685"/>
    <tableColumn id="4" name="Program_x000a_Number" totalsRowLabel="N/A" dataDxfId="2684" totalsRowDxfId="2683"/>
    <tableColumn id="5" name="Program_x000a_Costs" totalsRowFunction="sum" dataDxfId="2682" totalsRowDxfId="2681"/>
    <tableColumn id="6" name="Less: Net _x000a_Payments_x000a_ and Offsets 1" totalsRowFunction="sum" dataDxfId="2680" totalsRowDxfId="2679"/>
    <tableColumn id="7" name="Comment" totalsRowLabel="N/A" dataDxfId="2678" totalsRowDxfId="2677"/>
    <tableColumn id="8" name="Accounts Payable_x000a_Balance" totalsRowFunction="sum" dataDxfId="2676" totalsRowDxfId="2675"/>
    <tableColumn id="9" name="Established_x000a_Accounts Receivable" totalsRowFunction="sum" dataDxfId="2674" totalsRowDxfId="2673"/>
    <tableColumn id="10" name="Less: _x000a_Recovered _x000a_Amount" totalsRowFunction="sum" dataDxfId="2672" totalsRowDxfId="2671"/>
    <tableColumn id="11" name="Accounts Receivable_x000a_Balance" totalsRowFunction="sum" dataDxfId="2670" totalsRowDxfId="2669"/>
    <tableColumn id="12" name="Net_x000a_Balance" totalsRowFunction="sum" dataDxfId="2668" totalsRowDxfId="266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5.xml><?xml version="1.0" encoding="utf-8"?>
<table xmlns="http://schemas.openxmlformats.org/spreadsheetml/2006/main" id="35" name="local200809" displayName="local200809" ref="A125:L149" totalsRowCount="1" headerRowDxfId="2666" dataDxfId="2664" totalsRowDxfId="2662" headerRowBorderDxfId="2665" tableBorderDxfId="2663" totalsRowBorderDxfId="2661" headerRowCellStyle="Currency">
  <autoFilter ref="A125:L148"/>
  <tableColumns count="12">
    <tableColumn id="1" name="Fiscal_x000a_Year" totalsRowLabel="2008-09 Total" dataDxfId="2660" totalsRowDxfId="2659"/>
    <tableColumn id="2" name="Program_x000a_Name" totalsRowLabel="N/A" dataDxfId="2658" totalsRowDxfId="2657"/>
    <tableColumn id="3" name="Legal_x000a_Reference_x000a_(Ch./Year)" totalsRowLabel="N/A" dataDxfId="2656" totalsRowDxfId="2655"/>
    <tableColumn id="4" name="Program_x000a_Number" totalsRowLabel="N/A" dataDxfId="2654" totalsRowDxfId="2653"/>
    <tableColumn id="5" name="Program_x000a_Costs" totalsRowFunction="sum" dataDxfId="2652" totalsRowDxfId="2651"/>
    <tableColumn id="6" name="Less: Net _x000a_Payments_x000a_ and Offsets 1" totalsRowFunction="sum" dataDxfId="2650" totalsRowDxfId="2649"/>
    <tableColumn id="7" name="Comment" totalsRowLabel="N/A" dataDxfId="2648" totalsRowDxfId="2647"/>
    <tableColumn id="8" name="Accounts Payable_x000a_Balance" totalsRowFunction="sum" dataDxfId="2646" totalsRowDxfId="2645"/>
    <tableColumn id="9" name="Established_x000a_Accounts Receivable" totalsRowFunction="sum" dataDxfId="2644" totalsRowDxfId="2643"/>
    <tableColumn id="10" name="Less: _x000a_Recovered _x000a_Amount" totalsRowFunction="sum" dataDxfId="2642" totalsRowDxfId="2641"/>
    <tableColumn id="11" name="Accounts Receivable_x000a_Balance" totalsRowFunction="sum" dataDxfId="2640" totalsRowDxfId="2639"/>
    <tableColumn id="12" name="Net_x000a_Balance" totalsRowFunction="sum" dataDxfId="2638" totalsRowDxfId="263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6.xml><?xml version="1.0" encoding="utf-8"?>
<table xmlns="http://schemas.openxmlformats.org/spreadsheetml/2006/main" id="36" name="local200708" displayName="local200708" ref="A151:L178" totalsRowCount="1" headerRowDxfId="2636" dataDxfId="2634" totalsRowDxfId="2632" headerRowBorderDxfId="2635" tableBorderDxfId="2633" totalsRowBorderDxfId="2631" headerRowCellStyle="Currency">
  <autoFilter ref="A151:L177"/>
  <tableColumns count="12">
    <tableColumn id="1" name="Fiscal_x000a_Year" totalsRowLabel="2007-08 Total" dataDxfId="2630" totalsRowDxfId="2629"/>
    <tableColumn id="2" name="Program_x000a_Name" totalsRowLabel="N/A" dataDxfId="2628" totalsRowDxfId="2627"/>
    <tableColumn id="3" name="Legal_x000a_Reference_x000a_(Ch./Year)" totalsRowLabel="N/A" dataDxfId="2626" totalsRowDxfId="2625"/>
    <tableColumn id="4" name="Program_x000a_Number" totalsRowLabel="N/A" dataDxfId="2624" totalsRowDxfId="2623"/>
    <tableColumn id="5" name="Program_x000a_Costs" totalsRowFunction="sum" dataDxfId="2622" totalsRowDxfId="2621"/>
    <tableColumn id="6" name="Less: Net _x000a_Payments_x000a_ and Offsets 1" totalsRowFunction="sum" dataDxfId="2620" totalsRowDxfId="2619"/>
    <tableColumn id="7" name="Comment" totalsRowLabel="N/A" dataDxfId="2618" totalsRowDxfId="2617"/>
    <tableColumn id="8" name="Accounts Payable_x000a_Balance" totalsRowFunction="sum" dataDxfId="2616" totalsRowDxfId="2615"/>
    <tableColumn id="9" name="Established_x000a_Accounts Receivable" totalsRowFunction="sum" dataDxfId="2614" totalsRowDxfId="2613"/>
    <tableColumn id="10" name="Less: _x000a_Recovered _x000a_Amount" totalsRowFunction="sum" dataDxfId="2612" totalsRowDxfId="2611"/>
    <tableColumn id="11" name="Accounts Receivable_x000a_Balance" totalsRowFunction="sum" dataDxfId="2610" totalsRowDxfId="2609"/>
    <tableColumn id="12" name="Net_x000a_Balance" totalsRowFunction="sum" dataDxfId="2608" totalsRowDxfId="26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7.xml><?xml version="1.0" encoding="utf-8"?>
<table xmlns="http://schemas.openxmlformats.org/spreadsheetml/2006/main" id="37" name="local200607" displayName="local200607" ref="A180:L192" totalsRowCount="1" headerRowDxfId="2606" dataDxfId="2604" totalsRowDxfId="2602" headerRowBorderDxfId="2605" tableBorderDxfId="2603" totalsRowBorderDxfId="2601" headerRowCellStyle="Currency">
  <autoFilter ref="A180:L191"/>
  <tableColumns count="12">
    <tableColumn id="1" name="Fiscal_x000a_Year" totalsRowLabel="2006-07 Total" dataDxfId="2600" totalsRowDxfId="2599"/>
    <tableColumn id="2" name="Program_x000a_Name" totalsRowLabel="N/A" dataDxfId="2598" totalsRowDxfId="2597"/>
    <tableColumn id="3" name="Legal_x000a_Reference_x000a_(Ch./Year)" totalsRowLabel="N/A" dataDxfId="2596" totalsRowDxfId="2595"/>
    <tableColumn id="4" name="Program_x000a_Number" totalsRowLabel="N/A" dataDxfId="2594" totalsRowDxfId="2593"/>
    <tableColumn id="5" name="Program_x000a_Costs" totalsRowFunction="sum" dataDxfId="2592" totalsRowDxfId="2591"/>
    <tableColumn id="6" name="Less: Net _x000a_Payments_x000a_ and Offsets 1" totalsRowFunction="sum" dataDxfId="2590" totalsRowDxfId="2589"/>
    <tableColumn id="7" name="Comment" totalsRowLabel="N/A" dataDxfId="2588" totalsRowDxfId="2587"/>
    <tableColumn id="8" name="Accounts Payable_x000a_Balance" totalsRowFunction="sum" dataDxfId="2586" totalsRowDxfId="2585"/>
    <tableColumn id="9" name="Established_x000a_Accounts Receivable" totalsRowFunction="sum" dataDxfId="2584" totalsRowDxfId="2583"/>
    <tableColumn id="10" name="Less: _x000a_Recovered _x000a_Amount" totalsRowFunction="sum" dataDxfId="2582" totalsRowDxfId="2581"/>
    <tableColumn id="11" name="Accounts Receivable_x000a_Balance" totalsRowFunction="sum" dataDxfId="2580" totalsRowDxfId="2579"/>
    <tableColumn id="12" name="Net_x000a_Balance" totalsRowFunction="sum" dataDxfId="2578" totalsRowDxfId="25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8.xml><?xml version="1.0" encoding="utf-8"?>
<table xmlns="http://schemas.openxmlformats.org/spreadsheetml/2006/main" id="38" name="local200506" displayName="local200506" ref="A194:L202" totalsRowCount="1" headerRowDxfId="2576" dataDxfId="2574" totalsRowDxfId="2572" headerRowBorderDxfId="2575" tableBorderDxfId="2573" totalsRowBorderDxfId="2571" headerRowCellStyle="Currency">
  <autoFilter ref="A194:L201"/>
  <tableColumns count="12">
    <tableColumn id="1" name="Fiscal_x000a_Year" totalsRowLabel="2005-06 Total" dataDxfId="2570" totalsRowDxfId="2569"/>
    <tableColumn id="2" name="Program_x000a_Name" totalsRowLabel="N/A" dataDxfId="2568" totalsRowDxfId="2567"/>
    <tableColumn id="3" name="Legal_x000a_Reference_x000a_(Ch./Year)" totalsRowLabel="N/A" dataDxfId="2566" totalsRowDxfId="2565"/>
    <tableColumn id="4" name="Program_x000a_Number" totalsRowLabel="N/A" dataDxfId="2564" totalsRowDxfId="2563"/>
    <tableColumn id="5" name="Program_x000a_Costs" totalsRowFunction="sum" dataDxfId="2562" totalsRowDxfId="2561"/>
    <tableColumn id="6" name="Less: Net _x000a_Payments_x000a_ and Offsets 1" totalsRowFunction="sum" dataDxfId="2560" totalsRowDxfId="2559"/>
    <tableColumn id="7" name="Comment" totalsRowLabel="N/A" dataDxfId="2558" totalsRowDxfId="2557"/>
    <tableColumn id="8" name="Accounts Payable_x000a_Balance" totalsRowFunction="sum" dataDxfId="2556" totalsRowDxfId="2555"/>
    <tableColumn id="9" name="Established_x000a_Accounts Receivable" totalsRowFunction="sum" dataDxfId="2554" totalsRowDxfId="2553"/>
    <tableColumn id="10" name="Less: _x000a_Recovered _x000a_Amount" totalsRowFunction="sum" dataDxfId="2552" totalsRowDxfId="2551"/>
    <tableColumn id="11" name="Accounts Receivable_x000a_Balance" totalsRowFunction="sum" dataDxfId="2550" totalsRowDxfId="2549"/>
    <tableColumn id="12" name="Net_x000a_Balance" totalsRowFunction="sum" dataDxfId="2548" totalsRowDxfId="25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39.xml><?xml version="1.0" encoding="utf-8"?>
<table xmlns="http://schemas.openxmlformats.org/spreadsheetml/2006/main" id="39" name="local200405" displayName="local200405" ref="A204:L211" totalsRowCount="1" headerRowDxfId="2546" dataDxfId="2544" totalsRowDxfId="2542" headerRowBorderDxfId="2545" tableBorderDxfId="2543" totalsRowBorderDxfId="2541" headerRowCellStyle="Currency">
  <autoFilter ref="A204:L210"/>
  <tableColumns count="12">
    <tableColumn id="1" name="Fiscal_x000a_Year" totalsRowLabel="2004-05 Total" dataDxfId="2540" totalsRowDxfId="2539"/>
    <tableColumn id="2" name="Program_x000a_Name" totalsRowLabel="N/A" dataDxfId="2538" totalsRowDxfId="2537"/>
    <tableColumn id="3" name="Legal_x000a_Reference_x000a_(Ch./Year)" totalsRowLabel="N/A" dataDxfId="2536" totalsRowDxfId="2535"/>
    <tableColumn id="4" name="Program_x000a_Number" totalsRowLabel="N/A" dataDxfId="2534" totalsRowDxfId="2533"/>
    <tableColumn id="5" name="Program_x000a_Costs" totalsRowFunction="sum" dataDxfId="2532" totalsRowDxfId="2531"/>
    <tableColumn id="6" name="Less: Net _x000a_Payments_x000a_ and Offsets 1" totalsRowFunction="sum" dataDxfId="2530" totalsRowDxfId="2529"/>
    <tableColumn id="7" name="Comment" totalsRowLabel="N/A" dataDxfId="2528" totalsRowDxfId="2527"/>
    <tableColumn id="8" name="Accounts Payable_x000a_Balance" totalsRowFunction="sum" dataDxfId="2526" totalsRowDxfId="2525"/>
    <tableColumn id="9" name="Established_x000a_Accounts Receivable" totalsRowFunction="sum" dataDxfId="2524" totalsRowDxfId="2523"/>
    <tableColumn id="10" name="Less: _x000a_Recovered _x000a_Amount" totalsRowFunction="sum" dataDxfId="2522" totalsRowDxfId="2521"/>
    <tableColumn id="11" name="Accounts Receivable_x000a_Balance" totalsRowFunction="sum" dataDxfId="2520" totalsRowDxfId="2519"/>
    <tableColumn id="12" name="Net_x000a_Balance" totalsRowFunction="sum" dataDxfId="2518" totalsRowDxfId="251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.xml><?xml version="1.0" encoding="utf-8"?>
<table xmlns="http://schemas.openxmlformats.org/spreadsheetml/2006/main" id="17" name="sdgeneralfund" displayName="sdgeneralfund" ref="A20:M24" totalsRowCount="1" headerRowDxfId="3478" dataDxfId="3476" totalsRowDxfId="3474" headerRowBorderDxfId="3477" tableBorderDxfId="3475">
  <autoFilter ref="A20:M23"/>
  <tableColumns count="13">
    <tableColumn id="1" name="Program Category_x000a_ and Fund" totalsRowLabel="Total School Districts-General Fund" dataDxfId="3473" totalsRowDxfId="3472"/>
    <tableColumn id="2" name="Appropriation_x000a_Number" totalsRowLabel="N/A" dataDxfId="3471" totalsRowDxfId="3470"/>
    <tableColumn id="3" name="Legal_x000a_Reference_x000a_(Ch./Year)" totalsRowLabel="N/A" dataDxfId="3469" totalsRowDxfId="3468"/>
    <tableColumn id="4" name="Fiscal Year of_x000a_Claims Paid" totalsRowLabel="N/A" dataDxfId="3467" totalsRowDxfId="3466"/>
    <tableColumn id="5" name="Reversion Date" totalsRowLabel="N/A" dataDxfId="3465" totalsRowDxfId="3464"/>
    <tableColumn id="6" name="Original_x000a_Appropriation_x000a_Amount" totalsRowFunction="sum" dataDxfId="3463" totalsRowDxfId="3462"/>
    <tableColumn id="7" name="Appropriation Balances1 " totalsRowFunction="sum" dataDxfId="3461" totalsRowDxfId="3460"/>
    <tableColumn id="8" name="Comment" totalsRowLabel="N/A" dataDxfId="3459" totalsRowDxfId="3458"/>
    <tableColumn id="9" name="Add: Receipts_x000a_and Recovered_x000a_Amounts" totalsRowFunction="sum" dataDxfId="3457" totalsRowDxfId="3456"/>
    <tableColumn id="10" name="Less: Mandated Program Payments,_x000a_Offsets, and Interest_x000a_(see Schedule A1)" totalsRowFunction="sum" dataDxfId="3455" totalsRowDxfId="3454"/>
    <tableColumn id="11" name="Comment2" totalsRowLabel="N/A" dataDxfId="3453" totalsRowDxfId="3452"/>
    <tableColumn id="12" name="Less: Reappropriations3" totalsRowFunction="sum" dataDxfId="3451" totalsRowDxfId="3450"/>
    <tableColumn id="13" name="Appropriation_x000a_Balances_x000a_as of 4/1/2021" totalsRowFunction="sum" dataDxfId="3449" totalsRowDxfId="344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For School Districts-General Fund."/>
    </ext>
  </extLst>
</table>
</file>

<file path=xl/tables/table40.xml><?xml version="1.0" encoding="utf-8"?>
<table xmlns="http://schemas.openxmlformats.org/spreadsheetml/2006/main" id="40" name="local200304" displayName="local200304" ref="A213:L216" totalsRowCount="1" headerRowDxfId="2516" dataDxfId="2514" totalsRowDxfId="2512" headerRowBorderDxfId="2515" tableBorderDxfId="2513" totalsRowBorderDxfId="2511" headerRowCellStyle="Currency">
  <autoFilter ref="A213:L215"/>
  <tableColumns count="12">
    <tableColumn id="1" name="Fiscal_x000a_Year" totalsRowLabel="2003-04 Total" dataDxfId="2510" totalsRowDxfId="2509"/>
    <tableColumn id="2" name="Program_x000a_Name" totalsRowLabel="N/A" dataDxfId="2508" totalsRowDxfId="2507"/>
    <tableColumn id="3" name="Legal_x000a_Reference_x000a_(Ch./Year)" totalsRowLabel="N/A" dataDxfId="2506" totalsRowDxfId="2505"/>
    <tableColumn id="4" name="Program_x000a_Number" totalsRowLabel="N/A" dataDxfId="2504" totalsRowDxfId="2503"/>
    <tableColumn id="5" name="Program_x000a_Costs" totalsRowFunction="sum" dataDxfId="2502" totalsRowDxfId="2501"/>
    <tableColumn id="6" name="Less: Net _x000a_Payments_x000a_ and Offsets 1" totalsRowFunction="sum" dataDxfId="2500" totalsRowDxfId="2499"/>
    <tableColumn id="7" name="Comment" totalsRowLabel="N/A" dataDxfId="2498" totalsRowDxfId="2497"/>
    <tableColumn id="8" name="Accounts Payable_x000a_Balance" totalsRowFunction="sum" dataDxfId="2496" totalsRowDxfId="2495"/>
    <tableColumn id="9" name="Established_x000a_Accounts Receivable" totalsRowFunction="sum" dataDxfId="2494" totalsRowDxfId="2493"/>
    <tableColumn id="10" name="Less: _x000a_Recovered _x000a_Amount" totalsRowFunction="sum" dataDxfId="2492" totalsRowDxfId="2491"/>
    <tableColumn id="11" name="Accounts Receivable_x000a_Balance" totalsRowFunction="sum" dataDxfId="2490" totalsRowDxfId="2489"/>
    <tableColumn id="12" name="Net_x000a_Balance" totalsRowFunction="sum" dataDxfId="2488" totalsRowDxfId="248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1.xml><?xml version="1.0" encoding="utf-8"?>
<table xmlns="http://schemas.openxmlformats.org/spreadsheetml/2006/main" id="41" name="local200203" displayName="local200203" ref="A218:L221" totalsRowCount="1" headerRowDxfId="2486" dataDxfId="2484" totalsRowDxfId="2482" headerRowBorderDxfId="2485" tableBorderDxfId="2483" totalsRowBorderDxfId="2481" headerRowCellStyle="Currency">
  <autoFilter ref="A218:L220"/>
  <tableColumns count="12">
    <tableColumn id="1" name="Fiscal_x000a_Year" totalsRowLabel="2002-03 Total" dataDxfId="2480" totalsRowDxfId="2479"/>
    <tableColumn id="2" name="Program_x000a_Name" totalsRowLabel="N/A" dataDxfId="2478" totalsRowDxfId="2477"/>
    <tableColumn id="3" name="Legal_x000a_Reference_x000a_(Ch./Year)" totalsRowLabel="N/A" dataDxfId="2476" totalsRowDxfId="2475"/>
    <tableColumn id="4" name="Program_x000a_Number" totalsRowLabel="N/A" dataDxfId="2474" totalsRowDxfId="2473"/>
    <tableColumn id="5" name="Program_x000a_Costs" totalsRowFunction="sum" dataDxfId="2472" totalsRowDxfId="2471"/>
    <tableColumn id="6" name="Less: Net _x000a_Payments_x000a_ and Offsets 1" totalsRowFunction="sum" dataDxfId="2470" totalsRowDxfId="2469"/>
    <tableColumn id="7" name="Comment" totalsRowLabel="N/A" dataDxfId="2468" totalsRowDxfId="2467"/>
    <tableColumn id="8" name="Accounts Payable_x000a_Balance" totalsRowFunction="sum" dataDxfId="2466" totalsRowDxfId="2465"/>
    <tableColumn id="9" name="Established_x000a_Accounts Receivable" totalsRowFunction="sum" dataDxfId="2464" totalsRowDxfId="2463"/>
    <tableColumn id="10" name="Less: _x000a_Recovered _x000a_Amount" totalsRowFunction="sum" dataDxfId="2462" totalsRowDxfId="2461"/>
    <tableColumn id="11" name="Accounts Receivable_x000a_Balance" totalsRowFunction="sum" dataDxfId="2460" totalsRowDxfId="2459"/>
    <tableColumn id="12" name="Net_x000a_Balance" totalsRowFunction="sum" dataDxfId="2458" totalsRowDxfId="245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2.xml><?xml version="1.0" encoding="utf-8"?>
<table xmlns="http://schemas.openxmlformats.org/spreadsheetml/2006/main" id="42" name="local200102" displayName="local200102" ref="A223:L228" totalsRowCount="1" headerRowDxfId="2456" dataDxfId="2454" totalsRowDxfId="2452" headerRowBorderDxfId="2455" tableBorderDxfId="2453" totalsRowBorderDxfId="2451" headerRowCellStyle="Currency">
  <autoFilter ref="A223:L227"/>
  <tableColumns count="12">
    <tableColumn id="1" name="Fiscal_x000a_Year" totalsRowLabel="2001-02 Total" dataDxfId="2450" totalsRowDxfId="2449"/>
    <tableColumn id="2" name="Program_x000a_Name" totalsRowLabel="N/A" dataDxfId="2448" totalsRowDxfId="2447"/>
    <tableColumn id="3" name="Legal_x000a_Reference_x000a_(Ch./Year)" totalsRowLabel="N/A" dataDxfId="2446" totalsRowDxfId="2445"/>
    <tableColumn id="4" name="Program_x000a_Number" totalsRowLabel="N/A" dataDxfId="2444" totalsRowDxfId="2443"/>
    <tableColumn id="5" name="Program_x000a_Costs" totalsRowFunction="sum" dataDxfId="2442" totalsRowDxfId="2441"/>
    <tableColumn id="6" name="Less: Net _x000a_Payments_x000a_ and Offsets 1" totalsRowFunction="sum" dataDxfId="2440" totalsRowDxfId="2439"/>
    <tableColumn id="7" name="Comment" totalsRowLabel="N/A" dataDxfId="2438" totalsRowDxfId="2437"/>
    <tableColumn id="8" name="Accounts Payable_x000a_Balance" totalsRowFunction="sum" dataDxfId="2436" totalsRowDxfId="2435"/>
    <tableColumn id="9" name="Established_x000a_Accounts Receivable" totalsRowFunction="sum" dataDxfId="2434" totalsRowDxfId="2433"/>
    <tableColumn id="10" name="Less: _x000a_Recovered _x000a_Amount" totalsRowFunction="sum" dataDxfId="2432" totalsRowDxfId="2431"/>
    <tableColumn id="11" name="Accounts Receivable_x000a_Balance" totalsRowFunction="sum" dataDxfId="2430" totalsRowDxfId="2429"/>
    <tableColumn id="12" name="Net_x000a_Balance" totalsRowFunction="sum" dataDxfId="2428" totalsRowDxfId="242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3.xml><?xml version="1.0" encoding="utf-8"?>
<table xmlns="http://schemas.openxmlformats.org/spreadsheetml/2006/main" id="43" name="local200001" displayName="local200001" ref="A230:L232" totalsRowCount="1" headerRowDxfId="2426" dataDxfId="2424" totalsRowDxfId="2422" headerRowBorderDxfId="2425" tableBorderDxfId="2423" totalsRowBorderDxfId="2421" headerRowCellStyle="Currency">
  <autoFilter ref="A230:L231"/>
  <tableColumns count="12">
    <tableColumn id="1" name="Fiscal_x000a_Year" totalsRowLabel="2000-01 Total" dataDxfId="2420" totalsRowDxfId="2419"/>
    <tableColumn id="2" name="Program_x000a_Name" totalsRowLabel="N/A" dataDxfId="2418" totalsRowDxfId="2417"/>
    <tableColumn id="3" name="Legal_x000a_Reference_x000a_(Ch./Year)" totalsRowLabel="N/A" dataDxfId="2416" totalsRowDxfId="2415"/>
    <tableColumn id="4" name="Program_x000a_Number" totalsRowLabel="N/A" dataDxfId="2414" totalsRowDxfId="2413"/>
    <tableColumn id="5" name="Program_x000a_Costs" totalsRowFunction="sum" dataDxfId="2412" totalsRowDxfId="2411"/>
    <tableColumn id="6" name="Less: Net _x000a_Payments_x000a_ and Offsets 1" totalsRowFunction="sum" dataDxfId="2410" totalsRowDxfId="2409"/>
    <tableColumn id="7" name="Comment" totalsRowLabel="N/A" dataDxfId="2408" totalsRowDxfId="2407"/>
    <tableColumn id="8" name="Accounts Payable_x000a_Balance" totalsRowFunction="sum" dataDxfId="2406" totalsRowDxfId="2405"/>
    <tableColumn id="9" name="Established_x000a_Accounts Receivable" totalsRowFunction="sum" dataDxfId="2404" totalsRowDxfId="2403"/>
    <tableColumn id="10" name="Less: _x000a_Recovered _x000a_Amount" totalsRowFunction="sum" dataDxfId="2402" totalsRowDxfId="2401"/>
    <tableColumn id="11" name="Accounts Receivable_x000a_Balance" totalsRowFunction="sum" dataDxfId="2400" totalsRowDxfId="2399"/>
    <tableColumn id="12" name="Net_x000a_Balance" totalsRowFunction="sum" dataDxfId="2398" totalsRowDxfId="239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4.xml><?xml version="1.0" encoding="utf-8"?>
<table xmlns="http://schemas.openxmlformats.org/spreadsheetml/2006/main" id="44" name="local199900" displayName="local199900" ref="A234:L239" totalsRowCount="1" headerRowDxfId="2396" dataDxfId="2394" totalsRowDxfId="2392" headerRowBorderDxfId="2395" tableBorderDxfId="2393" totalsRowBorderDxfId="2391" headerRowCellStyle="Currency">
  <autoFilter ref="A234:L238"/>
  <tableColumns count="12">
    <tableColumn id="1" name="Fiscal_x000a_Year" totalsRowLabel="1999-00 Total" dataDxfId="2390" totalsRowDxfId="2389"/>
    <tableColumn id="2" name="Program_x000a_Name" totalsRowLabel="N/A" dataDxfId="2388" totalsRowDxfId="2387"/>
    <tableColumn id="3" name="Legal_x000a_Reference_x000a_(Ch./Year)" totalsRowLabel="N/A" dataDxfId="2386" totalsRowDxfId="2385"/>
    <tableColumn id="4" name="Program_x000a_Number" totalsRowLabel="N/A" dataDxfId="2384" totalsRowDxfId="2383"/>
    <tableColumn id="5" name="Program_x000a_Costs" totalsRowFunction="sum" dataDxfId="2382" totalsRowDxfId="2381"/>
    <tableColumn id="6" name="Less: Net _x000a_Payments_x000a_ and Offsets 1" totalsRowFunction="sum" dataDxfId="2380" totalsRowDxfId="2379"/>
    <tableColumn id="7" name="Comment" totalsRowLabel="N/A" dataDxfId="2378" totalsRowDxfId="2377"/>
    <tableColumn id="8" name="Accounts Payable_x000a_Balance" totalsRowFunction="sum" dataDxfId="2376" totalsRowDxfId="2375"/>
    <tableColumn id="9" name="Established_x000a_Accounts Receivable" totalsRowFunction="sum" dataDxfId="2374" totalsRowDxfId="2373"/>
    <tableColumn id="10" name="Less: _x000a_Recovered _x000a_Amount" totalsRowFunction="sum" dataDxfId="2372" totalsRowDxfId="2371"/>
    <tableColumn id="11" name="Accounts Receivable_x000a_Balance" totalsRowFunction="sum" dataDxfId="2370" totalsRowDxfId="2369"/>
    <tableColumn id="12" name="Net_x000a_Balance" totalsRowFunction="sum" dataDxfId="2368" totalsRowDxfId="236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5.xml><?xml version="1.0" encoding="utf-8"?>
<table xmlns="http://schemas.openxmlformats.org/spreadsheetml/2006/main" id="45" name="local199899" displayName="local199899" ref="A241:L245" totalsRowCount="1" headerRowDxfId="2366" dataDxfId="2364" totalsRowDxfId="2362" headerRowBorderDxfId="2365" tableBorderDxfId="2363" totalsRowBorderDxfId="2361" headerRowCellStyle="Currency">
  <autoFilter ref="A241:L244"/>
  <tableColumns count="12">
    <tableColumn id="1" name="Fiscal_x000a_Year" totalsRowLabel="1998-99 Total" dataDxfId="2360" totalsRowDxfId="2359"/>
    <tableColumn id="2" name="Program_x000a_Name" totalsRowLabel="N/A" dataDxfId="2358" totalsRowDxfId="2357"/>
    <tableColumn id="3" name="Legal_x000a_Reference_x000a_(Ch./Year)" totalsRowLabel="N/A" dataDxfId="2356" totalsRowDxfId="2355"/>
    <tableColumn id="4" name="Program_x000a_Number" totalsRowLabel="N/A" dataDxfId="2354" totalsRowDxfId="2353"/>
    <tableColumn id="5" name="Program_x000a_Costs" totalsRowFunction="sum" dataDxfId="2352" totalsRowDxfId="2351"/>
    <tableColumn id="6" name="Less: Net _x000a_Payments_x000a_ and Offsets 1" totalsRowFunction="sum" dataDxfId="2350" totalsRowDxfId="2349"/>
    <tableColumn id="7" name="Comment" totalsRowLabel="N/A" dataDxfId="2348" totalsRowDxfId="2347"/>
    <tableColumn id="8" name="Accounts Payable_x000a_Balance" totalsRowFunction="sum" dataDxfId="2346" totalsRowDxfId="2345"/>
    <tableColumn id="9" name="Established_x000a_Accounts Receivable" totalsRowFunction="sum" dataDxfId="2344" totalsRowDxfId="2343"/>
    <tableColumn id="10" name="Less: _x000a_Recovered _x000a_Amount" totalsRowFunction="sum" dataDxfId="2342" totalsRowDxfId="2341"/>
    <tableColumn id="11" name="Accounts Receivable_x000a_Balance" totalsRowFunction="sum" dataDxfId="2340" totalsRowDxfId="2339"/>
    <tableColumn id="12" name="Net_x000a_Balance" totalsRowFunction="sum" dataDxfId="2338" totalsRowDxfId="233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6.xml><?xml version="1.0" encoding="utf-8"?>
<table xmlns="http://schemas.openxmlformats.org/spreadsheetml/2006/main" id="46" name="local199798" displayName="local199798" ref="A247:L250" totalsRowCount="1" headerRowDxfId="2336" dataDxfId="2334" totalsRowDxfId="2332" headerRowBorderDxfId="2335" tableBorderDxfId="2333" totalsRowBorderDxfId="2331" headerRowCellStyle="Currency">
  <autoFilter ref="A247:L249"/>
  <tableColumns count="12">
    <tableColumn id="1" name="Fiscal_x000a_Year" totalsRowLabel="1997-98 Total" dataDxfId="2330" totalsRowDxfId="2329"/>
    <tableColumn id="2" name="Program_x000a_Name" totalsRowLabel="N/A" dataDxfId="2328" totalsRowDxfId="2327"/>
    <tableColumn id="3" name="Legal_x000a_Reference_x000a_(Ch./Year)" totalsRowLabel="N/A" dataDxfId="2326" totalsRowDxfId="2325"/>
    <tableColumn id="4" name="Program_x000a_Number" totalsRowLabel="N/A" dataDxfId="2324" totalsRowDxfId="2323"/>
    <tableColumn id="5" name="Program_x000a_Costs" totalsRowFunction="sum" dataDxfId="2322" totalsRowDxfId="2321"/>
    <tableColumn id="6" name="Less: Net _x000a_Payments_x000a_ and Offsets 1" totalsRowFunction="sum" dataDxfId="2320" totalsRowDxfId="2319"/>
    <tableColumn id="7" name="Comment" totalsRowLabel="N/A" dataDxfId="2318" totalsRowDxfId="2317"/>
    <tableColumn id="8" name="Accounts Payable_x000a_Balance" totalsRowFunction="sum" dataDxfId="2316" totalsRowDxfId="2315"/>
    <tableColumn id="9" name="Established_x000a_Accounts Receivable" totalsRowFunction="sum" dataDxfId="2314" totalsRowDxfId="2313"/>
    <tableColumn id="10" name="Less: _x000a_Recovered _x000a_Amount" totalsRowFunction="sum" dataDxfId="2312" totalsRowDxfId="2311"/>
    <tableColumn id="11" name="Accounts Receivable_x000a_Balance" totalsRowFunction="sum" dataDxfId="2310" totalsRowDxfId="2309"/>
    <tableColumn id="12" name="Net_x000a_Balance" totalsRowFunction="sum" dataDxfId="2308" totalsRowDxfId="230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7.xml><?xml version="1.0" encoding="utf-8"?>
<table xmlns="http://schemas.openxmlformats.org/spreadsheetml/2006/main" id="47" name="local199697" displayName="local199697" ref="A252:L254" totalsRowCount="1" headerRowDxfId="2306" dataDxfId="2304" totalsRowDxfId="2302" headerRowBorderDxfId="2305" tableBorderDxfId="2303" totalsRowBorderDxfId="2301" headerRowCellStyle="Currency">
  <autoFilter ref="A252:L253"/>
  <tableColumns count="12">
    <tableColumn id="1" name="Fiscal_x000a_Year" totalsRowLabel="1996-97 Total" dataDxfId="2300" totalsRowDxfId="2299"/>
    <tableColumn id="2" name="Program_x000a_Name" totalsRowLabel="N/A" dataDxfId="2298" totalsRowDxfId="2297"/>
    <tableColumn id="3" name="Legal_x000a_Reference_x000a_(Ch./Year)" totalsRowLabel="N/A" dataDxfId="2296" totalsRowDxfId="2295"/>
    <tableColumn id="4" name="Program_x000a_Number" totalsRowLabel="N/A" dataDxfId="2294" totalsRowDxfId="2293"/>
    <tableColumn id="5" name="Program_x000a_Costs" totalsRowFunction="sum" dataDxfId="2292" totalsRowDxfId="2291"/>
    <tableColumn id="6" name="Less: Net _x000a_Payments_x000a_ and Offsets 1" totalsRowFunction="sum" dataDxfId="2290" totalsRowDxfId="2289"/>
    <tableColumn id="7" name="Comment" totalsRowLabel="N/A" dataDxfId="2288" totalsRowDxfId="2287"/>
    <tableColumn id="8" name="Accounts Payable_x000a_Balance" totalsRowFunction="sum" dataDxfId="2286" totalsRowDxfId="2285"/>
    <tableColumn id="9" name="Established_x000a_Accounts Receivable" totalsRowFunction="sum" dataDxfId="2284" totalsRowDxfId="2283"/>
    <tableColumn id="10" name="Less: _x000a_Recovered _x000a_Amount" totalsRowFunction="sum" dataDxfId="2282" totalsRowDxfId="2281"/>
    <tableColumn id="11" name="Accounts Receivable_x000a_Balance" totalsRowFunction="sum" dataDxfId="2280" totalsRowDxfId="2279"/>
    <tableColumn id="12" name="Net_x000a_Balance" totalsRowFunction="sum" dataDxfId="2278" totalsRowDxfId="227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8.xml><?xml version="1.0" encoding="utf-8"?>
<table xmlns="http://schemas.openxmlformats.org/spreadsheetml/2006/main" id="48" name="local199596" displayName="local199596" ref="A256:L259" totalsRowCount="1" headerRowDxfId="2276" dataDxfId="2274" totalsRowDxfId="2272" headerRowBorderDxfId="2275" tableBorderDxfId="2273" totalsRowBorderDxfId="2271" headerRowCellStyle="Currency">
  <autoFilter ref="A256:L258"/>
  <tableColumns count="12">
    <tableColumn id="1" name="Fiscal_x000a_Year" totalsRowLabel="1995-96 Total" dataDxfId="2270" totalsRowDxfId="2269"/>
    <tableColumn id="2" name="Program_x000a_Name" totalsRowLabel="N/A" dataDxfId="2268" totalsRowDxfId="2267"/>
    <tableColumn id="3" name="Legal_x000a_Reference_x000a_(Ch./Year)" totalsRowLabel="N/A" dataDxfId="2266" totalsRowDxfId="2265"/>
    <tableColumn id="4" name="Program_x000a_Number" totalsRowLabel="N/A" dataDxfId="2264" totalsRowDxfId="2263"/>
    <tableColumn id="5" name="Program_x000a_Costs" totalsRowFunction="sum" dataDxfId="2262" totalsRowDxfId="2261"/>
    <tableColumn id="6" name="Less: Net _x000a_Payments_x000a_ and Offsets 1" totalsRowFunction="sum" dataDxfId="2260" totalsRowDxfId="2259"/>
    <tableColumn id="7" name="Comment" totalsRowLabel="N/A" dataDxfId="2258" totalsRowDxfId="2257"/>
    <tableColumn id="8" name="Accounts Payable_x000a_Balance" totalsRowFunction="sum" dataDxfId="2256" totalsRowDxfId="2255"/>
    <tableColumn id="9" name="Established_x000a_Accounts Receivable" totalsRowFunction="sum" dataDxfId="2254" totalsRowDxfId="2253"/>
    <tableColumn id="10" name="Less: _x000a_Recovered _x000a_Amount" totalsRowFunction="sum" dataDxfId="2252" totalsRowDxfId="2251"/>
    <tableColumn id="11" name="Accounts Receivable_x000a_Balance" totalsRowFunction="sum" dataDxfId="2250" totalsRowDxfId="2249"/>
    <tableColumn id="12" name="Net_x000a_Balance" totalsRowFunction="sum" dataDxfId="2248" totalsRowDxfId="2247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49.xml><?xml version="1.0" encoding="utf-8"?>
<table xmlns="http://schemas.openxmlformats.org/spreadsheetml/2006/main" id="49" name="local199495" displayName="local199495" ref="A261:L263" totalsRowCount="1" headerRowDxfId="2246" dataDxfId="2244" totalsRowDxfId="2242" headerRowBorderDxfId="2245" tableBorderDxfId="2243" totalsRowBorderDxfId="2241" headerRowCellStyle="Currency">
  <autoFilter ref="A261:L262"/>
  <tableColumns count="12">
    <tableColumn id="1" name="Fiscal_x000a_Year" totalsRowLabel="1994-95 Total" dataDxfId="2240" totalsRowDxfId="2239"/>
    <tableColumn id="2" name="Program_x000a_Name" totalsRowLabel="N/A" dataDxfId="2238" totalsRowDxfId="2237"/>
    <tableColumn id="3" name="Legal_x000a_Reference_x000a_(Ch./Year)" totalsRowLabel="N/A" dataDxfId="2236" totalsRowDxfId="2235"/>
    <tableColumn id="4" name="Program_x000a_Number" totalsRowLabel="N/A" totalsRowDxfId="2234"/>
    <tableColumn id="5" name="Program_x000a_Costs" totalsRowFunction="sum" dataDxfId="2233" totalsRowDxfId="2232"/>
    <tableColumn id="6" name="Less: Net _x000a_Payments_x000a_ and Offsets 1" totalsRowFunction="sum" dataDxfId="2231" totalsRowDxfId="2230"/>
    <tableColumn id="7" name="Comment" totalsRowLabel="N/A" dataDxfId="2229" totalsRowDxfId="2228"/>
    <tableColumn id="8" name="Accounts Payable_x000a_Balance" totalsRowFunction="sum" dataDxfId="2227" totalsRowDxfId="2226"/>
    <tableColumn id="9" name="Established_x000a_Accounts Receivable" totalsRowFunction="sum" dataDxfId="2225" totalsRowDxfId="2224"/>
    <tableColumn id="10" name="Less: _x000a_Recovered _x000a_Amount" totalsRowFunction="sum" dataDxfId="2223" totalsRowDxfId="2222"/>
    <tableColumn id="11" name="Accounts Receivable_x000a_Balance" totalsRowFunction="sum" dataDxfId="2221" totalsRowDxfId="2220"/>
    <tableColumn id="12" name="Net_x000a_Balance" totalsRowFunction="sum" dataDxfId="2219" totalsRowDxfId="2218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5.xml><?xml version="1.0" encoding="utf-8"?>
<table xmlns="http://schemas.openxmlformats.org/spreadsheetml/2006/main" id="20" name="ccdgeneralfund0" displayName="ccdgeneralfund0" ref="A26:M30" totalsRowCount="1" headerRowDxfId="3447" dataDxfId="3445" totalsRowDxfId="3443" headerRowBorderDxfId="3446" tableBorderDxfId="3444" totalsRowBorderDxfId="3442">
  <autoFilter ref="A26:M29"/>
  <tableColumns count="13">
    <tableColumn id="1" name="Program Category_x000a_ and Fund" totalsRowLabel="Total Community College Districts-General Fund" dataDxfId="3441" totalsRowDxfId="3440"/>
    <tableColumn id="2" name="Appropriation_x000a_Number" totalsRowLabel="N/A" dataDxfId="3439" totalsRowDxfId="3438"/>
    <tableColumn id="3" name="Legal_x000a_Reference_x000a_(Ch./Year)" totalsRowLabel="N/A" dataDxfId="3437" totalsRowDxfId="3436"/>
    <tableColumn id="4" name="Fiscal Year of_x000a_Claims Paid" totalsRowLabel="N/A" dataDxfId="3435" totalsRowDxfId="3434"/>
    <tableColumn id="5" name="Reversion Date" totalsRowLabel="N/A" dataDxfId="3433" totalsRowDxfId="3432"/>
    <tableColumn id="6" name="Original_x000a_Appropriation_x000a_Amount" totalsRowFunction="sum" dataDxfId="3431" totalsRowDxfId="3430"/>
    <tableColumn id="7" name="Appropriation Balances1 " totalsRowFunction="sum" dataDxfId="3429" totalsRowDxfId="3428"/>
    <tableColumn id="8" name="Comment" totalsRowLabel="N/A" dataDxfId="3427" totalsRowDxfId="3426"/>
    <tableColumn id="9" name="Add: Receipts_x000a_and Recovered_x000a_Amounts" totalsRowFunction="sum" dataDxfId="3425" totalsRowDxfId="3424"/>
    <tableColumn id="10" name="Less: Mandated Program Payments,_x000a_Offsets, and Interest_x000a_(see Schedule A1)" totalsRowFunction="sum" dataDxfId="3423" totalsRowDxfId="3422"/>
    <tableColumn id="11" name="Comment2" dataDxfId="3421" totalsRowDxfId="3420"/>
    <tableColumn id="12" name="Less: Reappropriations3" totalsRowFunction="sum" dataDxfId="3419" totalsRowDxfId="3418"/>
    <tableColumn id="13" name="Appropriation_x000a_Balances_x000a_as of 4/1/2021" totalsRowFunction="sum" dataDxfId="3417" totalsRowDxfId="341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For Community College Districts-General Fund."/>
    </ext>
  </extLst>
</table>
</file>

<file path=xl/tables/table50.xml><?xml version="1.0" encoding="utf-8"?>
<table xmlns="http://schemas.openxmlformats.org/spreadsheetml/2006/main" id="50" name="local199293" displayName="local199293" ref="A265:L268" totalsRowCount="1" headerRowDxfId="2217" dataDxfId="2215" totalsRowDxfId="2213" headerRowBorderDxfId="2216" tableBorderDxfId="2214" totalsRowBorderDxfId="2212" headerRowCellStyle="Currency">
  <autoFilter ref="A265:L267"/>
  <tableColumns count="12">
    <tableColumn id="1" name="Fiscal_x000a_Year" totalsRowLabel="1992-93 Total" dataDxfId="2211" totalsRowDxfId="2210"/>
    <tableColumn id="2" name="Program_x000a_Name" totalsRowLabel="N/A" dataDxfId="2209" totalsRowDxfId="2208"/>
    <tableColumn id="3" name="Legal_x000a_Reference_x000a_(Ch./Year)" totalsRowLabel="N/A" dataDxfId="2207" totalsRowDxfId="2206"/>
    <tableColumn id="4" name="Program_x000a_Number" totalsRowLabel="N/A" totalsRowDxfId="2205"/>
    <tableColumn id="5" name="Program_x000a_Costs" totalsRowFunction="sum" dataDxfId="2204" totalsRowDxfId="2203"/>
    <tableColumn id="6" name="Less: Net _x000a_Payments_x000a_ and Offsets 1" totalsRowFunction="sum" dataDxfId="2202" totalsRowDxfId="2201"/>
    <tableColumn id="7" name="Comment" totalsRowLabel="N/A" dataDxfId="2200" totalsRowDxfId="2199"/>
    <tableColumn id="8" name="Accounts Payable_x000a_Balance" totalsRowFunction="sum" dataDxfId="2198" totalsRowDxfId="2197"/>
    <tableColumn id="9" name="Established_x000a_Accounts Receivable" totalsRowFunction="sum" dataDxfId="2196" totalsRowDxfId="2195"/>
    <tableColumn id="10" name="Less: _x000a_Recovered _x000a_Amount" totalsRowFunction="sum" dataDxfId="2194" totalsRowDxfId="2193"/>
    <tableColumn id="11" name="Accounts Receivable_x000a_Balance" totalsRowFunction="sum" dataDxfId="2192" totalsRowDxfId="2191"/>
    <tableColumn id="12" name="Net_x000a_Balance" totalsRowFunction="sum" dataDxfId="2190" totalsRowDxfId="2189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51.xml><?xml version="1.0" encoding="utf-8"?>
<table xmlns="http://schemas.openxmlformats.org/spreadsheetml/2006/main" id="51" name="local199192" displayName="local199192" ref="A270:L274" totalsRowCount="1" headerRowDxfId="2188" dataDxfId="2186" totalsRowDxfId="2184" headerRowBorderDxfId="2187" tableBorderDxfId="2185" totalsRowBorderDxfId="2183" headerRowCellStyle="Currency">
  <autoFilter ref="A270:L273"/>
  <tableColumns count="12">
    <tableColumn id="1" name="Fiscal_x000a_Year" totalsRowLabel="1991-92 Total" dataDxfId="2182" totalsRowDxfId="2181"/>
    <tableColumn id="2" name="Program_x000a_Name" totalsRowLabel="N/A" dataDxfId="2180" totalsRowDxfId="2179"/>
    <tableColumn id="3" name="Legal_x000a_Reference_x000a_(Ch./Year)" totalsRowLabel="N/A" dataDxfId="2178" totalsRowDxfId="2177"/>
    <tableColumn id="4" name="Program_x000a_Number" totalsRowLabel="N/A" totalsRowDxfId="2176"/>
    <tableColumn id="5" name="Program_x000a_Costs" totalsRowFunction="sum" dataDxfId="2175" totalsRowDxfId="2174"/>
    <tableColumn id="6" name="Less: Net _x000a_Payments_x000a_ and Offsets 1" totalsRowFunction="sum" dataDxfId="2173" totalsRowDxfId="2172"/>
    <tableColumn id="7" name="Comment" totalsRowLabel="N/A" dataDxfId="2171" totalsRowDxfId="2170"/>
    <tableColumn id="8" name="Accounts Payable_x000a_Balance" totalsRowFunction="sum" dataDxfId="2169" totalsRowDxfId="2168"/>
    <tableColumn id="9" name="Established_x000a_Accounts Receivable" totalsRowFunction="sum" dataDxfId="2167" totalsRowDxfId="2166"/>
    <tableColumn id="10" name="Less: _x000a_Recovered _x000a_Amount" totalsRowFunction="sum" dataDxfId="2165" totalsRowDxfId="2164"/>
    <tableColumn id="11" name="Accounts Receivable_x000a_Balance" totalsRowFunction="sum" dataDxfId="2163" totalsRowDxfId="2162"/>
    <tableColumn id="12" name="Net_x000a_Balance" totalsRowFunction="sum" dataDxfId="2161" totalsRowDxfId="21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Local Agencies"/>
    </ext>
  </extLst>
</table>
</file>

<file path=xl/tables/table52.xml><?xml version="1.0" encoding="utf-8"?>
<table xmlns="http://schemas.openxmlformats.org/spreadsheetml/2006/main" id="52" name="localgrandtotal" displayName="localgrandtotal" ref="A276:L305" totalsRowCount="1" headerRowDxfId="2159" dataDxfId="2157" totalsRowDxfId="2155" headerRowBorderDxfId="2158" tableBorderDxfId="2156" headerRowCellStyle="Currency">
  <autoFilter ref="A276:L304"/>
  <tableColumns count="12">
    <tableColumn id="1" name="Fiscal_x000a_Year" totalsRowLabel="Total Local Agencies" dataDxfId="2154" totalsRowDxfId="2153"/>
    <tableColumn id="2" name="Program_x000a_Name" totalsRowLabel="N/A" dataDxfId="2152" totalsRowDxfId="2151"/>
    <tableColumn id="3" name="Legal_x000a_Reference_x000a_(Ch./Year)" totalsRowLabel="N/A" dataDxfId="2150" totalsRowDxfId="2149"/>
    <tableColumn id="4" name="Program_x000a_Number" totalsRowLabel="N/A" dataDxfId="2148"/>
    <tableColumn id="5" name="Program_x000a_Costs" totalsRowFunction="sum" dataDxfId="2147" totalsRowDxfId="2146"/>
    <tableColumn id="6" name="Less: Net _x000a_Payments_x000a_ and Offsets 1" totalsRowFunction="sum" dataDxfId="2145" totalsRowDxfId="2144"/>
    <tableColumn id="7" name="Comment" totalsRowLabel="N/A" dataDxfId="2143" totalsRowDxfId="2142"/>
    <tableColumn id="8" name="Accounts Payable_x000a_Balance" totalsRowFunction="sum" dataDxfId="2141" totalsRowDxfId="2140"/>
    <tableColumn id="9" name="Established_x000a_Accounts Receivable" totalsRowFunction="sum" dataDxfId="2139" totalsRowDxfId="2138"/>
    <tableColumn id="10" name="Less: _x000a_Recovered _x000a_Amount" totalsRowFunction="sum" dataDxfId="2137" totalsRowDxfId="2136"/>
    <tableColumn id="11" name="Accounts Receivable_x000a_Balance" totalsRowFunction="sum" dataDxfId="2135" totalsRowDxfId="2134"/>
    <tableColumn id="12" name="Net_x000a_Balance" totalsRowFunction="sum" dataDxfId="2133" totalsRowDxfId="213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0. Local Agencies Grand Totals."/>
    </ext>
  </extLst>
</table>
</file>

<file path=xl/tables/table53.xml><?xml version="1.0" encoding="utf-8"?>
<table xmlns="http://schemas.openxmlformats.org/spreadsheetml/2006/main" id="53" name="school201920" displayName="school201920" ref="A2:L28" totalsRowCount="1" headerRowDxfId="2131" dataDxfId="2129" totalsRowDxfId="2127" headerRowBorderDxfId="2130" tableBorderDxfId="2128" dataCellStyle="Currency">
  <autoFilter ref="A2:L27"/>
  <tableColumns count="12">
    <tableColumn id="1" name="Fiscal_x000a_Year" totalsRowLabel="2019-20 Total" dataDxfId="2126" totalsRowDxfId="23"/>
    <tableColumn id="2" name="Program_x000a_Name" totalsRowLabel="N/A" dataDxfId="2125" totalsRowDxfId="22"/>
    <tableColumn id="3" name="Legal_x000a_Reference_x000a_(Ch./Year)" totalsRowLabel="N/A" dataDxfId="2124" totalsRowDxfId="21"/>
    <tableColumn id="4" name="Program_x000a_Number" totalsRowLabel="N/A" dataDxfId="2123" totalsRowDxfId="20"/>
    <tableColumn id="5" name="Program_x000a_Costs" totalsRowFunction="sum" dataDxfId="2122" totalsRowDxfId="19" dataCellStyle="Currency"/>
    <tableColumn id="6" name="Less: Net_x000a_ Payments and _x000a_Offsets 2" totalsRowFunction="sum" dataDxfId="2121" totalsRowDxfId="18" dataCellStyle="Currency"/>
    <tableColumn id="7" name="Comment: This amount includes offsets applied from prior years." totalsRowLabel="N/A" dataDxfId="2120" totalsRowDxfId="17" dataCellStyle="Currency"/>
    <tableColumn id="8" name="Accounts Payable_x000a_Balance" totalsRowFunction="sum" dataDxfId="2119" totalsRowDxfId="16" dataCellStyle="Currency"/>
    <tableColumn id="9" name="Established_x000a_Accounts Receivable" totalsRowFunction="sum" dataDxfId="2118" totalsRowDxfId="15" dataCellStyle="Currency"/>
    <tableColumn id="10" name="Less: _x000a_Recovered _x000a_Amount" totalsRowFunction="sum" dataDxfId="2117" totalsRowDxfId="14" dataCellStyle="Currency"/>
    <tableColumn id="11" name="Accounts Receivable_x000a_Balance" totalsRowFunction="sum" dataDxfId="2116" totalsRowDxfId="13" dataCellStyle="Currency"/>
    <tableColumn id="12" name="Net_x000a_Balance" totalsRowFunction="sum" dataDxfId="2115" totalsRowDxfId="1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4.xml><?xml version="1.0" encoding="utf-8"?>
<table xmlns="http://schemas.openxmlformats.org/spreadsheetml/2006/main" id="54" name="school201819" displayName="school201819" ref="A30:L62" totalsRowCount="1" headerRowDxfId="2114" dataDxfId="2112" totalsRowDxfId="2110" headerRowBorderDxfId="2113" tableBorderDxfId="2111" dataCellStyle="Currency">
  <autoFilter ref="A30:L61"/>
  <tableColumns count="12">
    <tableColumn id="1" name="Fiscal_x000a_Year" totalsRowLabel="2018-19 Total" dataDxfId="2109" totalsRowDxfId="2108"/>
    <tableColumn id="2" name="Program_x000a_Name" totalsRowLabel="N/A" dataDxfId="2107" totalsRowDxfId="2106"/>
    <tableColumn id="3" name="Legal_x000a_Reference_x000a_(Ch./Year)" totalsRowLabel="N/A" dataDxfId="2105" totalsRowDxfId="2104"/>
    <tableColumn id="4" name="Program_x000a_Number" totalsRowLabel="N/A" dataDxfId="2103" totalsRowDxfId="2102"/>
    <tableColumn id="5" name="Program_x000a_Costs" totalsRowFunction="sum" dataDxfId="2101" totalsRowDxfId="2100" dataCellStyle="Currency"/>
    <tableColumn id="6" name="Less: Net_x000a_ Payments and _x000a_Offsets 2" totalsRowFunction="sum" dataDxfId="2099" totalsRowDxfId="2098" dataCellStyle="Currency"/>
    <tableColumn id="7" name="Comment" totalsRowLabel="N/A" dataDxfId="2097" totalsRowDxfId="2096" dataCellStyle="Currency"/>
    <tableColumn id="8" name="Accounts Payable_x000a_Balance" totalsRowFunction="sum" dataDxfId="2095" totalsRowDxfId="2094" dataCellStyle="Currency"/>
    <tableColumn id="9" name="Established_x000a_Accounts Receivable" totalsRowFunction="stdDev" dataDxfId="2093" totalsRowDxfId="2092" dataCellStyle="Currency"/>
    <tableColumn id="10" name="Less: _x000a_Recovered _x000a_Amount" totalsRowFunction="sum" dataDxfId="2091" totalsRowDxfId="2090" dataCellStyle="Currency"/>
    <tableColumn id="11" name="Accounts Receivable_x000a_Balance" totalsRowFunction="sum" dataDxfId="2089" totalsRowDxfId="2088" dataCellStyle="Currency"/>
    <tableColumn id="12" name="Net_x000a_Balance" totalsRowFunction="sum" dataDxfId="2087" totalsRowDxfId="2086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5.xml><?xml version="1.0" encoding="utf-8"?>
<table xmlns="http://schemas.openxmlformats.org/spreadsheetml/2006/main" id="55" name="school201718" displayName="school201718" ref="A64:L97" totalsRowCount="1" dataDxfId="2084" totalsRowDxfId="2082" headerRowBorderDxfId="2085" tableBorderDxfId="2083" dataCellStyle="Currency">
  <autoFilter ref="A64:L96"/>
  <tableColumns count="12">
    <tableColumn id="1" name="Fiscal_x000a_Year" totalsRowLabel="2017-18 Total" dataDxfId="2081" totalsRowDxfId="2080"/>
    <tableColumn id="2" name="Program_x000a_Name" totalsRowLabel="N/A" dataDxfId="2079" totalsRowDxfId="2078"/>
    <tableColumn id="3" name="Legal_x000a_Reference_x000a_(Ch./Year)" totalsRowLabel="N/A" dataDxfId="2077" totalsRowDxfId="2076"/>
    <tableColumn id="4" name="Program_x000a_Number" totalsRowLabel="N/A" dataDxfId="2075" totalsRowDxfId="2074"/>
    <tableColumn id="5" name="Program_x000a_Costs" totalsRowFunction="sum" dataDxfId="2073" totalsRowDxfId="2072" dataCellStyle="Currency"/>
    <tableColumn id="6" name="Less: Net_x000a_ Payments and _x000a_Offsets 2" totalsRowFunction="sum" dataDxfId="2071" totalsRowDxfId="2070" dataCellStyle="Currency"/>
    <tableColumn id="7" name="Comment" totalsRowLabel="N/A" dataDxfId="2069" totalsRowDxfId="2068" dataCellStyle="Currency"/>
    <tableColumn id="8" name="Accounts Payable_x000a_Balance" totalsRowFunction="sum" dataDxfId="2067" totalsRowDxfId="2066" dataCellStyle="Currency"/>
    <tableColumn id="9" name="Established_x000a_Accounts Receivable" totalsRowFunction="sum" dataDxfId="2065" totalsRowDxfId="2064" dataCellStyle="Currency"/>
    <tableColumn id="10" name="Less: _x000a_Recovered _x000a_Amount" totalsRowFunction="sum" dataDxfId="2063" totalsRowDxfId="2062" dataCellStyle="Currency"/>
    <tableColumn id="11" name="Accounts Receivable_x000a_Balance" totalsRowFunction="sum" dataDxfId="2061" totalsRowDxfId="2060" dataCellStyle="Currency"/>
    <tableColumn id="12" name="Net_x000a_Balance" totalsRowFunction="sum" dataDxfId="2059" totalsRowDxfId="205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6.xml><?xml version="1.0" encoding="utf-8"?>
<table xmlns="http://schemas.openxmlformats.org/spreadsheetml/2006/main" id="56" name="school201617" displayName="school201617" ref="A99:L133" totalsRowCount="1" headerRowDxfId="2057" dataDxfId="2055" totalsRowDxfId="2053" headerRowBorderDxfId="2056" tableBorderDxfId="2054" dataCellStyle="Currency">
  <autoFilter ref="A99:L132"/>
  <tableColumns count="12">
    <tableColumn id="1" name="Fiscal_x000a_Year" totalsRowLabel="2016-17 Total" dataDxfId="2052" totalsRowDxfId="2051"/>
    <tableColumn id="2" name="Program_x000a_Name" totalsRowLabel="N/A" dataDxfId="2050" totalsRowDxfId="2049"/>
    <tableColumn id="3" name="Legal_x000a_Reference_x000a_(Ch./Year)" totalsRowLabel="N/A" dataDxfId="2048" totalsRowDxfId="2047"/>
    <tableColumn id="4" name="Program_x000a_Number" totalsRowLabel="N/A" dataDxfId="2046" totalsRowDxfId="2045"/>
    <tableColumn id="5" name="Program_x000a_Costs" totalsRowFunction="sum" dataDxfId="2044" totalsRowDxfId="2043" dataCellStyle="Currency"/>
    <tableColumn id="6" name="Less: Net_x000a_ Payments and _x000a_Offsets 2" totalsRowFunction="sum" dataDxfId="2042" totalsRowDxfId="2041" dataCellStyle="Currency"/>
    <tableColumn id="7" name="Comment" totalsRowLabel="N/A" dataDxfId="2040" totalsRowDxfId="2039" dataCellStyle="Currency"/>
    <tableColumn id="8" name="Accounts Payable_x000a_Balance" totalsRowFunction="sum" dataDxfId="2038" totalsRowDxfId="2037" dataCellStyle="Currency"/>
    <tableColumn id="9" name="Established_x000a_Accounts Receivable" totalsRowFunction="sum" dataDxfId="2036" totalsRowDxfId="2035" dataCellStyle="Currency"/>
    <tableColumn id="10" name="Less: _x000a_Recovered _x000a_Amount" totalsRowFunction="sum" dataDxfId="2034" totalsRowDxfId="2033" dataCellStyle="Currency"/>
    <tableColumn id="11" name="Accounts Receivable_x000a_Balance" totalsRowFunction="sum" dataDxfId="2032" totalsRowDxfId="2031" dataCellStyle="Currency"/>
    <tableColumn id="12" name="Net_x000a_Balance" totalsRowFunction="sum" dataDxfId="2030" totalsRowDxfId="202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7.xml><?xml version="1.0" encoding="utf-8"?>
<table xmlns="http://schemas.openxmlformats.org/spreadsheetml/2006/main" id="57" name="school201516" displayName="school201516" ref="A135:L169" totalsRowCount="1" headerRowDxfId="2028" dataDxfId="2026" totalsRowDxfId="2024" headerRowBorderDxfId="2027" tableBorderDxfId="2025" dataCellStyle="Currency">
  <autoFilter ref="A135:L168"/>
  <tableColumns count="12">
    <tableColumn id="1" name="Fiscal_x000a_Year" totalsRowLabel="2014-15 Total" dataDxfId="2023" totalsRowDxfId="2022"/>
    <tableColumn id="2" name="Program_x000a_Name" totalsRowLabel="N/A" dataDxfId="2021" totalsRowDxfId="2020"/>
    <tableColumn id="3" name="Legal_x000a_Reference_x000a_(Ch./Year)" totalsRowLabel="N/A" dataDxfId="2019" totalsRowDxfId="2018"/>
    <tableColumn id="4" name="Program_x000a_Number" totalsRowLabel="N/A" dataDxfId="2017" totalsRowDxfId="2016"/>
    <tableColumn id="5" name="Program_x000a_Costs" totalsRowFunction="sum" dataDxfId="2015" totalsRowDxfId="2014" dataCellStyle="Currency"/>
    <tableColumn id="6" name="Less: Net_x000a_ Payments and _x000a_Offsets 2" totalsRowFunction="sum" dataDxfId="2013" totalsRowDxfId="2012" dataCellStyle="Currency"/>
    <tableColumn id="7" name="Comment" totalsRowLabel="N/A" dataDxfId="2011" totalsRowDxfId="2010" dataCellStyle="Currency"/>
    <tableColumn id="8" name="Accounts Payable_x000a_Balance" totalsRowFunction="sum" dataDxfId="2009" totalsRowDxfId="2008" dataCellStyle="Currency"/>
    <tableColumn id="9" name="Established_x000a_Accounts Receivable" totalsRowFunction="sum" dataDxfId="2007" totalsRowDxfId="2006" dataCellStyle="Currency"/>
    <tableColumn id="10" name="Less: _x000a_Recovered _x000a_Amount" totalsRowFunction="sum" dataDxfId="2005" totalsRowDxfId="2004" dataCellStyle="Currency"/>
    <tableColumn id="11" name="Accounts Receivable_x000a_Balance" totalsRowFunction="sum" dataDxfId="2003" totalsRowDxfId="2002" dataCellStyle="Currency"/>
    <tableColumn id="12" name="Net_x000a_Balance" totalsRowFunction="sum" dataDxfId="2001" totalsRowDxfId="200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8.xml><?xml version="1.0" encoding="utf-8"?>
<table xmlns="http://schemas.openxmlformats.org/spreadsheetml/2006/main" id="58" name="school201415" displayName="school201415" ref="A171:L212" totalsRowCount="1" headerRowDxfId="1999" dataDxfId="1997" totalsRowDxfId="1995" headerRowBorderDxfId="1998" tableBorderDxfId="1996" dataCellStyle="Currency">
  <autoFilter ref="A171:L211"/>
  <tableColumns count="12">
    <tableColumn id="1" name="Fiscal_x000a_Year" totalsRowLabel="2014-15 Total" dataDxfId="1994" totalsRowDxfId="1993"/>
    <tableColumn id="2" name="Program_x000a_Name" totalsRowLabel="N/A" dataDxfId="1992" totalsRowDxfId="1991"/>
    <tableColumn id="3" name="Legal_x000a_Reference_x000a_(Ch./Year)" totalsRowLabel="N/A" dataDxfId="1990" totalsRowDxfId="1989"/>
    <tableColumn id="4" name="Program_x000a_Number" totalsRowLabel="N/A" dataDxfId="1988" totalsRowDxfId="1987"/>
    <tableColumn id="5" name="Program_x000a_Costs" totalsRowFunction="sum" dataDxfId="1986" totalsRowDxfId="1985" dataCellStyle="Currency"/>
    <tableColumn id="6" name="Less: Net_x000a_ Payments and _x000a_Offsets 2" totalsRowFunction="sum" dataDxfId="1984" totalsRowDxfId="1983" dataCellStyle="Currency"/>
    <tableColumn id="7" name="Comment" totalsRowLabel="N/A" dataDxfId="1982" totalsRowDxfId="1981" dataCellStyle="Currency"/>
    <tableColumn id="8" name="Accounts Payable_x000a_Balance" totalsRowFunction="sum" dataDxfId="1980" totalsRowDxfId="1979" dataCellStyle="Currency"/>
    <tableColumn id="9" name="Established_x000a_Accounts Receivable" totalsRowFunction="sum" dataDxfId="1978" totalsRowDxfId="1977" dataCellStyle="Currency"/>
    <tableColumn id="10" name="Less: _x000a_Recovered _x000a_Amount" totalsRowFunction="sum" dataDxfId="1976" totalsRowDxfId="1975" dataCellStyle="Currency"/>
    <tableColumn id="11" name="Accounts Receivable_x000a_Balance" totalsRowFunction="sum" dataDxfId="1974" totalsRowDxfId="1973" dataCellStyle="Currency"/>
    <tableColumn id="12" name="Net_x000a_Balance" totalsRowFunction="sum" dataDxfId="1972" totalsRowDxfId="197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59.xml><?xml version="1.0" encoding="utf-8"?>
<table xmlns="http://schemas.openxmlformats.org/spreadsheetml/2006/main" id="59" name="school201314" displayName="school201314" ref="A214:L257" totalsRowCount="1" headerRowDxfId="1970" dataDxfId="1968" totalsRowDxfId="1966" headerRowBorderDxfId="1969" tableBorderDxfId="1967" dataCellStyle="Currency">
  <autoFilter ref="A214:L256"/>
  <tableColumns count="12">
    <tableColumn id="1" name="Fiscal_x000a_Year" totalsRowLabel="2013-14 Total" dataDxfId="1965" totalsRowDxfId="1964"/>
    <tableColumn id="2" name="Program_x000a_Name" totalsRowLabel="N/A" dataDxfId="1963" totalsRowDxfId="1962"/>
    <tableColumn id="3" name="Legal_x000a_Reference_x000a_(Ch./Year)" totalsRowLabel="N/A" dataDxfId="1961" totalsRowDxfId="1960"/>
    <tableColumn id="4" name="Program_x000a_Number" totalsRowLabel="N/A" dataDxfId="1959" totalsRowDxfId="1958"/>
    <tableColumn id="5" name="Program_x000a_Costs" totalsRowFunction="sum" dataDxfId="1957" totalsRowDxfId="1956" dataCellStyle="Currency"/>
    <tableColumn id="6" name="Less: Net_x000a_ Payments and _x000a_Offsets 2" totalsRowFunction="sum" dataDxfId="1955" totalsRowDxfId="1954" dataCellStyle="Currency"/>
    <tableColumn id="7" name="Comment" totalsRowLabel="N/A" dataDxfId="1953" totalsRowDxfId="1952" dataCellStyle="Currency"/>
    <tableColumn id="8" name="Accounts Payable_x000a_Balance" totalsRowFunction="sum" dataDxfId="1951" totalsRowDxfId="1950" dataCellStyle="Currency"/>
    <tableColumn id="9" name="Established_x000a_Accounts Receivable" totalsRowFunction="sum" dataDxfId="1949" totalsRowDxfId="1948" dataCellStyle="Currency"/>
    <tableColumn id="10" name="Less: _x000a_Recovered _x000a_Amount" totalsRowFunction="sum" dataDxfId="1947" totalsRowDxfId="1946" dataCellStyle="Currency"/>
    <tableColumn id="11" name="Accounts Receivable_x000a_Balance" totalsRowFunction="sum" dataDxfId="1945" totalsRowDxfId="1944" dataCellStyle="Currency"/>
    <tableColumn id="12" name="Net_x000a_Balance" totalsRowFunction="sum" dataDxfId="1943" totalsRowDxfId="194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.xml><?xml version="1.0" encoding="utf-8"?>
<table xmlns="http://schemas.openxmlformats.org/spreadsheetml/2006/main" id="21" name="grandtotala" displayName="grandtotala" ref="A32:M38" totalsRowCount="1" headerRowDxfId="3415" dataDxfId="3413" totalsRowDxfId="3411" headerRowBorderDxfId="3414" tableBorderDxfId="3412" totalsRowBorderDxfId="3410">
  <autoFilter ref="A32:M37"/>
  <tableColumns count="13">
    <tableColumn id="1" name="Program Category_x000a_ and Fund" totalsRowLabel="Grand Total" dataDxfId="3409" totalsRowDxfId="3408"/>
    <tableColumn id="2" name="Appropriation_x000a_Number" totalsRowLabel="N/A" dataDxfId="3407" totalsRowDxfId="3406"/>
    <tableColumn id="3" name="Legal_x000a_Reference_x000a_(Ch./Year)" totalsRowLabel="N/A" dataDxfId="3405" totalsRowDxfId="3404"/>
    <tableColumn id="4" name="Fiscal Year of_x000a_Claims Paid" totalsRowLabel="N/A" dataDxfId="3403" totalsRowDxfId="3402"/>
    <tableColumn id="5" name="Reversion Date" totalsRowLabel="N/A" dataDxfId="3401" totalsRowDxfId="3400"/>
    <tableColumn id="6" name="Original_x000a_Appropriation_x000a_Amount" totalsRowFunction="sum" dataDxfId="3399" totalsRowDxfId="3398"/>
    <tableColumn id="7" name="Appropriation Balances1 " totalsRowFunction="sum" dataDxfId="3397" totalsRowDxfId="3396"/>
    <tableColumn id="8" name="Comment" totalsRowLabel="N/A" dataDxfId="3395" totalsRowDxfId="3394"/>
    <tableColumn id="9" name="Add: Receipts_x000a_and Recovered_x000a_Amounts" totalsRowFunction="sum" dataDxfId="3393" totalsRowDxfId="3392"/>
    <tableColumn id="10" name="Less: Mandated Program Payments,_x000a_Offsets, and Interest_x000a_(see Schedule A1)" totalsRowFunction="sum" dataDxfId="3391" totalsRowDxfId="3390"/>
    <tableColumn id="11" name="Comment2" totalsRowLabel="N/A" dataDxfId="3389" totalsRowDxfId="3388"/>
    <tableColumn id="12" name="Less: Reappropriations3" totalsRowFunction="sum" dataDxfId="3387" totalsRowDxfId="3386"/>
    <tableColumn id="13" name="Appropriation_x000a_Balances_x000a_as of 4/1/2021" totalsRowFunction="sum" dataDxfId="3385" totalsRowDxfId="3384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: Summary of State-Mandated Program Appropriations, Receipts, and Payments. As of April 1, 2021. Grand Total for all."/>
    </ext>
  </extLst>
</table>
</file>

<file path=xl/tables/table60.xml><?xml version="1.0" encoding="utf-8"?>
<table xmlns="http://schemas.openxmlformats.org/spreadsheetml/2006/main" id="60" name="school201213" displayName="school201213" ref="A259:L304" totalsRowCount="1" headerRowDxfId="1941" dataDxfId="1939" totalsRowDxfId="1937" headerRowBorderDxfId="1940" tableBorderDxfId="1938" dataCellStyle="Currency">
  <autoFilter ref="A259:L303"/>
  <tableColumns count="12">
    <tableColumn id="1" name="Fiscal_x000a_Year" totalsRowLabel="2012-13 Total" dataDxfId="1936" totalsRowDxfId="1935"/>
    <tableColumn id="2" name="Program_x000a_Name" totalsRowLabel="N/A" dataDxfId="1934" totalsRowDxfId="1933"/>
    <tableColumn id="3" name="Legal_x000a_Reference_x000a_(Ch./Year)" totalsRowLabel="N/A" dataDxfId="1932" totalsRowDxfId="1931"/>
    <tableColumn id="4" name="Program_x000a_Number" totalsRowLabel="N/A" dataDxfId="1930" totalsRowDxfId="1929"/>
    <tableColumn id="5" name="Program_x000a_Costs" totalsRowFunction="sum" dataDxfId="1928" totalsRowDxfId="1927" dataCellStyle="Currency"/>
    <tableColumn id="6" name="Less: Net_x000a_ Payments and _x000a_Offsets 2" totalsRowFunction="sum" dataDxfId="1926" totalsRowDxfId="1925" dataCellStyle="Currency"/>
    <tableColumn id="7" name="Comment" totalsRowLabel="N/A" dataDxfId="1924" totalsRowDxfId="1923" dataCellStyle="Currency"/>
    <tableColumn id="8" name="Accounts Payable_x000a_Balance" totalsRowFunction="sum" dataDxfId="1922" totalsRowDxfId="1921" dataCellStyle="Currency"/>
    <tableColumn id="9" name="Established_x000a_Accounts Receivable" totalsRowFunction="sum" dataDxfId="1920" totalsRowDxfId="1919" dataCellStyle="Currency"/>
    <tableColumn id="10" name="Less: _x000a_Recovered _x000a_Amount" totalsRowFunction="sum" dataDxfId="1918" totalsRowDxfId="1917" dataCellStyle="Currency"/>
    <tableColumn id="11" name="Accounts Receivable_x000a_Balance" totalsRowFunction="sum" dataDxfId="1916" totalsRowDxfId="1915" dataCellStyle="Currency"/>
    <tableColumn id="12" name="Net_x000a_Balance" totalsRowFunction="sum" dataDxfId="1914" totalsRowDxfId="191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1.xml><?xml version="1.0" encoding="utf-8"?>
<table xmlns="http://schemas.openxmlformats.org/spreadsheetml/2006/main" id="61" name="school201112" displayName="school201112" ref="A306:L351" totalsRowCount="1" headerRowDxfId="1912" dataDxfId="1910" totalsRowDxfId="1908" headerRowBorderDxfId="1911" tableBorderDxfId="1909" dataCellStyle="Currency">
  <autoFilter ref="A306:L350"/>
  <tableColumns count="12">
    <tableColumn id="1" name="Fiscal_x000a_Year" totalsRowLabel="2011-12 Total" dataDxfId="1907" totalsRowDxfId="1906"/>
    <tableColumn id="2" name="Program_x000a_Name" totalsRowLabel="N/A" dataDxfId="1905" totalsRowDxfId="1904"/>
    <tableColumn id="3" name="Legal_x000a_Reference_x000a_(Ch./Year)" totalsRowLabel="N/A" dataDxfId="1903" totalsRowDxfId="1902"/>
    <tableColumn id="4" name="Program_x000a_Number" totalsRowLabel="N/A" dataDxfId="1901" totalsRowDxfId="1900"/>
    <tableColumn id="5" name="Program_x000a_Costs" totalsRowFunction="sum" dataDxfId="1899" totalsRowDxfId="1898" dataCellStyle="Currency"/>
    <tableColumn id="6" name="Less: Net_x000a_ Payments and _x000a_Offsets 2" totalsRowFunction="sum" dataDxfId="1897" totalsRowDxfId="1896" dataCellStyle="Currency"/>
    <tableColumn id="7" name="Comment" totalsRowLabel="N/A" dataDxfId="1895" totalsRowDxfId="1894" dataCellStyle="Currency"/>
    <tableColumn id="8" name="Accounts Payable_x000a_Balance" totalsRowFunction="sum" dataDxfId="1893" totalsRowDxfId="1892" dataCellStyle="Currency"/>
    <tableColumn id="9" name="Established_x000a_Accounts Receivable" totalsRowFunction="sum" dataDxfId="1891" totalsRowDxfId="1890" dataCellStyle="Currency"/>
    <tableColumn id="10" name="Less: _x000a_Recovered _x000a_Amount" totalsRowFunction="sum" dataDxfId="1889" totalsRowDxfId="1888" dataCellStyle="Currency"/>
    <tableColumn id="11" name="Accounts Receivable_x000a_Balance" totalsRowFunction="sum" dataDxfId="1887" totalsRowDxfId="1886" dataCellStyle="Currency"/>
    <tableColumn id="12" name="Net_x000a_Balance" totalsRowFunction="sum" dataDxfId="1885" totalsRowDxfId="188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2.xml><?xml version="1.0" encoding="utf-8"?>
<table xmlns="http://schemas.openxmlformats.org/spreadsheetml/2006/main" id="62" name="school201011" displayName="school201011" ref="A353:L403" totalsRowCount="1" headerRowDxfId="1883" dataDxfId="1881" totalsRowDxfId="1879" headerRowBorderDxfId="1882" tableBorderDxfId="1880" dataCellStyle="Currency">
  <autoFilter ref="A353:L402"/>
  <tableColumns count="12">
    <tableColumn id="1" name="Fiscal_x000a_Year" totalsRowLabel="2010-11 Total" dataDxfId="1878" totalsRowDxfId="1877"/>
    <tableColumn id="2" name="Program_x000a_Name" totalsRowLabel="N/A" dataDxfId="1876" totalsRowDxfId="1875"/>
    <tableColumn id="3" name="Legal_x000a_Reference_x000a_(Ch./Year)" totalsRowLabel="N/A" dataDxfId="1874" totalsRowDxfId="1873"/>
    <tableColumn id="4" name="Program_x000a_Number" totalsRowLabel="N/A" dataDxfId="1872" totalsRowDxfId="1871"/>
    <tableColumn id="5" name="Program_x000a_Costs" totalsRowFunction="sum" dataDxfId="1870" totalsRowDxfId="1869"/>
    <tableColumn id="6" name="Less: Net_x000a_ Payments and _x000a_Offsets 2" totalsRowFunction="sum" dataDxfId="1868" totalsRowDxfId="1867"/>
    <tableColumn id="7" name="Comment" totalsRowLabel="N/A" dataDxfId="1866" totalsRowDxfId="1865" dataCellStyle="Currency"/>
    <tableColumn id="8" name="Accounts Payable_x000a_Balance" totalsRowFunction="sum" dataDxfId="1864" totalsRowDxfId="1863"/>
    <tableColumn id="9" name="Established_x000a_Accounts Receivable" totalsRowFunction="sum" dataDxfId="1862" totalsRowDxfId="1861" dataCellStyle="Currency"/>
    <tableColumn id="10" name="Less: _x000a_Recovered _x000a_Amount" totalsRowFunction="sum" dataDxfId="1860" totalsRowDxfId="1859" dataCellStyle="Currency"/>
    <tableColumn id="11" name="Accounts Receivable_x000a_Balance" totalsRowFunction="sum" dataDxfId="1858" totalsRowDxfId="1857" dataCellStyle="Currency"/>
    <tableColumn id="12" name="Net_x000a_Balance" totalsRowFunction="sum" dataDxfId="1856" totalsRowDxfId="1855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3.xml><?xml version="1.0" encoding="utf-8"?>
<table xmlns="http://schemas.openxmlformats.org/spreadsheetml/2006/main" id="63" name="school200910" displayName="school200910" ref="A405:L450" totalsRowCount="1" dataDxfId="1853" totalsRowDxfId="1851" headerRowBorderDxfId="1854" tableBorderDxfId="1852" dataCellStyle="Currency">
  <autoFilter ref="A405:L449"/>
  <tableColumns count="12">
    <tableColumn id="1" name="Fiscal_x000a_Year" totalsRowLabel="2009-10 Total" dataDxfId="1850" totalsRowDxfId="1849"/>
    <tableColumn id="2" name="Program_x000a_Name" totalsRowLabel="N/A" dataDxfId="1848" totalsRowDxfId="1847"/>
    <tableColumn id="3" name="Legal_x000a_Reference_x000a_(Ch./Year)" totalsRowLabel="N/A" dataDxfId="1846" totalsRowDxfId="1845"/>
    <tableColumn id="4" name="Program_x000a_Number" totalsRowLabel="N/A" dataDxfId="1844" totalsRowDxfId="1843"/>
    <tableColumn id="5" name="Program_x000a_Costs" totalsRowFunction="sum" dataDxfId="1842" totalsRowDxfId="1841" dataCellStyle="Currency"/>
    <tableColumn id="6" name="Less: Net_x000a_ Payments and _x000a_Offsets 2" totalsRowFunction="sum" dataDxfId="1840" totalsRowDxfId="1839" dataCellStyle="Currency"/>
    <tableColumn id="7" name="Comment" totalsRowLabel="N/A" dataDxfId="1838" totalsRowDxfId="1837" dataCellStyle="Currency"/>
    <tableColumn id="8" name="Accounts Payable_x000a_Balance" totalsRowFunction="sum" dataDxfId="1836" totalsRowDxfId="1835" dataCellStyle="Currency"/>
    <tableColumn id="9" name="Established_x000a_Accounts Receivable" totalsRowFunction="sum" dataDxfId="1834" totalsRowDxfId="1833" dataCellStyle="Currency"/>
    <tableColumn id="10" name="Less: _x000a_Recovered _x000a_Amount" totalsRowFunction="sum" dataDxfId="1832" totalsRowDxfId="1831" dataCellStyle="Currency"/>
    <tableColumn id="11" name="Accounts Receivable_x000a_Balance" totalsRowFunction="sum" dataDxfId="1830" totalsRowDxfId="1829" dataCellStyle="Currency"/>
    <tableColumn id="12" name="Net_x000a_Balance" totalsRowFunction="sum" dataDxfId="1828" totalsRowDxfId="182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4.xml><?xml version="1.0" encoding="utf-8"?>
<table xmlns="http://schemas.openxmlformats.org/spreadsheetml/2006/main" id="64" name="school200809" displayName="school200809" ref="A452:L500" totalsRowCount="1" dataDxfId="1825" totalsRowDxfId="1823" headerRowBorderDxfId="1826" tableBorderDxfId="1824" dataCellStyle="Currency">
  <autoFilter ref="A452:L499"/>
  <tableColumns count="12">
    <tableColumn id="1" name="Fiscal_x000a_Year" totalsRowLabel="2008-09 Total" dataDxfId="1822" totalsRowDxfId="1821"/>
    <tableColumn id="2" name="Program_x000a_Name" totalsRowLabel="N/A" dataDxfId="1820" totalsRowDxfId="1819"/>
    <tableColumn id="3" name="Legal_x000a_Reference_x000a_(Ch./Year)" totalsRowLabel="N/A" dataDxfId="1818" totalsRowDxfId="1817"/>
    <tableColumn id="4" name="Program_x000a_Number" totalsRowLabel="N/A" dataDxfId="1816" totalsRowDxfId="1815"/>
    <tableColumn id="5" name="Program_x000a_Costs" totalsRowFunction="sum" dataDxfId="1814" totalsRowDxfId="1813" dataCellStyle="Currency"/>
    <tableColumn id="6" name="Less: Net_x000a_ Payments and _x000a_Offsets 2" totalsRowFunction="sum" dataDxfId="1812" totalsRowDxfId="1811" dataCellStyle="Currency"/>
    <tableColumn id="7" name="Comment" totalsRowLabel="N/A" dataDxfId="1810" totalsRowDxfId="1809" dataCellStyle="Currency"/>
    <tableColumn id="8" name="Accounts Payable_x000a_Balance" totalsRowFunction="sum" dataDxfId="1808" totalsRowDxfId="1807" dataCellStyle="Currency"/>
    <tableColumn id="9" name="Established_x000a_Accounts Receivable" totalsRowFunction="sum" dataDxfId="1806" totalsRowDxfId="1805" dataCellStyle="Currency"/>
    <tableColumn id="10" name="Less: _x000a_Recovered _x000a_Amount" totalsRowFunction="sum" dataDxfId="1804" totalsRowDxfId="1803" dataCellStyle="Currency"/>
    <tableColumn id="11" name="Accounts Receivable_x000a_Balance" totalsRowFunction="sum" dataDxfId="1802" totalsRowDxfId="1801" dataCellStyle="Currency"/>
    <tableColumn id="12" name="Net_x000a_Balance" totalsRowFunction="sum" dataDxfId="1800" totalsRowDxfId="179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5.xml><?xml version="1.0" encoding="utf-8"?>
<table xmlns="http://schemas.openxmlformats.org/spreadsheetml/2006/main" id="65" name="school200708" displayName="school200708" ref="A502:L552" totalsRowCount="1" dataDxfId="1797" totalsRowDxfId="1795" headerRowBorderDxfId="1798" tableBorderDxfId="1796" dataCellStyle="Currency">
  <autoFilter ref="A502:L551"/>
  <tableColumns count="12">
    <tableColumn id="1" name="Fiscal_x000a_Year" totalsRowLabel="2007-08 Total" dataDxfId="1794" totalsRowDxfId="1793"/>
    <tableColumn id="2" name="Program_x000a_Name" totalsRowLabel="N/A" dataDxfId="1792" totalsRowDxfId="1791"/>
    <tableColumn id="3" name="Legal_x000a_Reference_x000a_(Ch./Year)" totalsRowLabel="N/A" dataDxfId="1790" totalsRowDxfId="1789"/>
    <tableColumn id="4" name="Program_x000a_Number" totalsRowLabel="N/A" dataDxfId="1788" totalsRowDxfId="1787"/>
    <tableColumn id="5" name="Program_x000a_Costs" totalsRowFunction="sum" dataDxfId="1786" totalsRowDxfId="1785" dataCellStyle="Currency"/>
    <tableColumn id="6" name="Less: Net_x000a_ Payments and _x000a_Offsets 2" totalsRowFunction="sum" dataDxfId="1784" totalsRowDxfId="1783" dataCellStyle="Currency"/>
    <tableColumn id="7" name="Comment" totalsRowLabel="N/A" dataDxfId="1782" totalsRowDxfId="1781" dataCellStyle="Currency"/>
    <tableColumn id="8" name="Accounts Payable_x000a_Balance" totalsRowFunction="sum" dataDxfId="1780" totalsRowDxfId="1779" dataCellStyle="Currency"/>
    <tableColumn id="9" name="Established_x000a_Accounts Receivable" totalsRowFunction="sum" dataDxfId="1778" totalsRowDxfId="1777" dataCellStyle="Currency"/>
    <tableColumn id="10" name="Less: _x000a_Recovered _x000a_Amount" totalsRowFunction="sum" dataDxfId="1776" totalsRowDxfId="1775" dataCellStyle="Currency"/>
    <tableColumn id="11" name="Accounts Receivable_x000a_Balance" totalsRowFunction="sum" dataDxfId="1774" totalsRowDxfId="1773" dataCellStyle="Currency"/>
    <tableColumn id="12" name="Net_x000a_Balance" totalsRowFunction="sum" dataDxfId="1772" totalsRowDxfId="177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6.xml><?xml version="1.0" encoding="utf-8"?>
<table xmlns="http://schemas.openxmlformats.org/spreadsheetml/2006/main" id="66" name="school200607" displayName="school200607" ref="A554:L605" totalsRowCount="1" dataDxfId="1769" totalsRowDxfId="1767" headerRowBorderDxfId="1770" tableBorderDxfId="1768" dataCellStyle="Currency">
  <autoFilter ref="A554:L604"/>
  <tableColumns count="12">
    <tableColumn id="1" name="Fiscal_x000a_Year" totalsRowLabel="2006-07 Total" dataDxfId="1766" totalsRowDxfId="1765"/>
    <tableColumn id="2" name="Program_x000a_Name" totalsRowLabel="N/A" dataDxfId="1764" totalsRowDxfId="1763"/>
    <tableColumn id="3" name="Legal_x000a_Reference_x000a_(Ch./Year)" totalsRowLabel="N/A" dataDxfId="1762" totalsRowDxfId="1761"/>
    <tableColumn id="4" name="Program_x000a_Number" totalsRowLabel="N/A" dataDxfId="1760" totalsRowDxfId="1759"/>
    <tableColumn id="5" name="Program_x000a_Costs" totalsRowFunction="sum" dataDxfId="1758" totalsRowDxfId="1757" dataCellStyle="Currency"/>
    <tableColumn id="6" name="Less: Net_x000a_ Payments and _x000a_Offsets 2" totalsRowFunction="sum" dataDxfId="1756" totalsRowDxfId="1755" dataCellStyle="Currency"/>
    <tableColumn id="7" name="Comment" totalsRowLabel="N/A" dataDxfId="1754" totalsRowDxfId="1753" dataCellStyle="Currency"/>
    <tableColumn id="8" name="Accounts Payable_x000a_Balance" totalsRowFunction="sum" dataDxfId="1752" totalsRowDxfId="1751" dataCellStyle="Currency"/>
    <tableColumn id="9" name="Established_x000a_Accounts Receivable" totalsRowFunction="sum" dataDxfId="1750" totalsRowDxfId="1749" dataCellStyle="Currency"/>
    <tableColumn id="10" name="Less: _x000a_Recovered _x000a_Amount" totalsRowFunction="sum" dataDxfId="1748" totalsRowDxfId="1747" dataCellStyle="Currency"/>
    <tableColumn id="11" name="Accounts Receivable_x000a_Balance" totalsRowFunction="sum" dataDxfId="1746" totalsRowDxfId="1745" dataCellStyle="Currency"/>
    <tableColumn id="12" name="Net_x000a_Balance" totalsRowFunction="sum" dataDxfId="1744" totalsRowDxfId="174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7.xml><?xml version="1.0" encoding="utf-8"?>
<table xmlns="http://schemas.openxmlformats.org/spreadsheetml/2006/main" id="67" name="school200506" displayName="school200506" ref="A607:L654" totalsRowCount="1" dataDxfId="1741" totalsRowDxfId="1739" headerRowBorderDxfId="1742" tableBorderDxfId="1740" dataCellStyle="Currency">
  <autoFilter ref="A607:L653"/>
  <tableColumns count="12">
    <tableColumn id="1" name="Fiscal_x000a_Year" totalsRowLabel="2005-06 Total" dataDxfId="1738" totalsRowDxfId="1737"/>
    <tableColumn id="2" name="Program_x000a_Name" totalsRowLabel="N/A" dataDxfId="1736" totalsRowDxfId="1735"/>
    <tableColumn id="3" name="Legal_x000a_Reference_x000a_(Ch./Year)" totalsRowLabel="N/A" dataDxfId="1734" totalsRowDxfId="1733"/>
    <tableColumn id="4" name="Program_x000a_Number" totalsRowLabel="N/A" dataDxfId="1732" totalsRowDxfId="1731"/>
    <tableColumn id="5" name="Program_x000a_Costs" totalsRowFunction="sum" dataDxfId="1730" totalsRowDxfId="1729" dataCellStyle="Currency"/>
    <tableColumn id="6" name="Less: Net_x000a_ Payments and _x000a_Offsets 2" totalsRowFunction="sum" dataDxfId="1728" totalsRowDxfId="1727" dataCellStyle="Currency"/>
    <tableColumn id="7" name="Comment" totalsRowLabel="N/A" dataDxfId="1726" totalsRowDxfId="1725" dataCellStyle="Currency"/>
    <tableColumn id="8" name="Accounts Payable_x000a_Balance" totalsRowFunction="sum" dataDxfId="1724" totalsRowDxfId="1723" dataCellStyle="Currency"/>
    <tableColumn id="9" name="Established_x000a_Accounts Receivable" totalsRowFunction="sum" dataDxfId="1722" totalsRowDxfId="1721" dataCellStyle="Currency"/>
    <tableColumn id="10" name="Less: _x000a_Recovered _x000a_Amount" totalsRowFunction="sum" dataDxfId="1720" totalsRowDxfId="1719" dataCellStyle="Currency"/>
    <tableColumn id="11" name="Accounts Receivable_x000a_Balance" totalsRowFunction="sum" dataDxfId="1718" totalsRowDxfId="1717" dataCellStyle="Currency"/>
    <tableColumn id="12" name="Net_x000a_Balance" totalsRowFunction="sum" dataDxfId="1716" totalsRowDxfId="171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8.xml><?xml version="1.0" encoding="utf-8"?>
<table xmlns="http://schemas.openxmlformats.org/spreadsheetml/2006/main" id="68" name="school200405" displayName="school200405" ref="A656:L697" totalsRowCount="1" dataDxfId="1713" totalsRowDxfId="1711" headerRowBorderDxfId="1714" tableBorderDxfId="1712" dataCellStyle="Currency">
  <autoFilter ref="A656:L696"/>
  <tableColumns count="12">
    <tableColumn id="1" name="Fiscal_x000a_Year" totalsRowLabel="2004-05 Total" dataDxfId="1710" totalsRowDxfId="1709"/>
    <tableColumn id="2" name="Program_x000a_Name" totalsRowLabel="N/A" dataDxfId="1708" totalsRowDxfId="1707"/>
    <tableColumn id="3" name="Legal_x000a_Reference_x000a_(Ch./Year)" totalsRowLabel="N/A" dataDxfId="1706" totalsRowDxfId="1705"/>
    <tableColumn id="4" name="Program_x000a_Number" totalsRowLabel="N/A" dataDxfId="1704" totalsRowDxfId="1703"/>
    <tableColumn id="5" name="Program_x000a_Costs" totalsRowFunction="sum" dataDxfId="1702" totalsRowDxfId="1701" dataCellStyle="Currency"/>
    <tableColumn id="6" name="Less: Net_x000a_ Payments and _x000a_Offsets 2" totalsRowFunction="sum" dataDxfId="1700" totalsRowDxfId="1699" dataCellStyle="Currency"/>
    <tableColumn id="7" name="Comment" totalsRowLabel="N/A" dataDxfId="1698" totalsRowDxfId="1697" dataCellStyle="Currency"/>
    <tableColumn id="8" name="Accounts Payable_x000a_Balance" totalsRowFunction="sum" dataDxfId="1696" totalsRowDxfId="1695" dataCellStyle="Currency"/>
    <tableColumn id="9" name="Established_x000a_Accounts Receivable" totalsRowFunction="sum" dataDxfId="1694" totalsRowDxfId="1693" dataCellStyle="Currency"/>
    <tableColumn id="10" name="Less: _x000a_Recovered _x000a_Amount" totalsRowFunction="sum" dataDxfId="1692" totalsRowDxfId="1691" dataCellStyle="Currency"/>
    <tableColumn id="11" name="Accounts Receivable_x000a_Balance" totalsRowFunction="sum" dataDxfId="1690" totalsRowDxfId="1689" dataCellStyle="Currency"/>
    <tableColumn id="12" name="Net_x000a_Balance" totalsRowFunction="sum" dataDxfId="1688" totalsRowDxfId="168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69.xml><?xml version="1.0" encoding="utf-8"?>
<table xmlns="http://schemas.openxmlformats.org/spreadsheetml/2006/main" id="69" name="school200304" displayName="school200304" ref="A699:L716" totalsRowCount="1" dataDxfId="1685" totalsRowDxfId="1683" headerRowBorderDxfId="1686" tableBorderDxfId="1684" dataCellStyle="Currency">
  <autoFilter ref="A699:L715"/>
  <tableColumns count="12">
    <tableColumn id="1" name="Fiscal_x000a_Year" totalsRowLabel="2003-04 Total" dataDxfId="1682" totalsRowDxfId="1681"/>
    <tableColumn id="2" name="Program_x000a_Name" totalsRowLabel="N/A" dataDxfId="1680" totalsRowDxfId="1679"/>
    <tableColumn id="3" name="Legal_x000a_Reference_x000a_(Ch./Year)" totalsRowLabel="N/A" dataDxfId="1678" totalsRowDxfId="1677"/>
    <tableColumn id="4" name="Program_x000a_Number" totalsRowLabel="N/A" dataDxfId="1676" totalsRowDxfId="1675"/>
    <tableColumn id="5" name="Program_x000a_Costs" totalsRowFunction="sum" dataDxfId="1674" totalsRowDxfId="1673" dataCellStyle="Currency"/>
    <tableColumn id="6" name="Less: Net_x000a_ Payments and _x000a_Offsets 2" totalsRowFunction="sum" dataDxfId="1672" totalsRowDxfId="1671" dataCellStyle="Currency"/>
    <tableColumn id="7" name="Comment" totalsRowLabel="N/A" dataDxfId="1670" totalsRowDxfId="1669" dataCellStyle="Currency"/>
    <tableColumn id="8" name="Accounts Payable_x000a_Balance" totalsRowFunction="sum" dataDxfId="1668" totalsRowDxfId="1667" dataCellStyle="Currency"/>
    <tableColumn id="9" name="Established_x000a_Accounts Receivable" totalsRowFunction="sum" dataDxfId="1666" totalsRowDxfId="1665" dataCellStyle="Currency"/>
    <tableColumn id="10" name="Less: _x000a_Recovered _x000a_Amount" totalsRowFunction="sum" dataDxfId="1664" totalsRowDxfId="1663" dataCellStyle="Currency"/>
    <tableColumn id="11" name="Accounts Receivable_x000a_Balance" totalsRowFunction="sum" dataDxfId="1662" totalsRowDxfId="1661" dataCellStyle="Currency"/>
    <tableColumn id="12" name="Net_x000a_Balance" totalsRowFunction="sum" dataDxfId="1660" totalsRowDxfId="165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.xml><?xml version="1.0" encoding="utf-8"?>
<table xmlns="http://schemas.openxmlformats.org/spreadsheetml/2006/main" id="22" name="localannualclaim20" displayName="localannualclaim20" ref="A2:I26" totalsRowCount="1" headerRowDxfId="3383" dataDxfId="3381" totalsRowDxfId="3379" headerRowBorderDxfId="3382" tableBorderDxfId="3380" totalsRowBorderDxfId="3378">
  <autoFilter ref="A2:I25"/>
  <tableColumns count="9">
    <tableColumn id="1" name="Program Category_x000a_and Type of Payment" totalsRowLabel="0001-8885-2020-295-98 Total" dataDxfId="3377" totalsRowDxfId="3376"/>
    <tableColumn id="2" name="Fiscal _x000a_Year" totalsRowLabel="N/A" dataDxfId="3375" totalsRowDxfId="3374"/>
    <tableColumn id="3" name="Appropriation _x000a_Number" totalsRowLabel="N/A" dataDxfId="3373" totalsRowDxfId="3372"/>
    <tableColumn id="4" name="Program _x000a_Name" totalsRowLabel="N/A" dataDxfId="3371" totalsRowDxfId="3370"/>
    <tableColumn id="5" name="Legal _x000a_Reference_x000a_(Ch./Year)" totalsRowLabel="N/A" dataDxfId="3369" totalsRowDxfId="3368"/>
    <tableColumn id="6" name="Program_x000a_ Number" totalsRowLabel="N/A" dataDxfId="3367" totalsRowDxfId="3366"/>
    <tableColumn id="7" name="Program _x000a_Payments and Offsets" totalsRowFunction="sum" dataDxfId="3365" totalsRowDxfId="3364"/>
    <tableColumn id="8" name="Interest_x000a_Payments and Offsets" totalsRowFunction="sum" dataDxfId="3363" totalsRowDxfId="3362"/>
    <tableColumn id="9" name="Total _x000a_Payments" totalsRowFunction="sum" dataDxfId="3361" totalsRowDxfId="3360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Annual Claim."/>
    </ext>
  </extLst>
</table>
</file>

<file path=xl/tables/table70.xml><?xml version="1.0" encoding="utf-8"?>
<table xmlns="http://schemas.openxmlformats.org/spreadsheetml/2006/main" id="70" name="school200203" displayName="school200203" ref="A718:L733" totalsRowCount="1" dataDxfId="1657" totalsRowDxfId="1655" headerRowBorderDxfId="1658" tableBorderDxfId="1656" dataCellStyle="Currency">
  <autoFilter ref="A718:L732"/>
  <tableColumns count="12">
    <tableColumn id="1" name="Fiscal_x000a_Year" totalsRowLabel="2002-03 Total" dataDxfId="1654" totalsRowDxfId="1653"/>
    <tableColumn id="2" name="Program_x000a_Name" totalsRowLabel="N/A" dataDxfId="1652" totalsRowDxfId="1651"/>
    <tableColumn id="3" name="Legal_x000a_Reference_x000a_(Ch./Year)" totalsRowLabel="N/A" dataDxfId="1650" totalsRowDxfId="1649"/>
    <tableColumn id="4" name="Program_x000a_Number" totalsRowLabel="N/A" dataDxfId="1648" totalsRowDxfId="1647"/>
    <tableColumn id="5" name="Program_x000a_Costs" totalsRowFunction="sum" dataDxfId="1646" totalsRowDxfId="1645" dataCellStyle="Currency"/>
    <tableColumn id="6" name="Less: Net_x000a_ Payments and _x000a_Offsets 2" totalsRowFunction="sum" dataDxfId="1644" totalsRowDxfId="1643" dataCellStyle="Currency"/>
    <tableColumn id="7" name="Comment" totalsRowLabel="N/A" dataDxfId="1642" totalsRowDxfId="1641" dataCellStyle="Currency"/>
    <tableColumn id="8" name="Accounts Payable_x000a_Balance" totalsRowFunction="sum" dataDxfId="1640" totalsRowDxfId="1639" dataCellStyle="Currency"/>
    <tableColumn id="9" name="Established_x000a_Accounts Receivable" totalsRowFunction="sum" dataDxfId="1638" totalsRowDxfId="1637" dataCellStyle="Currency"/>
    <tableColumn id="10" name="Less: _x000a_Recovered _x000a_Amount" totalsRowFunction="sum" dataDxfId="1636" totalsRowDxfId="1635" dataCellStyle="Currency"/>
    <tableColumn id="11" name="Accounts Receivable_x000a_Balance" totalsRowFunction="sum" dataDxfId="1634" totalsRowDxfId="1633" dataCellStyle="Currency"/>
    <tableColumn id="12" name="Net_x000a_Balance" totalsRowFunction="sum" dataDxfId="1632" totalsRowDxfId="163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1.xml><?xml version="1.0" encoding="utf-8"?>
<table xmlns="http://schemas.openxmlformats.org/spreadsheetml/2006/main" id="71" name="school200102" displayName="school200102" ref="A735:L767" totalsRowCount="1" dataDxfId="1629" totalsRowDxfId="1627" headerRowBorderDxfId="1630" tableBorderDxfId="1628" dataCellStyle="Currency">
  <autoFilter ref="A735:L766"/>
  <tableColumns count="12">
    <tableColumn id="1" name="Fiscal_x000a_Year" totalsRowLabel="2001-02 Total" dataDxfId="1626" totalsRowDxfId="1625"/>
    <tableColumn id="2" name="Program_x000a_Name" totalsRowLabel="N/A" dataDxfId="1624" totalsRowDxfId="1623"/>
    <tableColumn id="3" name="Legal_x000a_Reference_x000a_(Ch./Year)" totalsRowLabel="N/A" dataDxfId="1622" totalsRowDxfId="1621"/>
    <tableColumn id="4" name="Program_x000a_Number" totalsRowLabel="N/A" dataDxfId="1620" totalsRowDxfId="1619"/>
    <tableColumn id="5" name="Program_x000a_Costs" totalsRowFunction="sum" dataDxfId="1618" totalsRowDxfId="1617" dataCellStyle="Currency"/>
    <tableColumn id="6" name="Less: Net_x000a_ Payments and _x000a_Offsets 2" totalsRowFunction="sum" dataDxfId="1616" totalsRowDxfId="1615" dataCellStyle="Currency"/>
    <tableColumn id="7" name="Comment" totalsRowLabel="N/A" dataDxfId="1614" totalsRowDxfId="1613" dataCellStyle="Currency"/>
    <tableColumn id="8" name="Accounts Payable_x000a_Balance" totalsRowFunction="sum" dataDxfId="1612" totalsRowDxfId="1611" dataCellStyle="Currency"/>
    <tableColumn id="9" name="Established_x000a_Accounts Receivable" totalsRowFunction="sum" dataDxfId="1610" totalsRowDxfId="1609" dataCellStyle="Currency"/>
    <tableColumn id="10" name="Less: _x000a_Recovered _x000a_Amount" totalsRowFunction="sum" dataDxfId="1608" totalsRowDxfId="1607" dataCellStyle="Currency"/>
    <tableColumn id="11" name="Accounts Receivable_x000a_Balance" totalsRowFunction="sum" dataDxfId="1606" totalsRowDxfId="1605" dataCellStyle="Currency"/>
    <tableColumn id="12" name="Net_x000a_Balance" totalsRowFunction="sum" dataDxfId="1604" totalsRowDxfId="160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2.xml><?xml version="1.0" encoding="utf-8"?>
<table xmlns="http://schemas.openxmlformats.org/spreadsheetml/2006/main" id="72" name="school200001" displayName="school200001" ref="A769:L791" totalsRowCount="1" dataDxfId="1601" totalsRowDxfId="1599" headerRowBorderDxfId="1602" tableBorderDxfId="1600" dataCellStyle="Currency">
  <autoFilter ref="A769:L790"/>
  <tableColumns count="12">
    <tableColumn id="1" name="Fiscal_x000a_Year" totalsRowLabel="2000-01 Total" dataDxfId="1598" totalsRowDxfId="1597"/>
    <tableColumn id="2" name="Program_x000a_Name" totalsRowLabel="N/A" dataDxfId="1596" totalsRowDxfId="1595"/>
    <tableColumn id="3" name="Legal_x000a_Reference_x000a_(Ch./Year)" totalsRowLabel="N/A" dataDxfId="1594" totalsRowDxfId="1593"/>
    <tableColumn id="4" name="Program_x000a_Number" totalsRowLabel="N/A" dataDxfId="1592" totalsRowDxfId="1591"/>
    <tableColumn id="5" name="Program_x000a_Costs" totalsRowFunction="sum" dataDxfId="1590" totalsRowDxfId="1589" dataCellStyle="Currency"/>
    <tableColumn id="6" name="Less: Net_x000a_ Payments and _x000a_Offsets 2" totalsRowFunction="sum" dataDxfId="1588" totalsRowDxfId="1587" dataCellStyle="Currency"/>
    <tableColumn id="7" name="Comment" totalsRowLabel="N/A" dataDxfId="1586" totalsRowDxfId="1585" dataCellStyle="Currency"/>
    <tableColumn id="8" name="Accounts Payable_x000a_Balance" totalsRowFunction="sum" dataDxfId="1584" totalsRowDxfId="1583" dataCellStyle="Currency"/>
    <tableColumn id="9" name="Established_x000a_Accounts Receivable" totalsRowFunction="sum" dataDxfId="1582" totalsRowDxfId="1581" dataCellStyle="Currency"/>
    <tableColumn id="10" name="Less: _x000a_Recovered _x000a_Amount" totalsRowFunction="sum" dataDxfId="1580" totalsRowDxfId="1579" dataCellStyle="Currency"/>
    <tableColumn id="11" name="Accounts Receivable_x000a_Balance" totalsRowFunction="sum" dataDxfId="1578" totalsRowDxfId="1577" dataCellStyle="Currency"/>
    <tableColumn id="12" name="Net_x000a_Balance" totalsRowFunction="sum" dataDxfId="1576" totalsRowDxfId="157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3.xml><?xml version="1.0" encoding="utf-8"?>
<table xmlns="http://schemas.openxmlformats.org/spreadsheetml/2006/main" id="73" name="school199900" displayName="school199900" ref="A793:L805" totalsRowCount="1" dataDxfId="1573" totalsRowDxfId="1571" headerRowBorderDxfId="1574" tableBorderDxfId="1572" dataCellStyle="Currency">
  <autoFilter ref="A793:L804"/>
  <tableColumns count="12">
    <tableColumn id="1" name="Fiscal_x000a_Year" totalsRowLabel="1999-00 Total" dataDxfId="1570" totalsRowDxfId="1569"/>
    <tableColumn id="2" name="Program_x000a_Name" totalsRowLabel="N/A" dataDxfId="1568" totalsRowDxfId="1567"/>
    <tableColumn id="3" name="Legal_x000a_Reference_x000a_(Ch./Year)" totalsRowLabel="N/A" dataDxfId="1566" totalsRowDxfId="1565"/>
    <tableColumn id="4" name="Program_x000a_Number" totalsRowLabel="N/A" dataDxfId="1564" totalsRowDxfId="1563"/>
    <tableColumn id="5" name="Program_x000a_Costs" totalsRowFunction="sum" dataDxfId="1562" totalsRowDxfId="1561" dataCellStyle="Currency"/>
    <tableColumn id="6" name="Less: Net_x000a_ Payments and _x000a_Offsets 2" totalsRowFunction="sum" dataDxfId="1560" totalsRowDxfId="1559" dataCellStyle="Currency"/>
    <tableColumn id="7" name="Comment" totalsRowLabel="N/A" dataDxfId="1558" totalsRowDxfId="1557" dataCellStyle="Currency"/>
    <tableColumn id="8" name="Accounts Payable_x000a_Balance" totalsRowFunction="sum" dataDxfId="1556" totalsRowDxfId="1555" dataCellStyle="Currency"/>
    <tableColumn id="9" name="Established_x000a_Accounts Receivable" totalsRowFunction="sum" dataDxfId="1554" totalsRowDxfId="1553" dataCellStyle="Currency"/>
    <tableColumn id="10" name="Less: _x000a_Recovered _x000a_Amount" totalsRowFunction="sum" dataDxfId="1552" totalsRowDxfId="1551" dataCellStyle="Currency"/>
    <tableColumn id="11" name="Accounts Receivable_x000a_Balance" totalsRowFunction="sum" dataDxfId="1550" totalsRowDxfId="1549" dataCellStyle="Currency"/>
    <tableColumn id="12" name="Net_x000a_Balance" totalsRowFunction="sum" dataDxfId="1548" totalsRowDxfId="154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4.xml><?xml version="1.0" encoding="utf-8"?>
<table xmlns="http://schemas.openxmlformats.org/spreadsheetml/2006/main" id="74" name="school199899" displayName="school199899" ref="A807:L814" totalsRowCount="1" dataDxfId="1545" totalsRowDxfId="1543" headerRowBorderDxfId="1546" tableBorderDxfId="1544" dataCellStyle="Currency">
  <autoFilter ref="A807:L813"/>
  <tableColumns count="12">
    <tableColumn id="1" name="Fiscal_x000a_Year" totalsRowLabel="1998-99 Total" dataDxfId="1542" totalsRowDxfId="1541"/>
    <tableColumn id="2" name="Program_x000a_Name" totalsRowLabel="N/A" dataDxfId="1540" totalsRowDxfId="1539"/>
    <tableColumn id="3" name="Legal_x000a_Reference_x000a_(Ch./Year)" totalsRowLabel="N/A" dataDxfId="1538" totalsRowDxfId="1537"/>
    <tableColumn id="4" name="Program_x000a_Number" totalsRowLabel="N/A" dataDxfId="1536" totalsRowDxfId="1535"/>
    <tableColumn id="5" name="Program_x000a_Costs" totalsRowFunction="sum" dataDxfId="1534" totalsRowDxfId="1533" dataCellStyle="Currency"/>
    <tableColumn id="6" name="Less: Net_x000a_ Payments and _x000a_Offsets 2" totalsRowFunction="sum" dataDxfId="1532" totalsRowDxfId="1531" dataCellStyle="Currency"/>
    <tableColumn id="7" name="Comment" totalsRowLabel="N/A" dataDxfId="1530" totalsRowDxfId="1529" dataCellStyle="Currency"/>
    <tableColumn id="8" name="Accounts Payable_x000a_Balance" totalsRowFunction="sum" dataDxfId="1528" totalsRowDxfId="1527" dataCellStyle="Currency"/>
    <tableColumn id="9" name="Established_x000a_Accounts Receivable" totalsRowFunction="sum" dataDxfId="1526" totalsRowDxfId="1525" dataCellStyle="Currency"/>
    <tableColumn id="10" name="Less: _x000a_Recovered _x000a_Amount" totalsRowFunction="sum" dataDxfId="1524" totalsRowDxfId="1523" dataCellStyle="Currency"/>
    <tableColumn id="11" name="Accounts Receivable_x000a_Balance" totalsRowFunction="sum" dataDxfId="1522" totalsRowDxfId="1521" dataCellStyle="Currency"/>
    <tableColumn id="12" name="Net_x000a_Balance" totalsRowFunction="sum" dataDxfId="1520" totalsRowDxfId="151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5.xml><?xml version="1.0" encoding="utf-8"?>
<table xmlns="http://schemas.openxmlformats.org/spreadsheetml/2006/main" id="75" name="school199798" displayName="school199798" ref="A816:L823" totalsRowCount="1" dataDxfId="1517" totalsRowDxfId="1515" headerRowBorderDxfId="1518" tableBorderDxfId="1516" dataCellStyle="Currency">
  <autoFilter ref="A816:L822"/>
  <tableColumns count="12">
    <tableColumn id="1" name="Fiscal_x000a_Year" totalsRowLabel="1997-98 Total" dataDxfId="1514" totalsRowDxfId="1513"/>
    <tableColumn id="2" name="Program_x000a_Name" totalsRowLabel="N/A" dataDxfId="1512" totalsRowDxfId="1511"/>
    <tableColumn id="3" name="Legal_x000a_Reference_x000a_(Ch./Year)" totalsRowLabel="N/A" dataDxfId="1510" totalsRowDxfId="1509"/>
    <tableColumn id="4" name="Program_x000a_Number" totalsRowLabel="N/A" dataDxfId="1508" totalsRowDxfId="1507"/>
    <tableColumn id="5" name="Program_x000a_Costs" totalsRowFunction="sum" dataDxfId="1506" totalsRowDxfId="1505" dataCellStyle="Currency"/>
    <tableColumn id="6" name="Less: Net_x000a_ Payments and _x000a_Offsets 2" totalsRowFunction="sum" dataDxfId="1504" totalsRowDxfId="1503" dataCellStyle="Currency"/>
    <tableColumn id="7" name="Comment" totalsRowLabel="N/A" dataDxfId="1502" totalsRowDxfId="1501" dataCellStyle="Currency"/>
    <tableColumn id="8" name="Accounts Payable_x000a_Balance" totalsRowFunction="sum" dataDxfId="1500" totalsRowDxfId="1499" dataCellStyle="Currency"/>
    <tableColumn id="9" name="Established_x000a_Accounts Receivable" totalsRowFunction="sum" dataDxfId="1498" totalsRowDxfId="1497" dataCellStyle="Currency"/>
    <tableColumn id="10" name="Less: _x000a_Recovered _x000a_Amount" totalsRowFunction="sum" dataDxfId="1496" totalsRowDxfId="1495" dataCellStyle="Currency"/>
    <tableColumn id="11" name="Accounts Receivable_x000a_Balance" totalsRowFunction="sum" dataDxfId="1494" totalsRowDxfId="1493" dataCellStyle="Currency"/>
    <tableColumn id="12" name="Net_x000a_Balance" totalsRowFunction="sum" dataDxfId="1492" totalsRowDxfId="149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6.xml><?xml version="1.0" encoding="utf-8"?>
<table xmlns="http://schemas.openxmlformats.org/spreadsheetml/2006/main" id="76" name="school199697" displayName="school199697" ref="A825:L831" totalsRowCount="1" dataDxfId="1489" totalsRowDxfId="1487" headerRowBorderDxfId="1490" tableBorderDxfId="1488" dataCellStyle="Currency">
  <autoFilter ref="A825:L830"/>
  <tableColumns count="12">
    <tableColumn id="1" name="Fiscal_x000a_Year" totalsRowLabel="1996-97 Total" dataDxfId="1486" totalsRowDxfId="1485"/>
    <tableColumn id="2" name="Program_x000a_Name" totalsRowLabel="N/A" dataDxfId="1484" totalsRowDxfId="1483"/>
    <tableColumn id="3" name="Legal_x000a_Reference_x000a_(Ch./Year)" totalsRowLabel="N/A" dataDxfId="1482" totalsRowDxfId="1481"/>
    <tableColumn id="4" name="Program_x000a_Number" totalsRowLabel="N/A" dataDxfId="1480" totalsRowDxfId="1479"/>
    <tableColumn id="5" name="Program_x000a_Costs" totalsRowFunction="sum" dataDxfId="1478" totalsRowDxfId="1477" dataCellStyle="Currency"/>
    <tableColumn id="6" name="Less: Net_x000a_ Payments and _x000a_Offsets 2" totalsRowFunction="sum" dataDxfId="1476" totalsRowDxfId="1475" dataCellStyle="Currency"/>
    <tableColumn id="7" name="Comment" totalsRowLabel="N/A" dataDxfId="1474" totalsRowDxfId="1473" dataCellStyle="Currency"/>
    <tableColumn id="8" name="Accounts Payable_x000a_Balance" totalsRowFunction="sum" dataDxfId="1472" totalsRowDxfId="1471" dataCellStyle="Currency"/>
    <tableColumn id="9" name="Established_x000a_Accounts Receivable" totalsRowFunction="sum" dataDxfId="1470" totalsRowDxfId="1469" dataCellStyle="Currency"/>
    <tableColumn id="10" name="Less: _x000a_Recovered _x000a_Amount" totalsRowFunction="sum" dataDxfId="1468" totalsRowDxfId="1467" dataCellStyle="Currency"/>
    <tableColumn id="11" name="Accounts Receivable_x000a_Balance" totalsRowFunction="sum" dataDxfId="1466" totalsRowDxfId="1465" dataCellStyle="Currency"/>
    <tableColumn id="12" name="Net_x000a_Balance" totalsRowFunction="sum" dataDxfId="1464" totalsRowDxfId="146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7.xml><?xml version="1.0" encoding="utf-8"?>
<table xmlns="http://schemas.openxmlformats.org/spreadsheetml/2006/main" id="77" name="school199596" displayName="school199596" ref="A833:L842" totalsRowCount="1" dataDxfId="1461" totalsRowDxfId="1459" headerRowBorderDxfId="1462" tableBorderDxfId="1460" dataCellStyle="Currency">
  <autoFilter ref="A833:L841"/>
  <tableColumns count="12">
    <tableColumn id="1" name="Fiscal_x000a_Year" totalsRowLabel="1995-96 Total" dataDxfId="1458" totalsRowDxfId="1457"/>
    <tableColumn id="2" name="Program_x000a_Name" totalsRowLabel="N/A" dataDxfId="1456" totalsRowDxfId="1455"/>
    <tableColumn id="3" name="Legal_x000a_Reference_x000a_(Ch./Year)" totalsRowLabel="N/A" dataDxfId="1454" totalsRowDxfId="1453"/>
    <tableColumn id="4" name="Program_x000a_Number" totalsRowLabel="N/A" dataDxfId="1452" totalsRowDxfId="1451"/>
    <tableColumn id="5" name="Program_x000a_Costs" totalsRowFunction="sum" dataDxfId="1450" totalsRowDxfId="1449" dataCellStyle="Currency"/>
    <tableColumn id="6" name="Less: Net_x000a_ Payments and _x000a_Offsets 2" totalsRowFunction="sum" dataDxfId="1448" totalsRowDxfId="1447" dataCellStyle="Currency"/>
    <tableColumn id="7" name="Comment" totalsRowLabel="N/A" dataDxfId="1446" totalsRowDxfId="1445" dataCellStyle="Currency"/>
    <tableColumn id="8" name="Accounts Payable_x000a_Balance" totalsRowFunction="sum" dataDxfId="1444" totalsRowDxfId="1443" dataCellStyle="Currency"/>
    <tableColumn id="9" name="Established_x000a_Accounts Receivable" totalsRowFunction="sum" dataDxfId="1442" totalsRowDxfId="1441" dataCellStyle="Currency"/>
    <tableColumn id="10" name="Less: _x000a_Recovered _x000a_Amount" totalsRowFunction="sum" dataDxfId="1440" totalsRowDxfId="1439" dataCellStyle="Currency"/>
    <tableColumn id="11" name="Accounts Receivable_x000a_Balance" totalsRowFunction="sum" dataDxfId="1438" totalsRowDxfId="1437" dataCellStyle="Currency"/>
    <tableColumn id="12" name="Net_x000a_Balance" totalsRowFunction="sum" dataDxfId="1436" totalsRowDxfId="143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8.xml><?xml version="1.0" encoding="utf-8"?>
<table xmlns="http://schemas.openxmlformats.org/spreadsheetml/2006/main" id="78" name="school199495" displayName="school199495" ref="A844:L849" totalsRowCount="1" dataDxfId="1433" totalsRowDxfId="1431" headerRowBorderDxfId="1434" tableBorderDxfId="1432" dataCellStyle="Currency">
  <autoFilter ref="A844:L848"/>
  <tableColumns count="12">
    <tableColumn id="1" name="Fiscal_x000a_Year" totalsRowLabel="1994-95 Total" dataDxfId="1430" totalsRowDxfId="1429"/>
    <tableColumn id="2" name="Program_x000a_Name" totalsRowLabel="N/A" dataDxfId="1428" totalsRowDxfId="1427"/>
    <tableColumn id="3" name="Legal_x000a_Reference_x000a_(Ch./Year)" totalsRowLabel="N/A" dataDxfId="1426" totalsRowDxfId="1425"/>
    <tableColumn id="4" name="Program_x000a_Number" totalsRowLabel="N/A" dataDxfId="1424" totalsRowDxfId="1423"/>
    <tableColumn id="5" name="Program_x000a_Costs" totalsRowFunction="sum" dataDxfId="1422" totalsRowDxfId="1421" dataCellStyle="Currency"/>
    <tableColumn id="6" name="Less: Net_x000a_ Payments and _x000a_Offsets 2" totalsRowFunction="sum" dataDxfId="1420" totalsRowDxfId="1419" dataCellStyle="Currency"/>
    <tableColumn id="7" name="Comment" totalsRowLabel="N/A" dataDxfId="1418" totalsRowDxfId="1417" dataCellStyle="Currency"/>
    <tableColumn id="8" name="Accounts Payable_x000a_Balance" totalsRowFunction="sum" dataDxfId="1416" totalsRowDxfId="1415" dataCellStyle="Currency"/>
    <tableColumn id="9" name="Established_x000a_Accounts Receivable" totalsRowFunction="sum" dataDxfId="1414" totalsRowDxfId="1413" dataCellStyle="Currency"/>
    <tableColumn id="10" name="Less: _x000a_Recovered _x000a_Amount" totalsRowFunction="sum" dataDxfId="1412" totalsRowDxfId="1411" dataCellStyle="Currency"/>
    <tableColumn id="11" name="Accounts Receivable_x000a_Balance" totalsRowFunction="sum" dataDxfId="1410" totalsRowDxfId="1409" dataCellStyle="Currency"/>
    <tableColumn id="12" name="Net_x000a_Balance" totalsRowFunction="sum" dataDxfId="1408" totalsRowDxfId="140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79.xml><?xml version="1.0" encoding="utf-8"?>
<table xmlns="http://schemas.openxmlformats.org/spreadsheetml/2006/main" id="79" name="school199394" displayName="school199394" ref="A851:L856" totalsRowCount="1" dataDxfId="1405" totalsRowDxfId="1403" headerRowBorderDxfId="1406" tableBorderDxfId="1404" dataCellStyle="Currency">
  <autoFilter ref="A851:L855"/>
  <tableColumns count="12">
    <tableColumn id="1" name="Fiscal_x000a_Year" totalsRowLabel="1993-94 Total" dataDxfId="1402" totalsRowDxfId="1401"/>
    <tableColumn id="2" name="Program_x000a_Name" totalsRowLabel="N/A" dataDxfId="1400" totalsRowDxfId="1399"/>
    <tableColumn id="3" name="Legal_x000a_Reference_x000a_(Ch./Year)" totalsRowLabel="N/A" dataDxfId="1398" totalsRowDxfId="1397"/>
    <tableColumn id="4" name="Program_x000a_Number" totalsRowLabel="N/A" dataDxfId="1396" totalsRowDxfId="1395"/>
    <tableColumn id="5" name="Program_x000a_Costs" totalsRowFunction="sum" dataDxfId="1394" totalsRowDxfId="1393" dataCellStyle="Currency"/>
    <tableColumn id="6" name="Less: Net_x000a_ Payments and _x000a_Offsets 2" totalsRowFunction="sum" dataDxfId="1392" totalsRowDxfId="1391" dataCellStyle="Currency"/>
    <tableColumn id="7" name="Comment" totalsRowLabel="N/A" dataDxfId="1390" totalsRowDxfId="1389" dataCellStyle="Currency"/>
    <tableColumn id="8" name="Accounts Payable_x000a_Balance" totalsRowFunction="sum" dataDxfId="1388" totalsRowDxfId="1387" dataCellStyle="Currency"/>
    <tableColumn id="9" name="Established_x000a_Accounts Receivable" totalsRowFunction="sum" dataDxfId="1386" totalsRowDxfId="1385" dataCellStyle="Currency"/>
    <tableColumn id="10" name="Less: _x000a_Recovered _x000a_Amount" totalsRowFunction="sum" totalsRowDxfId="1384"/>
    <tableColumn id="11" name="Accounts Receivable_x000a_Balance" totalsRowFunction="sum" dataDxfId="1383" totalsRowDxfId="1382" dataCellStyle="Currency"/>
    <tableColumn id="12" name="Net_x000a_Balance" totalsRowFunction="sum" dataDxfId="1381" totalsRowDxfId="138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.xml><?xml version="1.0" encoding="utf-8"?>
<table xmlns="http://schemas.openxmlformats.org/spreadsheetml/2006/main" id="23" name="localannualclaim19" displayName="localannualclaim19" ref="A28:I40" totalsRowCount="1" headerRowDxfId="3359" dataDxfId="3357" totalsRowDxfId="3355" headerRowBorderDxfId="3358" tableBorderDxfId="3356" totalsRowBorderDxfId="3354">
  <autoFilter ref="A28:I39"/>
  <tableColumns count="9">
    <tableColumn id="1" name="Program Category_x000a_and Type of Payment" totalsRowLabel="0001-8885-2019-295-98 Total" dataDxfId="3353" totalsRowDxfId="3352"/>
    <tableColumn id="2" name="Fiscal _x000a_Year" totalsRowLabel="N/A" dataDxfId="3351" totalsRowDxfId="3350"/>
    <tableColumn id="3" name="Appropriation _x000a_Number" totalsRowLabel="N/A" dataDxfId="3349" totalsRowDxfId="3348"/>
    <tableColumn id="4" name="Program _x000a_Name" totalsRowLabel="N/A" dataDxfId="3347" totalsRowDxfId="3346"/>
    <tableColumn id="5" name="Legal _x000a_Reference_x000a_(Ch./Year)" totalsRowLabel="N/A" dataDxfId="3345" totalsRowDxfId="3344"/>
    <tableColumn id="6" name="Program_x000a_ Number" totalsRowLabel="N/A" dataDxfId="3343" totalsRowDxfId="3342"/>
    <tableColumn id="7" name="Program _x000a_Payments and Offsets" totalsRowFunction="sum" dataDxfId="3341" totalsRowDxfId="3340"/>
    <tableColumn id="8" name="Interest_x000a_Payments and Offsets" totalsRowFunction="sum" dataDxfId="3339" totalsRowDxfId="3338"/>
    <tableColumn id="9" name="Total _x000a_Payments" totalsRowFunction="sum" dataDxfId="3337" totalsRowDxfId="3336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Annual Claim."/>
    </ext>
  </extLst>
</table>
</file>

<file path=xl/tables/table80.xml><?xml version="1.0" encoding="utf-8"?>
<table xmlns="http://schemas.openxmlformats.org/spreadsheetml/2006/main" id="80" name="school199293" displayName="school199293" ref="A858:L862" totalsRowCount="1" dataDxfId="1378" totalsRowDxfId="1376" headerRowBorderDxfId="1379" tableBorderDxfId="1377" dataCellStyle="Currency">
  <autoFilter ref="A858:L861"/>
  <tableColumns count="12">
    <tableColumn id="1" name="Fiscal_x000a_Year" totalsRowLabel="1992-93 Total" dataDxfId="1375" totalsRowDxfId="1374"/>
    <tableColumn id="2" name="Program_x000a_Name" totalsRowLabel="N/A" totalsRowDxfId="1373"/>
    <tableColumn id="3" name="Legal_x000a_Reference_x000a_(Ch./Year)" totalsRowLabel="N/A" dataDxfId="1372" totalsRowDxfId="1371"/>
    <tableColumn id="4" name="Program_x000a_Number" totalsRowLabel="N/A" dataDxfId="1370" totalsRowDxfId="1369"/>
    <tableColumn id="5" name="Program_x000a_Costs" totalsRowFunction="sum" dataDxfId="1368" totalsRowDxfId="1367" dataCellStyle="Currency"/>
    <tableColumn id="6" name="Less: Net_x000a_ Payments and _x000a_Offsets 2" totalsRowFunction="sum" dataDxfId="1366" totalsRowDxfId="1365" dataCellStyle="Currency"/>
    <tableColumn id="7" name="Comment" totalsRowLabel="N/A" dataDxfId="1364" totalsRowDxfId="1363" dataCellStyle="Currency"/>
    <tableColumn id="8" name="Accounts Payable_x000a_Balance" totalsRowFunction="sum" dataDxfId="1362" totalsRowDxfId="1361" dataCellStyle="Currency"/>
    <tableColumn id="9" name="Established_x000a_Accounts Receivable" totalsRowFunction="sum" dataDxfId="1360" totalsRowDxfId="1359" dataCellStyle="Currency"/>
    <tableColumn id="10" name="Less: _x000a_Recovered _x000a_Amount" totalsRowFunction="sum" dataDxfId="1358" totalsRowDxfId="1357" dataCellStyle="Currency"/>
    <tableColumn id="11" name="Accounts Receivable_x000a_Balance" totalsRowFunction="sum" dataDxfId="1356" totalsRowDxfId="1355" dataCellStyle="Currency"/>
    <tableColumn id="12" name="Net_x000a_Balance" totalsRowFunction="sum" dataDxfId="1354" totalsRowDxfId="135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1.xml><?xml version="1.0" encoding="utf-8"?>
<table xmlns="http://schemas.openxmlformats.org/spreadsheetml/2006/main" id="81" name="school199192" displayName="school199192" ref="A864:L867" totalsRowCount="1" dataDxfId="1351" headerRowBorderDxfId="1352" tableBorderDxfId="1350" dataCellStyle="Currency">
  <autoFilter ref="A864:L866"/>
  <tableColumns count="12">
    <tableColumn id="1" name="Fiscal_x000a_Year" totalsRowLabel="1991-92 Total" dataDxfId="1349" totalsRowDxfId="1348"/>
    <tableColumn id="2" name="Program_x000a_Name" totalsRowLabel="N/A" totalsRowDxfId="1347"/>
    <tableColumn id="3" name="Legal_x000a_Reference_x000a_(Ch./Year)" totalsRowLabel="N/A" dataDxfId="1346" totalsRowDxfId="1345"/>
    <tableColumn id="4" name="Program_x000a_Number" totalsRowLabel="N/A" dataDxfId="1344" totalsRowDxfId="1343"/>
    <tableColumn id="5" name="Program_x000a_Costs" totalsRowFunction="sum" dataDxfId="1342" totalsRowDxfId="1341" dataCellStyle="Currency"/>
    <tableColumn id="6" name="Less: Net_x000a_ Payments and _x000a_Offsets 2" totalsRowFunction="sum" dataDxfId="1340" totalsRowDxfId="1339" dataCellStyle="Currency"/>
    <tableColumn id="7" name="Comment" totalsRowLabel="N/A" dataDxfId="1338" totalsRowDxfId="1337" dataCellStyle="Currency"/>
    <tableColumn id="8" name="Accounts Payable_x000a_Balance" totalsRowFunction="sum" dataDxfId="1336" totalsRowDxfId="1335" dataCellStyle="Currency"/>
    <tableColumn id="9" name="Established_x000a_Accounts Receivable" totalsRowFunction="sum" dataDxfId="1334" totalsRowDxfId="1333" dataCellStyle="Currency"/>
    <tableColumn id="10" name="Less: _x000a_Recovered _x000a_Amount" totalsRowFunction="sum" dataDxfId="1332" totalsRowDxfId="1331" dataCellStyle="Currency"/>
    <tableColumn id="11" name="Accounts Receivable_x000a_Balance" totalsRowFunction="sum" dataDxfId="1330" totalsRowDxfId="1329" dataCellStyle="Currency"/>
    <tableColumn id="12" name="Net_x000a_Balance" totalsRowFunction="sum" dataDxfId="1328" totalsRowDxfId="132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2.xml><?xml version="1.0" encoding="utf-8"?>
<table xmlns="http://schemas.openxmlformats.org/spreadsheetml/2006/main" id="82" name="school199091" displayName="school199091" ref="A869:L872" totalsRowCount="1" dataDxfId="1325" totalsRowDxfId="1323" headerRowBorderDxfId="1326" tableBorderDxfId="1324" dataCellStyle="Currency">
  <autoFilter ref="A869:L871"/>
  <tableColumns count="12">
    <tableColumn id="1" name="Fiscal_x000a_Year" totalsRowLabel="1990-91 Total" dataDxfId="1322" totalsRowDxfId="1321"/>
    <tableColumn id="2" name="Program_x000a_Name" totalsRowLabel="N/A" dataDxfId="1320" totalsRowDxfId="1319"/>
    <tableColumn id="3" name="Legal_x000a_Reference_x000a_(Ch./Year)" totalsRowLabel="N/A" totalsRowDxfId="1318"/>
    <tableColumn id="4" name="Program_x000a_Number" totalsRowLabel="N/A" dataDxfId="1317" totalsRowDxfId="1316"/>
    <tableColumn id="5" name="Program_x000a_Costs" totalsRowFunction="sum" dataDxfId="1315" totalsRowDxfId="1314" dataCellStyle="Currency"/>
    <tableColumn id="6" name="Less: Net_x000a_ Payments and _x000a_Offsets 2" totalsRowFunction="sum" dataDxfId="1313" totalsRowDxfId="1312" dataCellStyle="Currency"/>
    <tableColumn id="7" name="Comment" totalsRowLabel="N/A" dataDxfId="1311" totalsRowDxfId="1310" dataCellStyle="Currency"/>
    <tableColumn id="8" name="Accounts Payable_x000a_Balance" totalsRowFunction="sum" dataDxfId="1309" totalsRowDxfId="1308" dataCellStyle="Currency"/>
    <tableColumn id="9" name="Established_x000a_Accounts Receivable" totalsRowFunction="sum" dataDxfId="1307" totalsRowDxfId="1306" dataCellStyle="Currency"/>
    <tableColumn id="10" name="Less: _x000a_Recovered _x000a_Amount" totalsRowFunction="sum" dataDxfId="1305" totalsRowDxfId="1304" dataCellStyle="Currency"/>
    <tableColumn id="11" name="Accounts Receivable_x000a_Balance" totalsRowFunction="sum" dataDxfId="1303" totalsRowDxfId="1302" dataCellStyle="Currency"/>
    <tableColumn id="12" name="Net_x000a_Balance" totalsRowFunction="sum" dataDxfId="1301" totalsRowDxfId="130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3.xml><?xml version="1.0" encoding="utf-8"?>
<table xmlns="http://schemas.openxmlformats.org/spreadsheetml/2006/main" id="83" name="school198990" displayName="school198990" ref="A874:L877" totalsRowCount="1" dataDxfId="1298" totalsRowDxfId="1296" headerRowBorderDxfId="1299" tableBorderDxfId="1297" dataCellStyle="Currency">
  <autoFilter ref="A874:L876"/>
  <tableColumns count="12">
    <tableColumn id="1" name="Fiscal_x000a_Year" totalsRowLabel="1989-90 Total" dataDxfId="1295" totalsRowDxfId="1294"/>
    <tableColumn id="2" name="Program_x000a_Name" totalsRowLabel="N/A" dataDxfId="1293" totalsRowDxfId="1292"/>
    <tableColumn id="3" name="Legal_x000a_Reference_x000a_(Ch./Year)" totalsRowLabel="N/A" totalsRowDxfId="1291"/>
    <tableColumn id="4" name="Program_x000a_Number" totalsRowLabel="N/A" dataDxfId="1290" totalsRowDxfId="1289"/>
    <tableColumn id="5" name="Program_x000a_Costs" totalsRowFunction="sum" dataDxfId="1288" totalsRowDxfId="1287" dataCellStyle="Currency"/>
    <tableColumn id="6" name="Less: Net_x000a_ Payments and _x000a_Offsets 2" totalsRowFunction="sum" dataDxfId="1286" totalsRowDxfId="1285" dataCellStyle="Currency"/>
    <tableColumn id="7" name="Comment" totalsRowLabel="N/A" dataDxfId="1284" totalsRowDxfId="1283" dataCellStyle="Currency"/>
    <tableColumn id="8" name="Accounts Payable_x000a_Balance" totalsRowFunction="sum" dataDxfId="1282" totalsRowDxfId="1281" dataCellStyle="Currency"/>
    <tableColumn id="9" name="Established_x000a_Accounts Receivable" totalsRowFunction="sum" dataDxfId="1280" totalsRowDxfId="1279" dataCellStyle="Currency"/>
    <tableColumn id="10" name="Less: _x000a_Recovered _x000a_Amount" totalsRowFunction="sum" dataDxfId="1278" totalsRowDxfId="1277" dataCellStyle="Currency"/>
    <tableColumn id="11" name="Accounts Receivable_x000a_Balance" totalsRowFunction="sum" dataDxfId="1276" totalsRowDxfId="1275" dataCellStyle="Currency"/>
    <tableColumn id="12" name="Net_x000a_Balance" totalsRowFunction="sum" dataDxfId="1274" totalsRowDxfId="127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4.xml><?xml version="1.0" encoding="utf-8"?>
<table xmlns="http://schemas.openxmlformats.org/spreadsheetml/2006/main" id="84" name="school198889" displayName="school198889" ref="A879:L881" totalsRowCount="1" dataDxfId="1271" totalsRowDxfId="1269" headerRowBorderDxfId="1272" tableBorderDxfId="1270" dataCellStyle="Currency">
  <autoFilter ref="A879:L880"/>
  <tableColumns count="12">
    <tableColumn id="1" name="Fiscal_x000a_Year" totalsRowLabel="1988-89 Total" dataDxfId="1268" totalsRowDxfId="1267"/>
    <tableColumn id="2" name="Program_x000a_Name" totalsRowLabel="N/A" dataDxfId="1266" totalsRowDxfId="1265"/>
    <tableColumn id="3" name="Legal_x000a_Reference_x000a_(Ch./Year)" totalsRowLabel="N/A" dataDxfId="1264" totalsRowDxfId="1263"/>
    <tableColumn id="4" name="Program_x000a_Number" totalsRowLabel="N/A" dataDxfId="1262" totalsRowDxfId="1261"/>
    <tableColumn id="5" name="Program_x000a_Costs" totalsRowFunction="sum" dataDxfId="1260" totalsRowDxfId="1259" dataCellStyle="Currency"/>
    <tableColumn id="6" name="Less: Net_x000a_ Payments and _x000a_Offsets 2" totalsRowFunction="sum" dataDxfId="1258" totalsRowDxfId="1257" dataCellStyle="Currency"/>
    <tableColumn id="7" name="Comment" totalsRowLabel="N/A" dataDxfId="1256" totalsRowDxfId="1255" dataCellStyle="Currency"/>
    <tableColumn id="8" name="Accounts Payable_x000a_Balance" totalsRowFunction="sum" dataDxfId="1254" totalsRowDxfId="1253" dataCellStyle="Currency"/>
    <tableColumn id="9" name="Established_x000a_Accounts Receivable" totalsRowFunction="sum" dataDxfId="1252" totalsRowDxfId="1251" dataCellStyle="Currency"/>
    <tableColumn id="10" name="Less: _x000a_Recovered _x000a_Amount" totalsRowFunction="sum" dataDxfId="1250" totalsRowDxfId="1249" dataCellStyle="Currency"/>
    <tableColumn id="11" name="Accounts Receivable_x000a_Balance" totalsRowFunction="sum" dataDxfId="1248" totalsRowDxfId="1247" dataCellStyle="Currency"/>
    <tableColumn id="12" name="Net_x000a_Balance" totalsRowFunction="sum" dataDxfId="1246" totalsRowDxfId="124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5.xml><?xml version="1.0" encoding="utf-8"?>
<table xmlns="http://schemas.openxmlformats.org/spreadsheetml/2006/main" id="85" name="school198788" displayName="school198788" ref="A883:L885" totalsRowCount="1" dataDxfId="1243" totalsRowDxfId="1241" headerRowBorderDxfId="1244" tableBorderDxfId="1242" dataCellStyle="Currency">
  <autoFilter ref="A883:L884"/>
  <tableColumns count="12">
    <tableColumn id="1" name="Fiscal_x000a_Year" totalsRowLabel="1987-88 Total" dataDxfId="1240" totalsRowDxfId="1239"/>
    <tableColumn id="2" name="Program_x000a_Name" totalsRowLabel="N/A" dataDxfId="1238" totalsRowDxfId="1237"/>
    <tableColumn id="3" name="Legal_x000a_Reference_x000a_(Ch./Year)" totalsRowLabel="N/A" dataDxfId="1236" totalsRowDxfId="1235"/>
    <tableColumn id="4" name="Program_x000a_Number" totalsRowLabel="N/A" dataDxfId="1234" totalsRowDxfId="1233"/>
    <tableColumn id="5" name="Program_x000a_Costs" totalsRowFunction="sum" dataDxfId="1232" totalsRowDxfId="1231" dataCellStyle="Currency"/>
    <tableColumn id="6" name="Less: Net_x000a_ Payments and _x000a_Offsets 2" totalsRowFunction="sum" dataDxfId="1230" totalsRowDxfId="1229" dataCellStyle="Currency"/>
    <tableColumn id="7" name="Comment" totalsRowLabel="N/A" dataDxfId="1228" totalsRowDxfId="1227" dataCellStyle="Currency"/>
    <tableColumn id="8" name="Accounts Payable_x000a_Balance" totalsRowFunction="sum" dataDxfId="1226" totalsRowDxfId="1225" dataCellStyle="Currency"/>
    <tableColumn id="9" name="Established_x000a_Accounts Receivable" totalsRowFunction="sum" dataDxfId="1224" totalsRowDxfId="1223" dataCellStyle="Currency"/>
    <tableColumn id="10" name="Less: _x000a_Recovered _x000a_Amount" totalsRowFunction="sum" dataDxfId="1222" totalsRowDxfId="1221" dataCellStyle="Currency"/>
    <tableColumn id="11" name="Accounts Receivable_x000a_Balance" totalsRowFunction="sum" dataDxfId="1220" totalsRowDxfId="1219" dataCellStyle="Currency"/>
    <tableColumn id="12" name="Net_x000a_Balance" totalsRowFunction="sum" dataDxfId="1218" totalsRowDxfId="1217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6.xml><?xml version="1.0" encoding="utf-8"?>
<table xmlns="http://schemas.openxmlformats.org/spreadsheetml/2006/main" id="86" name="school198687" displayName="school198687" ref="A887:L889" totalsRowCount="1" dataDxfId="1215" totalsRowDxfId="1213" headerRowBorderDxfId="1216" tableBorderDxfId="1214" dataCellStyle="Currency">
  <autoFilter ref="A887:L888"/>
  <tableColumns count="12">
    <tableColumn id="1" name="Fiscal_x000a_Year" totalsRowLabel="1986-87 Total" dataDxfId="1212" totalsRowDxfId="1211"/>
    <tableColumn id="2" name="Program_x000a_Name" totalsRowLabel="N/A" dataDxfId="1210" totalsRowDxfId="1209"/>
    <tableColumn id="3" name="Legal_x000a_Reference_x000a_(Ch./Year)" totalsRowLabel="N/A" dataDxfId="1208" totalsRowDxfId="1207"/>
    <tableColumn id="4" name="Program_x000a_Number" totalsRowLabel="N/A" dataDxfId="1206" totalsRowDxfId="1205"/>
    <tableColumn id="5" name="Program_x000a_Costs" totalsRowFunction="sum" dataDxfId="1204" totalsRowDxfId="1203" dataCellStyle="Currency"/>
    <tableColumn id="6" name="Less: Net_x000a_ Payments and _x000a_Offsets 2" totalsRowFunction="sum" dataDxfId="1202" totalsRowDxfId="1201" dataCellStyle="Currency"/>
    <tableColumn id="7" name="Comment" totalsRowLabel="N/A" dataDxfId="1200" totalsRowDxfId="1199" dataCellStyle="Currency"/>
    <tableColumn id="8" name="Accounts Payable_x000a_Balance" totalsRowFunction="sum" dataDxfId="1198" totalsRowDxfId="1197" dataCellStyle="Currency"/>
    <tableColumn id="9" name="Established_x000a_Accounts Receivable" totalsRowFunction="sum" dataDxfId="1196" totalsRowDxfId="1195" dataCellStyle="Currency"/>
    <tableColumn id="10" name="Less: _x000a_Recovered _x000a_Amount" totalsRowFunction="sum" dataDxfId="1194" totalsRowDxfId="1193" dataCellStyle="Currency"/>
    <tableColumn id="11" name="Accounts Receivable_x000a_Balance" totalsRowFunction="sum" dataDxfId="1192" totalsRowDxfId="1191" dataCellStyle="Currency"/>
    <tableColumn id="12" name="Net_x000a_Balance" totalsRowFunction="sum" dataDxfId="1190" totalsRowDxfId="118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7.xml><?xml version="1.0" encoding="utf-8"?>
<table xmlns="http://schemas.openxmlformats.org/spreadsheetml/2006/main" id="87" name="school198586" displayName="school198586" ref="A891:L893" totalsRowCount="1" dataDxfId="1187" totalsRowDxfId="1185" headerRowBorderDxfId="1188" tableBorderDxfId="1186" dataCellStyle="Currency">
  <autoFilter ref="A891:L892"/>
  <tableColumns count="12">
    <tableColumn id="1" name="Fiscal_x000a_Year" totalsRowLabel="1985-86 Total" dataDxfId="1184" totalsRowDxfId="1183"/>
    <tableColumn id="2" name="Program_x000a_Name" totalsRowLabel="N/A" dataDxfId="1182" totalsRowDxfId="1181"/>
    <tableColumn id="3" name="Legal_x000a_Reference_x000a_(Ch./Year)" totalsRowLabel="N/A" dataDxfId="1180" totalsRowDxfId="1179"/>
    <tableColumn id="4" name="Program_x000a_Number" totalsRowLabel="N/A" dataDxfId="1178" totalsRowDxfId="1177"/>
    <tableColumn id="5" name="Program_x000a_Costs" totalsRowFunction="sum" dataDxfId="1176" totalsRowDxfId="1175" dataCellStyle="Currency"/>
    <tableColumn id="6" name="Less: Net_x000a_ Payments and _x000a_Offsets 2" totalsRowFunction="sum" dataDxfId="1174" totalsRowDxfId="1173" dataCellStyle="Currency"/>
    <tableColumn id="7" name="Comment" totalsRowLabel="N/A" dataDxfId="1172" totalsRowDxfId="1171" dataCellStyle="Currency"/>
    <tableColumn id="8" name="Accounts Payable_x000a_Balance" totalsRowFunction="sum" dataDxfId="1170" totalsRowDxfId="1169" dataCellStyle="Currency"/>
    <tableColumn id="9" name="Established_x000a_Accounts Receivable" totalsRowFunction="sum" dataDxfId="1168" totalsRowDxfId="1167" dataCellStyle="Currency"/>
    <tableColumn id="10" name="Less: _x000a_Recovered _x000a_Amount" totalsRowFunction="sum" dataDxfId="1166" totalsRowDxfId="1165" dataCellStyle="Currency"/>
    <tableColumn id="11" name="Accounts Receivable_x000a_Balance" totalsRowFunction="sum" dataDxfId="1164" totalsRowDxfId="1163" dataCellStyle="Currency"/>
    <tableColumn id="12" name="Net_x000a_Balance" totalsRowFunction="sum" dataDxfId="1162" totalsRowDxfId="116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."/>
    </ext>
  </extLst>
</table>
</file>

<file path=xl/tables/table88.xml><?xml version="1.0" encoding="utf-8"?>
<table xmlns="http://schemas.openxmlformats.org/spreadsheetml/2006/main" id="88" name="schoolgrandtotal" displayName="schoolgrandtotal" ref="A895:L931" totalsRowCount="1" dataDxfId="1159" totalsRowDxfId="1157" headerRowBorderDxfId="1160" tableBorderDxfId="1158" dataCellStyle="Currency">
  <autoFilter ref="A895:L930"/>
  <tableColumns count="12">
    <tableColumn id="1" name="Fiscal_x000a_Year" totalsRowLabel="Total School Districts" dataDxfId="1156" totalsRowDxfId="1155"/>
    <tableColumn id="2" name="Program_x000a_Name" totalsRowLabel="N/A" dataDxfId="1154" totalsRowDxfId="1153" dataCellStyle="Currency"/>
    <tableColumn id="3" name="Legal_x000a_Reference_x000a_(Ch./Year)" totalsRowLabel="N/A" dataDxfId="1152" totalsRowDxfId="1151" dataCellStyle="Currency"/>
    <tableColumn id="4" name="Program_x000a_Number" totalsRowLabel="N/A" dataDxfId="1150" totalsRowDxfId="1149" dataCellStyle="Currency"/>
    <tableColumn id="5" name="Program_x000a_Costs" totalsRowFunction="sum" dataDxfId="1148" totalsRowDxfId="1147" dataCellStyle="Currency"/>
    <tableColumn id="6" name="Less: Net_x000a_ Payments and _x000a_Offsets 2" totalsRowFunction="sum" dataDxfId="1146" totalsRowDxfId="1145" dataCellStyle="Currency"/>
    <tableColumn id="7" name="Comment" totalsRowLabel="N/A" dataDxfId="1144" totalsRowDxfId="1143" dataCellStyle="Currency"/>
    <tableColumn id="8" name="Accounts Payable_x000a_Balance" totalsRowFunction="sum" dataDxfId="1142" totalsRowDxfId="1141" dataCellStyle="Currency"/>
    <tableColumn id="9" name="Established_x000a_Accounts Receivable" totalsRowFunction="sum" dataDxfId="1140" totalsRowDxfId="1139" dataCellStyle="Currency"/>
    <tableColumn id="10" name="Less: _x000a_Recovered _x000a_Amount" totalsRowFunction="sum" dataDxfId="1138" totalsRowDxfId="1137" dataCellStyle="Currency"/>
    <tableColumn id="11" name="Accounts Receivable_x000a_Balance" totalsRowFunction="sum" dataDxfId="1136" totalsRowDxfId="1135" dataCellStyle="Currency"/>
    <tableColumn id="12" name="Net_x000a_Balance" totalsRowFunction="sum" dataDxfId="1134" totalsRowDxfId="113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School Districts Grand Totals."/>
    </ext>
  </extLst>
</table>
</file>

<file path=xl/tables/table89.xml><?xml version="1.0" encoding="utf-8"?>
<table xmlns="http://schemas.openxmlformats.org/spreadsheetml/2006/main" id="89" name="college201415" displayName="college201415" ref="A2:L6" totalsRowCount="1" headerRowDxfId="1132" totalsRowDxfId="1129" headerRowBorderDxfId="1131" tableBorderDxfId="1130">
  <autoFilter ref="A2:L5"/>
  <tableColumns count="12">
    <tableColumn id="1" name="Fiscal_x000a_Year" totalsRowLabel="2014-15 Total" totalsRowDxfId="11"/>
    <tableColumn id="2" name="Program_x000a_Name" totalsRowLabel="N/A" dataDxfId="1128" totalsRowDxfId="10"/>
    <tableColumn id="3" name="Legal_x000a_Reference_x000a_(Ch./Year)" totalsRowLabel="N/A" totalsRowDxfId="9"/>
    <tableColumn id="4" name="Program_x000a_Number" totalsRowLabel="N/A" totalsRowDxfId="8"/>
    <tableColumn id="5" name="Program_x000a_Costs" totalsRowFunction="sum" totalsRowDxfId="7"/>
    <tableColumn id="6" name="Less: Net_x000a_ Payments and _x000a_Offsets 2" totalsRowFunction="sum" totalsRowDxfId="6"/>
    <tableColumn id="7" name="Comment: This amount includes offsets applied from prior years." totalsRowLabel="N/A" dataDxfId="1127" totalsRowDxfId="5" dataCellStyle="Currency"/>
    <tableColumn id="8" name="Accounts Payable_x000a_Balance" totalsRowFunction="sum" totalsRowDxfId="4"/>
    <tableColumn id="9" name="Established_x000a_Accounts Receivable" totalsRowFunction="sum" totalsRowDxfId="3"/>
    <tableColumn id="10" name="Less: _x000a_Recovered _x000a_Amount" totalsRowFunction="sum" totalsRowDxfId="2" dataCellStyle="Currency"/>
    <tableColumn id="11" name="Accounts Receivable_x000a_Balance" totalsRowFunction="sum" totalsRowDxfId="1"/>
    <tableColumn id="12" name="Net_x000a_Balance" totalsRowFunction="sum" totalsRowDxfId="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.xml><?xml version="1.0" encoding="utf-8"?>
<table xmlns="http://schemas.openxmlformats.org/spreadsheetml/2006/main" id="24" name="localannualclaim18" displayName="localannualclaim18" ref="A42:I54" totalsRowCount="1" headerRowDxfId="3335" dataDxfId="3333" totalsRowDxfId="3331" headerRowBorderDxfId="3334" tableBorderDxfId="3332" totalsRowBorderDxfId="3330">
  <autoFilter ref="A42:I53"/>
  <tableColumns count="9">
    <tableColumn id="1" name="Program Category_x000a_and Type of Payment" totalsRowLabel="0001-8885-2018-295-98 Total" dataDxfId="3329" totalsRowDxfId="3328"/>
    <tableColumn id="2" name="Fiscal _x000a_Year" totalsRowLabel="N/A" dataDxfId="3327" totalsRowDxfId="3326"/>
    <tableColumn id="3" name="Appropriation _x000a_Number" totalsRowLabel="N/A" dataDxfId="3325" totalsRowDxfId="3324"/>
    <tableColumn id="4" name="Program _x000a_Name" totalsRowLabel="N/A" dataDxfId="3323" totalsRowDxfId="3322"/>
    <tableColumn id="5" name="Legal _x000a_Reference_x000a_(Ch./Year)" totalsRowLabel="N/A" dataDxfId="3321" totalsRowDxfId="3320"/>
    <tableColumn id="6" name="Program_x000a_ Number" totalsRowLabel="N/A" dataDxfId="3319" totalsRowDxfId="3318"/>
    <tableColumn id="7" name="Program _x000a_Payments and Offsets" totalsRowFunction="sum" dataDxfId="3317" totalsRowDxfId="3316"/>
    <tableColumn id="8" name="Interest_x000a_Payments and Offsets" totalsRowFunction="sum" dataDxfId="3315" totalsRowDxfId="3314"/>
    <tableColumn id="9" name="Total _x000a_Payments" totalsRowFunction="sum" dataDxfId="3313" totalsRowDxfId="3312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A1: Detail of State-Mandated Program Payments by Fiscal Year. As of April 1, 2021. Local Agencies-Annual Claim."/>
    </ext>
  </extLst>
</table>
</file>

<file path=xl/tables/table90.xml><?xml version="1.0" encoding="utf-8"?>
<table xmlns="http://schemas.openxmlformats.org/spreadsheetml/2006/main" id="90" name="college201314" displayName="college201314" ref="A8:L12" totalsRowCount="1" headerRowDxfId="1126" totalsRowDxfId="1124" headerRowBorderDxfId="1125">
  <autoFilter ref="A8:L11"/>
  <tableColumns count="12">
    <tableColumn id="1" name="Fiscal_x000a_Year" totalsRowLabel="2013-14 Total" totalsRowDxfId="1123"/>
    <tableColumn id="2" name="Program_x000a_Name" totalsRowLabel="N/A" dataDxfId="1122" totalsRowDxfId="1121"/>
    <tableColumn id="3" name="Legal_x000a_Reference_x000a_(Ch./Year)" totalsRowLabel="N/A" dataDxfId="1120" totalsRowDxfId="1119"/>
    <tableColumn id="4" name="Program_x000a_Number" totalsRowLabel="N/A" dataDxfId="1118" totalsRowDxfId="1117"/>
    <tableColumn id="5" name="Program_x000a_Costs" totalsRowFunction="sum" totalsRowDxfId="1116"/>
    <tableColumn id="6" name="Less: Net_x000a_ Payments and _x000a_Offsets 2" totalsRowFunction="sum" totalsRowDxfId="1115"/>
    <tableColumn id="7" name="Comment" totalsRowLabel="N/A" dataDxfId="1114" totalsRowDxfId="1113" dataCellStyle="Currency"/>
    <tableColumn id="8" name="Accounts Payable_x000a_Balance" totalsRowFunction="sum" totalsRowDxfId="1112"/>
    <tableColumn id="9" name="Established_x000a_Accounts Receivable" totalsRowFunction="sum" totalsRowDxfId="1111"/>
    <tableColumn id="10" name="Less: _x000a_Recovered _x000a_Amount" totalsRowFunction="sum" totalsRowDxfId="1110" dataCellStyle="Currency"/>
    <tableColumn id="11" name="Accounts Receivable_x000a_Balance" totalsRowFunction="sum" totalsRowDxfId="1109"/>
    <tableColumn id="12" name="Net_x000a_Balance" totalsRowFunction="sum" totalsRowDxfId="1108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1.xml><?xml version="1.0" encoding="utf-8"?>
<table xmlns="http://schemas.openxmlformats.org/spreadsheetml/2006/main" id="91" name="college201213" displayName="college201213" ref="A14:L20" totalsRowCount="1" headerRowDxfId="1107" dataDxfId="1105" totalsRowDxfId="1103" headerRowBorderDxfId="1106" tableBorderDxfId="1104" dataCellStyle="Currency">
  <autoFilter ref="A14:L19"/>
  <tableColumns count="12">
    <tableColumn id="1" name="Fiscal_x000a_Year" totalsRowLabel="2012-13 Total" dataDxfId="1102" totalsRowDxfId="1101"/>
    <tableColumn id="2" name="Program_x000a_Name" totalsRowLabel="N/A" dataDxfId="1100" totalsRowDxfId="1099"/>
    <tableColumn id="3" name="Legal_x000a_Reference_x000a_(Ch./Year)" totalsRowLabel="N/A" dataDxfId="1098" totalsRowDxfId="1097"/>
    <tableColumn id="4" name="Program_x000a_Number" totalsRowLabel="N/A" dataDxfId="1096" totalsRowDxfId="1095"/>
    <tableColumn id="5" name="Program_x000a_Costs" totalsRowFunction="sum" dataDxfId="1094" totalsRowDxfId="1093" dataCellStyle="Currency"/>
    <tableColumn id="6" name="Less: Net_x000a_ Payments and _x000a_Offsets 2" totalsRowFunction="sum" dataDxfId="1092" totalsRowDxfId="1091" dataCellStyle="Currency"/>
    <tableColumn id="7" name="Comment" totalsRowLabel="N/A" dataDxfId="1090" totalsRowDxfId="1089" dataCellStyle="Currency"/>
    <tableColumn id="8" name="Accounts Payable_x000a_Balance" totalsRowFunction="sum" dataDxfId="1088" totalsRowDxfId="1087" dataCellStyle="Currency"/>
    <tableColumn id="9" name="Established_x000a_Accounts Receivable" totalsRowFunction="sum" dataDxfId="1086" totalsRowDxfId="1085" dataCellStyle="Currency"/>
    <tableColumn id="10" name="Less: _x000a_Recovered _x000a_Amount" totalsRowFunction="sum" dataDxfId="1084" totalsRowDxfId="1083" dataCellStyle="Currency"/>
    <tableColumn id="11" name="Accounts Receivable_x000a_Balance" totalsRowFunction="sum" dataDxfId="1082" totalsRowDxfId="1081" dataCellStyle="Currency"/>
    <tableColumn id="12" name="Net_x000a_Balance" totalsRowFunction="sum" dataDxfId="1080" totalsRowDxfId="1079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2.xml><?xml version="1.0" encoding="utf-8"?>
<table xmlns="http://schemas.openxmlformats.org/spreadsheetml/2006/main" id="92" name="college201112" displayName="college201112" ref="A22:L31" totalsRowCount="1" headerRowDxfId="1078" dataDxfId="1076" totalsRowDxfId="1074" headerRowBorderDxfId="1077" tableBorderDxfId="1075" dataCellStyle="Currency">
  <autoFilter ref="A22:L30"/>
  <tableColumns count="12">
    <tableColumn id="1" name="Fiscal_x000a_Year" totalsRowLabel="2011-12 Total" dataDxfId="1073" totalsRowDxfId="1072"/>
    <tableColumn id="2" name="Program_x000a_Name" totalsRowLabel="N/A" dataDxfId="1071" totalsRowDxfId="1070"/>
    <tableColumn id="3" name="Legal_x000a_Reference_x000a_(Ch./Year)" totalsRowLabel="N/A" dataDxfId="1069" totalsRowDxfId="1068"/>
    <tableColumn id="4" name="Program_x000a_Number" totalsRowLabel="N/A" dataDxfId="1067" totalsRowDxfId="1066"/>
    <tableColumn id="5" name="Program_x000a_Costs" totalsRowFunction="sum" dataDxfId="1065" totalsRowDxfId="1064" dataCellStyle="Currency"/>
    <tableColumn id="6" name="Less: Net_x000a_ Payments and _x000a_Offsets 2" totalsRowFunction="sum" dataDxfId="1063" totalsRowDxfId="1062" dataCellStyle="Currency"/>
    <tableColumn id="7" name="Comment" totalsRowLabel="N/A" dataDxfId="1061" totalsRowDxfId="1060" dataCellStyle="Currency"/>
    <tableColumn id="8" name="Accounts Payable_x000a_Balance" totalsRowFunction="sum" dataDxfId="1059" totalsRowDxfId="1058" dataCellStyle="Currency"/>
    <tableColumn id="9" name="Established_x000a_Accounts Receivable" totalsRowFunction="sum" dataDxfId="1057" totalsRowDxfId="1056" dataCellStyle="Currency"/>
    <tableColumn id="10" name="Less: _x000a_Recovered _x000a_Amount" totalsRowFunction="sum" dataDxfId="1055" totalsRowDxfId="1054" dataCellStyle="Currency"/>
    <tableColumn id="11" name="Accounts Receivable_x000a_Balance" totalsRowFunction="sum" dataDxfId="1053" totalsRowDxfId="1052" dataCellStyle="Currency"/>
    <tableColumn id="12" name="Net_x000a_Balance" totalsRowFunction="sum" dataDxfId="1051" totalsRowDxfId="1050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3.xml><?xml version="1.0" encoding="utf-8"?>
<table xmlns="http://schemas.openxmlformats.org/spreadsheetml/2006/main" id="93" name="college201011" displayName="college201011" ref="A33:L40" totalsRowCount="1" headerRowDxfId="1049" dataDxfId="1047" totalsRowDxfId="1045" headerRowBorderDxfId="1048" tableBorderDxfId="1046" dataCellStyle="Currency">
  <autoFilter ref="A33:L39"/>
  <tableColumns count="12">
    <tableColumn id="1" name="Fiscal_x000a_Year" totalsRowLabel="2010-11 Total" dataDxfId="1044" totalsRowDxfId="1043"/>
    <tableColumn id="2" name="Program_x000a_Name" totalsRowLabel="N/A" dataDxfId="1042" totalsRowDxfId="1041"/>
    <tableColumn id="3" name="Legal_x000a_Reference_x000a_(Ch./Year)" totalsRowLabel="N/A" dataDxfId="1040" totalsRowDxfId="1039"/>
    <tableColumn id="4" name="Program_x000a_Number" totalsRowLabel="N/A" dataDxfId="1038" totalsRowDxfId="1037"/>
    <tableColumn id="5" name="Program_x000a_Costs" totalsRowFunction="sum" dataDxfId="1036" totalsRowDxfId="1035" dataCellStyle="Currency"/>
    <tableColumn id="6" name="Less: Net_x000a_ Payments and _x000a_Offsets 2" totalsRowFunction="sum" dataDxfId="1034" totalsRowDxfId="1033" dataCellStyle="Currency"/>
    <tableColumn id="7" name="Comment" totalsRowLabel="N/A" dataDxfId="1032" totalsRowDxfId="1031" dataCellStyle="Currency"/>
    <tableColumn id="8" name="Accounts Payable_x000a_Balance" totalsRowFunction="sum" dataDxfId="1030" totalsRowDxfId="1029" dataCellStyle="Currency"/>
    <tableColumn id="9" name="Established_x000a_Accounts Receivable" totalsRowFunction="sum" dataDxfId="1028" totalsRowDxfId="1027" dataCellStyle="Currency"/>
    <tableColumn id="10" name="Less: _x000a_Recovered _x000a_Amount" totalsRowFunction="sum" dataDxfId="1026" totalsRowDxfId="1025" dataCellStyle="Currency"/>
    <tableColumn id="11" name="Accounts Receivable_x000a_Balance" totalsRowFunction="sum" dataDxfId="1024" totalsRowDxfId="1023" dataCellStyle="Currency"/>
    <tableColumn id="12" name="Net_x000a_Balance" totalsRowFunction="sum" dataDxfId="1022" totalsRowDxfId="102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4.xml><?xml version="1.0" encoding="utf-8"?>
<table xmlns="http://schemas.openxmlformats.org/spreadsheetml/2006/main" id="94" name="college200910" displayName="college200910" ref="A42:L50" totalsRowCount="1" headerRowDxfId="1020" dataDxfId="1018" totalsRowDxfId="1016" headerRowBorderDxfId="1019" tableBorderDxfId="1017" dataCellStyle="Currency">
  <autoFilter ref="A42:L49"/>
  <tableColumns count="12">
    <tableColumn id="1" name="Fiscal_x000a_Year" totalsRowLabel="2009-10 Total" dataDxfId="1015" totalsRowDxfId="1014"/>
    <tableColumn id="2" name="Program_x000a_Name" totalsRowLabel="N/A" dataDxfId="1013" totalsRowDxfId="1012"/>
    <tableColumn id="3" name="Legal_x000a_Reference_x000a_(Ch./Year)" totalsRowLabel="N/A" dataDxfId="1011" totalsRowDxfId="1010"/>
    <tableColumn id="4" name="Program_x000a_Number" totalsRowLabel="N/A" dataDxfId="1009" totalsRowDxfId="1008"/>
    <tableColumn id="5" name="Program_x000a_Costs" totalsRowFunction="sum" dataDxfId="1007" totalsRowDxfId="1006" dataCellStyle="Currency"/>
    <tableColumn id="6" name="Less: Net_x000a_ Payments and _x000a_Offsets 2" totalsRowFunction="sum" dataDxfId="1005" totalsRowDxfId="1004" dataCellStyle="Currency"/>
    <tableColumn id="7" name="Comment" totalsRowLabel="N/A" dataDxfId="1003" totalsRowDxfId="1002" dataCellStyle="Currency"/>
    <tableColumn id="8" name="Accounts Payable_x000a_Balance" totalsRowFunction="sum" dataDxfId="1001" totalsRowDxfId="1000" dataCellStyle="Currency"/>
    <tableColumn id="9" name="Established_x000a_Accounts Receivable" totalsRowFunction="sum" dataDxfId="999" totalsRowDxfId="998" dataCellStyle="Currency"/>
    <tableColumn id="10" name="Less: _x000a_Recovered _x000a_Amount" totalsRowFunction="sum" dataDxfId="997" totalsRowDxfId="996" dataCellStyle="Currency"/>
    <tableColumn id="11" name="Accounts Receivable_x000a_Balance" totalsRowFunction="sum" dataDxfId="995" totalsRowDxfId="994" dataCellStyle="Currency"/>
    <tableColumn id="12" name="Net_x000a_Balance" totalsRowFunction="sum" dataDxfId="993" totalsRowDxfId="99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5.xml><?xml version="1.0" encoding="utf-8"?>
<table xmlns="http://schemas.openxmlformats.org/spreadsheetml/2006/main" id="95" name="college200809" displayName="college200809" ref="A52:L61" totalsRowCount="1" headerRowDxfId="991" dataDxfId="989" totalsRowDxfId="987" headerRowBorderDxfId="990" tableBorderDxfId="988" dataCellStyle="Currency">
  <autoFilter ref="A52:L60"/>
  <tableColumns count="12">
    <tableColumn id="1" name="Fiscal_x000a_Year" totalsRowLabel="2008-09 Total" dataDxfId="986" totalsRowDxfId="985"/>
    <tableColumn id="2" name="Program_x000a_Name" totalsRowLabel="N/A" dataDxfId="984" totalsRowDxfId="983"/>
    <tableColumn id="3" name="Legal_x000a_Reference_x000a_(Ch./Year)" totalsRowLabel="N/A" dataDxfId="982" totalsRowDxfId="981"/>
    <tableColumn id="4" name="Program_x000a_Number" totalsRowLabel="N/A" dataDxfId="980" totalsRowDxfId="979"/>
    <tableColumn id="5" name="Program_x000a_Costs" totalsRowFunction="sum" dataDxfId="978" totalsRowDxfId="977" dataCellStyle="Currency"/>
    <tableColumn id="6" name="Less: Net_x000a_ Payments and _x000a_Offsets 2" totalsRowFunction="sum" dataDxfId="976" totalsRowDxfId="975" dataCellStyle="Currency"/>
    <tableColumn id="7" name="Comment" totalsRowLabel="N/A" dataDxfId="974" totalsRowDxfId="973" dataCellStyle="Currency"/>
    <tableColumn id="8" name="Accounts Payable_x000a_Balance" totalsRowFunction="sum" dataDxfId="972" totalsRowDxfId="971" dataCellStyle="Currency"/>
    <tableColumn id="9" name="Established_x000a_Accounts Receivable" totalsRowFunction="sum" dataDxfId="970" totalsRowDxfId="969" dataCellStyle="Currency"/>
    <tableColumn id="10" name="Less: _x000a_Recovered _x000a_Amount" totalsRowFunction="sum" dataDxfId="968" totalsRowDxfId="967" dataCellStyle="Currency"/>
    <tableColumn id="11" name="Accounts Receivable_x000a_Balance" totalsRowFunction="sum" dataDxfId="966" totalsRowDxfId="965" dataCellStyle="Currency"/>
    <tableColumn id="12" name="Net_x000a_Balance" totalsRowFunction="sum" dataDxfId="964" totalsRowDxfId="963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6.xml><?xml version="1.0" encoding="utf-8"?>
<table xmlns="http://schemas.openxmlformats.org/spreadsheetml/2006/main" id="96" name="college200708" displayName="college200708" ref="A63:L74" totalsRowCount="1" headerRowDxfId="962" dataDxfId="960" totalsRowDxfId="958" headerRowBorderDxfId="961" tableBorderDxfId="959" dataCellStyle="Currency">
  <autoFilter ref="A63:L73"/>
  <tableColumns count="12">
    <tableColumn id="1" name="Fiscal_x000a_Year" totalsRowLabel="2007-08 Total" dataDxfId="957" totalsRowDxfId="956"/>
    <tableColumn id="2" name="Program_x000a_Name" totalsRowLabel="N/A" dataDxfId="955" totalsRowDxfId="954"/>
    <tableColumn id="3" name="Legal_x000a_Reference_x000a_(Ch./Year)" totalsRowLabel="N/A" dataDxfId="953" totalsRowDxfId="952"/>
    <tableColumn id="4" name="Program_x000a_Number" totalsRowLabel="N/A" dataDxfId="951" totalsRowDxfId="950"/>
    <tableColumn id="5" name="Program_x000a_Costs" totalsRowFunction="sum" dataDxfId="949" totalsRowDxfId="948" dataCellStyle="Currency"/>
    <tableColumn id="6" name="Less: Net_x000a_ Payments and _x000a_Offsets 2" totalsRowFunction="sum" dataDxfId="947" totalsRowDxfId="946" dataCellStyle="Currency"/>
    <tableColumn id="7" name="Comment" totalsRowLabel="N/A" dataDxfId="945" totalsRowDxfId="944" dataCellStyle="Currency"/>
    <tableColumn id="8" name="Accounts Payable_x000a_Balance" totalsRowFunction="sum" dataDxfId="943" totalsRowDxfId="942" dataCellStyle="Currency"/>
    <tableColumn id="9" name="Established_x000a_Accounts Receivable" totalsRowFunction="sum" dataDxfId="941" totalsRowDxfId="940" dataCellStyle="Currency"/>
    <tableColumn id="10" name="Less: _x000a_Recovered _x000a_Amount" totalsRowFunction="sum" dataDxfId="939" totalsRowDxfId="938" dataCellStyle="Currency"/>
    <tableColumn id="11" name="Accounts Receivable_x000a_Balance" totalsRowFunction="sum" dataDxfId="937" totalsRowDxfId="936" dataCellStyle="Currency"/>
    <tableColumn id="12" name="Net_x000a_Balance" totalsRowFunction="sum" dataDxfId="935" totalsRowDxfId="934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7.xml><?xml version="1.0" encoding="utf-8"?>
<table xmlns="http://schemas.openxmlformats.org/spreadsheetml/2006/main" id="97" name="college200607" displayName="college200607" ref="A76:L85" totalsRowCount="1" headerRowDxfId="933" dataDxfId="931" totalsRowDxfId="929" headerRowBorderDxfId="932" tableBorderDxfId="930" dataCellStyle="Currency">
  <autoFilter ref="A76:L84"/>
  <tableColumns count="12">
    <tableColumn id="1" name="Fiscal_x000a_Year" totalsRowLabel="2006-07 Total" dataDxfId="928" totalsRowDxfId="927"/>
    <tableColumn id="2" name="Program_x000a_Name" totalsRowLabel="N/A" dataDxfId="926" totalsRowDxfId="925"/>
    <tableColumn id="3" name="Legal_x000a_Reference_x000a_(Ch./Year)" totalsRowLabel="N/A" dataDxfId="924" totalsRowDxfId="923"/>
    <tableColumn id="4" name="Program_x000a_Number" totalsRowLabel="N/A" dataDxfId="922" totalsRowDxfId="921"/>
    <tableColumn id="5" name="Program_x000a_Costs" totalsRowFunction="sum" dataDxfId="920" totalsRowDxfId="919" dataCellStyle="Currency"/>
    <tableColumn id="6" name="Less: Net_x000a_ Payments and _x000a_Offsets 2" totalsRowFunction="sum" dataDxfId="918" totalsRowDxfId="917" dataCellStyle="Currency"/>
    <tableColumn id="7" name="Comment" totalsRowLabel="N/A" dataDxfId="916" totalsRowDxfId="915" dataCellStyle="Currency"/>
    <tableColumn id="8" name="Accounts Payable_x000a_Balance" totalsRowFunction="sum" dataDxfId="914" totalsRowDxfId="913" dataCellStyle="Currency"/>
    <tableColumn id="9" name="Established_x000a_Accounts Receivable" totalsRowFunction="sum" dataDxfId="912" totalsRowDxfId="911" dataCellStyle="Currency"/>
    <tableColumn id="10" name="Less: _x000a_Recovered _x000a_Amount" totalsRowFunction="sum" dataDxfId="910" totalsRowDxfId="909" dataCellStyle="Currency"/>
    <tableColumn id="11" name="Accounts Receivable_x000a_Balance" totalsRowFunction="sum" dataDxfId="908" totalsRowDxfId="907" dataCellStyle="Currency"/>
    <tableColumn id="12" name="Net_x000a_Balance" totalsRowFunction="sum" dataDxfId="906" totalsRowDxfId="905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8.xml><?xml version="1.0" encoding="utf-8"?>
<table xmlns="http://schemas.openxmlformats.org/spreadsheetml/2006/main" id="98" name="college200506" displayName="college200506" ref="A87:L91" totalsRowCount="1" headerRowDxfId="904" totalsRowDxfId="901" headerRowBorderDxfId="903" tableBorderDxfId="902">
  <autoFilter ref="A87:L90"/>
  <tableColumns count="12">
    <tableColumn id="1" name="Fiscal_x000a_Year" totalsRowLabel="2005-06 Total" dataDxfId="900" totalsRowDxfId="899"/>
    <tableColumn id="2" name="Program_x000a_Name" totalsRowLabel="N/A" dataDxfId="898" totalsRowDxfId="897"/>
    <tableColumn id="3" name="Legal_x000a_Reference_x000a_(Ch./Year)" totalsRowLabel="N/A" dataDxfId="896" totalsRowDxfId="895"/>
    <tableColumn id="4" name="Program_x000a_Number" totalsRowLabel="N/A" dataDxfId="894" totalsRowDxfId="893"/>
    <tableColumn id="5" name="Program_x000a_Costs" totalsRowFunction="sum" dataDxfId="892" totalsRowDxfId="891" dataCellStyle="Currency"/>
    <tableColumn id="6" name="Less: Net_x000a_ Payments and _x000a_Offsets 2" totalsRowFunction="sum" dataDxfId="890" totalsRowDxfId="889" dataCellStyle="Currency"/>
    <tableColumn id="7" name="Comment" totalsRowLabel="N/A" dataDxfId="888" totalsRowDxfId="887" dataCellStyle="Currency"/>
    <tableColumn id="8" name="Accounts Payable_x000a_Balance" totalsRowFunction="sum" totalsRowDxfId="886"/>
    <tableColumn id="9" name="Established_x000a_Accounts Receivable" totalsRowFunction="sum" totalsRowDxfId="885"/>
    <tableColumn id="10" name="Less: _x000a_Recovered _x000a_Amount" totalsRowFunction="sum" totalsRowDxfId="884"/>
    <tableColumn id="11" name="Accounts Receivable_x000a_Balance" totalsRowFunction="sum" totalsRowDxfId="883"/>
    <tableColumn id="12" name="Net_x000a_Balance" totalsRowFunction="sum" dataDxfId="882" totalsRowDxfId="881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ables/table99.xml><?xml version="1.0" encoding="utf-8"?>
<table xmlns="http://schemas.openxmlformats.org/spreadsheetml/2006/main" id="99" name="college200304" displayName="college200304" ref="A93:L95" totalsRowCount="1" headerRowDxfId="880" dataDxfId="878" totalsRowDxfId="876" headerRowBorderDxfId="879" tableBorderDxfId="877" dataCellStyle="Currency">
  <autoFilter ref="A93:L94"/>
  <tableColumns count="12">
    <tableColumn id="1" name="Fiscal_x000a_Year" totalsRowLabel="2003-04 Total" dataDxfId="875" totalsRowDxfId="874"/>
    <tableColumn id="2" name="Program_x000a_Name" totalsRowLabel="N/A" dataDxfId="873" totalsRowDxfId="872"/>
    <tableColumn id="3" name="Legal_x000a_Reference_x000a_(Ch./Year)" totalsRowLabel="N/A" dataDxfId="871" totalsRowDxfId="870"/>
    <tableColumn id="4" name="Program_x000a_Number" totalsRowLabel="N/A" dataDxfId="869" totalsRowDxfId="868"/>
    <tableColumn id="5" name="Program_x000a_Costs" totalsRowFunction="sum" dataDxfId="867" totalsRowDxfId="866" dataCellStyle="Currency"/>
    <tableColumn id="6" name="Less: Net_x000a_ Payments and _x000a_Offsets 2" totalsRowFunction="sum" dataDxfId="865" totalsRowDxfId="864" dataCellStyle="Currency"/>
    <tableColumn id="7" name="Comment" totalsRowLabel="N/A" dataDxfId="863" totalsRowDxfId="862" dataCellStyle="Currency"/>
    <tableColumn id="8" name="Accounts Payable_x000a_Balance" totalsRowFunction="sum" dataDxfId="861" totalsRowDxfId="860" dataCellStyle="Currency"/>
    <tableColumn id="9" name="Established_x000a_Accounts Receivable" totalsRowFunction="sum" dataDxfId="859" totalsRowDxfId="858" dataCellStyle="Currency"/>
    <tableColumn id="10" name="Less: _x000a_Recovered _x000a_Amount" totalsRowFunction="sum" dataDxfId="857" totalsRowDxfId="856" dataCellStyle="Currency"/>
    <tableColumn id="11" name="Accounts Receivable_x000a_Balance" totalsRowFunction="sum" dataDxfId="855" totalsRowDxfId="854" dataCellStyle="Currency"/>
    <tableColumn id="12" name="Net_x000a_Balance" totalsRowFunction="sum" dataDxfId="853" totalsRowDxfId="852" dataCellStyle="Currency"/>
  </tableColumns>
  <tableStyleInfo showFirstColumn="0" showLastColumn="0" showRowStripes="1" showColumnStripes="0"/>
  <extLst>
    <ext xmlns:x14="http://schemas.microsoft.com/office/spreadsheetml/2009/9/main" uri="{504A1905-F514-4f6f-8877-14C23A59335A}">
      <x14:table altText="2021 Deficiency Report" altTextSummary="Schedule B1: Detail of Funded State-Mandated Programs by Fiscal Year. As of April 1, 2021. Community College Districts.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13.xml"/><Relationship Id="rId13" Type="http://schemas.openxmlformats.org/officeDocument/2006/relationships/table" Target="../tables/table118.xml"/><Relationship Id="rId18" Type="http://schemas.openxmlformats.org/officeDocument/2006/relationships/table" Target="../tables/table123.xml"/><Relationship Id="rId3" Type="http://schemas.openxmlformats.org/officeDocument/2006/relationships/table" Target="../tables/table108.xml"/><Relationship Id="rId7" Type="http://schemas.openxmlformats.org/officeDocument/2006/relationships/table" Target="../tables/table112.xml"/><Relationship Id="rId12" Type="http://schemas.openxmlformats.org/officeDocument/2006/relationships/table" Target="../tables/table117.xml"/><Relationship Id="rId17" Type="http://schemas.openxmlformats.org/officeDocument/2006/relationships/table" Target="../tables/table122.xml"/><Relationship Id="rId2" Type="http://schemas.openxmlformats.org/officeDocument/2006/relationships/table" Target="../tables/table107.xml"/><Relationship Id="rId16" Type="http://schemas.openxmlformats.org/officeDocument/2006/relationships/table" Target="../tables/table121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111.xml"/><Relationship Id="rId11" Type="http://schemas.openxmlformats.org/officeDocument/2006/relationships/table" Target="../tables/table116.xml"/><Relationship Id="rId5" Type="http://schemas.openxmlformats.org/officeDocument/2006/relationships/table" Target="../tables/table110.xml"/><Relationship Id="rId15" Type="http://schemas.openxmlformats.org/officeDocument/2006/relationships/table" Target="../tables/table120.xml"/><Relationship Id="rId10" Type="http://schemas.openxmlformats.org/officeDocument/2006/relationships/table" Target="../tables/table115.xml"/><Relationship Id="rId4" Type="http://schemas.openxmlformats.org/officeDocument/2006/relationships/table" Target="../tables/table109.xml"/><Relationship Id="rId9" Type="http://schemas.openxmlformats.org/officeDocument/2006/relationships/table" Target="../tables/table114.xml"/><Relationship Id="rId14" Type="http://schemas.openxmlformats.org/officeDocument/2006/relationships/table" Target="../tables/table11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25.xml"/><Relationship Id="rId2" Type="http://schemas.openxmlformats.org/officeDocument/2006/relationships/table" Target="../tables/table124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26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Relationship Id="rId9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3.xml"/><Relationship Id="rId3" Type="http://schemas.openxmlformats.org/officeDocument/2006/relationships/table" Target="../tables/table8.xml"/><Relationship Id="rId7" Type="http://schemas.openxmlformats.org/officeDocument/2006/relationships/table" Target="../tables/table12.xml"/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11.xml"/><Relationship Id="rId5" Type="http://schemas.openxmlformats.org/officeDocument/2006/relationships/table" Target="../tables/table10.xml"/><Relationship Id="rId4" Type="http://schemas.openxmlformats.org/officeDocument/2006/relationships/table" Target="../tables/table9.xml"/><Relationship Id="rId9" Type="http://schemas.openxmlformats.org/officeDocument/2006/relationships/table" Target="../tables/table1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5.bin"/><Relationship Id="rId5" Type="http://schemas.openxmlformats.org/officeDocument/2006/relationships/comments" Target="../comments2.xml"/><Relationship Id="rId4" Type="http://schemas.openxmlformats.org/officeDocument/2006/relationships/table" Target="../tables/table16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2.xml"/><Relationship Id="rId3" Type="http://schemas.openxmlformats.org/officeDocument/2006/relationships/table" Target="../tables/table17.xml"/><Relationship Id="rId7" Type="http://schemas.openxmlformats.org/officeDocument/2006/relationships/table" Target="../tables/table21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0.xml"/><Relationship Id="rId5" Type="http://schemas.openxmlformats.org/officeDocument/2006/relationships/table" Target="../tables/table19.xml"/><Relationship Id="rId10" Type="http://schemas.openxmlformats.org/officeDocument/2006/relationships/comments" Target="../comments3.xml"/><Relationship Id="rId4" Type="http://schemas.openxmlformats.org/officeDocument/2006/relationships/table" Target="../tables/table18.xml"/><Relationship Id="rId9" Type="http://schemas.openxmlformats.org/officeDocument/2006/relationships/table" Target="../tables/table23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table" Target="../tables/table29.xml"/><Relationship Id="rId13" Type="http://schemas.openxmlformats.org/officeDocument/2006/relationships/table" Target="../tables/table34.xml"/><Relationship Id="rId18" Type="http://schemas.openxmlformats.org/officeDocument/2006/relationships/table" Target="../tables/table39.xml"/><Relationship Id="rId26" Type="http://schemas.openxmlformats.org/officeDocument/2006/relationships/table" Target="../tables/table47.xml"/><Relationship Id="rId3" Type="http://schemas.openxmlformats.org/officeDocument/2006/relationships/table" Target="../tables/table24.xml"/><Relationship Id="rId21" Type="http://schemas.openxmlformats.org/officeDocument/2006/relationships/table" Target="../tables/table42.xml"/><Relationship Id="rId7" Type="http://schemas.openxmlformats.org/officeDocument/2006/relationships/table" Target="../tables/table28.xml"/><Relationship Id="rId12" Type="http://schemas.openxmlformats.org/officeDocument/2006/relationships/table" Target="../tables/table33.xml"/><Relationship Id="rId17" Type="http://schemas.openxmlformats.org/officeDocument/2006/relationships/table" Target="../tables/table38.xml"/><Relationship Id="rId25" Type="http://schemas.openxmlformats.org/officeDocument/2006/relationships/table" Target="../tables/table46.xml"/><Relationship Id="rId2" Type="http://schemas.openxmlformats.org/officeDocument/2006/relationships/vmlDrawing" Target="../drawings/vmlDrawing4.vml"/><Relationship Id="rId16" Type="http://schemas.openxmlformats.org/officeDocument/2006/relationships/table" Target="../tables/table37.xml"/><Relationship Id="rId20" Type="http://schemas.openxmlformats.org/officeDocument/2006/relationships/table" Target="../tables/table41.xml"/><Relationship Id="rId29" Type="http://schemas.openxmlformats.org/officeDocument/2006/relationships/table" Target="../tables/table50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7.xml"/><Relationship Id="rId11" Type="http://schemas.openxmlformats.org/officeDocument/2006/relationships/table" Target="../tables/table32.xml"/><Relationship Id="rId24" Type="http://schemas.openxmlformats.org/officeDocument/2006/relationships/table" Target="../tables/table45.xml"/><Relationship Id="rId32" Type="http://schemas.openxmlformats.org/officeDocument/2006/relationships/comments" Target="../comments4.xml"/><Relationship Id="rId5" Type="http://schemas.openxmlformats.org/officeDocument/2006/relationships/table" Target="../tables/table26.xml"/><Relationship Id="rId15" Type="http://schemas.openxmlformats.org/officeDocument/2006/relationships/table" Target="../tables/table36.xml"/><Relationship Id="rId23" Type="http://schemas.openxmlformats.org/officeDocument/2006/relationships/table" Target="../tables/table44.xml"/><Relationship Id="rId28" Type="http://schemas.openxmlformats.org/officeDocument/2006/relationships/table" Target="../tables/table49.xml"/><Relationship Id="rId10" Type="http://schemas.openxmlformats.org/officeDocument/2006/relationships/table" Target="../tables/table31.xml"/><Relationship Id="rId19" Type="http://schemas.openxmlformats.org/officeDocument/2006/relationships/table" Target="../tables/table40.xml"/><Relationship Id="rId31" Type="http://schemas.openxmlformats.org/officeDocument/2006/relationships/table" Target="../tables/table52.xml"/><Relationship Id="rId4" Type="http://schemas.openxmlformats.org/officeDocument/2006/relationships/table" Target="../tables/table25.xml"/><Relationship Id="rId9" Type="http://schemas.openxmlformats.org/officeDocument/2006/relationships/table" Target="../tables/table30.xml"/><Relationship Id="rId14" Type="http://schemas.openxmlformats.org/officeDocument/2006/relationships/table" Target="../tables/table35.xml"/><Relationship Id="rId22" Type="http://schemas.openxmlformats.org/officeDocument/2006/relationships/table" Target="../tables/table43.xml"/><Relationship Id="rId27" Type="http://schemas.openxmlformats.org/officeDocument/2006/relationships/table" Target="../tables/table48.xml"/><Relationship Id="rId30" Type="http://schemas.openxmlformats.org/officeDocument/2006/relationships/table" Target="../tables/table51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58.xml"/><Relationship Id="rId13" Type="http://schemas.openxmlformats.org/officeDocument/2006/relationships/table" Target="../tables/table63.xml"/><Relationship Id="rId18" Type="http://schemas.openxmlformats.org/officeDocument/2006/relationships/table" Target="../tables/table68.xml"/><Relationship Id="rId26" Type="http://schemas.openxmlformats.org/officeDocument/2006/relationships/table" Target="../tables/table76.xml"/><Relationship Id="rId39" Type="http://schemas.openxmlformats.org/officeDocument/2006/relationships/comments" Target="../comments5.xml"/><Relationship Id="rId3" Type="http://schemas.openxmlformats.org/officeDocument/2006/relationships/table" Target="../tables/table53.xml"/><Relationship Id="rId21" Type="http://schemas.openxmlformats.org/officeDocument/2006/relationships/table" Target="../tables/table71.xml"/><Relationship Id="rId34" Type="http://schemas.openxmlformats.org/officeDocument/2006/relationships/table" Target="../tables/table84.xml"/><Relationship Id="rId7" Type="http://schemas.openxmlformats.org/officeDocument/2006/relationships/table" Target="../tables/table57.xml"/><Relationship Id="rId12" Type="http://schemas.openxmlformats.org/officeDocument/2006/relationships/table" Target="../tables/table62.xml"/><Relationship Id="rId17" Type="http://schemas.openxmlformats.org/officeDocument/2006/relationships/table" Target="../tables/table67.xml"/><Relationship Id="rId25" Type="http://schemas.openxmlformats.org/officeDocument/2006/relationships/table" Target="../tables/table75.xml"/><Relationship Id="rId33" Type="http://schemas.openxmlformats.org/officeDocument/2006/relationships/table" Target="../tables/table83.xml"/><Relationship Id="rId38" Type="http://schemas.openxmlformats.org/officeDocument/2006/relationships/table" Target="../tables/table88.xml"/><Relationship Id="rId2" Type="http://schemas.openxmlformats.org/officeDocument/2006/relationships/vmlDrawing" Target="../drawings/vmlDrawing5.vml"/><Relationship Id="rId16" Type="http://schemas.openxmlformats.org/officeDocument/2006/relationships/table" Target="../tables/table66.xml"/><Relationship Id="rId20" Type="http://schemas.openxmlformats.org/officeDocument/2006/relationships/table" Target="../tables/table70.xml"/><Relationship Id="rId29" Type="http://schemas.openxmlformats.org/officeDocument/2006/relationships/table" Target="../tables/table79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56.xml"/><Relationship Id="rId11" Type="http://schemas.openxmlformats.org/officeDocument/2006/relationships/table" Target="../tables/table61.xml"/><Relationship Id="rId24" Type="http://schemas.openxmlformats.org/officeDocument/2006/relationships/table" Target="../tables/table74.xml"/><Relationship Id="rId32" Type="http://schemas.openxmlformats.org/officeDocument/2006/relationships/table" Target="../tables/table82.xml"/><Relationship Id="rId37" Type="http://schemas.openxmlformats.org/officeDocument/2006/relationships/table" Target="../tables/table87.xml"/><Relationship Id="rId5" Type="http://schemas.openxmlformats.org/officeDocument/2006/relationships/table" Target="../tables/table55.xml"/><Relationship Id="rId15" Type="http://schemas.openxmlformats.org/officeDocument/2006/relationships/table" Target="../tables/table65.xml"/><Relationship Id="rId23" Type="http://schemas.openxmlformats.org/officeDocument/2006/relationships/table" Target="../tables/table73.xml"/><Relationship Id="rId28" Type="http://schemas.openxmlformats.org/officeDocument/2006/relationships/table" Target="../tables/table78.xml"/><Relationship Id="rId36" Type="http://schemas.openxmlformats.org/officeDocument/2006/relationships/table" Target="../tables/table86.xml"/><Relationship Id="rId10" Type="http://schemas.openxmlformats.org/officeDocument/2006/relationships/table" Target="../tables/table60.xml"/><Relationship Id="rId19" Type="http://schemas.openxmlformats.org/officeDocument/2006/relationships/table" Target="../tables/table69.xml"/><Relationship Id="rId31" Type="http://schemas.openxmlformats.org/officeDocument/2006/relationships/table" Target="../tables/table81.xml"/><Relationship Id="rId4" Type="http://schemas.openxmlformats.org/officeDocument/2006/relationships/table" Target="../tables/table54.xml"/><Relationship Id="rId9" Type="http://schemas.openxmlformats.org/officeDocument/2006/relationships/table" Target="../tables/table59.xml"/><Relationship Id="rId14" Type="http://schemas.openxmlformats.org/officeDocument/2006/relationships/table" Target="../tables/table64.xml"/><Relationship Id="rId22" Type="http://schemas.openxmlformats.org/officeDocument/2006/relationships/table" Target="../tables/table72.xml"/><Relationship Id="rId27" Type="http://schemas.openxmlformats.org/officeDocument/2006/relationships/table" Target="../tables/table77.xml"/><Relationship Id="rId30" Type="http://schemas.openxmlformats.org/officeDocument/2006/relationships/table" Target="../tables/table80.xml"/><Relationship Id="rId35" Type="http://schemas.openxmlformats.org/officeDocument/2006/relationships/table" Target="../tables/table85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4.xml"/><Relationship Id="rId13" Type="http://schemas.openxmlformats.org/officeDocument/2006/relationships/table" Target="../tables/table99.xml"/><Relationship Id="rId18" Type="http://schemas.openxmlformats.org/officeDocument/2006/relationships/table" Target="../tables/table104.xml"/><Relationship Id="rId3" Type="http://schemas.openxmlformats.org/officeDocument/2006/relationships/table" Target="../tables/table89.xml"/><Relationship Id="rId21" Type="http://schemas.openxmlformats.org/officeDocument/2006/relationships/comments" Target="../comments6.xml"/><Relationship Id="rId7" Type="http://schemas.openxmlformats.org/officeDocument/2006/relationships/table" Target="../tables/table93.xml"/><Relationship Id="rId12" Type="http://schemas.openxmlformats.org/officeDocument/2006/relationships/table" Target="../tables/table98.xml"/><Relationship Id="rId17" Type="http://schemas.openxmlformats.org/officeDocument/2006/relationships/table" Target="../tables/table103.xml"/><Relationship Id="rId2" Type="http://schemas.openxmlformats.org/officeDocument/2006/relationships/vmlDrawing" Target="../drawings/vmlDrawing6.vml"/><Relationship Id="rId16" Type="http://schemas.openxmlformats.org/officeDocument/2006/relationships/table" Target="../tables/table102.xml"/><Relationship Id="rId20" Type="http://schemas.openxmlformats.org/officeDocument/2006/relationships/table" Target="../tables/table106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92.xml"/><Relationship Id="rId11" Type="http://schemas.openxmlformats.org/officeDocument/2006/relationships/table" Target="../tables/table97.xml"/><Relationship Id="rId5" Type="http://schemas.openxmlformats.org/officeDocument/2006/relationships/table" Target="../tables/table91.xml"/><Relationship Id="rId15" Type="http://schemas.openxmlformats.org/officeDocument/2006/relationships/table" Target="../tables/table101.xml"/><Relationship Id="rId10" Type="http://schemas.openxmlformats.org/officeDocument/2006/relationships/table" Target="../tables/table96.xml"/><Relationship Id="rId19" Type="http://schemas.openxmlformats.org/officeDocument/2006/relationships/table" Target="../tables/table105.xml"/><Relationship Id="rId4" Type="http://schemas.openxmlformats.org/officeDocument/2006/relationships/table" Target="../tables/table90.xml"/><Relationship Id="rId9" Type="http://schemas.openxmlformats.org/officeDocument/2006/relationships/table" Target="../tables/table95.xml"/><Relationship Id="rId14" Type="http://schemas.openxmlformats.org/officeDocument/2006/relationships/table" Target="../tables/table100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zoomScale="70" zoomScaleNormal="70" workbookViewId="0">
      <selection activeCell="D48" sqref="D48"/>
    </sheetView>
  </sheetViews>
  <sheetFormatPr defaultRowHeight="15" x14ac:dyDescent="0.25"/>
  <cols>
    <col min="1" max="1" width="121.42578125" bestFit="1" customWidth="1"/>
  </cols>
  <sheetData>
    <row r="1" spans="1:12" ht="30" x14ac:dyDescent="0.25">
      <c r="A1" s="3" t="s">
        <v>149</v>
      </c>
    </row>
    <row r="2" spans="1:12" ht="45" x14ac:dyDescent="0.25">
      <c r="A2" s="4" t="s">
        <v>150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</row>
    <row r="3" spans="1:12" ht="48" x14ac:dyDescent="0.25">
      <c r="A3" s="4" t="s">
        <v>151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12" ht="30" x14ac:dyDescent="0.25">
      <c r="A4" s="3" t="s">
        <v>152</v>
      </c>
    </row>
    <row r="5" spans="1:12" ht="30" x14ac:dyDescent="0.25">
      <c r="A5" s="3" t="s">
        <v>171</v>
      </c>
    </row>
    <row r="6" spans="1:12" x14ac:dyDescent="0.25">
      <c r="A6" s="6" t="s">
        <v>153</v>
      </c>
    </row>
    <row r="7" spans="1:12" x14ac:dyDescent="0.25">
      <c r="A7" s="6" t="s">
        <v>153</v>
      </c>
    </row>
    <row r="8" spans="1:12" x14ac:dyDescent="0.25">
      <c r="A8" s="6" t="s">
        <v>153</v>
      </c>
    </row>
    <row r="9" spans="1:12" x14ac:dyDescent="0.25">
      <c r="A9" s="6" t="s">
        <v>153</v>
      </c>
    </row>
    <row r="10" spans="1:12" x14ac:dyDescent="0.25">
      <c r="A10" s="6" t="s">
        <v>153</v>
      </c>
    </row>
    <row r="11" spans="1:12" x14ac:dyDescent="0.25">
      <c r="A11" s="6" t="s">
        <v>153</v>
      </c>
    </row>
    <row r="12" spans="1:12" x14ac:dyDescent="0.25">
      <c r="A12" s="6" t="s">
        <v>153</v>
      </c>
    </row>
    <row r="13" spans="1:12" x14ac:dyDescent="0.25">
      <c r="A13" s="6" t="s">
        <v>153</v>
      </c>
    </row>
    <row r="14" spans="1:12" x14ac:dyDescent="0.25">
      <c r="A14" s="6" t="s">
        <v>153</v>
      </c>
    </row>
    <row r="15" spans="1:12" x14ac:dyDescent="0.25">
      <c r="A15" s="6" t="s">
        <v>153</v>
      </c>
    </row>
    <row r="16" spans="1:12" x14ac:dyDescent="0.25">
      <c r="A16" s="6" t="s">
        <v>153</v>
      </c>
    </row>
    <row r="17" spans="1:10" x14ac:dyDescent="0.25">
      <c r="A17" s="6" t="s">
        <v>153</v>
      </c>
    </row>
    <row r="18" spans="1:10" x14ac:dyDescent="0.25">
      <c r="A18" s="6" t="s">
        <v>153</v>
      </c>
    </row>
    <row r="19" spans="1:10" x14ac:dyDescent="0.25">
      <c r="A19" s="6" t="s">
        <v>153</v>
      </c>
    </row>
    <row r="20" spans="1:10" x14ac:dyDescent="0.25">
      <c r="A20" s="6" t="s">
        <v>153</v>
      </c>
    </row>
    <row r="21" spans="1:10" x14ac:dyDescent="0.25">
      <c r="A21" s="6" t="s">
        <v>153</v>
      </c>
    </row>
    <row r="22" spans="1:10" x14ac:dyDescent="0.25">
      <c r="A22" s="6" t="s">
        <v>153</v>
      </c>
    </row>
    <row r="23" spans="1:10" x14ac:dyDescent="0.25">
      <c r="A23" s="6" t="s">
        <v>153</v>
      </c>
      <c r="F23" s="2"/>
      <c r="G23" s="2"/>
      <c r="H23" s="2"/>
    </row>
    <row r="24" spans="1:10" ht="15.75" x14ac:dyDescent="0.25">
      <c r="A24" s="7" t="s">
        <v>154</v>
      </c>
      <c r="D24" s="2"/>
      <c r="E24" s="2"/>
      <c r="F24" s="2"/>
      <c r="G24" s="2"/>
      <c r="H24" s="2"/>
      <c r="I24" s="2"/>
      <c r="J24" s="2"/>
    </row>
    <row r="25" spans="1:10" ht="41.25" x14ac:dyDescent="0.25">
      <c r="A25" s="8" t="s">
        <v>155</v>
      </c>
    </row>
    <row r="26" spans="1:10" ht="30" x14ac:dyDescent="0.25">
      <c r="A26" s="3" t="s">
        <v>156</v>
      </c>
    </row>
  </sheetData>
  <pageMargins left="0.7" right="0.7" top="0.75" bottom="0.75" header="0.3" footer="0.3"/>
  <pageSetup scale="74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34"/>
  <sheetViews>
    <sheetView zoomScale="70" zoomScaleNormal="70" zoomScalePageLayoutView="80" workbookViewId="0">
      <selection activeCell="D1" sqref="D1"/>
    </sheetView>
  </sheetViews>
  <sheetFormatPr defaultColWidth="9.140625" defaultRowHeight="15" outlineLevelRow="1" x14ac:dyDescent="0.25"/>
  <cols>
    <col min="1" max="1" width="76.5703125" style="260" customWidth="1"/>
    <col min="2" max="2" width="12.5703125" style="259" customWidth="1"/>
    <col min="3" max="3" width="14.5703125" style="314" customWidth="1"/>
    <col min="4" max="4" width="12.5703125" style="259" customWidth="1"/>
    <col min="5" max="5" width="16.5703125" style="313" customWidth="1"/>
    <col min="6" max="6" width="15.5703125" style="313" customWidth="1"/>
    <col min="7" max="7" width="16.5703125" style="313" customWidth="1"/>
    <col min="8" max="10" width="15.5703125" style="313" customWidth="1"/>
    <col min="11" max="11" width="16.5703125" style="313" customWidth="1"/>
    <col min="12" max="16384" width="9.140625" style="239"/>
  </cols>
  <sheetData>
    <row r="1" spans="1:11" ht="54" customHeight="1" x14ac:dyDescent="0.25">
      <c r="A1" s="20" t="s">
        <v>567</v>
      </c>
      <c r="B1" s="315"/>
      <c r="C1" s="316"/>
      <c r="D1" s="315"/>
      <c r="E1" s="317"/>
      <c r="F1" s="317"/>
      <c r="G1" s="317"/>
      <c r="H1" s="317"/>
      <c r="I1" s="317"/>
      <c r="J1" s="317"/>
      <c r="K1" s="317"/>
    </row>
    <row r="2" spans="1:11" ht="62.1" customHeight="1" x14ac:dyDescent="0.25">
      <c r="A2" s="28" t="s">
        <v>268</v>
      </c>
      <c r="B2" s="28" t="s">
        <v>2</v>
      </c>
      <c r="C2" s="28" t="s">
        <v>568</v>
      </c>
      <c r="D2" s="28" t="s">
        <v>221</v>
      </c>
      <c r="E2" s="196" t="s">
        <v>223</v>
      </c>
      <c r="F2" s="195" t="s">
        <v>569</v>
      </c>
      <c r="G2" s="196" t="s">
        <v>270</v>
      </c>
      <c r="H2" s="196" t="s">
        <v>271</v>
      </c>
      <c r="I2" s="196" t="s">
        <v>570</v>
      </c>
      <c r="J2" s="196" t="s">
        <v>272</v>
      </c>
      <c r="K2" s="196" t="s">
        <v>273</v>
      </c>
    </row>
    <row r="3" spans="1:11" ht="15.75" customHeight="1" x14ac:dyDescent="0.25">
      <c r="A3" s="280" t="s">
        <v>536</v>
      </c>
      <c r="B3" s="24" t="s">
        <v>537</v>
      </c>
      <c r="C3" s="92">
        <v>288</v>
      </c>
      <c r="D3" s="24" t="s">
        <v>380</v>
      </c>
      <c r="E3" s="268">
        <v>130288</v>
      </c>
      <c r="F3" s="269">
        <v>0</v>
      </c>
      <c r="G3" s="268">
        <v>130288</v>
      </c>
      <c r="H3" s="269">
        <v>0</v>
      </c>
      <c r="I3" s="269">
        <v>0</v>
      </c>
      <c r="J3" s="269">
        <v>0</v>
      </c>
      <c r="K3" s="268">
        <v>130288</v>
      </c>
    </row>
    <row r="4" spans="1:11" ht="15.75" customHeight="1" x14ac:dyDescent="0.25">
      <c r="A4" s="280" t="s">
        <v>536</v>
      </c>
      <c r="B4" s="24" t="s">
        <v>537</v>
      </c>
      <c r="C4" s="92">
        <v>288</v>
      </c>
      <c r="D4" s="24" t="s">
        <v>503</v>
      </c>
      <c r="E4" s="268">
        <v>85888</v>
      </c>
      <c r="F4" s="269">
        <v>0</v>
      </c>
      <c r="G4" s="268">
        <v>85888</v>
      </c>
      <c r="H4" s="269">
        <v>0</v>
      </c>
      <c r="I4" s="269">
        <v>0</v>
      </c>
      <c r="J4" s="269">
        <v>0</v>
      </c>
      <c r="K4" s="268">
        <v>85888</v>
      </c>
    </row>
    <row r="5" spans="1:11" ht="15.75" customHeight="1" x14ac:dyDescent="0.25">
      <c r="A5" s="162" t="s">
        <v>571</v>
      </c>
      <c r="B5" s="121" t="s">
        <v>153</v>
      </c>
      <c r="C5" s="121" t="s">
        <v>153</v>
      </c>
      <c r="D5" s="121" t="s">
        <v>153</v>
      </c>
      <c r="E5" s="277">
        <f>SUBTOTAL(109,local288[Program
Costs])</f>
        <v>216176</v>
      </c>
      <c r="F5" s="279">
        <f>SUBTOTAL(109,local288[Less: Net
Payments 
and Offsets])</f>
        <v>0</v>
      </c>
      <c r="G5" s="277">
        <f>SUBTOTAL(109,local288[Accounts Payable
Balance])</f>
        <v>216176</v>
      </c>
      <c r="H5" s="279">
        <f>SUBTOTAL(109,local288[Established
Accounts Receivable])</f>
        <v>0</v>
      </c>
      <c r="I5" s="279">
        <f>SUBTOTAL(109,local288[Less:
 Recovered
Amount])</f>
        <v>0</v>
      </c>
      <c r="J5" s="279">
        <f>SUBTOTAL(109,local288[Accounts Receivable
Balance])</f>
        <v>0</v>
      </c>
      <c r="K5" s="277">
        <f>SUBTOTAL(109,local288[Net
Balance])</f>
        <v>216176</v>
      </c>
    </row>
    <row r="6" spans="1:11" ht="15.75" customHeight="1" x14ac:dyDescent="0.25">
      <c r="A6" s="319" t="s">
        <v>181</v>
      </c>
      <c r="B6" s="24"/>
      <c r="C6" s="92"/>
      <c r="D6" s="24"/>
      <c r="E6" s="268"/>
      <c r="F6" s="269"/>
      <c r="G6" s="268"/>
      <c r="H6" s="269"/>
      <c r="I6" s="269"/>
      <c r="J6" s="269"/>
      <c r="K6" s="268"/>
    </row>
    <row r="7" spans="1:11" ht="62.1" customHeight="1" x14ac:dyDescent="0.25">
      <c r="A7" s="28" t="s">
        <v>268</v>
      </c>
      <c r="B7" s="28" t="s">
        <v>2</v>
      </c>
      <c r="C7" s="28" t="s">
        <v>568</v>
      </c>
      <c r="D7" s="28" t="s">
        <v>221</v>
      </c>
      <c r="E7" s="196" t="s">
        <v>223</v>
      </c>
      <c r="F7" s="195" t="s">
        <v>569</v>
      </c>
      <c r="G7" s="196" t="s">
        <v>270</v>
      </c>
      <c r="H7" s="196" t="s">
        <v>271</v>
      </c>
      <c r="I7" s="196" t="s">
        <v>570</v>
      </c>
      <c r="J7" s="196" t="s">
        <v>272</v>
      </c>
      <c r="K7" s="196" t="s">
        <v>273</v>
      </c>
    </row>
    <row r="8" spans="1:11" ht="15.75" customHeight="1" x14ac:dyDescent="0.25">
      <c r="A8" s="280" t="s">
        <v>538</v>
      </c>
      <c r="B8" s="24" t="s">
        <v>539</v>
      </c>
      <c r="C8" s="24">
        <v>310</v>
      </c>
      <c r="D8" s="24" t="s">
        <v>292</v>
      </c>
      <c r="E8" s="268">
        <v>12653786</v>
      </c>
      <c r="F8" s="269">
        <v>0</v>
      </c>
      <c r="G8" s="268">
        <v>12653786</v>
      </c>
      <c r="H8" s="269">
        <v>0</v>
      </c>
      <c r="I8" s="269">
        <v>0</v>
      </c>
      <c r="J8" s="269">
        <v>0</v>
      </c>
      <c r="K8" s="268">
        <v>12653786</v>
      </c>
    </row>
    <row r="9" spans="1:11" ht="15.75" customHeight="1" x14ac:dyDescent="0.25">
      <c r="A9" s="280" t="s">
        <v>538</v>
      </c>
      <c r="B9" s="24" t="s">
        <v>539</v>
      </c>
      <c r="C9" s="92">
        <v>310</v>
      </c>
      <c r="D9" s="24" t="s">
        <v>296</v>
      </c>
      <c r="E9" s="268">
        <v>14342459</v>
      </c>
      <c r="F9" s="269">
        <v>0</v>
      </c>
      <c r="G9" s="268">
        <v>14342459</v>
      </c>
      <c r="H9" s="269">
        <v>0</v>
      </c>
      <c r="I9" s="269">
        <v>0</v>
      </c>
      <c r="J9" s="269">
        <v>0</v>
      </c>
      <c r="K9" s="268">
        <v>14342459</v>
      </c>
    </row>
    <row r="10" spans="1:11" ht="15.75" customHeight="1" x14ac:dyDescent="0.25">
      <c r="A10" s="280" t="s">
        <v>538</v>
      </c>
      <c r="B10" s="24" t="s">
        <v>539</v>
      </c>
      <c r="C10" s="92">
        <v>310</v>
      </c>
      <c r="D10" s="24" t="s">
        <v>1</v>
      </c>
      <c r="E10" s="268">
        <v>13416197</v>
      </c>
      <c r="F10" s="269">
        <v>0</v>
      </c>
      <c r="G10" s="268">
        <v>13416197</v>
      </c>
      <c r="H10" s="269">
        <v>0</v>
      </c>
      <c r="I10" s="269">
        <v>0</v>
      </c>
      <c r="J10" s="269">
        <v>0</v>
      </c>
      <c r="K10" s="268">
        <v>13416197</v>
      </c>
    </row>
    <row r="11" spans="1:11" ht="15.75" customHeight="1" x14ac:dyDescent="0.25">
      <c r="A11" s="280" t="s">
        <v>538</v>
      </c>
      <c r="B11" s="24" t="s">
        <v>539</v>
      </c>
      <c r="C11" s="92">
        <v>310</v>
      </c>
      <c r="D11" s="24" t="s">
        <v>48</v>
      </c>
      <c r="E11" s="268">
        <v>12879352</v>
      </c>
      <c r="F11" s="269">
        <v>0</v>
      </c>
      <c r="G11" s="268">
        <v>12879352</v>
      </c>
      <c r="H11" s="269">
        <v>0</v>
      </c>
      <c r="I11" s="269">
        <v>0</v>
      </c>
      <c r="J11" s="269">
        <v>0</v>
      </c>
      <c r="K11" s="268">
        <v>12879352</v>
      </c>
    </row>
    <row r="12" spans="1:11" ht="15.75" customHeight="1" x14ac:dyDescent="0.25">
      <c r="A12" s="280" t="s">
        <v>538</v>
      </c>
      <c r="B12" s="24" t="s">
        <v>539</v>
      </c>
      <c r="C12" s="92">
        <v>310</v>
      </c>
      <c r="D12" s="24" t="s">
        <v>353</v>
      </c>
      <c r="E12" s="268">
        <v>12139381</v>
      </c>
      <c r="F12" s="269">
        <v>0</v>
      </c>
      <c r="G12" s="268">
        <v>12139381</v>
      </c>
      <c r="H12" s="269">
        <v>0</v>
      </c>
      <c r="I12" s="269">
        <v>0</v>
      </c>
      <c r="J12" s="269">
        <v>0</v>
      </c>
      <c r="K12" s="268">
        <v>12139381</v>
      </c>
    </row>
    <row r="13" spans="1:11" ht="15.75" customHeight="1" x14ac:dyDescent="0.25">
      <c r="A13" s="280" t="s">
        <v>538</v>
      </c>
      <c r="B13" s="24" t="s">
        <v>539</v>
      </c>
      <c r="C13" s="92">
        <v>310</v>
      </c>
      <c r="D13" s="24" t="s">
        <v>358</v>
      </c>
      <c r="E13" s="268">
        <v>12396578</v>
      </c>
      <c r="F13" s="269">
        <v>0</v>
      </c>
      <c r="G13" s="268">
        <v>12396578</v>
      </c>
      <c r="H13" s="269">
        <v>0</v>
      </c>
      <c r="I13" s="269">
        <v>0</v>
      </c>
      <c r="J13" s="269">
        <v>0</v>
      </c>
      <c r="K13" s="268">
        <v>12396578</v>
      </c>
    </row>
    <row r="14" spans="1:11" ht="15.75" customHeight="1" x14ac:dyDescent="0.25">
      <c r="A14" s="280" t="s">
        <v>538</v>
      </c>
      <c r="B14" s="24" t="s">
        <v>539</v>
      </c>
      <c r="C14" s="92">
        <v>310</v>
      </c>
      <c r="D14" s="24" t="s">
        <v>359</v>
      </c>
      <c r="E14" s="268">
        <v>11583754</v>
      </c>
      <c r="F14" s="269">
        <v>0</v>
      </c>
      <c r="G14" s="268">
        <v>11583754</v>
      </c>
      <c r="H14" s="269">
        <v>0</v>
      </c>
      <c r="I14" s="269">
        <v>0</v>
      </c>
      <c r="J14" s="269">
        <v>0</v>
      </c>
      <c r="K14" s="268">
        <v>11583754</v>
      </c>
    </row>
    <row r="15" spans="1:11" ht="15.75" customHeight="1" x14ac:dyDescent="0.25">
      <c r="A15" s="280" t="s">
        <v>538</v>
      </c>
      <c r="B15" s="24" t="s">
        <v>539</v>
      </c>
      <c r="C15" s="92">
        <v>310</v>
      </c>
      <c r="D15" s="24" t="s">
        <v>360</v>
      </c>
      <c r="E15" s="268">
        <v>11401506</v>
      </c>
      <c r="F15" s="269">
        <v>0</v>
      </c>
      <c r="G15" s="268">
        <v>11401506</v>
      </c>
      <c r="H15" s="269">
        <v>0</v>
      </c>
      <c r="I15" s="269">
        <v>0</v>
      </c>
      <c r="J15" s="269">
        <v>0</v>
      </c>
      <c r="K15" s="268">
        <v>11401506</v>
      </c>
    </row>
    <row r="16" spans="1:11" ht="15.75" customHeight="1" x14ac:dyDescent="0.25">
      <c r="A16" s="280" t="s">
        <v>538</v>
      </c>
      <c r="B16" s="24" t="s">
        <v>539</v>
      </c>
      <c r="C16" s="92">
        <v>310</v>
      </c>
      <c r="D16" s="24" t="s">
        <v>49</v>
      </c>
      <c r="E16" s="268">
        <v>10668699</v>
      </c>
      <c r="F16" s="269">
        <v>0</v>
      </c>
      <c r="G16" s="268">
        <v>10668699</v>
      </c>
      <c r="H16" s="269">
        <v>0</v>
      </c>
      <c r="I16" s="269">
        <v>0</v>
      </c>
      <c r="J16" s="269">
        <v>0</v>
      </c>
      <c r="K16" s="268">
        <v>10668699</v>
      </c>
    </row>
    <row r="17" spans="1:11" ht="15.75" customHeight="1" x14ac:dyDescent="0.25">
      <c r="A17" s="280" t="s">
        <v>538</v>
      </c>
      <c r="B17" s="24" t="s">
        <v>539</v>
      </c>
      <c r="C17" s="92">
        <v>310</v>
      </c>
      <c r="D17" s="24" t="s">
        <v>361</v>
      </c>
      <c r="E17" s="268">
        <v>9748699</v>
      </c>
      <c r="F17" s="269">
        <v>0</v>
      </c>
      <c r="G17" s="268">
        <v>9748699</v>
      </c>
      <c r="H17" s="269">
        <v>0</v>
      </c>
      <c r="I17" s="269">
        <v>0</v>
      </c>
      <c r="J17" s="269">
        <v>0</v>
      </c>
      <c r="K17" s="268">
        <v>9748699</v>
      </c>
    </row>
    <row r="18" spans="1:11" ht="15.75" customHeight="1" x14ac:dyDescent="0.25">
      <c r="A18" s="280" t="s">
        <v>538</v>
      </c>
      <c r="B18" s="24" t="s">
        <v>539</v>
      </c>
      <c r="C18" s="92">
        <v>310</v>
      </c>
      <c r="D18" s="24" t="s">
        <v>362</v>
      </c>
      <c r="E18" s="268">
        <v>9305353</v>
      </c>
      <c r="F18" s="269">
        <v>0</v>
      </c>
      <c r="G18" s="268">
        <v>9305353</v>
      </c>
      <c r="H18" s="269">
        <v>0</v>
      </c>
      <c r="I18" s="269">
        <v>0</v>
      </c>
      <c r="J18" s="269">
        <v>0</v>
      </c>
      <c r="K18" s="268">
        <v>9305353</v>
      </c>
    </row>
    <row r="19" spans="1:11" ht="15.75" customHeight="1" x14ac:dyDescent="0.25">
      <c r="A19" s="162" t="s">
        <v>572</v>
      </c>
      <c r="B19" s="121" t="s">
        <v>153</v>
      </c>
      <c r="C19" s="121" t="s">
        <v>153</v>
      </c>
      <c r="D19" s="121" t="s">
        <v>153</v>
      </c>
      <c r="E19" s="277">
        <f>SUBTOTAL(109,local310[Program
Costs])</f>
        <v>130535764</v>
      </c>
      <c r="F19" s="279">
        <f>SUBTOTAL(109,local310[Less: Net
Payments 
and Offsets])</f>
        <v>0</v>
      </c>
      <c r="G19" s="277">
        <f>SUBTOTAL(109,local310[Accounts Payable
Balance])</f>
        <v>130535764</v>
      </c>
      <c r="H19" s="279">
        <f>SUBTOTAL(109,local310[Established
Accounts Receivable])</f>
        <v>0</v>
      </c>
      <c r="I19" s="279">
        <f>SUBTOTAL(109,local310[Less:
 Recovered
Amount])</f>
        <v>0</v>
      </c>
      <c r="J19" s="279">
        <f>SUBTOTAL(109,local310[Accounts Receivable
Balance])</f>
        <v>0</v>
      </c>
      <c r="K19" s="277">
        <f>SUBTOTAL(109,local310[Net
Balance])</f>
        <v>130535764</v>
      </c>
    </row>
    <row r="20" spans="1:11" ht="15.75" customHeight="1" x14ac:dyDescent="0.25">
      <c r="A20" s="319" t="s">
        <v>181</v>
      </c>
      <c r="B20" s="24"/>
      <c r="C20" s="24"/>
      <c r="D20" s="24"/>
      <c r="E20" s="270"/>
      <c r="F20" s="270"/>
      <c r="G20" s="270"/>
      <c r="H20" s="270"/>
      <c r="I20" s="270"/>
      <c r="J20" s="270"/>
      <c r="K20" s="271"/>
    </row>
    <row r="21" spans="1:11" s="259" customFormat="1" ht="62.1" customHeight="1" x14ac:dyDescent="0.25">
      <c r="A21" s="28" t="s">
        <v>268</v>
      </c>
      <c r="B21" s="28" t="s">
        <v>2</v>
      </c>
      <c r="C21" s="28" t="s">
        <v>568</v>
      </c>
      <c r="D21" s="28" t="s">
        <v>221</v>
      </c>
      <c r="E21" s="196" t="s">
        <v>223</v>
      </c>
      <c r="F21" s="195" t="s">
        <v>569</v>
      </c>
      <c r="G21" s="196" t="s">
        <v>270</v>
      </c>
      <c r="H21" s="196" t="s">
        <v>271</v>
      </c>
      <c r="I21" s="196" t="s">
        <v>570</v>
      </c>
      <c r="J21" s="196" t="s">
        <v>272</v>
      </c>
      <c r="K21" s="196" t="s">
        <v>273</v>
      </c>
    </row>
    <row r="22" spans="1:11" ht="15.75" customHeight="1" x14ac:dyDescent="0.25">
      <c r="A22" s="280" t="s">
        <v>540</v>
      </c>
      <c r="B22" s="24" t="s">
        <v>541</v>
      </c>
      <c r="C22" s="24">
        <v>306</v>
      </c>
      <c r="D22" s="24" t="s">
        <v>296</v>
      </c>
      <c r="E22" s="268">
        <v>57816</v>
      </c>
      <c r="F22" s="269">
        <v>0</v>
      </c>
      <c r="G22" s="268">
        <v>57816</v>
      </c>
      <c r="H22" s="269">
        <v>0</v>
      </c>
      <c r="I22" s="269">
        <v>0</v>
      </c>
      <c r="J22" s="269">
        <v>0</v>
      </c>
      <c r="K22" s="268">
        <v>57816</v>
      </c>
    </row>
    <row r="23" spans="1:11" ht="15.75" customHeight="1" x14ac:dyDescent="0.25">
      <c r="A23" s="280" t="s">
        <v>540</v>
      </c>
      <c r="B23" s="24" t="s">
        <v>541</v>
      </c>
      <c r="C23" s="92">
        <v>306</v>
      </c>
      <c r="D23" s="24" t="s">
        <v>1</v>
      </c>
      <c r="E23" s="268">
        <v>297792</v>
      </c>
      <c r="F23" s="269">
        <v>0</v>
      </c>
      <c r="G23" s="268">
        <v>297792</v>
      </c>
      <c r="H23" s="269">
        <v>0</v>
      </c>
      <c r="I23" s="269">
        <v>0</v>
      </c>
      <c r="J23" s="269">
        <v>0</v>
      </c>
      <c r="K23" s="268">
        <v>297792</v>
      </c>
    </row>
    <row r="24" spans="1:11" ht="15.75" customHeight="1" x14ac:dyDescent="0.25">
      <c r="A24" s="280" t="s">
        <v>540</v>
      </c>
      <c r="B24" s="24" t="s">
        <v>541</v>
      </c>
      <c r="C24" s="92">
        <v>306</v>
      </c>
      <c r="D24" s="24" t="s">
        <v>48</v>
      </c>
      <c r="E24" s="268">
        <v>263698</v>
      </c>
      <c r="F24" s="269">
        <v>0</v>
      </c>
      <c r="G24" s="268">
        <v>263698</v>
      </c>
      <c r="H24" s="269">
        <v>0</v>
      </c>
      <c r="I24" s="269">
        <v>0</v>
      </c>
      <c r="J24" s="269">
        <v>0</v>
      </c>
      <c r="K24" s="268">
        <v>263698</v>
      </c>
    </row>
    <row r="25" spans="1:11" ht="15.75" customHeight="1" x14ac:dyDescent="0.25">
      <c r="A25" s="280" t="s">
        <v>540</v>
      </c>
      <c r="B25" s="24" t="s">
        <v>541</v>
      </c>
      <c r="C25" s="92">
        <v>306</v>
      </c>
      <c r="D25" s="24" t="s">
        <v>353</v>
      </c>
      <c r="E25" s="268">
        <v>275387</v>
      </c>
      <c r="F25" s="269">
        <v>0</v>
      </c>
      <c r="G25" s="268">
        <v>275387</v>
      </c>
      <c r="H25" s="269">
        <v>0</v>
      </c>
      <c r="I25" s="269">
        <v>0</v>
      </c>
      <c r="J25" s="269">
        <v>0</v>
      </c>
      <c r="K25" s="268">
        <v>275387</v>
      </c>
    </row>
    <row r="26" spans="1:11" ht="15.75" customHeight="1" x14ac:dyDescent="0.25">
      <c r="A26" s="280" t="s">
        <v>540</v>
      </c>
      <c r="B26" s="24" t="s">
        <v>541</v>
      </c>
      <c r="C26" s="92">
        <v>306</v>
      </c>
      <c r="D26" s="24" t="s">
        <v>358</v>
      </c>
      <c r="E26" s="268">
        <v>253715</v>
      </c>
      <c r="F26" s="269">
        <v>0</v>
      </c>
      <c r="G26" s="268">
        <v>253715</v>
      </c>
      <c r="H26" s="269">
        <v>0</v>
      </c>
      <c r="I26" s="269">
        <v>0</v>
      </c>
      <c r="J26" s="269">
        <v>0</v>
      </c>
      <c r="K26" s="268">
        <v>253715</v>
      </c>
    </row>
    <row r="27" spans="1:11" ht="15.75" customHeight="1" x14ac:dyDescent="0.25">
      <c r="A27" s="280" t="s">
        <v>540</v>
      </c>
      <c r="B27" s="24" t="s">
        <v>541</v>
      </c>
      <c r="C27" s="92">
        <v>306</v>
      </c>
      <c r="D27" s="24" t="s">
        <v>359</v>
      </c>
      <c r="E27" s="268">
        <v>228442</v>
      </c>
      <c r="F27" s="269">
        <v>0</v>
      </c>
      <c r="G27" s="268">
        <v>228442</v>
      </c>
      <c r="H27" s="269">
        <v>0</v>
      </c>
      <c r="I27" s="269">
        <v>0</v>
      </c>
      <c r="J27" s="269">
        <v>0</v>
      </c>
      <c r="K27" s="268">
        <v>228442</v>
      </c>
    </row>
    <row r="28" spans="1:11" ht="15.75" customHeight="1" x14ac:dyDescent="0.25">
      <c r="A28" s="280" t="s">
        <v>540</v>
      </c>
      <c r="B28" s="24" t="s">
        <v>541</v>
      </c>
      <c r="C28" s="92">
        <v>306</v>
      </c>
      <c r="D28" s="24" t="s">
        <v>360</v>
      </c>
      <c r="E28" s="268">
        <v>222536</v>
      </c>
      <c r="F28" s="269">
        <v>0</v>
      </c>
      <c r="G28" s="268">
        <v>222536</v>
      </c>
      <c r="H28" s="269">
        <v>0</v>
      </c>
      <c r="I28" s="269">
        <v>0</v>
      </c>
      <c r="J28" s="269">
        <v>0</v>
      </c>
      <c r="K28" s="268">
        <v>222536</v>
      </c>
    </row>
    <row r="29" spans="1:11" ht="15.75" customHeight="1" x14ac:dyDescent="0.25">
      <c r="A29" s="280" t="s">
        <v>540</v>
      </c>
      <c r="B29" s="24" t="s">
        <v>541</v>
      </c>
      <c r="C29" s="92">
        <v>306</v>
      </c>
      <c r="D29" s="24" t="s">
        <v>49</v>
      </c>
      <c r="E29" s="268">
        <v>198432</v>
      </c>
      <c r="F29" s="269">
        <v>0</v>
      </c>
      <c r="G29" s="268">
        <v>198432</v>
      </c>
      <c r="H29" s="269">
        <v>0</v>
      </c>
      <c r="I29" s="269">
        <v>0</v>
      </c>
      <c r="J29" s="269">
        <v>0</v>
      </c>
      <c r="K29" s="268">
        <v>198432</v>
      </c>
    </row>
    <row r="30" spans="1:11" ht="15.75" customHeight="1" x14ac:dyDescent="0.25">
      <c r="A30" s="280" t="s">
        <v>540</v>
      </c>
      <c r="B30" s="24" t="s">
        <v>541</v>
      </c>
      <c r="C30" s="92">
        <v>306</v>
      </c>
      <c r="D30" s="24" t="s">
        <v>361</v>
      </c>
      <c r="E30" s="268">
        <v>159800</v>
      </c>
      <c r="F30" s="269">
        <v>0</v>
      </c>
      <c r="G30" s="268">
        <v>159800</v>
      </c>
      <c r="H30" s="269">
        <v>0</v>
      </c>
      <c r="I30" s="269">
        <v>0</v>
      </c>
      <c r="J30" s="269">
        <v>0</v>
      </c>
      <c r="K30" s="268">
        <v>159800</v>
      </c>
    </row>
    <row r="31" spans="1:11" ht="15.75" customHeight="1" x14ac:dyDescent="0.25">
      <c r="A31" s="280" t="s">
        <v>540</v>
      </c>
      <c r="B31" s="24" t="s">
        <v>541</v>
      </c>
      <c r="C31" s="92">
        <v>306</v>
      </c>
      <c r="D31" s="24" t="s">
        <v>362</v>
      </c>
      <c r="E31" s="268">
        <v>51990</v>
      </c>
      <c r="F31" s="269">
        <v>0</v>
      </c>
      <c r="G31" s="268">
        <v>51990</v>
      </c>
      <c r="H31" s="269">
        <v>0</v>
      </c>
      <c r="I31" s="269">
        <v>0</v>
      </c>
      <c r="J31" s="269">
        <v>0</v>
      </c>
      <c r="K31" s="268">
        <v>51990</v>
      </c>
    </row>
    <row r="32" spans="1:11" ht="15.75" customHeight="1" x14ac:dyDescent="0.25">
      <c r="A32" s="162" t="s">
        <v>573</v>
      </c>
      <c r="B32" s="121" t="s">
        <v>153</v>
      </c>
      <c r="C32" s="121" t="s">
        <v>153</v>
      </c>
      <c r="D32" s="121" t="s">
        <v>153</v>
      </c>
      <c r="E32" s="277">
        <f>SUBTOTAL(109,local306[Program
Costs])</f>
        <v>2009608</v>
      </c>
      <c r="F32" s="279">
        <f>SUBTOTAL(109,local306[Less: Net
Payments 
and Offsets])</f>
        <v>0</v>
      </c>
      <c r="G32" s="277">
        <f>SUBTOTAL(109,local306[Accounts Payable
Balance])</f>
        <v>2009608</v>
      </c>
      <c r="H32" s="279">
        <f>SUBTOTAL(109,local306[Established
Accounts Receivable])</f>
        <v>0</v>
      </c>
      <c r="I32" s="279">
        <f>SUBTOTAL(109,local306[Less:
 Recovered
Amount])</f>
        <v>0</v>
      </c>
      <c r="J32" s="279">
        <f>SUBTOTAL(109,local306[Accounts Receivable
Balance])</f>
        <v>0</v>
      </c>
      <c r="K32" s="277">
        <f>SUBTOTAL(109,local306[Net
Balance])</f>
        <v>2009608</v>
      </c>
    </row>
    <row r="33" spans="1:11" ht="15.75" customHeight="1" x14ac:dyDescent="0.25">
      <c r="A33" s="319" t="s">
        <v>181</v>
      </c>
      <c r="B33" s="24"/>
      <c r="C33" s="24"/>
      <c r="D33" s="24"/>
      <c r="E33" s="270"/>
      <c r="F33" s="270"/>
      <c r="G33" s="270"/>
      <c r="H33" s="270"/>
      <c r="I33" s="270"/>
      <c r="J33" s="270"/>
      <c r="K33" s="271"/>
    </row>
    <row r="34" spans="1:11" s="259" customFormat="1" ht="62.1" customHeight="1" x14ac:dyDescent="0.25">
      <c r="A34" s="28" t="s">
        <v>268</v>
      </c>
      <c r="B34" s="28" t="s">
        <v>2</v>
      </c>
      <c r="C34" s="28" t="s">
        <v>568</v>
      </c>
      <c r="D34" s="28" t="s">
        <v>221</v>
      </c>
      <c r="E34" s="196" t="s">
        <v>223</v>
      </c>
      <c r="F34" s="195" t="s">
        <v>569</v>
      </c>
      <c r="G34" s="196" t="s">
        <v>270</v>
      </c>
      <c r="H34" s="196" t="s">
        <v>271</v>
      </c>
      <c r="I34" s="196" t="s">
        <v>570</v>
      </c>
      <c r="J34" s="196" t="s">
        <v>272</v>
      </c>
      <c r="K34" s="196" t="s">
        <v>273</v>
      </c>
    </row>
    <row r="35" spans="1:11" ht="15.75" customHeight="1" x14ac:dyDescent="0.25">
      <c r="A35" s="152" t="s">
        <v>542</v>
      </c>
      <c r="B35" s="24" t="s">
        <v>543</v>
      </c>
      <c r="C35" s="24">
        <v>322</v>
      </c>
      <c r="D35" s="24" t="s">
        <v>290</v>
      </c>
      <c r="E35" s="268">
        <v>1007989</v>
      </c>
      <c r="F35" s="269">
        <v>0</v>
      </c>
      <c r="G35" s="268">
        <v>1007989</v>
      </c>
      <c r="H35" s="269">
        <v>0</v>
      </c>
      <c r="I35" s="269">
        <v>0</v>
      </c>
      <c r="J35" s="269">
        <v>0</v>
      </c>
      <c r="K35" s="268">
        <v>1007989</v>
      </c>
    </row>
    <row r="36" spans="1:11" ht="15.75" customHeight="1" x14ac:dyDescent="0.25">
      <c r="A36" s="152" t="s">
        <v>542</v>
      </c>
      <c r="B36" s="24" t="s">
        <v>543</v>
      </c>
      <c r="C36" s="92">
        <v>322</v>
      </c>
      <c r="D36" s="24" t="s">
        <v>292</v>
      </c>
      <c r="E36" s="268">
        <v>1255634</v>
      </c>
      <c r="F36" s="269">
        <v>0</v>
      </c>
      <c r="G36" s="268">
        <v>1255634</v>
      </c>
      <c r="H36" s="269">
        <v>0</v>
      </c>
      <c r="I36" s="269">
        <v>0</v>
      </c>
      <c r="J36" s="269">
        <v>0</v>
      </c>
      <c r="K36" s="268">
        <v>1255634</v>
      </c>
    </row>
    <row r="37" spans="1:11" ht="15.75" customHeight="1" x14ac:dyDescent="0.25">
      <c r="A37" s="152" t="s">
        <v>542</v>
      </c>
      <c r="B37" s="24" t="s">
        <v>543</v>
      </c>
      <c r="C37" s="92">
        <v>322</v>
      </c>
      <c r="D37" s="24" t="s">
        <v>296</v>
      </c>
      <c r="E37" s="268">
        <v>1272627</v>
      </c>
      <c r="F37" s="269">
        <v>0</v>
      </c>
      <c r="G37" s="268">
        <v>1272627</v>
      </c>
      <c r="H37" s="269">
        <v>0</v>
      </c>
      <c r="I37" s="269">
        <v>0</v>
      </c>
      <c r="J37" s="269">
        <v>0</v>
      </c>
      <c r="K37" s="268">
        <v>1272627</v>
      </c>
    </row>
    <row r="38" spans="1:11" ht="15.75" customHeight="1" x14ac:dyDescent="0.25">
      <c r="A38" s="152" t="s">
        <v>542</v>
      </c>
      <c r="B38" s="24" t="s">
        <v>543</v>
      </c>
      <c r="C38" s="92">
        <v>322</v>
      </c>
      <c r="D38" s="24" t="s">
        <v>1</v>
      </c>
      <c r="E38" s="268">
        <v>1083952</v>
      </c>
      <c r="F38" s="269">
        <v>0</v>
      </c>
      <c r="G38" s="268">
        <v>1083952</v>
      </c>
      <c r="H38" s="269">
        <v>0</v>
      </c>
      <c r="I38" s="269">
        <v>0</v>
      </c>
      <c r="J38" s="269">
        <v>0</v>
      </c>
      <c r="K38" s="268">
        <v>1083952</v>
      </c>
    </row>
    <row r="39" spans="1:11" ht="15.75" customHeight="1" x14ac:dyDescent="0.25">
      <c r="A39" s="152" t="s">
        <v>542</v>
      </c>
      <c r="B39" s="24" t="s">
        <v>543</v>
      </c>
      <c r="C39" s="92">
        <v>322</v>
      </c>
      <c r="D39" s="24" t="s">
        <v>48</v>
      </c>
      <c r="E39" s="268">
        <v>1106027</v>
      </c>
      <c r="F39" s="269">
        <v>0</v>
      </c>
      <c r="G39" s="268">
        <v>1106027</v>
      </c>
      <c r="H39" s="269">
        <v>0</v>
      </c>
      <c r="I39" s="269">
        <v>0</v>
      </c>
      <c r="J39" s="269">
        <v>0</v>
      </c>
      <c r="K39" s="268">
        <v>1106027</v>
      </c>
    </row>
    <row r="40" spans="1:11" ht="15.75" customHeight="1" x14ac:dyDescent="0.25">
      <c r="A40" s="152" t="s">
        <v>542</v>
      </c>
      <c r="B40" s="24" t="s">
        <v>543</v>
      </c>
      <c r="C40" s="92">
        <v>322</v>
      </c>
      <c r="D40" s="24" t="s">
        <v>353</v>
      </c>
      <c r="E40" s="268">
        <v>1058326</v>
      </c>
      <c r="F40" s="269">
        <v>0</v>
      </c>
      <c r="G40" s="268">
        <v>1058326</v>
      </c>
      <c r="H40" s="269">
        <v>0</v>
      </c>
      <c r="I40" s="269">
        <v>0</v>
      </c>
      <c r="J40" s="269">
        <v>0</v>
      </c>
      <c r="K40" s="268">
        <v>1058326</v>
      </c>
    </row>
    <row r="41" spans="1:11" ht="15.75" customHeight="1" x14ac:dyDescent="0.25">
      <c r="A41" s="152" t="s">
        <v>542</v>
      </c>
      <c r="B41" s="24" t="s">
        <v>543</v>
      </c>
      <c r="C41" s="92">
        <v>322</v>
      </c>
      <c r="D41" s="24" t="s">
        <v>358</v>
      </c>
      <c r="E41" s="268">
        <v>983574</v>
      </c>
      <c r="F41" s="269">
        <v>0</v>
      </c>
      <c r="G41" s="268">
        <v>983574</v>
      </c>
      <c r="H41" s="269">
        <v>0</v>
      </c>
      <c r="I41" s="269">
        <v>0</v>
      </c>
      <c r="J41" s="269">
        <v>0</v>
      </c>
      <c r="K41" s="268">
        <v>983574</v>
      </c>
    </row>
    <row r="42" spans="1:11" ht="15.75" customHeight="1" x14ac:dyDescent="0.25">
      <c r="A42" s="152" t="s">
        <v>542</v>
      </c>
      <c r="B42" s="24" t="s">
        <v>543</v>
      </c>
      <c r="C42" s="92">
        <v>322</v>
      </c>
      <c r="D42" s="24" t="s">
        <v>359</v>
      </c>
      <c r="E42" s="268">
        <v>963520</v>
      </c>
      <c r="F42" s="269">
        <v>0</v>
      </c>
      <c r="G42" s="268">
        <v>963520</v>
      </c>
      <c r="H42" s="269">
        <v>0</v>
      </c>
      <c r="I42" s="269">
        <v>0</v>
      </c>
      <c r="J42" s="269">
        <v>0</v>
      </c>
      <c r="K42" s="268">
        <v>963520</v>
      </c>
    </row>
    <row r="43" spans="1:11" ht="15.75" customHeight="1" x14ac:dyDescent="0.25">
      <c r="A43" s="152" t="s">
        <v>542</v>
      </c>
      <c r="B43" s="24" t="s">
        <v>543</v>
      </c>
      <c r="C43" s="92">
        <v>322</v>
      </c>
      <c r="D43" s="24" t="s">
        <v>360</v>
      </c>
      <c r="E43" s="268">
        <v>902976</v>
      </c>
      <c r="F43" s="269">
        <v>0</v>
      </c>
      <c r="G43" s="268">
        <v>902976</v>
      </c>
      <c r="H43" s="269">
        <v>0</v>
      </c>
      <c r="I43" s="269">
        <v>0</v>
      </c>
      <c r="J43" s="269">
        <v>0</v>
      </c>
      <c r="K43" s="268">
        <v>902976</v>
      </c>
    </row>
    <row r="44" spans="1:11" ht="15.75" customHeight="1" x14ac:dyDescent="0.25">
      <c r="A44" s="152" t="s">
        <v>542</v>
      </c>
      <c r="B44" s="24" t="s">
        <v>543</v>
      </c>
      <c r="C44" s="92">
        <v>322</v>
      </c>
      <c r="D44" s="24" t="s">
        <v>49</v>
      </c>
      <c r="E44" s="268">
        <v>947582</v>
      </c>
      <c r="F44" s="269">
        <v>0</v>
      </c>
      <c r="G44" s="268">
        <v>947582</v>
      </c>
      <c r="H44" s="269">
        <v>0</v>
      </c>
      <c r="I44" s="269">
        <v>0</v>
      </c>
      <c r="J44" s="269">
        <v>0</v>
      </c>
      <c r="K44" s="268">
        <v>947582</v>
      </c>
    </row>
    <row r="45" spans="1:11" ht="15.75" customHeight="1" x14ac:dyDescent="0.25">
      <c r="A45" s="152" t="s">
        <v>542</v>
      </c>
      <c r="B45" s="24" t="s">
        <v>543</v>
      </c>
      <c r="C45" s="92">
        <v>322</v>
      </c>
      <c r="D45" s="24" t="s">
        <v>361</v>
      </c>
      <c r="E45" s="268">
        <v>876657</v>
      </c>
      <c r="F45" s="269">
        <v>0</v>
      </c>
      <c r="G45" s="268">
        <v>876657</v>
      </c>
      <c r="H45" s="269">
        <v>0</v>
      </c>
      <c r="I45" s="269">
        <v>0</v>
      </c>
      <c r="J45" s="269">
        <v>0</v>
      </c>
      <c r="K45" s="268">
        <v>876657</v>
      </c>
    </row>
    <row r="46" spans="1:11" ht="15.75" customHeight="1" x14ac:dyDescent="0.25">
      <c r="A46" s="152" t="s">
        <v>542</v>
      </c>
      <c r="B46" s="24" t="s">
        <v>543</v>
      </c>
      <c r="C46" s="92">
        <v>322</v>
      </c>
      <c r="D46" s="24" t="s">
        <v>362</v>
      </c>
      <c r="E46" s="268">
        <v>468430</v>
      </c>
      <c r="F46" s="269">
        <v>0</v>
      </c>
      <c r="G46" s="268">
        <v>468430</v>
      </c>
      <c r="H46" s="269">
        <v>0</v>
      </c>
      <c r="I46" s="269">
        <v>0</v>
      </c>
      <c r="J46" s="269">
        <v>0</v>
      </c>
      <c r="K46" s="268">
        <v>468430</v>
      </c>
    </row>
    <row r="47" spans="1:11" ht="15.75" customHeight="1" x14ac:dyDescent="0.25">
      <c r="A47" s="320" t="s">
        <v>574</v>
      </c>
      <c r="B47" s="121" t="s">
        <v>153</v>
      </c>
      <c r="C47" s="121" t="s">
        <v>153</v>
      </c>
      <c r="D47" s="121" t="s">
        <v>153</v>
      </c>
      <c r="E47" s="277">
        <f>SUBTOTAL(109,local322[Program
Costs])</f>
        <v>11927294</v>
      </c>
      <c r="F47" s="279">
        <f>SUBTOTAL(109,local322[Less: Net
Payments 
and Offsets])</f>
        <v>0</v>
      </c>
      <c r="G47" s="277">
        <f>SUBTOTAL(109,local322[Accounts Payable
Balance])</f>
        <v>11927294</v>
      </c>
      <c r="H47" s="279">
        <f>SUBTOTAL(109,local322[Established
Accounts Receivable])</f>
        <v>0</v>
      </c>
      <c r="I47" s="279">
        <f>SUBTOTAL(109,local322[Less:
 Recovered
Amount])</f>
        <v>0</v>
      </c>
      <c r="J47" s="279">
        <f>SUBTOTAL(109,local322[Accounts Receivable
Balance])</f>
        <v>0</v>
      </c>
      <c r="K47" s="277">
        <f>SUBTOTAL(109,local322[Net
Balance])</f>
        <v>11927294</v>
      </c>
    </row>
    <row r="48" spans="1:11" ht="15.75" customHeight="1" x14ac:dyDescent="0.25">
      <c r="A48" s="319" t="s">
        <v>181</v>
      </c>
      <c r="B48" s="24"/>
      <c r="C48" s="24"/>
      <c r="D48" s="24"/>
      <c r="E48" s="270"/>
      <c r="F48" s="270"/>
      <c r="G48" s="270"/>
      <c r="H48" s="270"/>
      <c r="I48" s="270"/>
      <c r="J48" s="270"/>
      <c r="K48" s="271"/>
    </row>
    <row r="49" spans="1:11" s="259" customFormat="1" ht="62.1" customHeight="1" x14ac:dyDescent="0.25">
      <c r="A49" s="21" t="s">
        <v>268</v>
      </c>
      <c r="B49" s="21" t="s">
        <v>2</v>
      </c>
      <c r="C49" s="21" t="s">
        <v>568</v>
      </c>
      <c r="D49" s="21" t="s">
        <v>221</v>
      </c>
      <c r="E49" s="214" t="s">
        <v>223</v>
      </c>
      <c r="F49" s="213" t="s">
        <v>569</v>
      </c>
      <c r="G49" s="214" t="s">
        <v>270</v>
      </c>
      <c r="H49" s="214" t="s">
        <v>271</v>
      </c>
      <c r="I49" s="214" t="s">
        <v>570</v>
      </c>
      <c r="J49" s="214" t="s">
        <v>272</v>
      </c>
      <c r="K49" s="214" t="s">
        <v>273</v>
      </c>
    </row>
    <row r="50" spans="1:11" ht="15.75" customHeight="1" x14ac:dyDescent="0.25">
      <c r="A50" s="152" t="s">
        <v>544</v>
      </c>
      <c r="B50" s="24" t="s">
        <v>545</v>
      </c>
      <c r="C50" s="24">
        <v>293</v>
      </c>
      <c r="D50" s="24" t="s">
        <v>1</v>
      </c>
      <c r="E50" s="268">
        <v>4732</v>
      </c>
      <c r="F50" s="269">
        <v>0</v>
      </c>
      <c r="G50" s="268">
        <v>4732</v>
      </c>
      <c r="H50" s="269">
        <v>0</v>
      </c>
      <c r="I50" s="269">
        <v>0</v>
      </c>
      <c r="J50" s="269">
        <v>0</v>
      </c>
      <c r="K50" s="268">
        <v>4732</v>
      </c>
    </row>
    <row r="51" spans="1:11" ht="15.75" customHeight="1" x14ac:dyDescent="0.25">
      <c r="A51" s="152" t="s">
        <v>544</v>
      </c>
      <c r="B51" s="24" t="s">
        <v>545</v>
      </c>
      <c r="C51" s="92">
        <v>293</v>
      </c>
      <c r="D51" s="24" t="s">
        <v>48</v>
      </c>
      <c r="E51" s="268">
        <v>31906</v>
      </c>
      <c r="F51" s="269">
        <v>0</v>
      </c>
      <c r="G51" s="268">
        <v>31906</v>
      </c>
      <c r="H51" s="269">
        <v>0</v>
      </c>
      <c r="I51" s="269">
        <v>0</v>
      </c>
      <c r="J51" s="269">
        <v>0</v>
      </c>
      <c r="K51" s="268">
        <v>31906</v>
      </c>
    </row>
    <row r="52" spans="1:11" ht="15.75" customHeight="1" x14ac:dyDescent="0.25">
      <c r="A52" s="152" t="s">
        <v>544</v>
      </c>
      <c r="B52" s="24" t="s">
        <v>545</v>
      </c>
      <c r="C52" s="92">
        <v>293</v>
      </c>
      <c r="D52" s="24" t="s">
        <v>353</v>
      </c>
      <c r="E52" s="268">
        <v>27775</v>
      </c>
      <c r="F52" s="269">
        <v>0</v>
      </c>
      <c r="G52" s="268">
        <v>27775</v>
      </c>
      <c r="H52" s="269">
        <v>0</v>
      </c>
      <c r="I52" s="269">
        <v>0</v>
      </c>
      <c r="J52" s="269">
        <v>0</v>
      </c>
      <c r="K52" s="268">
        <v>27775</v>
      </c>
    </row>
    <row r="53" spans="1:11" ht="15.75" customHeight="1" x14ac:dyDescent="0.25">
      <c r="A53" s="152" t="s">
        <v>544</v>
      </c>
      <c r="B53" s="24" t="s">
        <v>545</v>
      </c>
      <c r="C53" s="92">
        <v>293</v>
      </c>
      <c r="D53" s="24" t="s">
        <v>358</v>
      </c>
      <c r="E53" s="268">
        <v>17343</v>
      </c>
      <c r="F53" s="269">
        <v>0</v>
      </c>
      <c r="G53" s="268">
        <v>17343</v>
      </c>
      <c r="H53" s="269">
        <v>0</v>
      </c>
      <c r="I53" s="269">
        <v>0</v>
      </c>
      <c r="J53" s="269">
        <v>0</v>
      </c>
      <c r="K53" s="268">
        <v>17343</v>
      </c>
    </row>
    <row r="54" spans="1:11" ht="15.75" customHeight="1" x14ac:dyDescent="0.25">
      <c r="A54" s="152" t="s">
        <v>544</v>
      </c>
      <c r="B54" s="24" t="s">
        <v>545</v>
      </c>
      <c r="C54" s="92">
        <v>293</v>
      </c>
      <c r="D54" s="24" t="s">
        <v>359</v>
      </c>
      <c r="E54" s="268">
        <v>14818</v>
      </c>
      <c r="F54" s="269">
        <v>0</v>
      </c>
      <c r="G54" s="268">
        <v>14818</v>
      </c>
      <c r="H54" s="269">
        <v>0</v>
      </c>
      <c r="I54" s="269">
        <v>0</v>
      </c>
      <c r="J54" s="269">
        <v>0</v>
      </c>
      <c r="K54" s="268">
        <v>14818</v>
      </c>
    </row>
    <row r="55" spans="1:11" ht="15.75" customHeight="1" x14ac:dyDescent="0.25">
      <c r="A55" s="152" t="s">
        <v>544</v>
      </c>
      <c r="B55" s="24" t="s">
        <v>545</v>
      </c>
      <c r="C55" s="92">
        <v>293</v>
      </c>
      <c r="D55" s="24" t="s">
        <v>360</v>
      </c>
      <c r="E55" s="268">
        <v>9385</v>
      </c>
      <c r="F55" s="269">
        <v>0</v>
      </c>
      <c r="G55" s="268">
        <v>9385</v>
      </c>
      <c r="H55" s="269">
        <v>0</v>
      </c>
      <c r="I55" s="269">
        <v>0</v>
      </c>
      <c r="J55" s="269">
        <v>0</v>
      </c>
      <c r="K55" s="268">
        <v>9385</v>
      </c>
    </row>
    <row r="56" spans="1:11" ht="15.75" customHeight="1" x14ac:dyDescent="0.25">
      <c r="A56" s="152" t="s">
        <v>544</v>
      </c>
      <c r="B56" s="24" t="s">
        <v>545</v>
      </c>
      <c r="C56" s="92">
        <v>293</v>
      </c>
      <c r="D56" s="24" t="s">
        <v>49</v>
      </c>
      <c r="E56" s="268">
        <v>10431</v>
      </c>
      <c r="F56" s="269">
        <v>0</v>
      </c>
      <c r="G56" s="268">
        <v>10431</v>
      </c>
      <c r="H56" s="269">
        <v>0</v>
      </c>
      <c r="I56" s="269">
        <v>0</v>
      </c>
      <c r="J56" s="269">
        <v>0</v>
      </c>
      <c r="K56" s="268">
        <v>10431</v>
      </c>
    </row>
    <row r="57" spans="1:11" ht="15.75" customHeight="1" x14ac:dyDescent="0.25">
      <c r="A57" s="152" t="s">
        <v>544</v>
      </c>
      <c r="B57" s="24" t="s">
        <v>545</v>
      </c>
      <c r="C57" s="92">
        <v>293</v>
      </c>
      <c r="D57" s="24" t="s">
        <v>361</v>
      </c>
      <c r="E57" s="268">
        <v>12410</v>
      </c>
      <c r="F57" s="269">
        <v>0</v>
      </c>
      <c r="G57" s="268">
        <v>12410</v>
      </c>
      <c r="H57" s="269">
        <v>0</v>
      </c>
      <c r="I57" s="269">
        <v>0</v>
      </c>
      <c r="J57" s="269">
        <v>0</v>
      </c>
      <c r="K57" s="268">
        <v>12410</v>
      </c>
    </row>
    <row r="58" spans="1:11" ht="15.75" customHeight="1" x14ac:dyDescent="0.25">
      <c r="A58" s="152" t="s">
        <v>544</v>
      </c>
      <c r="B58" s="24" t="s">
        <v>545</v>
      </c>
      <c r="C58" s="92">
        <v>293</v>
      </c>
      <c r="D58" s="24" t="s">
        <v>362</v>
      </c>
      <c r="E58" s="268">
        <v>15208</v>
      </c>
      <c r="F58" s="269">
        <v>0</v>
      </c>
      <c r="G58" s="268">
        <v>15208</v>
      </c>
      <c r="H58" s="269">
        <v>0</v>
      </c>
      <c r="I58" s="269">
        <v>0</v>
      </c>
      <c r="J58" s="269">
        <v>0</v>
      </c>
      <c r="K58" s="268">
        <v>15208</v>
      </c>
    </row>
    <row r="59" spans="1:11" ht="15.75" customHeight="1" x14ac:dyDescent="0.25">
      <c r="A59" s="152" t="s">
        <v>544</v>
      </c>
      <c r="B59" s="24" t="s">
        <v>545</v>
      </c>
      <c r="C59" s="92">
        <v>293</v>
      </c>
      <c r="D59" s="24" t="s">
        <v>365</v>
      </c>
      <c r="E59" s="268">
        <v>13248</v>
      </c>
      <c r="F59" s="269">
        <v>0</v>
      </c>
      <c r="G59" s="268">
        <v>13248</v>
      </c>
      <c r="H59" s="269">
        <v>0</v>
      </c>
      <c r="I59" s="269">
        <v>0</v>
      </c>
      <c r="J59" s="269">
        <v>0</v>
      </c>
      <c r="K59" s="268">
        <v>13248</v>
      </c>
    </row>
    <row r="60" spans="1:11" ht="15.75" customHeight="1" x14ac:dyDescent="0.25">
      <c r="A60" s="320" t="s">
        <v>575</v>
      </c>
      <c r="B60" s="121" t="s">
        <v>153</v>
      </c>
      <c r="C60" s="121" t="s">
        <v>153</v>
      </c>
      <c r="D60" s="121" t="s">
        <v>153</v>
      </c>
      <c r="E60" s="277">
        <f>SUBTOTAL(109,local293[Program
Costs])</f>
        <v>157256</v>
      </c>
      <c r="F60" s="279">
        <f>SUBTOTAL(109,local293[Less: Net
Payments 
and Offsets])</f>
        <v>0</v>
      </c>
      <c r="G60" s="277">
        <f>SUBTOTAL(109,local293[Accounts Payable
Balance])</f>
        <v>157256</v>
      </c>
      <c r="H60" s="279">
        <f>SUBTOTAL(109,local293[Established
Accounts Receivable])</f>
        <v>0</v>
      </c>
      <c r="I60" s="279">
        <f>SUBTOTAL(109,local293[Less:
 Recovered
Amount])</f>
        <v>0</v>
      </c>
      <c r="J60" s="279">
        <f>SUBTOTAL(109,local293[Accounts Receivable
Balance])</f>
        <v>0</v>
      </c>
      <c r="K60" s="277">
        <f>SUBTOTAL(109,local293[Net
Balance])</f>
        <v>157256</v>
      </c>
    </row>
    <row r="61" spans="1:11" ht="15.75" customHeight="1" x14ac:dyDescent="0.25">
      <c r="A61" s="319" t="s">
        <v>181</v>
      </c>
      <c r="B61" s="24"/>
      <c r="C61" s="24"/>
      <c r="D61" s="24"/>
      <c r="E61" s="270"/>
      <c r="F61" s="270"/>
      <c r="G61" s="270"/>
      <c r="H61" s="270"/>
      <c r="I61" s="270"/>
      <c r="J61" s="270"/>
      <c r="K61" s="271"/>
    </row>
    <row r="62" spans="1:11" s="259" customFormat="1" ht="62.1" customHeight="1" x14ac:dyDescent="0.25">
      <c r="A62" s="28" t="s">
        <v>268</v>
      </c>
      <c r="B62" s="28" t="s">
        <v>2</v>
      </c>
      <c r="C62" s="28" t="s">
        <v>568</v>
      </c>
      <c r="D62" s="28" t="s">
        <v>221</v>
      </c>
      <c r="E62" s="196" t="s">
        <v>223</v>
      </c>
      <c r="F62" s="195" t="s">
        <v>569</v>
      </c>
      <c r="G62" s="196" t="s">
        <v>270</v>
      </c>
      <c r="H62" s="196" t="s">
        <v>271</v>
      </c>
      <c r="I62" s="196" t="s">
        <v>570</v>
      </c>
      <c r="J62" s="196" t="s">
        <v>272</v>
      </c>
      <c r="K62" s="196" t="s">
        <v>273</v>
      </c>
    </row>
    <row r="63" spans="1:11" ht="15.75" customHeight="1" x14ac:dyDescent="0.25">
      <c r="A63" s="152" t="s">
        <v>546</v>
      </c>
      <c r="B63" s="24" t="s">
        <v>547</v>
      </c>
      <c r="C63" s="24">
        <v>321</v>
      </c>
      <c r="D63" s="24" t="s">
        <v>290</v>
      </c>
      <c r="E63" s="268">
        <v>9296688</v>
      </c>
      <c r="F63" s="269">
        <v>0</v>
      </c>
      <c r="G63" s="268">
        <v>9296688</v>
      </c>
      <c r="H63" s="269">
        <v>0</v>
      </c>
      <c r="I63" s="269">
        <v>0</v>
      </c>
      <c r="J63" s="269">
        <v>0</v>
      </c>
      <c r="K63" s="268">
        <v>9296688</v>
      </c>
    </row>
    <row r="64" spans="1:11" ht="15.75" customHeight="1" x14ac:dyDescent="0.25">
      <c r="A64" s="152" t="s">
        <v>546</v>
      </c>
      <c r="B64" s="24" t="s">
        <v>547</v>
      </c>
      <c r="C64" s="92">
        <v>321</v>
      </c>
      <c r="D64" s="24" t="s">
        <v>292</v>
      </c>
      <c r="E64" s="268">
        <v>8454037</v>
      </c>
      <c r="F64" s="269">
        <v>0</v>
      </c>
      <c r="G64" s="268">
        <v>8454037</v>
      </c>
      <c r="H64" s="269">
        <v>0</v>
      </c>
      <c r="I64" s="269">
        <v>0</v>
      </c>
      <c r="J64" s="269">
        <v>0</v>
      </c>
      <c r="K64" s="268">
        <v>8454037</v>
      </c>
    </row>
    <row r="65" spans="1:11" ht="15.75" customHeight="1" x14ac:dyDescent="0.25">
      <c r="A65" s="152" t="s">
        <v>546</v>
      </c>
      <c r="B65" s="24" t="s">
        <v>547</v>
      </c>
      <c r="C65" s="92">
        <v>321</v>
      </c>
      <c r="D65" s="24" t="s">
        <v>296</v>
      </c>
      <c r="E65" s="268">
        <v>9549071</v>
      </c>
      <c r="F65" s="269">
        <v>0</v>
      </c>
      <c r="G65" s="268">
        <v>9549071</v>
      </c>
      <c r="H65" s="269">
        <v>0</v>
      </c>
      <c r="I65" s="269">
        <v>0</v>
      </c>
      <c r="J65" s="269">
        <v>0</v>
      </c>
      <c r="K65" s="268">
        <v>9549071</v>
      </c>
    </row>
    <row r="66" spans="1:11" ht="15.75" customHeight="1" x14ac:dyDescent="0.25">
      <c r="A66" s="152" t="s">
        <v>546</v>
      </c>
      <c r="B66" s="24" t="s">
        <v>547</v>
      </c>
      <c r="C66" s="92">
        <v>321</v>
      </c>
      <c r="D66" s="24" t="s">
        <v>1</v>
      </c>
      <c r="E66" s="268">
        <v>9134703</v>
      </c>
      <c r="F66" s="269">
        <v>0</v>
      </c>
      <c r="G66" s="268">
        <v>9134703</v>
      </c>
      <c r="H66" s="269">
        <v>0</v>
      </c>
      <c r="I66" s="269">
        <v>0</v>
      </c>
      <c r="J66" s="269">
        <v>0</v>
      </c>
      <c r="K66" s="268">
        <v>9134703</v>
      </c>
    </row>
    <row r="67" spans="1:11" ht="15.75" customHeight="1" x14ac:dyDescent="0.25">
      <c r="A67" s="152" t="s">
        <v>546</v>
      </c>
      <c r="B67" s="24" t="s">
        <v>547</v>
      </c>
      <c r="C67" s="92">
        <v>321</v>
      </c>
      <c r="D67" s="24" t="s">
        <v>48</v>
      </c>
      <c r="E67" s="268">
        <v>9922603</v>
      </c>
      <c r="F67" s="269">
        <v>0</v>
      </c>
      <c r="G67" s="268">
        <v>9922603</v>
      </c>
      <c r="H67" s="269">
        <v>0</v>
      </c>
      <c r="I67" s="269">
        <v>0</v>
      </c>
      <c r="J67" s="269">
        <v>0</v>
      </c>
      <c r="K67" s="268">
        <v>9922603</v>
      </c>
    </row>
    <row r="68" spans="1:11" ht="15.75" customHeight="1" x14ac:dyDescent="0.25">
      <c r="A68" s="152" t="s">
        <v>546</v>
      </c>
      <c r="B68" s="24" t="s">
        <v>547</v>
      </c>
      <c r="C68" s="92">
        <v>321</v>
      </c>
      <c r="D68" s="24" t="s">
        <v>353</v>
      </c>
      <c r="E68" s="268">
        <v>9541759</v>
      </c>
      <c r="F68" s="269">
        <v>0</v>
      </c>
      <c r="G68" s="268">
        <v>9541759</v>
      </c>
      <c r="H68" s="269">
        <v>0</v>
      </c>
      <c r="I68" s="269">
        <v>0</v>
      </c>
      <c r="J68" s="269">
        <v>0</v>
      </c>
      <c r="K68" s="268">
        <v>9541759</v>
      </c>
    </row>
    <row r="69" spans="1:11" ht="15.75" customHeight="1" x14ac:dyDescent="0.25">
      <c r="A69" s="152" t="s">
        <v>546</v>
      </c>
      <c r="B69" s="24" t="s">
        <v>547</v>
      </c>
      <c r="C69" s="92">
        <v>321</v>
      </c>
      <c r="D69" s="24" t="s">
        <v>358</v>
      </c>
      <c r="E69" s="268">
        <v>8078126</v>
      </c>
      <c r="F69" s="269">
        <v>0</v>
      </c>
      <c r="G69" s="268">
        <v>8078126</v>
      </c>
      <c r="H69" s="269">
        <v>0</v>
      </c>
      <c r="I69" s="269">
        <v>0</v>
      </c>
      <c r="J69" s="269">
        <v>0</v>
      </c>
      <c r="K69" s="268">
        <v>8078126</v>
      </c>
    </row>
    <row r="70" spans="1:11" ht="15.75" customHeight="1" x14ac:dyDescent="0.25">
      <c r="A70" s="152" t="s">
        <v>546</v>
      </c>
      <c r="B70" s="24" t="s">
        <v>547</v>
      </c>
      <c r="C70" s="92">
        <v>321</v>
      </c>
      <c r="D70" s="24" t="s">
        <v>359</v>
      </c>
      <c r="E70" s="268">
        <v>6625282</v>
      </c>
      <c r="F70" s="269">
        <v>0</v>
      </c>
      <c r="G70" s="268">
        <v>6625282</v>
      </c>
      <c r="H70" s="269">
        <v>0</v>
      </c>
      <c r="I70" s="269">
        <v>0</v>
      </c>
      <c r="J70" s="269">
        <v>0</v>
      </c>
      <c r="K70" s="268">
        <v>6625282</v>
      </c>
    </row>
    <row r="71" spans="1:11" ht="15.75" customHeight="1" x14ac:dyDescent="0.25">
      <c r="A71" s="152" t="s">
        <v>546</v>
      </c>
      <c r="B71" s="24" t="s">
        <v>547</v>
      </c>
      <c r="C71" s="92">
        <v>321</v>
      </c>
      <c r="D71" s="24" t="s">
        <v>360</v>
      </c>
      <c r="E71" s="268">
        <v>6137087</v>
      </c>
      <c r="F71" s="269">
        <v>0</v>
      </c>
      <c r="G71" s="268">
        <v>6137087</v>
      </c>
      <c r="H71" s="269">
        <v>0</v>
      </c>
      <c r="I71" s="269">
        <v>0</v>
      </c>
      <c r="J71" s="269">
        <v>0</v>
      </c>
      <c r="K71" s="268">
        <v>6137087</v>
      </c>
    </row>
    <row r="72" spans="1:11" ht="15.75" customHeight="1" x14ac:dyDescent="0.25">
      <c r="A72" s="152" t="s">
        <v>546</v>
      </c>
      <c r="B72" s="24" t="s">
        <v>547</v>
      </c>
      <c r="C72" s="92">
        <v>321</v>
      </c>
      <c r="D72" s="24" t="s">
        <v>49</v>
      </c>
      <c r="E72" s="268">
        <v>4959600</v>
      </c>
      <c r="F72" s="269">
        <v>0</v>
      </c>
      <c r="G72" s="268">
        <v>4959600</v>
      </c>
      <c r="H72" s="269">
        <v>0</v>
      </c>
      <c r="I72" s="269">
        <v>0</v>
      </c>
      <c r="J72" s="269">
        <v>0</v>
      </c>
      <c r="K72" s="268">
        <v>4959600</v>
      </c>
    </row>
    <row r="73" spans="1:11" ht="15.75" customHeight="1" x14ac:dyDescent="0.25">
      <c r="A73" s="152" t="s">
        <v>546</v>
      </c>
      <c r="B73" s="24" t="s">
        <v>547</v>
      </c>
      <c r="C73" s="92">
        <v>321</v>
      </c>
      <c r="D73" s="24" t="s">
        <v>361</v>
      </c>
      <c r="E73" s="268">
        <v>4290335</v>
      </c>
      <c r="F73" s="269">
        <v>0</v>
      </c>
      <c r="G73" s="268">
        <v>4290335</v>
      </c>
      <c r="H73" s="269">
        <v>0</v>
      </c>
      <c r="I73" s="269">
        <v>0</v>
      </c>
      <c r="J73" s="269">
        <v>0</v>
      </c>
      <c r="K73" s="268">
        <v>4290335</v>
      </c>
    </row>
    <row r="74" spans="1:11" ht="15.75" customHeight="1" x14ac:dyDescent="0.25">
      <c r="A74" s="320" t="s">
        <v>576</v>
      </c>
      <c r="B74" s="121" t="s">
        <v>153</v>
      </c>
      <c r="C74" s="121" t="s">
        <v>153</v>
      </c>
      <c r="D74" s="121" t="s">
        <v>153</v>
      </c>
      <c r="E74" s="277">
        <f>SUBTOTAL(109,local321[Program
Costs])</f>
        <v>85989291</v>
      </c>
      <c r="F74" s="279">
        <f>SUBTOTAL(109,local321[Less: Net
Payments 
and Offsets])</f>
        <v>0</v>
      </c>
      <c r="G74" s="277">
        <f>SUBTOTAL(109,local321[Accounts Payable
Balance])</f>
        <v>85989291</v>
      </c>
      <c r="H74" s="279">
        <f>SUBTOTAL(109,local321[Established
Accounts Receivable])</f>
        <v>0</v>
      </c>
      <c r="I74" s="279">
        <f>SUBTOTAL(109,local321[Less:
 Recovered
Amount])</f>
        <v>0</v>
      </c>
      <c r="J74" s="279">
        <f>SUBTOTAL(109,local321[Accounts Receivable
Balance])</f>
        <v>0</v>
      </c>
      <c r="K74" s="277">
        <f>SUBTOTAL(109,local321[Net
Balance])</f>
        <v>85989291</v>
      </c>
    </row>
    <row r="75" spans="1:11" ht="15.75" customHeight="1" x14ac:dyDescent="0.25">
      <c r="A75" s="319" t="s">
        <v>181</v>
      </c>
      <c r="B75" s="24"/>
      <c r="C75" s="92"/>
      <c r="D75" s="24"/>
      <c r="E75" s="268"/>
      <c r="F75" s="269"/>
      <c r="G75" s="268"/>
      <c r="H75" s="269"/>
      <c r="I75" s="269"/>
      <c r="J75" s="269"/>
      <c r="K75" s="268"/>
    </row>
    <row r="76" spans="1:11" s="259" customFormat="1" ht="62.1" customHeight="1" x14ac:dyDescent="0.25">
      <c r="A76" s="28" t="s">
        <v>268</v>
      </c>
      <c r="B76" s="28" t="s">
        <v>2</v>
      </c>
      <c r="C76" s="28" t="s">
        <v>568</v>
      </c>
      <c r="D76" s="28" t="s">
        <v>221</v>
      </c>
      <c r="E76" s="196" t="s">
        <v>223</v>
      </c>
      <c r="F76" s="195" t="s">
        <v>569</v>
      </c>
      <c r="G76" s="196" t="s">
        <v>270</v>
      </c>
      <c r="H76" s="196" t="s">
        <v>271</v>
      </c>
      <c r="I76" s="196" t="s">
        <v>570</v>
      </c>
      <c r="J76" s="196" t="s">
        <v>272</v>
      </c>
      <c r="K76" s="196" t="s">
        <v>273</v>
      </c>
    </row>
    <row r="77" spans="1:11" ht="15.75" customHeight="1" x14ac:dyDescent="0.25">
      <c r="A77" s="152" t="s">
        <v>548</v>
      </c>
      <c r="B77" s="24" t="s">
        <v>549</v>
      </c>
      <c r="C77" s="24">
        <v>358</v>
      </c>
      <c r="D77" s="24" t="s">
        <v>47</v>
      </c>
      <c r="E77" s="268">
        <v>1188779</v>
      </c>
      <c r="F77" s="269">
        <v>0</v>
      </c>
      <c r="G77" s="268">
        <v>1188779</v>
      </c>
      <c r="H77" s="269">
        <v>0</v>
      </c>
      <c r="I77" s="269">
        <v>0</v>
      </c>
      <c r="J77" s="269">
        <v>0</v>
      </c>
      <c r="K77" s="268">
        <v>1188779</v>
      </c>
    </row>
    <row r="78" spans="1:11" ht="15.75" customHeight="1" x14ac:dyDescent="0.25">
      <c r="A78" s="152" t="s">
        <v>548</v>
      </c>
      <c r="B78" s="24" t="s">
        <v>549</v>
      </c>
      <c r="C78" s="92">
        <v>358</v>
      </c>
      <c r="D78" s="24" t="s">
        <v>288</v>
      </c>
      <c r="E78" s="268">
        <v>2717616</v>
      </c>
      <c r="F78" s="269">
        <v>0</v>
      </c>
      <c r="G78" s="268">
        <v>2717616</v>
      </c>
      <c r="H78" s="269">
        <v>0</v>
      </c>
      <c r="I78" s="269">
        <v>0</v>
      </c>
      <c r="J78" s="269">
        <v>0</v>
      </c>
      <c r="K78" s="268">
        <v>2717616</v>
      </c>
    </row>
    <row r="79" spans="1:11" ht="15.75" customHeight="1" x14ac:dyDescent="0.25">
      <c r="A79" s="152" t="s">
        <v>548</v>
      </c>
      <c r="B79" s="24" t="s">
        <v>549</v>
      </c>
      <c r="C79" s="92">
        <v>358</v>
      </c>
      <c r="D79" s="24" t="s">
        <v>290</v>
      </c>
      <c r="E79" s="268">
        <v>1369629</v>
      </c>
      <c r="F79" s="269">
        <v>0</v>
      </c>
      <c r="G79" s="268">
        <v>1369629</v>
      </c>
      <c r="H79" s="269">
        <v>0</v>
      </c>
      <c r="I79" s="269">
        <v>0</v>
      </c>
      <c r="J79" s="269">
        <v>0</v>
      </c>
      <c r="K79" s="268">
        <v>1369629</v>
      </c>
    </row>
    <row r="80" spans="1:11" ht="15.75" customHeight="1" x14ac:dyDescent="0.25">
      <c r="A80" s="152" t="s">
        <v>548</v>
      </c>
      <c r="B80" s="24" t="s">
        <v>549</v>
      </c>
      <c r="C80" s="92">
        <v>358</v>
      </c>
      <c r="D80" s="24" t="s">
        <v>292</v>
      </c>
      <c r="E80" s="268">
        <v>4225866</v>
      </c>
      <c r="F80" s="269">
        <v>0</v>
      </c>
      <c r="G80" s="268">
        <v>4225866</v>
      </c>
      <c r="H80" s="269">
        <v>0</v>
      </c>
      <c r="I80" s="269">
        <v>0</v>
      </c>
      <c r="J80" s="269">
        <v>0</v>
      </c>
      <c r="K80" s="268">
        <v>4225866</v>
      </c>
    </row>
    <row r="81" spans="1:11" ht="15.75" customHeight="1" x14ac:dyDescent="0.25">
      <c r="A81" s="152" t="s">
        <v>548</v>
      </c>
      <c r="B81" s="24" t="s">
        <v>549</v>
      </c>
      <c r="C81" s="92">
        <v>358</v>
      </c>
      <c r="D81" s="24" t="s">
        <v>296</v>
      </c>
      <c r="E81" s="268">
        <v>7666350</v>
      </c>
      <c r="F81" s="269">
        <v>0</v>
      </c>
      <c r="G81" s="268">
        <v>7666350</v>
      </c>
      <c r="H81" s="269">
        <v>0</v>
      </c>
      <c r="I81" s="269">
        <v>0</v>
      </c>
      <c r="J81" s="269">
        <v>0</v>
      </c>
      <c r="K81" s="268">
        <v>7666350</v>
      </c>
    </row>
    <row r="82" spans="1:11" ht="15.75" customHeight="1" x14ac:dyDescent="0.25">
      <c r="A82" s="152" t="s">
        <v>548</v>
      </c>
      <c r="B82" s="24" t="s">
        <v>549</v>
      </c>
      <c r="C82" s="92">
        <v>358</v>
      </c>
      <c r="D82" s="24" t="s">
        <v>1</v>
      </c>
      <c r="E82" s="268">
        <v>7385306</v>
      </c>
      <c r="F82" s="269">
        <v>0</v>
      </c>
      <c r="G82" s="268">
        <v>7385306</v>
      </c>
      <c r="H82" s="269">
        <v>0</v>
      </c>
      <c r="I82" s="269">
        <v>0</v>
      </c>
      <c r="J82" s="269">
        <v>0</v>
      </c>
      <c r="K82" s="268">
        <v>7385306</v>
      </c>
    </row>
    <row r="83" spans="1:11" ht="15.75" customHeight="1" x14ac:dyDescent="0.25">
      <c r="A83" s="152" t="s">
        <v>548</v>
      </c>
      <c r="B83" s="24" t="s">
        <v>549</v>
      </c>
      <c r="C83" s="92">
        <v>358</v>
      </c>
      <c r="D83" s="24" t="s">
        <v>48</v>
      </c>
      <c r="E83" s="268">
        <v>6050852</v>
      </c>
      <c r="F83" s="269">
        <v>0</v>
      </c>
      <c r="G83" s="268">
        <v>6050852</v>
      </c>
      <c r="H83" s="269">
        <v>0</v>
      </c>
      <c r="I83" s="269">
        <v>0</v>
      </c>
      <c r="J83" s="269">
        <v>0</v>
      </c>
      <c r="K83" s="268">
        <v>6050852</v>
      </c>
    </row>
    <row r="84" spans="1:11" ht="15.75" customHeight="1" x14ac:dyDescent="0.25">
      <c r="A84" s="152" t="s">
        <v>548</v>
      </c>
      <c r="B84" s="24" t="s">
        <v>549</v>
      </c>
      <c r="C84" s="92">
        <v>358</v>
      </c>
      <c r="D84" s="24" t="s">
        <v>353</v>
      </c>
      <c r="E84" s="268">
        <v>5451057</v>
      </c>
      <c r="F84" s="269">
        <v>0</v>
      </c>
      <c r="G84" s="268">
        <v>5451057</v>
      </c>
      <c r="H84" s="269">
        <v>0</v>
      </c>
      <c r="I84" s="269">
        <v>0</v>
      </c>
      <c r="J84" s="269">
        <v>0</v>
      </c>
      <c r="K84" s="268">
        <v>5451057</v>
      </c>
    </row>
    <row r="85" spans="1:11" ht="15.75" customHeight="1" x14ac:dyDescent="0.25">
      <c r="A85" s="152" t="s">
        <v>548</v>
      </c>
      <c r="B85" s="24" t="s">
        <v>549</v>
      </c>
      <c r="C85" s="92">
        <v>358</v>
      </c>
      <c r="D85" s="24" t="s">
        <v>358</v>
      </c>
      <c r="E85" s="268">
        <v>4876373</v>
      </c>
      <c r="F85" s="269">
        <v>0</v>
      </c>
      <c r="G85" s="268">
        <v>4876373</v>
      </c>
      <c r="H85" s="269">
        <v>0</v>
      </c>
      <c r="I85" s="269">
        <v>0</v>
      </c>
      <c r="J85" s="269">
        <v>0</v>
      </c>
      <c r="K85" s="268">
        <v>4876373</v>
      </c>
    </row>
    <row r="86" spans="1:11" ht="15.75" customHeight="1" x14ac:dyDescent="0.25">
      <c r="A86" s="152" t="s">
        <v>548</v>
      </c>
      <c r="B86" s="24" t="s">
        <v>549</v>
      </c>
      <c r="C86" s="92">
        <v>358</v>
      </c>
      <c r="D86" s="24" t="s">
        <v>359</v>
      </c>
      <c r="E86" s="268">
        <v>4565612</v>
      </c>
      <c r="F86" s="269">
        <v>0</v>
      </c>
      <c r="G86" s="268">
        <v>4565612</v>
      </c>
      <c r="H86" s="269">
        <v>0</v>
      </c>
      <c r="I86" s="269">
        <v>0</v>
      </c>
      <c r="J86" s="269">
        <v>0</v>
      </c>
      <c r="K86" s="268">
        <v>4565612</v>
      </c>
    </row>
    <row r="87" spans="1:11" ht="15.75" customHeight="1" x14ac:dyDescent="0.25">
      <c r="A87" s="152" t="s">
        <v>548</v>
      </c>
      <c r="B87" s="24" t="s">
        <v>549</v>
      </c>
      <c r="C87" s="92">
        <v>358</v>
      </c>
      <c r="D87" s="24" t="s">
        <v>360</v>
      </c>
      <c r="E87" s="268">
        <v>4248370</v>
      </c>
      <c r="F87" s="269">
        <v>0</v>
      </c>
      <c r="G87" s="268">
        <v>4248370</v>
      </c>
      <c r="H87" s="269">
        <v>0</v>
      </c>
      <c r="I87" s="269">
        <v>0</v>
      </c>
      <c r="J87" s="269">
        <v>0</v>
      </c>
      <c r="K87" s="268">
        <v>4248370</v>
      </c>
    </row>
    <row r="88" spans="1:11" ht="15.75" customHeight="1" x14ac:dyDescent="0.25">
      <c r="A88" s="152" t="s">
        <v>548</v>
      </c>
      <c r="B88" s="24" t="s">
        <v>549</v>
      </c>
      <c r="C88" s="92">
        <v>358</v>
      </c>
      <c r="D88" s="24" t="s">
        <v>49</v>
      </c>
      <c r="E88" s="268">
        <v>3940728</v>
      </c>
      <c r="F88" s="269">
        <v>0</v>
      </c>
      <c r="G88" s="268">
        <v>3940728</v>
      </c>
      <c r="H88" s="269">
        <v>0</v>
      </c>
      <c r="I88" s="269">
        <v>0</v>
      </c>
      <c r="J88" s="269">
        <v>0</v>
      </c>
      <c r="K88" s="268">
        <v>3940728</v>
      </c>
    </row>
    <row r="89" spans="1:11" ht="15.75" customHeight="1" x14ac:dyDescent="0.25">
      <c r="A89" s="152" t="s">
        <v>548</v>
      </c>
      <c r="B89" s="24" t="s">
        <v>549</v>
      </c>
      <c r="C89" s="92">
        <v>358</v>
      </c>
      <c r="D89" s="24" t="s">
        <v>361</v>
      </c>
      <c r="E89" s="268">
        <v>3610850</v>
      </c>
      <c r="F89" s="269">
        <v>0</v>
      </c>
      <c r="G89" s="268">
        <v>3610850</v>
      </c>
      <c r="H89" s="269">
        <v>0</v>
      </c>
      <c r="I89" s="269">
        <v>0</v>
      </c>
      <c r="J89" s="269">
        <v>0</v>
      </c>
      <c r="K89" s="268">
        <v>3610850</v>
      </c>
    </row>
    <row r="90" spans="1:11" ht="15.75" customHeight="1" x14ac:dyDescent="0.25">
      <c r="A90" s="152" t="s">
        <v>548</v>
      </c>
      <c r="B90" s="24" t="s">
        <v>549</v>
      </c>
      <c r="C90" s="92">
        <v>358</v>
      </c>
      <c r="D90" s="24" t="s">
        <v>362</v>
      </c>
      <c r="E90" s="268">
        <v>3244252</v>
      </c>
      <c r="F90" s="269">
        <v>0</v>
      </c>
      <c r="G90" s="268">
        <v>3244252</v>
      </c>
      <c r="H90" s="269">
        <v>0</v>
      </c>
      <c r="I90" s="269">
        <v>0</v>
      </c>
      <c r="J90" s="269">
        <v>0</v>
      </c>
      <c r="K90" s="268">
        <v>3244252</v>
      </c>
    </row>
    <row r="91" spans="1:11" ht="15.75" customHeight="1" x14ac:dyDescent="0.25">
      <c r="A91" s="152" t="s">
        <v>548</v>
      </c>
      <c r="B91" s="24" t="s">
        <v>549</v>
      </c>
      <c r="C91" s="92">
        <v>358</v>
      </c>
      <c r="D91" s="24" t="s">
        <v>365</v>
      </c>
      <c r="E91" s="268">
        <v>3070158</v>
      </c>
      <c r="F91" s="269">
        <v>0</v>
      </c>
      <c r="G91" s="268">
        <v>3070158</v>
      </c>
      <c r="H91" s="269">
        <v>0</v>
      </c>
      <c r="I91" s="269">
        <v>0</v>
      </c>
      <c r="J91" s="269">
        <v>0</v>
      </c>
      <c r="K91" s="268">
        <v>3070158</v>
      </c>
    </row>
    <row r="92" spans="1:11" ht="15.75" customHeight="1" x14ac:dyDescent="0.25">
      <c r="A92" s="152" t="s">
        <v>548</v>
      </c>
      <c r="B92" s="24" t="s">
        <v>549</v>
      </c>
      <c r="C92" s="92">
        <v>358</v>
      </c>
      <c r="D92" s="24" t="s">
        <v>366</v>
      </c>
      <c r="E92" s="268">
        <v>2830440</v>
      </c>
      <c r="F92" s="269">
        <v>0</v>
      </c>
      <c r="G92" s="268">
        <v>2830440</v>
      </c>
      <c r="H92" s="269">
        <v>0</v>
      </c>
      <c r="I92" s="269">
        <v>0</v>
      </c>
      <c r="J92" s="269">
        <v>0</v>
      </c>
      <c r="K92" s="268">
        <v>2830440</v>
      </c>
    </row>
    <row r="93" spans="1:11" ht="15.75" customHeight="1" x14ac:dyDescent="0.25">
      <c r="A93" s="320" t="s">
        <v>577</v>
      </c>
      <c r="B93" s="121" t="s">
        <v>153</v>
      </c>
      <c r="C93" s="121" t="s">
        <v>153</v>
      </c>
      <c r="D93" s="121" t="s">
        <v>153</v>
      </c>
      <c r="E93" s="277">
        <f>SUBTOTAL(109,local358[Program
Costs])</f>
        <v>66442238</v>
      </c>
      <c r="F93" s="279">
        <f>SUBTOTAL(109,local358[Less: Net
Payments 
and Offsets])</f>
        <v>0</v>
      </c>
      <c r="G93" s="277">
        <f>SUBTOTAL(109,local358[Accounts Payable
Balance])</f>
        <v>66442238</v>
      </c>
      <c r="H93" s="279">
        <f>SUBTOTAL(109,local358[Established
Accounts Receivable])</f>
        <v>0</v>
      </c>
      <c r="I93" s="279">
        <f>SUBTOTAL(109,local358[Less:
 Recovered
Amount])</f>
        <v>0</v>
      </c>
      <c r="J93" s="279">
        <f>SUBTOTAL(109,local358[Accounts Receivable
Balance])</f>
        <v>0</v>
      </c>
      <c r="K93" s="277">
        <f>SUBTOTAL(109,local358[Net
Balance])</f>
        <v>66442238</v>
      </c>
    </row>
    <row r="94" spans="1:11" ht="15.75" customHeight="1" x14ac:dyDescent="0.25">
      <c r="A94" s="319" t="s">
        <v>181</v>
      </c>
      <c r="B94" s="24"/>
      <c r="C94" s="24"/>
      <c r="D94" s="24"/>
      <c r="E94" s="270"/>
      <c r="F94" s="270"/>
      <c r="G94" s="270"/>
      <c r="H94" s="270"/>
      <c r="I94" s="270"/>
      <c r="J94" s="270"/>
      <c r="K94" s="271"/>
    </row>
    <row r="95" spans="1:11" ht="62.1" customHeight="1" x14ac:dyDescent="0.25">
      <c r="A95" s="21" t="s">
        <v>268</v>
      </c>
      <c r="B95" s="21" t="s">
        <v>2</v>
      </c>
      <c r="C95" s="21" t="s">
        <v>568</v>
      </c>
      <c r="D95" s="21" t="s">
        <v>221</v>
      </c>
      <c r="E95" s="214" t="s">
        <v>223</v>
      </c>
      <c r="F95" s="213" t="s">
        <v>569</v>
      </c>
      <c r="G95" s="214" t="s">
        <v>270</v>
      </c>
      <c r="H95" s="214" t="s">
        <v>271</v>
      </c>
      <c r="I95" s="214" t="s">
        <v>570</v>
      </c>
      <c r="J95" s="214" t="s">
        <v>272</v>
      </c>
      <c r="K95" s="214" t="s">
        <v>273</v>
      </c>
    </row>
    <row r="96" spans="1:11" ht="15.75" customHeight="1" x14ac:dyDescent="0.25">
      <c r="A96" s="152" t="s">
        <v>550</v>
      </c>
      <c r="B96" s="24" t="s">
        <v>551</v>
      </c>
      <c r="C96" s="24">
        <v>259</v>
      </c>
      <c r="D96" s="24" t="s">
        <v>292</v>
      </c>
      <c r="E96" s="268">
        <v>1840</v>
      </c>
      <c r="F96" s="269">
        <v>0</v>
      </c>
      <c r="G96" s="268">
        <v>1840</v>
      </c>
      <c r="H96" s="269">
        <v>0</v>
      </c>
      <c r="I96" s="269">
        <v>0</v>
      </c>
      <c r="J96" s="269">
        <v>0</v>
      </c>
      <c r="K96" s="268">
        <v>1840</v>
      </c>
    </row>
    <row r="97" spans="1:11" ht="15.75" customHeight="1" x14ac:dyDescent="0.25">
      <c r="A97" s="152" t="s">
        <v>550</v>
      </c>
      <c r="B97" s="24" t="s">
        <v>551</v>
      </c>
      <c r="C97" s="92">
        <v>259</v>
      </c>
      <c r="D97" s="24" t="s">
        <v>296</v>
      </c>
      <c r="E97" s="268">
        <v>3550</v>
      </c>
      <c r="F97" s="269">
        <v>0</v>
      </c>
      <c r="G97" s="268">
        <v>3550</v>
      </c>
      <c r="H97" s="269">
        <v>0</v>
      </c>
      <c r="I97" s="269">
        <v>0</v>
      </c>
      <c r="J97" s="269">
        <v>0</v>
      </c>
      <c r="K97" s="268">
        <v>3550</v>
      </c>
    </row>
    <row r="98" spans="1:11" ht="15.75" customHeight="1" x14ac:dyDescent="0.25">
      <c r="A98" s="320" t="s">
        <v>578</v>
      </c>
      <c r="B98" s="121" t="s">
        <v>153</v>
      </c>
      <c r="C98" s="121" t="s">
        <v>153</v>
      </c>
      <c r="D98" s="121" t="s">
        <v>153</v>
      </c>
      <c r="E98" s="277">
        <f>SUBTOTAL(109,local259[Program
Costs])</f>
        <v>5390</v>
      </c>
      <c r="F98" s="279">
        <f>SUBTOTAL(109,local259[Less: Net
Payments 
and Offsets])</f>
        <v>0</v>
      </c>
      <c r="G98" s="277">
        <f>SUBTOTAL(109,local259[Accounts Payable
Balance])</f>
        <v>5390</v>
      </c>
      <c r="H98" s="279">
        <f>SUBTOTAL(109,local259[Established
Accounts Receivable])</f>
        <v>0</v>
      </c>
      <c r="I98" s="279">
        <f>SUBTOTAL(109,local259[Less:
 Recovered
Amount])</f>
        <v>0</v>
      </c>
      <c r="J98" s="279">
        <f>SUBTOTAL(109,local259[Accounts Receivable
Balance])</f>
        <v>0</v>
      </c>
      <c r="K98" s="277">
        <f>SUBTOTAL(109,local259[Net
Balance])</f>
        <v>5390</v>
      </c>
    </row>
    <row r="99" spans="1:11" ht="15.75" customHeight="1" x14ac:dyDescent="0.25">
      <c r="A99" s="319" t="s">
        <v>181</v>
      </c>
      <c r="B99" s="24"/>
      <c r="C99" s="24"/>
      <c r="D99" s="24"/>
      <c r="E99" s="270"/>
      <c r="F99" s="270"/>
      <c r="G99" s="270"/>
      <c r="H99" s="270"/>
      <c r="I99" s="270"/>
      <c r="J99" s="270"/>
      <c r="K99" s="271"/>
    </row>
    <row r="100" spans="1:11" s="259" customFormat="1" ht="62.1" customHeight="1" x14ac:dyDescent="0.25">
      <c r="A100" s="28" t="s">
        <v>268</v>
      </c>
      <c r="B100" s="28" t="s">
        <v>2</v>
      </c>
      <c r="C100" s="28" t="s">
        <v>568</v>
      </c>
      <c r="D100" s="28" t="s">
        <v>221</v>
      </c>
      <c r="E100" s="196" t="s">
        <v>223</v>
      </c>
      <c r="F100" s="195" t="s">
        <v>569</v>
      </c>
      <c r="G100" s="196" t="s">
        <v>270</v>
      </c>
      <c r="H100" s="196" t="s">
        <v>271</v>
      </c>
      <c r="I100" s="196" t="s">
        <v>570</v>
      </c>
      <c r="J100" s="196" t="s">
        <v>272</v>
      </c>
      <c r="K100" s="196" t="s">
        <v>273</v>
      </c>
    </row>
    <row r="101" spans="1:11" ht="15.75" customHeight="1" x14ac:dyDescent="0.25">
      <c r="A101" s="152" t="s">
        <v>552</v>
      </c>
      <c r="B101" s="24" t="s">
        <v>553</v>
      </c>
      <c r="C101" s="24">
        <v>298</v>
      </c>
      <c r="D101" s="24" t="s">
        <v>274</v>
      </c>
      <c r="E101" s="268">
        <v>1384910</v>
      </c>
      <c r="F101" s="269">
        <v>0</v>
      </c>
      <c r="G101" s="268">
        <v>1384910</v>
      </c>
      <c r="H101" s="269">
        <v>0</v>
      </c>
      <c r="I101" s="269">
        <v>0</v>
      </c>
      <c r="J101" s="269">
        <v>0</v>
      </c>
      <c r="K101" s="268">
        <v>1384910</v>
      </c>
    </row>
    <row r="102" spans="1:11" ht="15.75" customHeight="1" x14ac:dyDescent="0.25">
      <c r="A102" s="152" t="s">
        <v>552</v>
      </c>
      <c r="B102" s="24" t="s">
        <v>553</v>
      </c>
      <c r="C102" s="92">
        <v>298</v>
      </c>
      <c r="D102" s="24" t="s">
        <v>43</v>
      </c>
      <c r="E102" s="268">
        <v>1718804</v>
      </c>
      <c r="F102" s="269">
        <v>0</v>
      </c>
      <c r="G102" s="268">
        <v>1718804</v>
      </c>
      <c r="H102" s="269">
        <v>0</v>
      </c>
      <c r="I102" s="269">
        <v>0</v>
      </c>
      <c r="J102" s="269">
        <v>0</v>
      </c>
      <c r="K102" s="268">
        <v>1718804</v>
      </c>
    </row>
    <row r="103" spans="1:11" ht="15.75" customHeight="1" x14ac:dyDescent="0.25">
      <c r="A103" s="152" t="s">
        <v>552</v>
      </c>
      <c r="B103" s="24" t="s">
        <v>553</v>
      </c>
      <c r="C103" s="92">
        <v>298</v>
      </c>
      <c r="D103" s="24" t="s">
        <v>44</v>
      </c>
      <c r="E103" s="268">
        <v>1484786</v>
      </c>
      <c r="F103" s="269">
        <v>0</v>
      </c>
      <c r="G103" s="268">
        <v>1484786</v>
      </c>
      <c r="H103" s="269">
        <v>0</v>
      </c>
      <c r="I103" s="269">
        <v>0</v>
      </c>
      <c r="J103" s="269">
        <v>0</v>
      </c>
      <c r="K103" s="268">
        <v>1484786</v>
      </c>
    </row>
    <row r="104" spans="1:11" ht="15.75" customHeight="1" x14ac:dyDescent="0.25">
      <c r="A104" s="152" t="s">
        <v>552</v>
      </c>
      <c r="B104" s="24" t="s">
        <v>553</v>
      </c>
      <c r="C104" s="92">
        <v>298</v>
      </c>
      <c r="D104" s="24" t="s">
        <v>45</v>
      </c>
      <c r="E104" s="268">
        <v>1416419</v>
      </c>
      <c r="F104" s="269">
        <v>0</v>
      </c>
      <c r="G104" s="268">
        <v>1416419</v>
      </c>
      <c r="H104" s="269">
        <v>0</v>
      </c>
      <c r="I104" s="269">
        <v>0</v>
      </c>
      <c r="J104" s="269">
        <v>0</v>
      </c>
      <c r="K104" s="268">
        <v>1416419</v>
      </c>
    </row>
    <row r="105" spans="1:11" ht="15.75" customHeight="1" x14ac:dyDescent="0.25">
      <c r="A105" s="152" t="s">
        <v>552</v>
      </c>
      <c r="B105" s="24" t="s">
        <v>553</v>
      </c>
      <c r="C105" s="92">
        <v>298</v>
      </c>
      <c r="D105" s="24" t="s">
        <v>46</v>
      </c>
      <c r="E105" s="268">
        <v>1726995</v>
      </c>
      <c r="F105" s="269">
        <v>0</v>
      </c>
      <c r="G105" s="268">
        <v>1726995</v>
      </c>
      <c r="H105" s="269">
        <v>0</v>
      </c>
      <c r="I105" s="269">
        <v>0</v>
      </c>
      <c r="J105" s="269">
        <v>0</v>
      </c>
      <c r="K105" s="268">
        <v>1726995</v>
      </c>
    </row>
    <row r="106" spans="1:11" ht="15.75" customHeight="1" x14ac:dyDescent="0.25">
      <c r="A106" s="152" t="s">
        <v>552</v>
      </c>
      <c r="B106" s="24" t="s">
        <v>553</v>
      </c>
      <c r="C106" s="92">
        <v>298</v>
      </c>
      <c r="D106" s="24" t="s">
        <v>47</v>
      </c>
      <c r="E106" s="268">
        <v>1662687</v>
      </c>
      <c r="F106" s="269">
        <v>0</v>
      </c>
      <c r="G106" s="268">
        <v>1662687</v>
      </c>
      <c r="H106" s="269">
        <v>0</v>
      </c>
      <c r="I106" s="269">
        <v>0</v>
      </c>
      <c r="J106" s="269">
        <v>0</v>
      </c>
      <c r="K106" s="268">
        <v>1662687</v>
      </c>
    </row>
    <row r="107" spans="1:11" ht="15.75" customHeight="1" x14ac:dyDescent="0.25">
      <c r="A107" s="152" t="s">
        <v>552</v>
      </c>
      <c r="B107" s="24" t="s">
        <v>553</v>
      </c>
      <c r="C107" s="92">
        <v>298</v>
      </c>
      <c r="D107" s="24" t="s">
        <v>288</v>
      </c>
      <c r="E107" s="268">
        <v>2324012</v>
      </c>
      <c r="F107" s="269">
        <v>0</v>
      </c>
      <c r="G107" s="268">
        <v>2324012</v>
      </c>
      <c r="H107" s="269">
        <v>0</v>
      </c>
      <c r="I107" s="269">
        <v>0</v>
      </c>
      <c r="J107" s="269">
        <v>0</v>
      </c>
      <c r="K107" s="268">
        <v>2324012</v>
      </c>
    </row>
    <row r="108" spans="1:11" ht="15.75" customHeight="1" x14ac:dyDescent="0.25">
      <c r="A108" s="152" t="s">
        <v>552</v>
      </c>
      <c r="B108" s="24" t="s">
        <v>553</v>
      </c>
      <c r="C108" s="92">
        <v>298</v>
      </c>
      <c r="D108" s="24" t="s">
        <v>290</v>
      </c>
      <c r="E108" s="268">
        <v>1932028</v>
      </c>
      <c r="F108" s="269">
        <v>0</v>
      </c>
      <c r="G108" s="268">
        <v>1932028</v>
      </c>
      <c r="H108" s="269">
        <v>0</v>
      </c>
      <c r="I108" s="269">
        <v>0</v>
      </c>
      <c r="J108" s="269">
        <v>0</v>
      </c>
      <c r="K108" s="268">
        <v>1932028</v>
      </c>
    </row>
    <row r="109" spans="1:11" ht="15.75" customHeight="1" x14ac:dyDescent="0.25">
      <c r="A109" s="152" t="s">
        <v>552</v>
      </c>
      <c r="B109" s="24" t="s">
        <v>553</v>
      </c>
      <c r="C109" s="92">
        <v>298</v>
      </c>
      <c r="D109" s="24" t="s">
        <v>292</v>
      </c>
      <c r="E109" s="268">
        <v>1436215</v>
      </c>
      <c r="F109" s="269">
        <v>0</v>
      </c>
      <c r="G109" s="268">
        <v>1436215</v>
      </c>
      <c r="H109" s="269">
        <v>0</v>
      </c>
      <c r="I109" s="269">
        <v>0</v>
      </c>
      <c r="J109" s="269">
        <v>0</v>
      </c>
      <c r="K109" s="268">
        <v>1436215</v>
      </c>
    </row>
    <row r="110" spans="1:11" ht="15.75" customHeight="1" x14ac:dyDescent="0.25">
      <c r="A110" s="152" t="s">
        <v>552</v>
      </c>
      <c r="B110" s="24" t="s">
        <v>553</v>
      </c>
      <c r="C110" s="92">
        <v>298</v>
      </c>
      <c r="D110" s="24" t="s">
        <v>296</v>
      </c>
      <c r="E110" s="268">
        <v>1138086</v>
      </c>
      <c r="F110" s="269">
        <v>0</v>
      </c>
      <c r="G110" s="268">
        <v>1138086</v>
      </c>
      <c r="H110" s="269">
        <v>0</v>
      </c>
      <c r="I110" s="269">
        <v>0</v>
      </c>
      <c r="J110" s="269">
        <v>0</v>
      </c>
      <c r="K110" s="268">
        <v>1138086</v>
      </c>
    </row>
    <row r="111" spans="1:11" ht="15.75" customHeight="1" x14ac:dyDescent="0.25">
      <c r="A111" s="152" t="s">
        <v>552</v>
      </c>
      <c r="B111" s="24" t="s">
        <v>553</v>
      </c>
      <c r="C111" s="92">
        <v>298</v>
      </c>
      <c r="D111" s="24" t="s">
        <v>1</v>
      </c>
      <c r="E111" s="268">
        <v>696362</v>
      </c>
      <c r="F111" s="269">
        <v>0</v>
      </c>
      <c r="G111" s="268">
        <v>696362</v>
      </c>
      <c r="H111" s="269">
        <v>0</v>
      </c>
      <c r="I111" s="269">
        <v>0</v>
      </c>
      <c r="J111" s="269">
        <v>0</v>
      </c>
      <c r="K111" s="268">
        <v>696362</v>
      </c>
    </row>
    <row r="112" spans="1:11" ht="15.75" customHeight="1" x14ac:dyDescent="0.25">
      <c r="A112" s="152" t="s">
        <v>552</v>
      </c>
      <c r="B112" s="24" t="s">
        <v>553</v>
      </c>
      <c r="C112" s="92">
        <v>298</v>
      </c>
      <c r="D112" s="24" t="s">
        <v>48</v>
      </c>
      <c r="E112" s="268">
        <v>826282</v>
      </c>
      <c r="F112" s="269">
        <v>0</v>
      </c>
      <c r="G112" s="268">
        <v>826282</v>
      </c>
      <c r="H112" s="269">
        <v>0</v>
      </c>
      <c r="I112" s="269">
        <v>0</v>
      </c>
      <c r="J112" s="269">
        <v>0</v>
      </c>
      <c r="K112" s="268">
        <v>826282</v>
      </c>
    </row>
    <row r="113" spans="1:11" ht="15.75" customHeight="1" x14ac:dyDescent="0.25">
      <c r="A113" s="152" t="s">
        <v>552</v>
      </c>
      <c r="B113" s="24" t="s">
        <v>553</v>
      </c>
      <c r="C113" s="92">
        <v>298</v>
      </c>
      <c r="D113" s="24" t="s">
        <v>353</v>
      </c>
      <c r="E113" s="268">
        <v>1579014</v>
      </c>
      <c r="F113" s="269">
        <v>0</v>
      </c>
      <c r="G113" s="268">
        <v>1579014</v>
      </c>
      <c r="H113" s="269">
        <v>0</v>
      </c>
      <c r="I113" s="269">
        <v>0</v>
      </c>
      <c r="J113" s="269">
        <v>0</v>
      </c>
      <c r="K113" s="268">
        <v>1579014</v>
      </c>
    </row>
    <row r="114" spans="1:11" ht="15.75" customHeight="1" x14ac:dyDescent="0.25">
      <c r="A114" s="152" t="s">
        <v>552</v>
      </c>
      <c r="B114" s="24" t="s">
        <v>553</v>
      </c>
      <c r="C114" s="92">
        <v>298</v>
      </c>
      <c r="D114" s="24" t="s">
        <v>358</v>
      </c>
      <c r="E114" s="268">
        <v>1483364</v>
      </c>
      <c r="F114" s="269">
        <v>0</v>
      </c>
      <c r="G114" s="268">
        <v>1483364</v>
      </c>
      <c r="H114" s="269">
        <v>0</v>
      </c>
      <c r="I114" s="269">
        <v>0</v>
      </c>
      <c r="J114" s="269">
        <v>0</v>
      </c>
      <c r="K114" s="268">
        <v>1483364</v>
      </c>
    </row>
    <row r="115" spans="1:11" ht="15.75" customHeight="1" x14ac:dyDescent="0.25">
      <c r="A115" s="152" t="s">
        <v>552</v>
      </c>
      <c r="B115" s="24" t="s">
        <v>553</v>
      </c>
      <c r="C115" s="92">
        <v>298</v>
      </c>
      <c r="D115" s="24" t="s">
        <v>359</v>
      </c>
      <c r="E115" s="268">
        <v>603417</v>
      </c>
      <c r="F115" s="269">
        <v>0</v>
      </c>
      <c r="G115" s="268">
        <v>603417</v>
      </c>
      <c r="H115" s="269">
        <v>0</v>
      </c>
      <c r="I115" s="269">
        <v>0</v>
      </c>
      <c r="J115" s="269">
        <v>0</v>
      </c>
      <c r="K115" s="268">
        <v>603417</v>
      </c>
    </row>
    <row r="116" spans="1:11" ht="15.75" customHeight="1" x14ac:dyDescent="0.25">
      <c r="A116" s="152" t="s">
        <v>552</v>
      </c>
      <c r="B116" s="24" t="s">
        <v>553</v>
      </c>
      <c r="C116" s="92">
        <v>298</v>
      </c>
      <c r="D116" s="24" t="s">
        <v>360</v>
      </c>
      <c r="E116" s="268">
        <v>567345</v>
      </c>
      <c r="F116" s="269">
        <v>0</v>
      </c>
      <c r="G116" s="268">
        <v>567345</v>
      </c>
      <c r="H116" s="269">
        <v>0</v>
      </c>
      <c r="I116" s="269">
        <v>0</v>
      </c>
      <c r="J116" s="269">
        <v>0</v>
      </c>
      <c r="K116" s="268">
        <v>567345</v>
      </c>
    </row>
    <row r="117" spans="1:11" ht="15.75" customHeight="1" x14ac:dyDescent="0.25">
      <c r="A117" s="152" t="s">
        <v>552</v>
      </c>
      <c r="B117" s="24" t="s">
        <v>553</v>
      </c>
      <c r="C117" s="92">
        <v>298</v>
      </c>
      <c r="D117" s="24" t="s">
        <v>49</v>
      </c>
      <c r="E117" s="268">
        <v>278272</v>
      </c>
      <c r="F117" s="269">
        <v>0</v>
      </c>
      <c r="G117" s="268">
        <v>278272</v>
      </c>
      <c r="H117" s="269">
        <v>0</v>
      </c>
      <c r="I117" s="269">
        <v>0</v>
      </c>
      <c r="J117" s="269">
        <v>0</v>
      </c>
      <c r="K117" s="268">
        <v>278272</v>
      </c>
    </row>
    <row r="118" spans="1:11" ht="15.75" customHeight="1" x14ac:dyDescent="0.25">
      <c r="A118" s="152" t="s">
        <v>552</v>
      </c>
      <c r="B118" s="24" t="s">
        <v>553</v>
      </c>
      <c r="C118" s="92">
        <v>298</v>
      </c>
      <c r="D118" s="24" t="s">
        <v>361</v>
      </c>
      <c r="E118" s="268">
        <v>211658</v>
      </c>
      <c r="F118" s="269">
        <v>0</v>
      </c>
      <c r="G118" s="268">
        <v>211658</v>
      </c>
      <c r="H118" s="269">
        <v>0</v>
      </c>
      <c r="I118" s="269">
        <v>0</v>
      </c>
      <c r="J118" s="269">
        <v>0</v>
      </c>
      <c r="K118" s="268">
        <v>211658</v>
      </c>
    </row>
    <row r="119" spans="1:11" ht="15.75" customHeight="1" x14ac:dyDescent="0.25">
      <c r="A119" s="152" t="s">
        <v>552</v>
      </c>
      <c r="B119" s="24" t="s">
        <v>553</v>
      </c>
      <c r="C119" s="92">
        <v>298</v>
      </c>
      <c r="D119" s="24" t="s">
        <v>362</v>
      </c>
      <c r="E119" s="268">
        <v>188729</v>
      </c>
      <c r="F119" s="269">
        <v>0</v>
      </c>
      <c r="G119" s="268">
        <v>188729</v>
      </c>
      <c r="H119" s="269">
        <v>0</v>
      </c>
      <c r="I119" s="269">
        <v>0</v>
      </c>
      <c r="J119" s="269">
        <v>0</v>
      </c>
      <c r="K119" s="268">
        <v>188729</v>
      </c>
    </row>
    <row r="120" spans="1:11" ht="15.75" customHeight="1" x14ac:dyDescent="0.25">
      <c r="A120" s="320" t="s">
        <v>579</v>
      </c>
      <c r="B120" s="121" t="s">
        <v>153</v>
      </c>
      <c r="C120" s="121" t="s">
        <v>153</v>
      </c>
      <c r="D120" s="121" t="s">
        <v>153</v>
      </c>
      <c r="E120" s="277">
        <f>SUBTOTAL(109,local298[Program
Costs])</f>
        <v>22659385</v>
      </c>
      <c r="F120" s="279">
        <f>SUBTOTAL(109,local298[Less: Net
Payments 
and Offsets])</f>
        <v>0</v>
      </c>
      <c r="G120" s="277">
        <f>SUBTOTAL(109,local298[Accounts Payable
Balance])</f>
        <v>22659385</v>
      </c>
      <c r="H120" s="279">
        <f>SUBTOTAL(109,local298[Established
Accounts Receivable])</f>
        <v>0</v>
      </c>
      <c r="I120" s="279">
        <f>SUBTOTAL(109,local298[Less:
 Recovered
Amount])</f>
        <v>0</v>
      </c>
      <c r="J120" s="279">
        <f>SUBTOTAL(109,local298[Accounts Receivable
Balance])</f>
        <v>0</v>
      </c>
      <c r="K120" s="277">
        <f>SUBTOTAL(109,local298[Net
Balance])</f>
        <v>22659385</v>
      </c>
    </row>
    <row r="121" spans="1:11" ht="15.75" customHeight="1" x14ac:dyDescent="0.25">
      <c r="A121" s="319" t="s">
        <v>181</v>
      </c>
      <c r="B121" s="24"/>
      <c r="C121" s="24"/>
      <c r="D121" s="24"/>
      <c r="E121" s="270"/>
      <c r="F121" s="270"/>
      <c r="G121" s="270"/>
      <c r="H121" s="270"/>
      <c r="I121" s="270"/>
      <c r="J121" s="270"/>
      <c r="K121" s="271"/>
    </row>
    <row r="122" spans="1:11" s="259" customFormat="1" ht="62.1" customHeight="1" x14ac:dyDescent="0.25">
      <c r="A122" s="28" t="s">
        <v>268</v>
      </c>
      <c r="B122" s="28" t="s">
        <v>2</v>
      </c>
      <c r="C122" s="28" t="s">
        <v>568</v>
      </c>
      <c r="D122" s="28" t="s">
        <v>221</v>
      </c>
      <c r="E122" s="196" t="s">
        <v>223</v>
      </c>
      <c r="F122" s="195" t="s">
        <v>569</v>
      </c>
      <c r="G122" s="196" t="s">
        <v>270</v>
      </c>
      <c r="H122" s="196" t="s">
        <v>271</v>
      </c>
      <c r="I122" s="196" t="s">
        <v>570</v>
      </c>
      <c r="J122" s="196" t="s">
        <v>272</v>
      </c>
      <c r="K122" s="196" t="s">
        <v>273</v>
      </c>
    </row>
    <row r="123" spans="1:11" ht="15.75" customHeight="1" x14ac:dyDescent="0.25">
      <c r="A123" s="152" t="s">
        <v>554</v>
      </c>
      <c r="B123" s="24" t="s">
        <v>555</v>
      </c>
      <c r="C123" s="24">
        <v>281</v>
      </c>
      <c r="D123" s="24" t="s">
        <v>1</v>
      </c>
      <c r="E123" s="268">
        <v>17935</v>
      </c>
      <c r="F123" s="269">
        <v>0</v>
      </c>
      <c r="G123" s="268">
        <v>17935</v>
      </c>
      <c r="H123" s="269">
        <v>0</v>
      </c>
      <c r="I123" s="269">
        <v>0</v>
      </c>
      <c r="J123" s="269">
        <v>0</v>
      </c>
      <c r="K123" s="268">
        <v>17935</v>
      </c>
    </row>
    <row r="124" spans="1:11" ht="15.75" customHeight="1" x14ac:dyDescent="0.25">
      <c r="A124" s="152" t="s">
        <v>554</v>
      </c>
      <c r="B124" s="24" t="s">
        <v>555</v>
      </c>
      <c r="C124" s="92">
        <v>281</v>
      </c>
      <c r="D124" s="24" t="s">
        <v>48</v>
      </c>
      <c r="E124" s="268">
        <v>383293</v>
      </c>
      <c r="F124" s="269">
        <v>0</v>
      </c>
      <c r="G124" s="268">
        <v>383293</v>
      </c>
      <c r="H124" s="269">
        <v>0</v>
      </c>
      <c r="I124" s="269">
        <v>0</v>
      </c>
      <c r="J124" s="269">
        <v>0</v>
      </c>
      <c r="K124" s="268">
        <v>383293</v>
      </c>
    </row>
    <row r="125" spans="1:11" ht="15.75" customHeight="1" x14ac:dyDescent="0.25">
      <c r="A125" s="152" t="s">
        <v>554</v>
      </c>
      <c r="B125" s="24" t="s">
        <v>555</v>
      </c>
      <c r="C125" s="92">
        <v>281</v>
      </c>
      <c r="D125" s="24" t="s">
        <v>353</v>
      </c>
      <c r="E125" s="268">
        <v>681608</v>
      </c>
      <c r="F125" s="269">
        <v>0</v>
      </c>
      <c r="G125" s="268">
        <v>681608</v>
      </c>
      <c r="H125" s="269">
        <v>0</v>
      </c>
      <c r="I125" s="269">
        <v>0</v>
      </c>
      <c r="J125" s="269">
        <v>0</v>
      </c>
      <c r="K125" s="268">
        <v>681608</v>
      </c>
    </row>
    <row r="126" spans="1:11" ht="15.75" customHeight="1" x14ac:dyDescent="0.25">
      <c r="A126" s="152" t="s">
        <v>554</v>
      </c>
      <c r="B126" s="24" t="s">
        <v>555</v>
      </c>
      <c r="C126" s="92">
        <v>281</v>
      </c>
      <c r="D126" s="24" t="s">
        <v>358</v>
      </c>
      <c r="E126" s="268">
        <v>649974</v>
      </c>
      <c r="F126" s="269">
        <v>0</v>
      </c>
      <c r="G126" s="268">
        <v>649974</v>
      </c>
      <c r="H126" s="269">
        <v>0</v>
      </c>
      <c r="I126" s="269">
        <v>0</v>
      </c>
      <c r="J126" s="269">
        <v>0</v>
      </c>
      <c r="K126" s="268">
        <v>649974</v>
      </c>
    </row>
    <row r="127" spans="1:11" ht="15.75" customHeight="1" x14ac:dyDescent="0.25">
      <c r="A127" s="152" t="s">
        <v>554</v>
      </c>
      <c r="B127" s="24" t="s">
        <v>555</v>
      </c>
      <c r="C127" s="92">
        <v>281</v>
      </c>
      <c r="D127" s="24" t="s">
        <v>359</v>
      </c>
      <c r="E127" s="268">
        <v>680286</v>
      </c>
      <c r="F127" s="269">
        <v>0</v>
      </c>
      <c r="G127" s="268">
        <v>680286</v>
      </c>
      <c r="H127" s="269">
        <v>0</v>
      </c>
      <c r="I127" s="269">
        <v>0</v>
      </c>
      <c r="J127" s="269">
        <v>0</v>
      </c>
      <c r="K127" s="268">
        <v>680286</v>
      </c>
    </row>
    <row r="128" spans="1:11" ht="15.75" customHeight="1" x14ac:dyDescent="0.25">
      <c r="A128" s="152" t="s">
        <v>554</v>
      </c>
      <c r="B128" s="24" t="s">
        <v>555</v>
      </c>
      <c r="C128" s="92">
        <v>281</v>
      </c>
      <c r="D128" s="24" t="s">
        <v>360</v>
      </c>
      <c r="E128" s="268">
        <v>427477</v>
      </c>
      <c r="F128" s="269">
        <v>0</v>
      </c>
      <c r="G128" s="268">
        <v>427477</v>
      </c>
      <c r="H128" s="269">
        <v>0</v>
      </c>
      <c r="I128" s="269">
        <v>0</v>
      </c>
      <c r="J128" s="269">
        <v>0</v>
      </c>
      <c r="K128" s="268">
        <v>427477</v>
      </c>
    </row>
    <row r="129" spans="1:11" ht="15.75" customHeight="1" x14ac:dyDescent="0.25">
      <c r="A129" s="152" t="s">
        <v>554</v>
      </c>
      <c r="B129" s="24" t="s">
        <v>555</v>
      </c>
      <c r="C129" s="92">
        <v>281</v>
      </c>
      <c r="D129" s="24" t="s">
        <v>49</v>
      </c>
      <c r="E129" s="268">
        <v>446868</v>
      </c>
      <c r="F129" s="269">
        <v>0</v>
      </c>
      <c r="G129" s="268">
        <v>446868</v>
      </c>
      <c r="H129" s="269">
        <v>0</v>
      </c>
      <c r="I129" s="269">
        <v>0</v>
      </c>
      <c r="J129" s="269">
        <v>0</v>
      </c>
      <c r="K129" s="268">
        <v>446868</v>
      </c>
    </row>
    <row r="130" spans="1:11" ht="15.75" customHeight="1" x14ac:dyDescent="0.25">
      <c r="A130" s="152" t="s">
        <v>554</v>
      </c>
      <c r="B130" s="24" t="s">
        <v>555</v>
      </c>
      <c r="C130" s="92">
        <v>281</v>
      </c>
      <c r="D130" s="24" t="s">
        <v>361</v>
      </c>
      <c r="E130" s="268">
        <v>821319</v>
      </c>
      <c r="F130" s="269">
        <v>0</v>
      </c>
      <c r="G130" s="268">
        <v>821319</v>
      </c>
      <c r="H130" s="269">
        <v>0</v>
      </c>
      <c r="I130" s="269">
        <v>0</v>
      </c>
      <c r="J130" s="269">
        <v>0</v>
      </c>
      <c r="K130" s="268">
        <v>821319</v>
      </c>
    </row>
    <row r="131" spans="1:11" ht="15.75" customHeight="1" x14ac:dyDescent="0.25">
      <c r="A131" s="152" t="s">
        <v>554</v>
      </c>
      <c r="B131" s="24" t="s">
        <v>555</v>
      </c>
      <c r="C131" s="92">
        <v>281</v>
      </c>
      <c r="D131" s="24" t="s">
        <v>362</v>
      </c>
      <c r="E131" s="268">
        <v>565634</v>
      </c>
      <c r="F131" s="269">
        <v>0</v>
      </c>
      <c r="G131" s="268">
        <v>565634</v>
      </c>
      <c r="H131" s="269">
        <v>0</v>
      </c>
      <c r="I131" s="269">
        <v>0</v>
      </c>
      <c r="J131" s="269">
        <v>0</v>
      </c>
      <c r="K131" s="268">
        <v>565634</v>
      </c>
    </row>
    <row r="132" spans="1:11" ht="15.75" customHeight="1" x14ac:dyDescent="0.25">
      <c r="A132" s="152" t="s">
        <v>554</v>
      </c>
      <c r="B132" s="24" t="s">
        <v>555</v>
      </c>
      <c r="C132" s="92">
        <v>281</v>
      </c>
      <c r="D132" s="24" t="s">
        <v>365</v>
      </c>
      <c r="E132" s="268">
        <v>235446</v>
      </c>
      <c r="F132" s="269">
        <v>0</v>
      </c>
      <c r="G132" s="268">
        <v>235446</v>
      </c>
      <c r="H132" s="269">
        <v>0</v>
      </c>
      <c r="I132" s="269">
        <v>0</v>
      </c>
      <c r="J132" s="269">
        <v>0</v>
      </c>
      <c r="K132" s="268">
        <v>235446</v>
      </c>
    </row>
    <row r="133" spans="1:11" ht="15.75" customHeight="1" x14ac:dyDescent="0.25">
      <c r="A133" s="320" t="s">
        <v>580</v>
      </c>
      <c r="B133" s="121" t="s">
        <v>153</v>
      </c>
      <c r="C133" s="121" t="s">
        <v>153</v>
      </c>
      <c r="D133" s="121" t="s">
        <v>153</v>
      </c>
      <c r="E133" s="277">
        <f>SUBTOTAL(109,local281[Program
Costs])</f>
        <v>4909840</v>
      </c>
      <c r="F133" s="279">
        <f>SUBTOTAL(109,local281[Less: Net
Payments 
and Offsets])</f>
        <v>0</v>
      </c>
      <c r="G133" s="277">
        <f>SUBTOTAL(109,local281[Accounts Payable
Balance])</f>
        <v>4909840</v>
      </c>
      <c r="H133" s="279">
        <f>SUBTOTAL(109,local281[Established
Accounts Receivable])</f>
        <v>0</v>
      </c>
      <c r="I133" s="279">
        <f>SUBTOTAL(109,local281[Less:
 Recovered
Amount])</f>
        <v>0</v>
      </c>
      <c r="J133" s="279">
        <f>SUBTOTAL(105,local281[Accounts Receivable
Balance])</f>
        <v>0</v>
      </c>
      <c r="K133" s="277">
        <f>SUBTOTAL(109,local281[Net
Balance])</f>
        <v>4909840</v>
      </c>
    </row>
    <row r="134" spans="1:11" ht="15.75" customHeight="1" x14ac:dyDescent="0.25">
      <c r="A134" s="319" t="s">
        <v>181</v>
      </c>
      <c r="B134" s="24"/>
      <c r="C134" s="24"/>
      <c r="D134" s="24"/>
      <c r="E134" s="270"/>
      <c r="F134" s="270"/>
      <c r="G134" s="270"/>
      <c r="H134" s="270"/>
      <c r="I134" s="270"/>
      <c r="J134" s="270"/>
      <c r="K134" s="271"/>
    </row>
    <row r="135" spans="1:11" s="259" customFormat="1" ht="62.1" customHeight="1" x14ac:dyDescent="0.25">
      <c r="A135" s="21" t="s">
        <v>268</v>
      </c>
      <c r="B135" s="21" t="s">
        <v>2</v>
      </c>
      <c r="C135" s="21" t="s">
        <v>568</v>
      </c>
      <c r="D135" s="21" t="s">
        <v>221</v>
      </c>
      <c r="E135" s="214" t="s">
        <v>223</v>
      </c>
      <c r="F135" s="213" t="s">
        <v>569</v>
      </c>
      <c r="G135" s="214" t="s">
        <v>270</v>
      </c>
      <c r="H135" s="214" t="s">
        <v>271</v>
      </c>
      <c r="I135" s="214" t="s">
        <v>570</v>
      </c>
      <c r="J135" s="214" t="s">
        <v>272</v>
      </c>
      <c r="K135" s="214" t="s">
        <v>273</v>
      </c>
    </row>
    <row r="136" spans="1:11" ht="15.75" customHeight="1" x14ac:dyDescent="0.25">
      <c r="A136" s="152" t="s">
        <v>556</v>
      </c>
      <c r="B136" s="24" t="s">
        <v>557</v>
      </c>
      <c r="C136" s="24">
        <v>323</v>
      </c>
      <c r="D136" s="24" t="s">
        <v>292</v>
      </c>
      <c r="E136" s="268">
        <v>630042</v>
      </c>
      <c r="F136" s="269">
        <v>0</v>
      </c>
      <c r="G136" s="268">
        <v>630042</v>
      </c>
      <c r="H136" s="269">
        <v>0</v>
      </c>
      <c r="I136" s="269">
        <v>0</v>
      </c>
      <c r="J136" s="269">
        <v>0</v>
      </c>
      <c r="K136" s="268">
        <v>630042</v>
      </c>
    </row>
    <row r="137" spans="1:11" ht="15.75" customHeight="1" x14ac:dyDescent="0.25">
      <c r="A137" s="152" t="s">
        <v>556</v>
      </c>
      <c r="B137" s="24" t="s">
        <v>557</v>
      </c>
      <c r="C137" s="92">
        <v>323</v>
      </c>
      <c r="D137" s="24" t="s">
        <v>296</v>
      </c>
      <c r="E137" s="268">
        <v>2509</v>
      </c>
      <c r="F137" s="269">
        <v>0</v>
      </c>
      <c r="G137" s="268">
        <v>2509</v>
      </c>
      <c r="H137" s="269">
        <v>0</v>
      </c>
      <c r="I137" s="269">
        <v>0</v>
      </c>
      <c r="J137" s="269">
        <v>0</v>
      </c>
      <c r="K137" s="268">
        <v>2509</v>
      </c>
    </row>
    <row r="138" spans="1:11" ht="15.75" customHeight="1" x14ac:dyDescent="0.25">
      <c r="A138" s="152" t="s">
        <v>556</v>
      </c>
      <c r="B138" s="24" t="s">
        <v>557</v>
      </c>
      <c r="C138" s="92">
        <v>323</v>
      </c>
      <c r="D138" s="24" t="s">
        <v>1</v>
      </c>
      <c r="E138" s="268">
        <v>468288</v>
      </c>
      <c r="F138" s="269">
        <v>0</v>
      </c>
      <c r="G138" s="268">
        <v>468288</v>
      </c>
      <c r="H138" s="269">
        <v>0</v>
      </c>
      <c r="I138" s="269">
        <v>0</v>
      </c>
      <c r="J138" s="269">
        <v>0</v>
      </c>
      <c r="K138" s="268">
        <v>468288</v>
      </c>
    </row>
    <row r="139" spans="1:11" ht="15.75" customHeight="1" x14ac:dyDescent="0.25">
      <c r="A139" s="152" t="s">
        <v>556</v>
      </c>
      <c r="B139" s="24" t="s">
        <v>557</v>
      </c>
      <c r="C139" s="92">
        <v>323</v>
      </c>
      <c r="D139" s="24" t="s">
        <v>353</v>
      </c>
      <c r="E139" s="268">
        <v>321317</v>
      </c>
      <c r="F139" s="269">
        <v>0</v>
      </c>
      <c r="G139" s="268">
        <v>321317</v>
      </c>
      <c r="H139" s="269">
        <v>0</v>
      </c>
      <c r="I139" s="269">
        <v>0</v>
      </c>
      <c r="J139" s="269">
        <v>0</v>
      </c>
      <c r="K139" s="268">
        <v>321317</v>
      </c>
    </row>
    <row r="140" spans="1:11" ht="15.75" customHeight="1" x14ac:dyDescent="0.25">
      <c r="A140" s="152" t="s">
        <v>556</v>
      </c>
      <c r="B140" s="24" t="s">
        <v>557</v>
      </c>
      <c r="C140" s="92">
        <v>323</v>
      </c>
      <c r="D140" s="24" t="s">
        <v>359</v>
      </c>
      <c r="E140" s="268">
        <v>224217</v>
      </c>
      <c r="F140" s="269">
        <v>0</v>
      </c>
      <c r="G140" s="268">
        <v>224217</v>
      </c>
      <c r="H140" s="269">
        <v>0</v>
      </c>
      <c r="I140" s="269">
        <v>0</v>
      </c>
      <c r="J140" s="269">
        <v>0</v>
      </c>
      <c r="K140" s="268">
        <v>224217</v>
      </c>
    </row>
    <row r="141" spans="1:11" ht="15.75" customHeight="1" x14ac:dyDescent="0.25">
      <c r="A141" s="152" t="s">
        <v>556</v>
      </c>
      <c r="B141" s="24" t="s">
        <v>557</v>
      </c>
      <c r="C141" s="92">
        <v>323</v>
      </c>
      <c r="D141" s="24" t="s">
        <v>49</v>
      </c>
      <c r="E141" s="268">
        <v>138065</v>
      </c>
      <c r="F141" s="269">
        <v>0</v>
      </c>
      <c r="G141" s="268">
        <v>138065</v>
      </c>
      <c r="H141" s="269">
        <v>0</v>
      </c>
      <c r="I141" s="269">
        <v>0</v>
      </c>
      <c r="J141" s="269">
        <v>0</v>
      </c>
      <c r="K141" s="268">
        <v>138065</v>
      </c>
    </row>
    <row r="142" spans="1:11" ht="15.75" customHeight="1" x14ac:dyDescent="0.25">
      <c r="A142" s="152" t="s">
        <v>556</v>
      </c>
      <c r="B142" s="24" t="s">
        <v>557</v>
      </c>
      <c r="C142" s="92">
        <v>323</v>
      </c>
      <c r="D142" s="24" t="s">
        <v>362</v>
      </c>
      <c r="E142" s="268">
        <v>32181</v>
      </c>
      <c r="F142" s="269">
        <v>0</v>
      </c>
      <c r="G142" s="268">
        <v>32181</v>
      </c>
      <c r="H142" s="269">
        <v>0</v>
      </c>
      <c r="I142" s="269">
        <v>0</v>
      </c>
      <c r="J142" s="269">
        <v>0</v>
      </c>
      <c r="K142" s="268">
        <v>32181</v>
      </c>
    </row>
    <row r="143" spans="1:11" ht="15.75" customHeight="1" x14ac:dyDescent="0.25">
      <c r="A143" s="320" t="s">
        <v>581</v>
      </c>
      <c r="B143" s="121" t="s">
        <v>153</v>
      </c>
      <c r="C143" s="121" t="s">
        <v>153</v>
      </c>
      <c r="D143" s="121" t="s">
        <v>153</v>
      </c>
      <c r="E143" s="277">
        <f>SUBTOTAL(109,local323[Program
Costs])</f>
        <v>1816619</v>
      </c>
      <c r="F143" s="279">
        <f>SUBTOTAL(109,local323[Less: Net
Payments 
and Offsets])</f>
        <v>0</v>
      </c>
      <c r="G143" s="277">
        <f>SUBTOTAL(109,local323[Accounts Payable
Balance])</f>
        <v>1816619</v>
      </c>
      <c r="H143" s="279">
        <f>SUBTOTAL(109,local323[Established
Accounts Receivable])</f>
        <v>0</v>
      </c>
      <c r="I143" s="279">
        <f>SUBTOTAL(109,local323[Less:
 Recovered
Amount])</f>
        <v>0</v>
      </c>
      <c r="J143" s="279">
        <f>SUBTOTAL(109,local323[Accounts Receivable
Balance])</f>
        <v>0</v>
      </c>
      <c r="K143" s="277">
        <f>SUBTOTAL(109,local323[Net
Balance])</f>
        <v>1816619</v>
      </c>
    </row>
    <row r="144" spans="1:11" ht="15.75" customHeight="1" x14ac:dyDescent="0.25">
      <c r="A144" s="319" t="s">
        <v>181</v>
      </c>
      <c r="B144" s="24"/>
      <c r="C144" s="24"/>
      <c r="D144" s="24"/>
      <c r="E144" s="270"/>
      <c r="F144" s="270"/>
      <c r="G144" s="270"/>
      <c r="H144" s="270"/>
      <c r="I144" s="270"/>
      <c r="J144" s="270"/>
      <c r="K144" s="271"/>
    </row>
    <row r="145" spans="1:11" ht="62.1" customHeight="1" x14ac:dyDescent="0.25">
      <c r="A145" s="28" t="s">
        <v>268</v>
      </c>
      <c r="B145" s="28" t="s">
        <v>2</v>
      </c>
      <c r="C145" s="28" t="s">
        <v>568</v>
      </c>
      <c r="D145" s="28" t="s">
        <v>221</v>
      </c>
      <c r="E145" s="196" t="s">
        <v>223</v>
      </c>
      <c r="F145" s="195" t="s">
        <v>569</v>
      </c>
      <c r="G145" s="196" t="s">
        <v>270</v>
      </c>
      <c r="H145" s="196" t="s">
        <v>271</v>
      </c>
      <c r="I145" s="196" t="s">
        <v>570</v>
      </c>
      <c r="J145" s="196" t="s">
        <v>272</v>
      </c>
      <c r="K145" s="196" t="s">
        <v>273</v>
      </c>
    </row>
    <row r="146" spans="1:11" ht="15.75" customHeight="1" x14ac:dyDescent="0.25">
      <c r="A146" s="280" t="s">
        <v>558</v>
      </c>
      <c r="B146" s="24" t="s">
        <v>559</v>
      </c>
      <c r="C146" s="24">
        <v>314</v>
      </c>
      <c r="D146" s="24" t="s">
        <v>290</v>
      </c>
      <c r="E146" s="268">
        <v>244451</v>
      </c>
      <c r="F146" s="269">
        <v>0</v>
      </c>
      <c r="G146" s="268">
        <v>244451</v>
      </c>
      <c r="H146" s="269">
        <v>0</v>
      </c>
      <c r="I146" s="269">
        <v>0</v>
      </c>
      <c r="J146" s="269">
        <v>0</v>
      </c>
      <c r="K146" s="268">
        <v>244451</v>
      </c>
    </row>
    <row r="147" spans="1:11" ht="15.75" customHeight="1" x14ac:dyDescent="0.25">
      <c r="A147" s="280" t="s">
        <v>558</v>
      </c>
      <c r="B147" s="24" t="s">
        <v>559</v>
      </c>
      <c r="C147" s="92">
        <v>314</v>
      </c>
      <c r="D147" s="24" t="s">
        <v>292</v>
      </c>
      <c r="E147" s="268">
        <v>372223</v>
      </c>
      <c r="F147" s="269">
        <v>0</v>
      </c>
      <c r="G147" s="268">
        <v>372223</v>
      </c>
      <c r="H147" s="269">
        <v>0</v>
      </c>
      <c r="I147" s="269">
        <v>0</v>
      </c>
      <c r="J147" s="269">
        <v>0</v>
      </c>
      <c r="K147" s="268">
        <v>372223</v>
      </c>
    </row>
    <row r="148" spans="1:11" ht="15.75" customHeight="1" x14ac:dyDescent="0.25">
      <c r="A148" s="280" t="s">
        <v>558</v>
      </c>
      <c r="B148" s="24" t="s">
        <v>559</v>
      </c>
      <c r="C148" s="92">
        <v>314</v>
      </c>
      <c r="D148" s="24" t="s">
        <v>296</v>
      </c>
      <c r="E148" s="268">
        <v>377417</v>
      </c>
      <c r="F148" s="269">
        <v>0</v>
      </c>
      <c r="G148" s="268">
        <v>377417</v>
      </c>
      <c r="H148" s="269">
        <v>0</v>
      </c>
      <c r="I148" s="269">
        <v>0</v>
      </c>
      <c r="J148" s="269">
        <v>0</v>
      </c>
      <c r="K148" s="268">
        <v>377417</v>
      </c>
    </row>
    <row r="149" spans="1:11" ht="15.75" customHeight="1" x14ac:dyDescent="0.25">
      <c r="A149" s="280" t="s">
        <v>558</v>
      </c>
      <c r="B149" s="24" t="s">
        <v>559</v>
      </c>
      <c r="C149" s="92">
        <v>314</v>
      </c>
      <c r="D149" s="24" t="s">
        <v>1</v>
      </c>
      <c r="E149" s="268">
        <v>387912</v>
      </c>
      <c r="F149" s="269">
        <v>0</v>
      </c>
      <c r="G149" s="268">
        <v>387912</v>
      </c>
      <c r="H149" s="269">
        <v>0</v>
      </c>
      <c r="I149" s="269">
        <v>0</v>
      </c>
      <c r="J149" s="269">
        <v>0</v>
      </c>
      <c r="K149" s="268">
        <v>387912</v>
      </c>
    </row>
    <row r="150" spans="1:11" ht="15.75" customHeight="1" x14ac:dyDescent="0.25">
      <c r="A150" s="280" t="s">
        <v>558</v>
      </c>
      <c r="B150" s="24" t="s">
        <v>559</v>
      </c>
      <c r="C150" s="92">
        <v>314</v>
      </c>
      <c r="D150" s="24" t="s">
        <v>48</v>
      </c>
      <c r="E150" s="268">
        <v>533273</v>
      </c>
      <c r="F150" s="269">
        <v>0</v>
      </c>
      <c r="G150" s="268">
        <v>533273</v>
      </c>
      <c r="H150" s="269">
        <v>0</v>
      </c>
      <c r="I150" s="269">
        <v>0</v>
      </c>
      <c r="J150" s="269">
        <v>0</v>
      </c>
      <c r="K150" s="268">
        <v>533273</v>
      </c>
    </row>
    <row r="151" spans="1:11" ht="15.75" customHeight="1" x14ac:dyDescent="0.25">
      <c r="A151" s="280" t="s">
        <v>558</v>
      </c>
      <c r="B151" s="24" t="s">
        <v>559</v>
      </c>
      <c r="C151" s="92">
        <v>314</v>
      </c>
      <c r="D151" s="24" t="s">
        <v>353</v>
      </c>
      <c r="E151" s="268">
        <v>912918</v>
      </c>
      <c r="F151" s="269">
        <v>0</v>
      </c>
      <c r="G151" s="268">
        <v>912918</v>
      </c>
      <c r="H151" s="269">
        <v>0</v>
      </c>
      <c r="I151" s="269">
        <v>0</v>
      </c>
      <c r="J151" s="269">
        <v>0</v>
      </c>
      <c r="K151" s="268">
        <v>912918</v>
      </c>
    </row>
    <row r="152" spans="1:11" ht="15.75" customHeight="1" x14ac:dyDescent="0.25">
      <c r="A152" s="280" t="s">
        <v>558</v>
      </c>
      <c r="B152" s="24" t="s">
        <v>559</v>
      </c>
      <c r="C152" s="92">
        <v>314</v>
      </c>
      <c r="D152" s="24" t="s">
        <v>358</v>
      </c>
      <c r="E152" s="268">
        <v>910934</v>
      </c>
      <c r="F152" s="269">
        <v>0</v>
      </c>
      <c r="G152" s="268">
        <v>910934</v>
      </c>
      <c r="H152" s="269">
        <v>0</v>
      </c>
      <c r="I152" s="269">
        <v>0</v>
      </c>
      <c r="J152" s="269">
        <v>0</v>
      </c>
      <c r="K152" s="268">
        <v>910934</v>
      </c>
    </row>
    <row r="153" spans="1:11" ht="15.75" customHeight="1" x14ac:dyDescent="0.25">
      <c r="A153" s="280" t="s">
        <v>558</v>
      </c>
      <c r="B153" s="24" t="s">
        <v>559</v>
      </c>
      <c r="C153" s="92">
        <v>314</v>
      </c>
      <c r="D153" s="24" t="s">
        <v>359</v>
      </c>
      <c r="E153" s="268">
        <v>874691</v>
      </c>
      <c r="F153" s="269">
        <v>0</v>
      </c>
      <c r="G153" s="268">
        <v>874691</v>
      </c>
      <c r="H153" s="269">
        <v>0</v>
      </c>
      <c r="I153" s="269">
        <v>0</v>
      </c>
      <c r="J153" s="269">
        <v>0</v>
      </c>
      <c r="K153" s="268">
        <v>874691</v>
      </c>
    </row>
    <row r="154" spans="1:11" ht="15.75" customHeight="1" x14ac:dyDescent="0.25">
      <c r="A154" s="280" t="s">
        <v>558</v>
      </c>
      <c r="B154" s="24" t="s">
        <v>559</v>
      </c>
      <c r="C154" s="92">
        <v>314</v>
      </c>
      <c r="D154" s="24" t="s">
        <v>360</v>
      </c>
      <c r="E154" s="268">
        <v>817164</v>
      </c>
      <c r="F154" s="269">
        <v>0</v>
      </c>
      <c r="G154" s="268">
        <v>817164</v>
      </c>
      <c r="H154" s="269">
        <v>0</v>
      </c>
      <c r="I154" s="269">
        <v>0</v>
      </c>
      <c r="J154" s="269">
        <v>0</v>
      </c>
      <c r="K154" s="268">
        <v>817164</v>
      </c>
    </row>
    <row r="155" spans="1:11" ht="15.75" customHeight="1" x14ac:dyDescent="0.25">
      <c r="A155" s="280" t="s">
        <v>558</v>
      </c>
      <c r="B155" s="24" t="s">
        <v>559</v>
      </c>
      <c r="C155" s="92">
        <v>314</v>
      </c>
      <c r="D155" s="24" t="s">
        <v>49</v>
      </c>
      <c r="E155" s="268">
        <v>831167</v>
      </c>
      <c r="F155" s="269">
        <v>0</v>
      </c>
      <c r="G155" s="268">
        <v>831167</v>
      </c>
      <c r="H155" s="269">
        <v>0</v>
      </c>
      <c r="I155" s="269">
        <v>0</v>
      </c>
      <c r="J155" s="269">
        <v>0</v>
      </c>
      <c r="K155" s="268">
        <v>831167</v>
      </c>
    </row>
    <row r="156" spans="1:11" ht="15.75" customHeight="1" x14ac:dyDescent="0.25">
      <c r="A156" s="280" t="s">
        <v>558</v>
      </c>
      <c r="B156" s="24" t="s">
        <v>559</v>
      </c>
      <c r="C156" s="92">
        <v>314</v>
      </c>
      <c r="D156" s="24" t="s">
        <v>361</v>
      </c>
      <c r="E156" s="268">
        <v>792501</v>
      </c>
      <c r="F156" s="269">
        <v>0</v>
      </c>
      <c r="G156" s="268">
        <v>792501</v>
      </c>
      <c r="H156" s="269">
        <v>0</v>
      </c>
      <c r="I156" s="269">
        <v>0</v>
      </c>
      <c r="J156" s="269">
        <v>0</v>
      </c>
      <c r="K156" s="268">
        <v>792501</v>
      </c>
    </row>
    <row r="157" spans="1:11" ht="15.75" customHeight="1" x14ac:dyDescent="0.25">
      <c r="A157" s="162" t="s">
        <v>582</v>
      </c>
      <c r="B157" s="121" t="s">
        <v>153</v>
      </c>
      <c r="C157" s="121" t="s">
        <v>153</v>
      </c>
      <c r="D157" s="121" t="s">
        <v>153</v>
      </c>
      <c r="E157" s="277">
        <f>SUBTOTAL(109,local314[Program
Costs])</f>
        <v>7054651</v>
      </c>
      <c r="F157" s="279">
        <f>SUBTOTAL(109,local314[Less: Net
Payments 
and Offsets])</f>
        <v>0</v>
      </c>
      <c r="G157" s="277">
        <f>SUBTOTAL(109,local314[Accounts Payable
Balance])</f>
        <v>7054651</v>
      </c>
      <c r="H157" s="279">
        <f>SUBTOTAL(109,local314[Established
Accounts Receivable])</f>
        <v>0</v>
      </c>
      <c r="I157" s="279">
        <f>SUBTOTAL(109,local314[Less:
 Recovered
Amount])</f>
        <v>0</v>
      </c>
      <c r="J157" s="279">
        <f>SUBTOTAL(109,local314[Accounts Receivable
Balance])</f>
        <v>0</v>
      </c>
      <c r="K157" s="277">
        <f>SUBTOTAL(109,local314[Net
Balance])</f>
        <v>7054651</v>
      </c>
    </row>
    <row r="158" spans="1:11" ht="15.75" customHeight="1" x14ac:dyDescent="0.25">
      <c r="A158" s="319" t="s">
        <v>181</v>
      </c>
      <c r="B158" s="287"/>
      <c r="C158" s="287"/>
      <c r="D158" s="287"/>
      <c r="E158" s="289"/>
      <c r="F158" s="289"/>
      <c r="G158" s="289"/>
      <c r="H158" s="289"/>
      <c r="I158" s="289"/>
      <c r="J158" s="289"/>
      <c r="K158" s="288"/>
    </row>
    <row r="159" spans="1:11" s="259" customFormat="1" ht="62.1" customHeight="1" x14ac:dyDescent="0.25">
      <c r="A159" s="21" t="s">
        <v>268</v>
      </c>
      <c r="B159" s="21" t="s">
        <v>2</v>
      </c>
      <c r="C159" s="21" t="s">
        <v>568</v>
      </c>
      <c r="D159" s="21" t="s">
        <v>221</v>
      </c>
      <c r="E159" s="214" t="s">
        <v>223</v>
      </c>
      <c r="F159" s="213" t="s">
        <v>569</v>
      </c>
      <c r="G159" s="214" t="s">
        <v>270</v>
      </c>
      <c r="H159" s="214" t="s">
        <v>271</v>
      </c>
      <c r="I159" s="214" t="s">
        <v>570</v>
      </c>
      <c r="J159" s="214" t="s">
        <v>272</v>
      </c>
      <c r="K159" s="214" t="s">
        <v>273</v>
      </c>
    </row>
    <row r="160" spans="1:11" ht="15.75" customHeight="1" x14ac:dyDescent="0.25">
      <c r="A160" s="152" t="s">
        <v>560</v>
      </c>
      <c r="B160" s="24" t="s">
        <v>561</v>
      </c>
      <c r="C160" s="24">
        <v>373</v>
      </c>
      <c r="D160" s="24" t="s">
        <v>274</v>
      </c>
      <c r="E160" s="268">
        <v>400041</v>
      </c>
      <c r="F160" s="269">
        <v>0</v>
      </c>
      <c r="G160" s="268">
        <v>400041</v>
      </c>
      <c r="H160" s="269">
        <v>0</v>
      </c>
      <c r="I160" s="269">
        <v>0</v>
      </c>
      <c r="J160" s="269">
        <v>0</v>
      </c>
      <c r="K160" s="268">
        <v>400041</v>
      </c>
    </row>
    <row r="161" spans="1:11" ht="15.75" customHeight="1" x14ac:dyDescent="0.25">
      <c r="A161" s="152" t="s">
        <v>560</v>
      </c>
      <c r="B161" s="24" t="s">
        <v>561</v>
      </c>
      <c r="C161" s="92">
        <v>373</v>
      </c>
      <c r="D161" s="24" t="s">
        <v>43</v>
      </c>
      <c r="E161" s="268">
        <v>460188</v>
      </c>
      <c r="F161" s="269">
        <v>0</v>
      </c>
      <c r="G161" s="268">
        <v>460188</v>
      </c>
      <c r="H161" s="269">
        <v>0</v>
      </c>
      <c r="I161" s="269">
        <v>0</v>
      </c>
      <c r="J161" s="269">
        <v>0</v>
      </c>
      <c r="K161" s="268">
        <v>460188</v>
      </c>
    </row>
    <row r="162" spans="1:11" ht="15.75" customHeight="1" x14ac:dyDescent="0.25">
      <c r="A162" s="152" t="s">
        <v>560</v>
      </c>
      <c r="B162" s="24" t="s">
        <v>561</v>
      </c>
      <c r="C162" s="92">
        <v>373</v>
      </c>
      <c r="D162" s="24" t="s">
        <v>44</v>
      </c>
      <c r="E162" s="268">
        <v>593411</v>
      </c>
      <c r="F162" s="269">
        <v>0</v>
      </c>
      <c r="G162" s="268">
        <v>593411</v>
      </c>
      <c r="H162" s="269">
        <v>0</v>
      </c>
      <c r="I162" s="269">
        <v>0</v>
      </c>
      <c r="J162" s="269">
        <v>0</v>
      </c>
      <c r="K162" s="268">
        <v>593411</v>
      </c>
    </row>
    <row r="163" spans="1:11" ht="15.75" customHeight="1" x14ac:dyDescent="0.25">
      <c r="A163" s="152" t="s">
        <v>560</v>
      </c>
      <c r="B163" s="24" t="s">
        <v>561</v>
      </c>
      <c r="C163" s="92">
        <v>373</v>
      </c>
      <c r="D163" s="24" t="s">
        <v>45</v>
      </c>
      <c r="E163" s="268">
        <v>1747130</v>
      </c>
      <c r="F163" s="269">
        <v>0</v>
      </c>
      <c r="G163" s="268">
        <v>1747130</v>
      </c>
      <c r="H163" s="269">
        <v>0</v>
      </c>
      <c r="I163" s="269">
        <v>0</v>
      </c>
      <c r="J163" s="269">
        <v>0</v>
      </c>
      <c r="K163" s="268">
        <v>1747130</v>
      </c>
    </row>
    <row r="164" spans="1:11" ht="15.75" customHeight="1" x14ac:dyDescent="0.25">
      <c r="A164" s="320" t="s">
        <v>583</v>
      </c>
      <c r="B164" s="121" t="s">
        <v>153</v>
      </c>
      <c r="C164" s="121" t="s">
        <v>153</v>
      </c>
      <c r="D164" s="121" t="s">
        <v>153</v>
      </c>
      <c r="E164" s="277">
        <f>SUBTOTAL(109,local373[Program
Costs])</f>
        <v>3200770</v>
      </c>
      <c r="F164" s="279">
        <f>SUBTOTAL(109,local373[Less: Net
Payments 
and Offsets])</f>
        <v>0</v>
      </c>
      <c r="G164" s="277">
        <f>SUBTOTAL(109,local373[Accounts Payable
Balance])</f>
        <v>3200770</v>
      </c>
      <c r="H164" s="279">
        <f>SUBTOTAL(109,local373[Established
Accounts Receivable])</f>
        <v>0</v>
      </c>
      <c r="I164" s="279">
        <f>SUBTOTAL(109,local373[Less:
 Recovered
Amount])</f>
        <v>0</v>
      </c>
      <c r="J164" s="279">
        <f>SUBTOTAL(109,local373[Accounts Receivable
Balance])</f>
        <v>0</v>
      </c>
      <c r="K164" s="277">
        <f>SUBTOTAL(109,local373[Net
Balance])</f>
        <v>3200770</v>
      </c>
    </row>
    <row r="165" spans="1:11" ht="15.75" customHeight="1" x14ac:dyDescent="0.25">
      <c r="A165" s="319" t="s">
        <v>181</v>
      </c>
      <c r="B165" s="24"/>
      <c r="C165" s="24"/>
      <c r="D165" s="24"/>
      <c r="E165" s="270"/>
      <c r="F165" s="270"/>
      <c r="G165" s="270"/>
      <c r="H165" s="270"/>
      <c r="I165" s="270"/>
      <c r="J165" s="270"/>
      <c r="K165" s="271"/>
    </row>
    <row r="166" spans="1:11" s="259" customFormat="1" ht="62.1" customHeight="1" x14ac:dyDescent="0.25">
      <c r="A166" s="28" t="s">
        <v>268</v>
      </c>
      <c r="B166" s="28" t="s">
        <v>2</v>
      </c>
      <c r="C166" s="28" t="s">
        <v>568</v>
      </c>
      <c r="D166" s="28" t="s">
        <v>221</v>
      </c>
      <c r="E166" s="196" t="s">
        <v>223</v>
      </c>
      <c r="F166" s="195" t="s">
        <v>569</v>
      </c>
      <c r="G166" s="196" t="s">
        <v>270</v>
      </c>
      <c r="H166" s="196" t="s">
        <v>271</v>
      </c>
      <c r="I166" s="196" t="s">
        <v>570</v>
      </c>
      <c r="J166" s="196" t="s">
        <v>272</v>
      </c>
      <c r="K166" s="196" t="s">
        <v>273</v>
      </c>
    </row>
    <row r="167" spans="1:11" ht="15.75" customHeight="1" x14ac:dyDescent="0.25">
      <c r="A167" s="152" t="s">
        <v>562</v>
      </c>
      <c r="B167" s="24" t="s">
        <v>276</v>
      </c>
      <c r="C167" s="24">
        <v>356</v>
      </c>
      <c r="D167" s="24" t="s">
        <v>274</v>
      </c>
      <c r="E167" s="268">
        <v>634345</v>
      </c>
      <c r="F167" s="269">
        <v>0</v>
      </c>
      <c r="G167" s="268">
        <v>634345</v>
      </c>
      <c r="H167" s="269">
        <v>0</v>
      </c>
      <c r="I167" s="269">
        <v>0</v>
      </c>
      <c r="J167" s="269">
        <v>0</v>
      </c>
      <c r="K167" s="268">
        <v>634345</v>
      </c>
    </row>
    <row r="168" spans="1:11" ht="15.75" customHeight="1" x14ac:dyDescent="0.25">
      <c r="A168" s="152" t="s">
        <v>562</v>
      </c>
      <c r="B168" s="24" t="s">
        <v>276</v>
      </c>
      <c r="C168" s="92">
        <v>356</v>
      </c>
      <c r="D168" s="24" t="s">
        <v>43</v>
      </c>
      <c r="E168" s="268">
        <v>663952</v>
      </c>
      <c r="F168" s="269">
        <v>0</v>
      </c>
      <c r="G168" s="268">
        <v>663952</v>
      </c>
      <c r="H168" s="269">
        <v>0</v>
      </c>
      <c r="I168" s="269">
        <v>0</v>
      </c>
      <c r="J168" s="269">
        <v>0</v>
      </c>
      <c r="K168" s="268">
        <v>663952</v>
      </c>
    </row>
    <row r="169" spans="1:11" ht="15.75" customHeight="1" x14ac:dyDescent="0.25">
      <c r="A169" s="152" t="s">
        <v>562</v>
      </c>
      <c r="B169" s="24" t="s">
        <v>276</v>
      </c>
      <c r="C169" s="92">
        <v>356</v>
      </c>
      <c r="D169" s="24" t="s">
        <v>44</v>
      </c>
      <c r="E169" s="268">
        <v>669653</v>
      </c>
      <c r="F169" s="269">
        <v>0</v>
      </c>
      <c r="G169" s="268">
        <v>669653</v>
      </c>
      <c r="H169" s="269">
        <v>0</v>
      </c>
      <c r="I169" s="269">
        <v>0</v>
      </c>
      <c r="J169" s="269">
        <v>0</v>
      </c>
      <c r="K169" s="268">
        <v>669653</v>
      </c>
    </row>
    <row r="170" spans="1:11" ht="15.75" customHeight="1" x14ac:dyDescent="0.25">
      <c r="A170" s="152" t="s">
        <v>562</v>
      </c>
      <c r="B170" s="24" t="s">
        <v>276</v>
      </c>
      <c r="C170" s="92">
        <v>356</v>
      </c>
      <c r="D170" s="24" t="s">
        <v>45</v>
      </c>
      <c r="E170" s="268">
        <v>618356</v>
      </c>
      <c r="F170" s="269">
        <v>0</v>
      </c>
      <c r="G170" s="268">
        <v>618356</v>
      </c>
      <c r="H170" s="269">
        <v>0</v>
      </c>
      <c r="I170" s="269">
        <v>0</v>
      </c>
      <c r="J170" s="269">
        <v>0</v>
      </c>
      <c r="K170" s="268">
        <v>618356</v>
      </c>
    </row>
    <row r="171" spans="1:11" ht="15.75" customHeight="1" x14ac:dyDescent="0.25">
      <c r="A171" s="152" t="s">
        <v>562</v>
      </c>
      <c r="B171" s="24" t="s">
        <v>276</v>
      </c>
      <c r="C171" s="92">
        <v>356</v>
      </c>
      <c r="D171" s="24" t="s">
        <v>46</v>
      </c>
      <c r="E171" s="268">
        <v>538204</v>
      </c>
      <c r="F171" s="269">
        <v>0</v>
      </c>
      <c r="G171" s="268">
        <v>538204</v>
      </c>
      <c r="H171" s="269">
        <v>0</v>
      </c>
      <c r="I171" s="269">
        <v>0</v>
      </c>
      <c r="J171" s="269">
        <v>0</v>
      </c>
      <c r="K171" s="268">
        <v>538204</v>
      </c>
    </row>
    <row r="172" spans="1:11" ht="15.75" customHeight="1" x14ac:dyDescent="0.25">
      <c r="A172" s="152" t="s">
        <v>562</v>
      </c>
      <c r="B172" s="24" t="s">
        <v>276</v>
      </c>
      <c r="C172" s="92">
        <v>356</v>
      </c>
      <c r="D172" s="24" t="s">
        <v>47</v>
      </c>
      <c r="E172" s="268">
        <v>501396</v>
      </c>
      <c r="F172" s="269">
        <v>0</v>
      </c>
      <c r="G172" s="268">
        <v>501396</v>
      </c>
      <c r="H172" s="269">
        <v>0</v>
      </c>
      <c r="I172" s="269">
        <v>0</v>
      </c>
      <c r="J172" s="269">
        <v>0</v>
      </c>
      <c r="K172" s="268">
        <v>501396</v>
      </c>
    </row>
    <row r="173" spans="1:11" ht="15.75" customHeight="1" x14ac:dyDescent="0.25">
      <c r="A173" s="152" t="s">
        <v>562</v>
      </c>
      <c r="B173" s="24" t="s">
        <v>276</v>
      </c>
      <c r="C173" s="92">
        <v>356</v>
      </c>
      <c r="D173" s="24" t="s">
        <v>288</v>
      </c>
      <c r="E173" s="268">
        <v>517346</v>
      </c>
      <c r="F173" s="269">
        <v>0</v>
      </c>
      <c r="G173" s="268">
        <v>517346</v>
      </c>
      <c r="H173" s="269">
        <v>0</v>
      </c>
      <c r="I173" s="269">
        <v>0</v>
      </c>
      <c r="J173" s="269">
        <v>0</v>
      </c>
      <c r="K173" s="268">
        <v>517346</v>
      </c>
    </row>
    <row r="174" spans="1:11" ht="15.75" customHeight="1" x14ac:dyDescent="0.25">
      <c r="A174" s="152" t="s">
        <v>562</v>
      </c>
      <c r="B174" s="24" t="s">
        <v>276</v>
      </c>
      <c r="C174" s="92">
        <v>356</v>
      </c>
      <c r="D174" s="24" t="s">
        <v>290</v>
      </c>
      <c r="E174" s="268">
        <v>411975</v>
      </c>
      <c r="F174" s="269">
        <v>0</v>
      </c>
      <c r="G174" s="268">
        <v>411975</v>
      </c>
      <c r="H174" s="269">
        <v>0</v>
      </c>
      <c r="I174" s="269">
        <v>0</v>
      </c>
      <c r="J174" s="269">
        <v>0</v>
      </c>
      <c r="K174" s="268">
        <v>411975</v>
      </c>
    </row>
    <row r="175" spans="1:11" ht="15.75" customHeight="1" x14ac:dyDescent="0.25">
      <c r="A175" s="152" t="s">
        <v>562</v>
      </c>
      <c r="B175" s="24" t="s">
        <v>276</v>
      </c>
      <c r="C175" s="92">
        <v>356</v>
      </c>
      <c r="D175" s="24" t="s">
        <v>292</v>
      </c>
      <c r="E175" s="268">
        <v>369012</v>
      </c>
      <c r="F175" s="269">
        <v>0</v>
      </c>
      <c r="G175" s="268">
        <v>369012</v>
      </c>
      <c r="H175" s="269">
        <v>0</v>
      </c>
      <c r="I175" s="269">
        <v>0</v>
      </c>
      <c r="J175" s="269">
        <v>0</v>
      </c>
      <c r="K175" s="268">
        <v>369012</v>
      </c>
    </row>
    <row r="176" spans="1:11" ht="15.75" customHeight="1" x14ac:dyDescent="0.25">
      <c r="A176" s="152" t="s">
        <v>562</v>
      </c>
      <c r="B176" s="24" t="s">
        <v>276</v>
      </c>
      <c r="C176" s="92">
        <v>356</v>
      </c>
      <c r="D176" s="24" t="s">
        <v>296</v>
      </c>
      <c r="E176" s="268">
        <v>339391</v>
      </c>
      <c r="F176" s="269">
        <v>0</v>
      </c>
      <c r="G176" s="268">
        <v>339391</v>
      </c>
      <c r="H176" s="269">
        <v>0</v>
      </c>
      <c r="I176" s="269">
        <v>0</v>
      </c>
      <c r="J176" s="269">
        <v>0</v>
      </c>
      <c r="K176" s="268">
        <v>339391</v>
      </c>
    </row>
    <row r="177" spans="1:11" ht="15.75" customHeight="1" x14ac:dyDescent="0.25">
      <c r="A177" s="152" t="s">
        <v>562</v>
      </c>
      <c r="B177" s="24" t="s">
        <v>276</v>
      </c>
      <c r="C177" s="92">
        <v>356</v>
      </c>
      <c r="D177" s="24" t="s">
        <v>1</v>
      </c>
      <c r="E177" s="268">
        <v>418145</v>
      </c>
      <c r="F177" s="269">
        <v>0</v>
      </c>
      <c r="G177" s="268">
        <v>418145</v>
      </c>
      <c r="H177" s="269">
        <v>0</v>
      </c>
      <c r="I177" s="269">
        <v>0</v>
      </c>
      <c r="J177" s="269">
        <v>0</v>
      </c>
      <c r="K177" s="268">
        <v>418145</v>
      </c>
    </row>
    <row r="178" spans="1:11" ht="15.75" customHeight="1" x14ac:dyDescent="0.25">
      <c r="A178" s="152" t="s">
        <v>562</v>
      </c>
      <c r="B178" s="24" t="s">
        <v>276</v>
      </c>
      <c r="C178" s="92">
        <v>356</v>
      </c>
      <c r="D178" s="24" t="s">
        <v>48</v>
      </c>
      <c r="E178" s="268">
        <v>361937</v>
      </c>
      <c r="F178" s="269">
        <v>0</v>
      </c>
      <c r="G178" s="268">
        <v>361937</v>
      </c>
      <c r="H178" s="269">
        <v>0</v>
      </c>
      <c r="I178" s="269">
        <v>0</v>
      </c>
      <c r="J178" s="269">
        <v>0</v>
      </c>
      <c r="K178" s="268">
        <v>361937</v>
      </c>
    </row>
    <row r="179" spans="1:11" ht="15.75" customHeight="1" x14ac:dyDescent="0.25">
      <c r="A179" s="152" t="s">
        <v>562</v>
      </c>
      <c r="B179" s="24" t="s">
        <v>276</v>
      </c>
      <c r="C179" s="92">
        <v>356</v>
      </c>
      <c r="D179" s="24" t="s">
        <v>353</v>
      </c>
      <c r="E179" s="268">
        <v>268931</v>
      </c>
      <c r="F179" s="269">
        <v>0</v>
      </c>
      <c r="G179" s="268">
        <v>268931</v>
      </c>
      <c r="H179" s="269">
        <v>0</v>
      </c>
      <c r="I179" s="269">
        <v>0</v>
      </c>
      <c r="J179" s="269">
        <v>0</v>
      </c>
      <c r="K179" s="268">
        <v>268931</v>
      </c>
    </row>
    <row r="180" spans="1:11" ht="15.75" customHeight="1" x14ac:dyDescent="0.25">
      <c r="A180" s="152" t="s">
        <v>562</v>
      </c>
      <c r="B180" s="24" t="s">
        <v>276</v>
      </c>
      <c r="C180" s="92">
        <v>356</v>
      </c>
      <c r="D180" s="24" t="s">
        <v>358</v>
      </c>
      <c r="E180" s="268">
        <v>361066</v>
      </c>
      <c r="F180" s="269">
        <v>0</v>
      </c>
      <c r="G180" s="268">
        <v>361066</v>
      </c>
      <c r="H180" s="269">
        <v>0</v>
      </c>
      <c r="I180" s="269">
        <v>0</v>
      </c>
      <c r="J180" s="269">
        <v>0</v>
      </c>
      <c r="K180" s="268">
        <v>361066</v>
      </c>
    </row>
    <row r="181" spans="1:11" ht="15.75" customHeight="1" x14ac:dyDescent="0.25">
      <c r="A181" s="152" t="s">
        <v>562</v>
      </c>
      <c r="B181" s="24" t="s">
        <v>276</v>
      </c>
      <c r="C181" s="92">
        <v>356</v>
      </c>
      <c r="D181" s="24" t="s">
        <v>359</v>
      </c>
      <c r="E181" s="268">
        <v>271154</v>
      </c>
      <c r="F181" s="269">
        <v>0</v>
      </c>
      <c r="G181" s="268">
        <v>271154</v>
      </c>
      <c r="H181" s="269">
        <v>0</v>
      </c>
      <c r="I181" s="269">
        <v>0</v>
      </c>
      <c r="J181" s="269">
        <v>0</v>
      </c>
      <c r="K181" s="268">
        <v>271154</v>
      </c>
    </row>
    <row r="182" spans="1:11" ht="15.75" customHeight="1" x14ac:dyDescent="0.25">
      <c r="A182" s="152" t="s">
        <v>562</v>
      </c>
      <c r="B182" s="24" t="s">
        <v>276</v>
      </c>
      <c r="C182" s="92">
        <v>356</v>
      </c>
      <c r="D182" s="24" t="s">
        <v>360</v>
      </c>
      <c r="E182" s="268">
        <v>298172</v>
      </c>
      <c r="F182" s="269">
        <v>0</v>
      </c>
      <c r="G182" s="268">
        <v>298172</v>
      </c>
      <c r="H182" s="269">
        <v>0</v>
      </c>
      <c r="I182" s="269">
        <v>0</v>
      </c>
      <c r="J182" s="269">
        <v>0</v>
      </c>
      <c r="K182" s="268">
        <v>298172</v>
      </c>
    </row>
    <row r="183" spans="1:11" ht="15.75" customHeight="1" x14ac:dyDescent="0.25">
      <c r="A183" s="152" t="s">
        <v>562</v>
      </c>
      <c r="B183" s="24" t="s">
        <v>276</v>
      </c>
      <c r="C183" s="92">
        <v>356</v>
      </c>
      <c r="D183" s="24" t="s">
        <v>49</v>
      </c>
      <c r="E183" s="268">
        <v>241835</v>
      </c>
      <c r="F183" s="269">
        <v>0</v>
      </c>
      <c r="G183" s="268">
        <v>241835</v>
      </c>
      <c r="H183" s="269">
        <v>0</v>
      </c>
      <c r="I183" s="269">
        <v>0</v>
      </c>
      <c r="J183" s="269">
        <v>0</v>
      </c>
      <c r="K183" s="268">
        <v>241835</v>
      </c>
    </row>
    <row r="184" spans="1:11" ht="15.75" customHeight="1" x14ac:dyDescent="0.25">
      <c r="A184" s="152" t="s">
        <v>562</v>
      </c>
      <c r="B184" s="24" t="s">
        <v>276</v>
      </c>
      <c r="C184" s="92">
        <v>356</v>
      </c>
      <c r="D184" s="24" t="s">
        <v>361</v>
      </c>
      <c r="E184" s="268">
        <v>224328</v>
      </c>
      <c r="F184" s="269">
        <v>0</v>
      </c>
      <c r="G184" s="268">
        <v>224328</v>
      </c>
      <c r="H184" s="269">
        <v>0</v>
      </c>
      <c r="I184" s="269">
        <v>0</v>
      </c>
      <c r="J184" s="269">
        <v>0</v>
      </c>
      <c r="K184" s="268">
        <v>224328</v>
      </c>
    </row>
    <row r="185" spans="1:11" ht="15.75" customHeight="1" x14ac:dyDescent="0.25">
      <c r="A185" s="320" t="s">
        <v>584</v>
      </c>
      <c r="B185" s="121" t="s">
        <v>153</v>
      </c>
      <c r="C185" s="121" t="s">
        <v>153</v>
      </c>
      <c r="D185" s="121" t="s">
        <v>153</v>
      </c>
      <c r="E185" s="277">
        <f>SUBTOTAL(109,local356[Program
Costs])</f>
        <v>7709198</v>
      </c>
      <c r="F185" s="279">
        <f>SUBTOTAL(109,local356[Less: Net
Payments 
and Offsets])</f>
        <v>0</v>
      </c>
      <c r="G185" s="277">
        <f>SUBTOTAL(109,local356[Accounts Payable
Balance])</f>
        <v>7709198</v>
      </c>
      <c r="H185" s="279">
        <f>SUBTOTAL(109,local356[Established
Accounts Receivable])</f>
        <v>0</v>
      </c>
      <c r="I185" s="279">
        <f>SUBTOTAL(109,local356[Less:
 Recovered
Amount])</f>
        <v>0</v>
      </c>
      <c r="J185" s="279">
        <f>SUBTOTAL(109,local356[Accounts Receivable
Balance])</f>
        <v>0</v>
      </c>
      <c r="K185" s="277">
        <f>SUBTOTAL(109,local356[Net
Balance])</f>
        <v>7709198</v>
      </c>
    </row>
    <row r="186" spans="1:11" ht="15.75" customHeight="1" x14ac:dyDescent="0.25">
      <c r="A186" s="319" t="s">
        <v>181</v>
      </c>
      <c r="B186" s="24"/>
      <c r="C186" s="24"/>
      <c r="D186" s="24"/>
      <c r="E186" s="270"/>
      <c r="F186" s="270"/>
      <c r="G186" s="270"/>
      <c r="H186" s="270"/>
      <c r="I186" s="270"/>
      <c r="J186" s="270"/>
      <c r="K186" s="271"/>
    </row>
    <row r="187" spans="1:11" s="259" customFormat="1" ht="62.1" customHeight="1" x14ac:dyDescent="0.25">
      <c r="A187" s="28" t="s">
        <v>268</v>
      </c>
      <c r="B187" s="28" t="s">
        <v>2</v>
      </c>
      <c r="C187" s="28" t="s">
        <v>568</v>
      </c>
      <c r="D187" s="28" t="s">
        <v>221</v>
      </c>
      <c r="E187" s="196" t="s">
        <v>223</v>
      </c>
      <c r="F187" s="195" t="s">
        <v>569</v>
      </c>
      <c r="G187" s="196" t="s">
        <v>270</v>
      </c>
      <c r="H187" s="196" t="s">
        <v>271</v>
      </c>
      <c r="I187" s="196" t="s">
        <v>570</v>
      </c>
      <c r="J187" s="196" t="s">
        <v>272</v>
      </c>
      <c r="K187" s="196" t="s">
        <v>273</v>
      </c>
    </row>
    <row r="188" spans="1:11" ht="15.75" customHeight="1" x14ac:dyDescent="0.25">
      <c r="A188" s="152" t="s">
        <v>563</v>
      </c>
      <c r="B188" s="24" t="s">
        <v>564</v>
      </c>
      <c r="C188" s="24">
        <v>324</v>
      </c>
      <c r="D188" s="24" t="s">
        <v>290</v>
      </c>
      <c r="E188" s="268">
        <v>5284437</v>
      </c>
      <c r="F188" s="269">
        <v>0</v>
      </c>
      <c r="G188" s="268">
        <v>5284437</v>
      </c>
      <c r="H188" s="269">
        <v>0</v>
      </c>
      <c r="I188" s="269">
        <v>0</v>
      </c>
      <c r="J188" s="269">
        <v>0</v>
      </c>
      <c r="K188" s="268">
        <v>5284437</v>
      </c>
    </row>
    <row r="189" spans="1:11" ht="15.75" customHeight="1" x14ac:dyDescent="0.25">
      <c r="A189" s="152" t="s">
        <v>563</v>
      </c>
      <c r="B189" s="24" t="s">
        <v>564</v>
      </c>
      <c r="C189" s="92">
        <v>324</v>
      </c>
      <c r="D189" s="24" t="s">
        <v>292</v>
      </c>
      <c r="E189" s="268">
        <v>4156834</v>
      </c>
      <c r="F189" s="269">
        <v>0</v>
      </c>
      <c r="G189" s="268">
        <v>4156834</v>
      </c>
      <c r="H189" s="269">
        <v>0</v>
      </c>
      <c r="I189" s="269">
        <v>0</v>
      </c>
      <c r="J189" s="269">
        <v>0</v>
      </c>
      <c r="K189" s="268">
        <v>4156834</v>
      </c>
    </row>
    <row r="190" spans="1:11" ht="15.75" customHeight="1" x14ac:dyDescent="0.25">
      <c r="A190" s="152" t="s">
        <v>563</v>
      </c>
      <c r="B190" s="24" t="s">
        <v>564</v>
      </c>
      <c r="C190" s="92">
        <v>324</v>
      </c>
      <c r="D190" s="24" t="s">
        <v>296</v>
      </c>
      <c r="E190" s="268">
        <v>2038396</v>
      </c>
      <c r="F190" s="269">
        <v>0</v>
      </c>
      <c r="G190" s="268">
        <v>2038396</v>
      </c>
      <c r="H190" s="269">
        <v>0</v>
      </c>
      <c r="I190" s="269">
        <v>0</v>
      </c>
      <c r="J190" s="269">
        <v>0</v>
      </c>
      <c r="K190" s="268">
        <v>2038396</v>
      </c>
    </row>
    <row r="191" spans="1:11" ht="15.75" customHeight="1" x14ac:dyDescent="0.25">
      <c r="A191" s="152" t="s">
        <v>563</v>
      </c>
      <c r="B191" s="24" t="s">
        <v>564</v>
      </c>
      <c r="C191" s="92">
        <v>324</v>
      </c>
      <c r="D191" s="24" t="s">
        <v>1</v>
      </c>
      <c r="E191" s="268">
        <v>121578</v>
      </c>
      <c r="F191" s="269">
        <v>0</v>
      </c>
      <c r="G191" s="268">
        <v>121578</v>
      </c>
      <c r="H191" s="269">
        <v>0</v>
      </c>
      <c r="I191" s="269">
        <v>0</v>
      </c>
      <c r="J191" s="269">
        <v>0</v>
      </c>
      <c r="K191" s="268">
        <v>121578</v>
      </c>
    </row>
    <row r="192" spans="1:11" ht="15.75" customHeight="1" x14ac:dyDescent="0.25">
      <c r="A192" s="152" t="s">
        <v>563</v>
      </c>
      <c r="B192" s="24" t="s">
        <v>564</v>
      </c>
      <c r="C192" s="92">
        <v>324</v>
      </c>
      <c r="D192" s="24" t="s">
        <v>48</v>
      </c>
      <c r="E192" s="268">
        <v>191573</v>
      </c>
      <c r="F192" s="269">
        <v>0</v>
      </c>
      <c r="G192" s="268">
        <v>191573</v>
      </c>
      <c r="H192" s="269">
        <v>0</v>
      </c>
      <c r="I192" s="269">
        <v>0</v>
      </c>
      <c r="J192" s="269">
        <v>0</v>
      </c>
      <c r="K192" s="268">
        <v>191573</v>
      </c>
    </row>
    <row r="193" spans="1:11" ht="15.75" customHeight="1" x14ac:dyDescent="0.25">
      <c r="A193" s="152" t="s">
        <v>563</v>
      </c>
      <c r="B193" s="24" t="s">
        <v>564</v>
      </c>
      <c r="C193" s="92">
        <v>324</v>
      </c>
      <c r="D193" s="24" t="s">
        <v>353</v>
      </c>
      <c r="E193" s="268">
        <v>18688</v>
      </c>
      <c r="F193" s="269">
        <v>0</v>
      </c>
      <c r="G193" s="268">
        <v>18688</v>
      </c>
      <c r="H193" s="269">
        <v>0</v>
      </c>
      <c r="I193" s="269">
        <v>0</v>
      </c>
      <c r="J193" s="269">
        <v>0</v>
      </c>
      <c r="K193" s="268">
        <v>18688</v>
      </c>
    </row>
    <row r="194" spans="1:11" ht="15.75" customHeight="1" x14ac:dyDescent="0.25">
      <c r="A194" s="152" t="s">
        <v>563</v>
      </c>
      <c r="B194" s="24" t="s">
        <v>564</v>
      </c>
      <c r="C194" s="92">
        <v>324</v>
      </c>
      <c r="D194" s="24" t="s">
        <v>358</v>
      </c>
      <c r="E194" s="268">
        <v>24807</v>
      </c>
      <c r="F194" s="269">
        <v>0</v>
      </c>
      <c r="G194" s="268">
        <v>24807</v>
      </c>
      <c r="H194" s="269">
        <v>0</v>
      </c>
      <c r="I194" s="269">
        <v>0</v>
      </c>
      <c r="J194" s="269">
        <v>0</v>
      </c>
      <c r="K194" s="268">
        <v>24807</v>
      </c>
    </row>
    <row r="195" spans="1:11" ht="15.75" customHeight="1" x14ac:dyDescent="0.25">
      <c r="A195" s="152" t="s">
        <v>563</v>
      </c>
      <c r="B195" s="24" t="s">
        <v>564</v>
      </c>
      <c r="C195" s="92">
        <v>324</v>
      </c>
      <c r="D195" s="24" t="s">
        <v>359</v>
      </c>
      <c r="E195" s="268">
        <v>21868</v>
      </c>
      <c r="F195" s="269">
        <v>0</v>
      </c>
      <c r="G195" s="268">
        <v>21868</v>
      </c>
      <c r="H195" s="269">
        <v>0</v>
      </c>
      <c r="I195" s="269">
        <v>0</v>
      </c>
      <c r="J195" s="269">
        <v>0</v>
      </c>
      <c r="K195" s="268">
        <v>21868</v>
      </c>
    </row>
    <row r="196" spans="1:11" ht="15" customHeight="1" outlineLevel="1" x14ac:dyDescent="0.25">
      <c r="A196" s="152" t="s">
        <v>563</v>
      </c>
      <c r="B196" s="24" t="s">
        <v>564</v>
      </c>
      <c r="C196" s="92">
        <v>324</v>
      </c>
      <c r="D196" s="24" t="s">
        <v>360</v>
      </c>
      <c r="E196" s="268">
        <v>24382</v>
      </c>
      <c r="F196" s="269">
        <v>0</v>
      </c>
      <c r="G196" s="268">
        <v>24382</v>
      </c>
      <c r="H196" s="269">
        <v>0</v>
      </c>
      <c r="I196" s="269">
        <v>0</v>
      </c>
      <c r="J196" s="269">
        <v>0</v>
      </c>
      <c r="K196" s="268">
        <v>24382</v>
      </c>
    </row>
    <row r="197" spans="1:11" ht="15.75" x14ac:dyDescent="0.25">
      <c r="A197" s="152" t="s">
        <v>563</v>
      </c>
      <c r="B197" s="24" t="s">
        <v>564</v>
      </c>
      <c r="C197" s="92">
        <v>324</v>
      </c>
      <c r="D197" s="24" t="s">
        <v>49</v>
      </c>
      <c r="E197" s="268">
        <v>14834</v>
      </c>
      <c r="F197" s="269">
        <v>0</v>
      </c>
      <c r="G197" s="268">
        <v>14834</v>
      </c>
      <c r="H197" s="269">
        <v>0</v>
      </c>
      <c r="I197" s="269">
        <v>0</v>
      </c>
      <c r="J197" s="269">
        <v>0</v>
      </c>
      <c r="K197" s="268">
        <v>14834</v>
      </c>
    </row>
    <row r="198" spans="1:11" ht="15.75" x14ac:dyDescent="0.25">
      <c r="A198" s="152" t="s">
        <v>563</v>
      </c>
      <c r="B198" s="24" t="s">
        <v>564</v>
      </c>
      <c r="C198" s="92">
        <v>324</v>
      </c>
      <c r="D198" s="24" t="s">
        <v>361</v>
      </c>
      <c r="E198" s="268">
        <v>9310</v>
      </c>
      <c r="F198" s="269">
        <v>0</v>
      </c>
      <c r="G198" s="268">
        <v>9310</v>
      </c>
      <c r="H198" s="269">
        <v>0</v>
      </c>
      <c r="I198" s="269">
        <v>0</v>
      </c>
      <c r="J198" s="269">
        <v>0</v>
      </c>
      <c r="K198" s="268">
        <v>9310</v>
      </c>
    </row>
    <row r="199" spans="1:11" ht="15.75" x14ac:dyDescent="0.25">
      <c r="A199" s="320" t="s">
        <v>585</v>
      </c>
      <c r="B199" s="121" t="s">
        <v>153</v>
      </c>
      <c r="C199" s="121" t="s">
        <v>153</v>
      </c>
      <c r="D199" s="121" t="s">
        <v>153</v>
      </c>
      <c r="E199" s="277">
        <f>SUBTOTAL(109,local324[Program
Costs])</f>
        <v>11906707</v>
      </c>
      <c r="F199" s="279">
        <f>SUBTOTAL(109,local324[Less: Net
Payments 
and Offsets])</f>
        <v>0</v>
      </c>
      <c r="G199" s="277">
        <f>SUBTOTAL(109,local324[Accounts Payable
Balance])</f>
        <v>11906707</v>
      </c>
      <c r="H199" s="279">
        <f>SUBTOTAL(109,local324[Established
Accounts Receivable])</f>
        <v>0</v>
      </c>
      <c r="I199" s="279">
        <f>SUBTOTAL(109,local324[Less:
 Recovered
Amount])</f>
        <v>0</v>
      </c>
      <c r="J199" s="279">
        <f>SUBTOTAL(109,local324[Accounts Receivable
Balance])</f>
        <v>0</v>
      </c>
      <c r="K199" s="277">
        <f>SUBTOTAL(109,local324[Net
Balance])</f>
        <v>11906707</v>
      </c>
    </row>
    <row r="200" spans="1:11" ht="15.75" x14ac:dyDescent="0.25">
      <c r="A200" s="319" t="s">
        <v>181</v>
      </c>
      <c r="B200" s="24"/>
      <c r="C200" s="24"/>
      <c r="D200" s="24"/>
      <c r="E200" s="270"/>
      <c r="F200" s="270"/>
      <c r="G200" s="270"/>
      <c r="H200" s="270"/>
      <c r="I200" s="270"/>
      <c r="J200" s="270"/>
      <c r="K200" s="271"/>
    </row>
    <row r="201" spans="1:11" s="259" customFormat="1" ht="62.1" customHeight="1" x14ac:dyDescent="0.25">
      <c r="A201" s="21" t="s">
        <v>268</v>
      </c>
      <c r="B201" s="21" t="s">
        <v>2</v>
      </c>
      <c r="C201" s="21" t="s">
        <v>568</v>
      </c>
      <c r="D201" s="21" t="s">
        <v>221</v>
      </c>
      <c r="E201" s="214" t="s">
        <v>223</v>
      </c>
      <c r="F201" s="213" t="s">
        <v>569</v>
      </c>
      <c r="G201" s="214" t="s">
        <v>270</v>
      </c>
      <c r="H201" s="214" t="s">
        <v>271</v>
      </c>
      <c r="I201" s="214" t="s">
        <v>570</v>
      </c>
      <c r="J201" s="214" t="s">
        <v>272</v>
      </c>
      <c r="K201" s="214" t="s">
        <v>273</v>
      </c>
    </row>
    <row r="202" spans="1:11" ht="15.75" x14ac:dyDescent="0.25">
      <c r="A202" s="152" t="s">
        <v>565</v>
      </c>
      <c r="B202" s="24" t="s">
        <v>566</v>
      </c>
      <c r="C202" s="24">
        <v>331</v>
      </c>
      <c r="D202" s="24" t="s">
        <v>290</v>
      </c>
      <c r="E202" s="268">
        <v>2500091</v>
      </c>
      <c r="F202" s="269">
        <v>0</v>
      </c>
      <c r="G202" s="268">
        <v>2500091</v>
      </c>
      <c r="H202" s="269">
        <v>0</v>
      </c>
      <c r="I202" s="269">
        <v>0</v>
      </c>
      <c r="J202" s="269">
        <v>0</v>
      </c>
      <c r="K202" s="268">
        <v>2500091</v>
      </c>
    </row>
    <row r="203" spans="1:11" ht="15.75" x14ac:dyDescent="0.25">
      <c r="A203" s="152" t="s">
        <v>565</v>
      </c>
      <c r="B203" s="24" t="s">
        <v>566</v>
      </c>
      <c r="C203" s="92">
        <v>331</v>
      </c>
      <c r="D203" s="24" t="s">
        <v>292</v>
      </c>
      <c r="E203" s="268">
        <v>649325</v>
      </c>
      <c r="F203" s="269">
        <v>0</v>
      </c>
      <c r="G203" s="268">
        <v>649325</v>
      </c>
      <c r="H203" s="269">
        <v>0</v>
      </c>
      <c r="I203" s="269">
        <v>0</v>
      </c>
      <c r="J203" s="269">
        <v>0</v>
      </c>
      <c r="K203" s="268">
        <v>649325</v>
      </c>
    </row>
    <row r="204" spans="1:11" ht="15.75" x14ac:dyDescent="0.25">
      <c r="A204" s="152" t="s">
        <v>565</v>
      </c>
      <c r="B204" s="24" t="s">
        <v>566</v>
      </c>
      <c r="C204" s="92">
        <v>331</v>
      </c>
      <c r="D204" s="24" t="s">
        <v>296</v>
      </c>
      <c r="E204" s="268">
        <v>1484457</v>
      </c>
      <c r="F204" s="269">
        <v>0</v>
      </c>
      <c r="G204" s="268">
        <v>1484457</v>
      </c>
      <c r="H204" s="269">
        <v>0</v>
      </c>
      <c r="I204" s="269">
        <v>0</v>
      </c>
      <c r="J204" s="269">
        <v>0</v>
      </c>
      <c r="K204" s="268">
        <v>1484457</v>
      </c>
    </row>
    <row r="205" spans="1:11" ht="15.75" x14ac:dyDescent="0.25">
      <c r="A205" s="152" t="s">
        <v>565</v>
      </c>
      <c r="B205" s="24" t="s">
        <v>566</v>
      </c>
      <c r="C205" s="92">
        <v>331</v>
      </c>
      <c r="D205" s="24" t="s">
        <v>1</v>
      </c>
      <c r="E205" s="268">
        <v>467811</v>
      </c>
      <c r="F205" s="269">
        <v>0</v>
      </c>
      <c r="G205" s="268">
        <v>467811</v>
      </c>
      <c r="H205" s="269">
        <v>0</v>
      </c>
      <c r="I205" s="269">
        <v>0</v>
      </c>
      <c r="J205" s="269">
        <v>0</v>
      </c>
      <c r="K205" s="268">
        <v>467811</v>
      </c>
    </row>
    <row r="206" spans="1:11" ht="15.75" x14ac:dyDescent="0.25">
      <c r="A206" s="152" t="s">
        <v>565</v>
      </c>
      <c r="B206" s="24" t="s">
        <v>566</v>
      </c>
      <c r="C206" s="92">
        <v>331</v>
      </c>
      <c r="D206" s="24" t="s">
        <v>48</v>
      </c>
      <c r="E206" s="268">
        <v>1361366</v>
      </c>
      <c r="F206" s="269">
        <v>0</v>
      </c>
      <c r="G206" s="268">
        <v>1361366</v>
      </c>
      <c r="H206" s="269">
        <v>0</v>
      </c>
      <c r="I206" s="269">
        <v>0</v>
      </c>
      <c r="J206" s="269">
        <v>0</v>
      </c>
      <c r="K206" s="268">
        <v>1361366</v>
      </c>
    </row>
    <row r="207" spans="1:11" ht="15.75" x14ac:dyDescent="0.25">
      <c r="A207" s="152" t="s">
        <v>565</v>
      </c>
      <c r="B207" s="24" t="s">
        <v>566</v>
      </c>
      <c r="C207" s="92">
        <v>331</v>
      </c>
      <c r="D207" s="24" t="s">
        <v>353</v>
      </c>
      <c r="E207" s="268">
        <v>418990</v>
      </c>
      <c r="F207" s="269">
        <v>0</v>
      </c>
      <c r="G207" s="268">
        <v>418990</v>
      </c>
      <c r="H207" s="269">
        <v>0</v>
      </c>
      <c r="I207" s="269">
        <v>0</v>
      </c>
      <c r="J207" s="269">
        <v>0</v>
      </c>
      <c r="K207" s="268">
        <v>418990</v>
      </c>
    </row>
    <row r="208" spans="1:11" ht="15.75" x14ac:dyDescent="0.25">
      <c r="A208" s="152" t="s">
        <v>565</v>
      </c>
      <c r="B208" s="24" t="s">
        <v>566</v>
      </c>
      <c r="C208" s="92">
        <v>331</v>
      </c>
      <c r="D208" s="24" t="s">
        <v>358</v>
      </c>
      <c r="E208" s="268">
        <v>695563</v>
      </c>
      <c r="F208" s="269">
        <v>0</v>
      </c>
      <c r="G208" s="268">
        <v>695563</v>
      </c>
      <c r="H208" s="269">
        <v>0</v>
      </c>
      <c r="I208" s="269">
        <v>0</v>
      </c>
      <c r="J208" s="269">
        <v>0</v>
      </c>
      <c r="K208" s="268">
        <v>695563</v>
      </c>
    </row>
    <row r="209" spans="1:11" ht="15.75" x14ac:dyDescent="0.25">
      <c r="A209" s="152" t="s">
        <v>565</v>
      </c>
      <c r="B209" s="24" t="s">
        <v>566</v>
      </c>
      <c r="C209" s="92">
        <v>331</v>
      </c>
      <c r="D209" s="24" t="s">
        <v>359</v>
      </c>
      <c r="E209" s="268">
        <v>427478</v>
      </c>
      <c r="F209" s="269">
        <v>0</v>
      </c>
      <c r="G209" s="268">
        <v>427478</v>
      </c>
      <c r="H209" s="269">
        <v>0</v>
      </c>
      <c r="I209" s="269">
        <v>0</v>
      </c>
      <c r="J209" s="269">
        <v>0</v>
      </c>
      <c r="K209" s="268">
        <v>427478</v>
      </c>
    </row>
    <row r="210" spans="1:11" ht="15.75" x14ac:dyDescent="0.25">
      <c r="A210" s="152" t="s">
        <v>565</v>
      </c>
      <c r="B210" s="24" t="s">
        <v>566</v>
      </c>
      <c r="C210" s="92">
        <v>331</v>
      </c>
      <c r="D210" s="24" t="s">
        <v>360</v>
      </c>
      <c r="E210" s="268">
        <v>1088135</v>
      </c>
      <c r="F210" s="269">
        <v>0</v>
      </c>
      <c r="G210" s="268">
        <v>1088135</v>
      </c>
      <c r="H210" s="269">
        <v>0</v>
      </c>
      <c r="I210" s="269">
        <v>0</v>
      </c>
      <c r="J210" s="269">
        <v>0</v>
      </c>
      <c r="K210" s="268">
        <v>1088135</v>
      </c>
    </row>
    <row r="211" spans="1:11" ht="15.75" x14ac:dyDescent="0.25">
      <c r="A211" s="152" t="s">
        <v>565</v>
      </c>
      <c r="B211" s="24" t="s">
        <v>566</v>
      </c>
      <c r="C211" s="92">
        <v>331</v>
      </c>
      <c r="D211" s="24" t="s">
        <v>49</v>
      </c>
      <c r="E211" s="268">
        <v>514260</v>
      </c>
      <c r="F211" s="269">
        <v>0</v>
      </c>
      <c r="G211" s="268">
        <v>514260</v>
      </c>
      <c r="H211" s="269">
        <v>0</v>
      </c>
      <c r="I211" s="269">
        <v>0</v>
      </c>
      <c r="J211" s="269">
        <v>0</v>
      </c>
      <c r="K211" s="268">
        <v>514260</v>
      </c>
    </row>
    <row r="212" spans="1:11" ht="15.75" x14ac:dyDescent="0.25">
      <c r="A212" s="322" t="s">
        <v>565</v>
      </c>
      <c r="B212" s="92" t="s">
        <v>566</v>
      </c>
      <c r="C212" s="92">
        <v>331</v>
      </c>
      <c r="D212" s="92" t="s">
        <v>361</v>
      </c>
      <c r="E212" s="323">
        <v>467915</v>
      </c>
      <c r="F212" s="324">
        <v>0</v>
      </c>
      <c r="G212" s="323">
        <v>467915</v>
      </c>
      <c r="H212" s="324">
        <v>0</v>
      </c>
      <c r="I212" s="324">
        <v>0</v>
      </c>
      <c r="J212" s="324">
        <v>0</v>
      </c>
      <c r="K212" s="323">
        <v>467915</v>
      </c>
    </row>
    <row r="213" spans="1:11" ht="15.75" x14ac:dyDescent="0.25">
      <c r="A213" s="320" t="s">
        <v>586</v>
      </c>
      <c r="B213" s="121" t="s">
        <v>153</v>
      </c>
      <c r="C213" s="121" t="s">
        <v>153</v>
      </c>
      <c r="D213" s="121" t="s">
        <v>153</v>
      </c>
      <c r="E213" s="277">
        <f>SUBTOTAL(109,local331[Program
Costs])</f>
        <v>10075391</v>
      </c>
      <c r="F213" s="279">
        <f>SUBTOTAL(109,local331[Less: Net
Payments 
and Offsets])</f>
        <v>0</v>
      </c>
      <c r="G213" s="277">
        <f>SUBTOTAL(109,local331[Accounts Payable
Balance])</f>
        <v>10075391</v>
      </c>
      <c r="H213" s="279">
        <f>SUBTOTAL(109,local331[Established
Accounts Receivable])</f>
        <v>0</v>
      </c>
      <c r="I213" s="279">
        <f>SUBTOTAL(109,local331[Less:
 Recovered
Amount])</f>
        <v>0</v>
      </c>
      <c r="J213" s="279">
        <f>SUBTOTAL(109,local331[Accounts Receivable
Balance])</f>
        <v>0</v>
      </c>
      <c r="K213" s="277">
        <f>SUBTOTAL(109,local331[Net
Balance])</f>
        <v>10075391</v>
      </c>
    </row>
    <row r="214" spans="1:11" ht="15.75" x14ac:dyDescent="0.25">
      <c r="A214" s="319" t="s">
        <v>181</v>
      </c>
      <c r="B214" s="312"/>
      <c r="C214" s="312"/>
      <c r="D214" s="312"/>
    </row>
    <row r="215" spans="1:11" s="259" customFormat="1" ht="62.1" customHeight="1" x14ac:dyDescent="0.25">
      <c r="A215" s="28" t="s">
        <v>268</v>
      </c>
      <c r="B215" s="28" t="s">
        <v>2</v>
      </c>
      <c r="C215" s="28" t="s">
        <v>568</v>
      </c>
      <c r="D215" s="28" t="s">
        <v>221</v>
      </c>
      <c r="E215" s="196" t="s">
        <v>223</v>
      </c>
      <c r="F215" s="195" t="s">
        <v>569</v>
      </c>
      <c r="G215" s="196" t="s">
        <v>270</v>
      </c>
      <c r="H215" s="196" t="s">
        <v>271</v>
      </c>
      <c r="I215" s="196" t="s">
        <v>570</v>
      </c>
      <c r="J215" s="196" t="s">
        <v>272</v>
      </c>
      <c r="K215" s="196" t="s">
        <v>273</v>
      </c>
    </row>
    <row r="216" spans="1:11" ht="15.75" x14ac:dyDescent="0.25">
      <c r="A216" s="152" t="s">
        <v>536</v>
      </c>
      <c r="B216" s="125" t="s">
        <v>153</v>
      </c>
      <c r="C216" s="125" t="s">
        <v>153</v>
      </c>
      <c r="D216" s="125" t="s">
        <v>153</v>
      </c>
      <c r="E216" s="355">
        <f>local288[[#Totals],[Program
Costs]]</f>
        <v>216176</v>
      </c>
      <c r="F216" s="269">
        <f>local288[[#Totals],[Less: Net
Payments 
and Offsets]]</f>
        <v>0</v>
      </c>
      <c r="G216" s="355">
        <f>local288[[#Totals],[Accounts Payable
Balance]]</f>
        <v>216176</v>
      </c>
      <c r="H216" s="269">
        <f>local288[[#Totals],[Established
Accounts Receivable]]</f>
        <v>0</v>
      </c>
      <c r="I216" s="269">
        <f>local288[[#Totals],[Less:
 Recovered
Amount]]</f>
        <v>0</v>
      </c>
      <c r="J216" s="269">
        <f>local288[[#Totals],[Accounts Receivable
Balance]]</f>
        <v>0</v>
      </c>
      <c r="K216" s="355">
        <f>local288[[#Totals],[Net
Balance]]</f>
        <v>216176</v>
      </c>
    </row>
    <row r="217" spans="1:11" ht="15.75" x14ac:dyDescent="0.25">
      <c r="A217" s="152" t="s">
        <v>538</v>
      </c>
      <c r="B217" s="125" t="s">
        <v>153</v>
      </c>
      <c r="C217" s="125" t="s">
        <v>153</v>
      </c>
      <c r="D217" s="125" t="s">
        <v>153</v>
      </c>
      <c r="E217" s="355">
        <f>local310[[#Totals],[Program
Costs]]</f>
        <v>130535764</v>
      </c>
      <c r="F217" s="269">
        <f>local310[[#Totals],[Less: Net
Payments 
and Offsets]]</f>
        <v>0</v>
      </c>
      <c r="G217" s="355">
        <f>local310[[#Totals],[Accounts Payable
Balance]]</f>
        <v>130535764</v>
      </c>
      <c r="H217" s="269">
        <f>local310[[#Totals],[Established
Accounts Receivable]]</f>
        <v>0</v>
      </c>
      <c r="I217" s="269">
        <f>local310[[#Totals],[Less:
 Recovered
Amount]]</f>
        <v>0</v>
      </c>
      <c r="J217" s="269">
        <f>local310[[#Totals],[Accounts Receivable
Balance]]</f>
        <v>0</v>
      </c>
      <c r="K217" s="355">
        <f>local310[[#Totals],[Net
Balance]]</f>
        <v>130535764</v>
      </c>
    </row>
    <row r="218" spans="1:11" ht="15.75" x14ac:dyDescent="0.25">
      <c r="A218" s="152" t="s">
        <v>540</v>
      </c>
      <c r="B218" s="125" t="s">
        <v>153</v>
      </c>
      <c r="C218" s="125" t="s">
        <v>153</v>
      </c>
      <c r="D218" s="125" t="s">
        <v>153</v>
      </c>
      <c r="E218" s="355">
        <f>local306[[#Totals],[Program
Costs]]</f>
        <v>2009608</v>
      </c>
      <c r="F218" s="269">
        <f>local306[[#Totals],[Less: Net
Payments 
and Offsets]]</f>
        <v>0</v>
      </c>
      <c r="G218" s="355">
        <f>local306[[#Totals],[Accounts Payable
Balance]]</f>
        <v>2009608</v>
      </c>
      <c r="H218" s="269">
        <f>local306[[#Totals],[Established
Accounts Receivable]]</f>
        <v>0</v>
      </c>
      <c r="I218" s="269">
        <f>local306[[#Totals],[Less:
 Recovered
Amount]]</f>
        <v>0</v>
      </c>
      <c r="J218" s="269">
        <f>local306[[#Totals],[Accounts Receivable
Balance]]</f>
        <v>0</v>
      </c>
      <c r="K218" s="355">
        <f>local306[[#Totals],[Net
Balance]]</f>
        <v>2009608</v>
      </c>
    </row>
    <row r="219" spans="1:11" ht="15.75" x14ac:dyDescent="0.25">
      <c r="A219" s="152" t="s">
        <v>542</v>
      </c>
      <c r="B219" s="125" t="s">
        <v>153</v>
      </c>
      <c r="C219" s="125" t="s">
        <v>153</v>
      </c>
      <c r="D219" s="125" t="s">
        <v>153</v>
      </c>
      <c r="E219" s="355">
        <f>local322[[#Totals],[Program
Costs]]</f>
        <v>11927294</v>
      </c>
      <c r="F219" s="269">
        <f>local322[[#Totals],[Less: Net
Payments 
and Offsets]]</f>
        <v>0</v>
      </c>
      <c r="G219" s="355">
        <f>local322[[#Totals],[Accounts Payable
Balance]]</f>
        <v>11927294</v>
      </c>
      <c r="H219" s="269">
        <f>local322[[#Totals],[Established
Accounts Receivable]]</f>
        <v>0</v>
      </c>
      <c r="I219" s="269">
        <f>local322[[#Totals],[Less:
 Recovered
Amount]]</f>
        <v>0</v>
      </c>
      <c r="J219" s="269">
        <f>local322[[#Totals],[Accounts Receivable
Balance]]</f>
        <v>0</v>
      </c>
      <c r="K219" s="355">
        <f>local322[[#Totals],[Net
Balance]]</f>
        <v>11927294</v>
      </c>
    </row>
    <row r="220" spans="1:11" ht="15.75" x14ac:dyDescent="0.25">
      <c r="A220" s="152" t="s">
        <v>544</v>
      </c>
      <c r="B220" s="125" t="s">
        <v>153</v>
      </c>
      <c r="C220" s="125" t="s">
        <v>153</v>
      </c>
      <c r="D220" s="125" t="s">
        <v>153</v>
      </c>
      <c r="E220" s="355">
        <f>local293[[#Totals],[Program
Costs]]</f>
        <v>157256</v>
      </c>
      <c r="F220" s="269">
        <f>local293[[#Totals],[Less: Net
Payments 
and Offsets]]</f>
        <v>0</v>
      </c>
      <c r="G220" s="355">
        <f>local293[[#Totals],[Accounts Payable
Balance]]</f>
        <v>157256</v>
      </c>
      <c r="H220" s="269">
        <f>local293[[#Totals],[Established
Accounts Receivable]]</f>
        <v>0</v>
      </c>
      <c r="I220" s="269">
        <f>local293[[#Totals],[Less:
 Recovered
Amount]]</f>
        <v>0</v>
      </c>
      <c r="J220" s="269">
        <f>local293[[#Totals],[Accounts Receivable
Balance]]</f>
        <v>0</v>
      </c>
      <c r="K220" s="355">
        <f>local293[[#Totals],[Net
Balance]]</f>
        <v>157256</v>
      </c>
    </row>
    <row r="221" spans="1:11" ht="15.75" x14ac:dyDescent="0.25">
      <c r="A221" s="152" t="s">
        <v>546</v>
      </c>
      <c r="B221" s="125" t="s">
        <v>153</v>
      </c>
      <c r="C221" s="125" t="s">
        <v>153</v>
      </c>
      <c r="D221" s="125" t="s">
        <v>153</v>
      </c>
      <c r="E221" s="355">
        <f>local321[[#Totals],[Program
Costs]]</f>
        <v>85989291</v>
      </c>
      <c r="F221" s="269">
        <f>local321[[#Totals],[Less: Net
Payments 
and Offsets]]</f>
        <v>0</v>
      </c>
      <c r="G221" s="355">
        <f>local321[[#Totals],[Accounts Payable
Balance]]</f>
        <v>85989291</v>
      </c>
      <c r="H221" s="269">
        <f>local321[[#Totals],[Established
Accounts Receivable]]</f>
        <v>0</v>
      </c>
      <c r="I221" s="269">
        <f>local321[[#Totals],[Less:
 Recovered
Amount]]</f>
        <v>0</v>
      </c>
      <c r="J221" s="269">
        <f>local321[[#Totals],[Accounts Receivable
Balance]]</f>
        <v>0</v>
      </c>
      <c r="K221" s="355">
        <f>local321[[#Totals],[Net
Balance]]</f>
        <v>85989291</v>
      </c>
    </row>
    <row r="222" spans="1:11" ht="15.75" x14ac:dyDescent="0.25">
      <c r="A222" s="152" t="s">
        <v>548</v>
      </c>
      <c r="B222" s="125" t="s">
        <v>153</v>
      </c>
      <c r="C222" s="125" t="s">
        <v>153</v>
      </c>
      <c r="D222" s="125" t="s">
        <v>153</v>
      </c>
      <c r="E222" s="355">
        <f>local358[[#Totals],[Program
Costs]]</f>
        <v>66442238</v>
      </c>
      <c r="F222" s="269">
        <f>local358[[#Totals],[Less: Net
Payments 
and Offsets]]</f>
        <v>0</v>
      </c>
      <c r="G222" s="355">
        <f>local358[[#Totals],[Accounts Payable
Balance]]</f>
        <v>66442238</v>
      </c>
      <c r="H222" s="269">
        <f>local358[[#Totals],[Established
Accounts Receivable]]</f>
        <v>0</v>
      </c>
      <c r="I222" s="269">
        <f>local358[[#Totals],[Less:
 Recovered
Amount]]</f>
        <v>0</v>
      </c>
      <c r="J222" s="269">
        <f>local358[[#Totals],[Accounts Receivable
Balance]]</f>
        <v>0</v>
      </c>
      <c r="K222" s="355">
        <f>local358[[#Totals],[Net
Balance]]</f>
        <v>66442238</v>
      </c>
    </row>
    <row r="223" spans="1:11" ht="15.75" x14ac:dyDescent="0.25">
      <c r="A223" s="152" t="s">
        <v>550</v>
      </c>
      <c r="B223" s="125" t="s">
        <v>153</v>
      </c>
      <c r="C223" s="125" t="s">
        <v>153</v>
      </c>
      <c r="D223" s="125" t="s">
        <v>153</v>
      </c>
      <c r="E223" s="355">
        <f>local259[[#Totals],[Program
Costs]]</f>
        <v>5390</v>
      </c>
      <c r="F223" s="269">
        <f>local259[[#Totals],[Less: Net
Payments 
and Offsets]]</f>
        <v>0</v>
      </c>
      <c r="G223" s="355">
        <f>local259[[#Totals],[Accounts Payable
Balance]]</f>
        <v>5390</v>
      </c>
      <c r="H223" s="269">
        <f>local259[[#Totals],[Established
Accounts Receivable]]</f>
        <v>0</v>
      </c>
      <c r="I223" s="269">
        <f>local259[[#Totals],[Less:
 Recovered
Amount]]</f>
        <v>0</v>
      </c>
      <c r="J223" s="269">
        <f>local259[[#Totals],[Accounts Receivable
Balance]]</f>
        <v>0</v>
      </c>
      <c r="K223" s="355">
        <f>local259[[#Totals],[Net
Balance]]</f>
        <v>5390</v>
      </c>
    </row>
    <row r="224" spans="1:11" ht="15.75" x14ac:dyDescent="0.25">
      <c r="A224" s="152" t="s">
        <v>552</v>
      </c>
      <c r="B224" s="125" t="s">
        <v>153</v>
      </c>
      <c r="C224" s="125" t="s">
        <v>153</v>
      </c>
      <c r="D224" s="125" t="s">
        <v>153</v>
      </c>
      <c r="E224" s="355">
        <f>local298[[#Totals],[Program
Costs]]</f>
        <v>22659385</v>
      </c>
      <c r="F224" s="269">
        <f>local298[[#Totals],[Less: Net
Payments 
and Offsets]]</f>
        <v>0</v>
      </c>
      <c r="G224" s="355">
        <f>local298[[#Totals],[Accounts Payable
Balance]]</f>
        <v>22659385</v>
      </c>
      <c r="H224" s="269">
        <f>local298[[#Totals],[Established
Accounts Receivable]]</f>
        <v>0</v>
      </c>
      <c r="I224" s="269">
        <f>local298[[#Totals],[Less:
 Recovered
Amount]]</f>
        <v>0</v>
      </c>
      <c r="J224" s="269">
        <f>local298[[#Totals],[Accounts Receivable
Balance]]</f>
        <v>0</v>
      </c>
      <c r="K224" s="355">
        <f>local298[[#Totals],[Net
Balance]]</f>
        <v>22659385</v>
      </c>
    </row>
    <row r="225" spans="1:11" ht="15.75" x14ac:dyDescent="0.25">
      <c r="A225" s="152" t="s">
        <v>554</v>
      </c>
      <c r="B225" s="125" t="s">
        <v>153</v>
      </c>
      <c r="C225" s="125" t="s">
        <v>153</v>
      </c>
      <c r="D225" s="125" t="s">
        <v>153</v>
      </c>
      <c r="E225" s="355">
        <f>local281[[#Totals],[Program
Costs]]</f>
        <v>4909840</v>
      </c>
      <c r="F225" s="269">
        <f>local281[[#Totals],[Less: Net
Payments 
and Offsets]]</f>
        <v>0</v>
      </c>
      <c r="G225" s="355">
        <f>local281[[#Totals],[Accounts Payable
Balance]]</f>
        <v>4909840</v>
      </c>
      <c r="H225" s="269">
        <f>local281[[#Totals],[Established
Accounts Receivable]]</f>
        <v>0</v>
      </c>
      <c r="I225" s="269">
        <f>local281[[#Totals],[Less:
 Recovered
Amount]]</f>
        <v>0</v>
      </c>
      <c r="J225" s="269">
        <f>local281[[#Totals],[Accounts Receivable
Balance]]</f>
        <v>0</v>
      </c>
      <c r="K225" s="355">
        <f>local281[[#Totals],[Net
Balance]]</f>
        <v>4909840</v>
      </c>
    </row>
    <row r="226" spans="1:11" ht="15.75" x14ac:dyDescent="0.25">
      <c r="A226" s="152" t="s">
        <v>556</v>
      </c>
      <c r="B226" s="125" t="s">
        <v>153</v>
      </c>
      <c r="C226" s="125" t="s">
        <v>153</v>
      </c>
      <c r="D226" s="125" t="s">
        <v>153</v>
      </c>
      <c r="E226" s="355">
        <f>local323[[#Totals],[Program
Costs]]</f>
        <v>1816619</v>
      </c>
      <c r="F226" s="269">
        <f>local323[[#Totals],[Less: Net
Payments 
and Offsets]]</f>
        <v>0</v>
      </c>
      <c r="G226" s="355">
        <f>local323[[#Totals],[Accounts Payable
Balance]]</f>
        <v>1816619</v>
      </c>
      <c r="H226" s="269">
        <f>local323[[#Totals],[Established
Accounts Receivable]]</f>
        <v>0</v>
      </c>
      <c r="I226" s="269">
        <f>local323[[#Totals],[Less:
 Recovered
Amount]]</f>
        <v>0</v>
      </c>
      <c r="J226" s="269">
        <f>local323[[#Totals],[Accounts Receivable
Balance]]</f>
        <v>0</v>
      </c>
      <c r="K226" s="355">
        <f>local323[[#Totals],[Net
Balance]]</f>
        <v>1816619</v>
      </c>
    </row>
    <row r="227" spans="1:11" ht="15.75" x14ac:dyDescent="0.25">
      <c r="A227" s="152" t="s">
        <v>558</v>
      </c>
      <c r="B227" s="125" t="s">
        <v>153</v>
      </c>
      <c r="C227" s="125" t="s">
        <v>153</v>
      </c>
      <c r="D227" s="125" t="s">
        <v>153</v>
      </c>
      <c r="E227" s="355">
        <f>local314[[#Totals],[Program
Costs]]</f>
        <v>7054651</v>
      </c>
      <c r="F227" s="269">
        <f>local314[[#Totals],[Less: Net
Payments 
and Offsets]]</f>
        <v>0</v>
      </c>
      <c r="G227" s="355">
        <f>local314[[#Totals],[Accounts Payable
Balance]]</f>
        <v>7054651</v>
      </c>
      <c r="H227" s="269">
        <f>local314[[#Totals],[Established
Accounts Receivable]]</f>
        <v>0</v>
      </c>
      <c r="I227" s="269">
        <f>local314[[#Totals],[Less:
 Recovered
Amount]]</f>
        <v>0</v>
      </c>
      <c r="J227" s="269">
        <f>local314[[#Totals],[Accounts Receivable
Balance]]</f>
        <v>0</v>
      </c>
      <c r="K227" s="355">
        <f>local314[[#Totals],[Net
Balance]]</f>
        <v>7054651</v>
      </c>
    </row>
    <row r="228" spans="1:11" ht="15.75" x14ac:dyDescent="0.25">
      <c r="A228" s="152" t="s">
        <v>560</v>
      </c>
      <c r="B228" s="125" t="s">
        <v>153</v>
      </c>
      <c r="C228" s="125" t="s">
        <v>153</v>
      </c>
      <c r="D228" s="125" t="s">
        <v>153</v>
      </c>
      <c r="E228" s="355">
        <f>local373[[#Totals],[Program
Costs]]</f>
        <v>3200770</v>
      </c>
      <c r="F228" s="269">
        <f>local373[[#Totals],[Less: Net
Payments 
and Offsets]]</f>
        <v>0</v>
      </c>
      <c r="G228" s="355">
        <f>local373[[#Totals],[Accounts Payable
Balance]]</f>
        <v>3200770</v>
      </c>
      <c r="H228" s="269">
        <f>local373[[#Totals],[Established
Accounts Receivable]]</f>
        <v>0</v>
      </c>
      <c r="I228" s="269">
        <f>local373[[#Totals],[Less:
 Recovered
Amount]]</f>
        <v>0</v>
      </c>
      <c r="J228" s="269">
        <f>local373[[#Totals],[Accounts Receivable
Balance]]</f>
        <v>0</v>
      </c>
      <c r="K228" s="355">
        <f>local373[[#Totals],[Net
Balance]]</f>
        <v>3200770</v>
      </c>
    </row>
    <row r="229" spans="1:11" ht="15.75" x14ac:dyDescent="0.25">
      <c r="A229" s="152" t="s">
        <v>562</v>
      </c>
      <c r="B229" s="125" t="s">
        <v>153</v>
      </c>
      <c r="C229" s="125" t="s">
        <v>153</v>
      </c>
      <c r="D229" s="125" t="s">
        <v>153</v>
      </c>
      <c r="E229" s="355">
        <f>local356[[#Totals],[Program
Costs]]</f>
        <v>7709198</v>
      </c>
      <c r="F229" s="269">
        <f>local356[[#Totals],[Less: Net
Payments 
and Offsets]]</f>
        <v>0</v>
      </c>
      <c r="G229" s="355">
        <f>local356[[#Totals],[Accounts Payable
Balance]]</f>
        <v>7709198</v>
      </c>
      <c r="H229" s="269">
        <f>local356[[#Totals],[Established
Accounts Receivable]]</f>
        <v>0</v>
      </c>
      <c r="I229" s="269">
        <f>local356[[#Totals],[Less:
 Recovered
Amount]]</f>
        <v>0</v>
      </c>
      <c r="J229" s="269">
        <f>local356[[#Totals],[Accounts Receivable
Balance]]</f>
        <v>0</v>
      </c>
      <c r="K229" s="355">
        <f>local356[[#Totals],[Net
Balance]]</f>
        <v>7709198</v>
      </c>
    </row>
    <row r="230" spans="1:11" ht="15.75" x14ac:dyDescent="0.25">
      <c r="A230" s="152" t="s">
        <v>563</v>
      </c>
      <c r="B230" s="125" t="s">
        <v>153</v>
      </c>
      <c r="C230" s="125" t="s">
        <v>153</v>
      </c>
      <c r="D230" s="125" t="s">
        <v>153</v>
      </c>
      <c r="E230" s="355">
        <f>local324[[#Totals],[Program
Costs]]</f>
        <v>11906707</v>
      </c>
      <c r="F230" s="269">
        <f>local324[[#Totals],[Less: Net
Payments 
and Offsets]]</f>
        <v>0</v>
      </c>
      <c r="G230" s="355">
        <f>local324[[#Totals],[Accounts Payable
Balance]]</f>
        <v>11906707</v>
      </c>
      <c r="H230" s="269">
        <f>local324[[#Totals],[Established
Accounts Receivable]]</f>
        <v>0</v>
      </c>
      <c r="I230" s="269">
        <f>local324[[#Totals],[Less:
 Recovered
Amount]]</f>
        <v>0</v>
      </c>
      <c r="J230" s="269">
        <f>local324[[#Totals],[Accounts Receivable
Balance]]</f>
        <v>0</v>
      </c>
      <c r="K230" s="355">
        <f>local324[[#Totals],[Net
Balance]]</f>
        <v>11906707</v>
      </c>
    </row>
    <row r="231" spans="1:11" ht="15.75" x14ac:dyDescent="0.25">
      <c r="A231" s="152" t="s">
        <v>565</v>
      </c>
      <c r="B231" s="125" t="s">
        <v>153</v>
      </c>
      <c r="C231" s="125" t="s">
        <v>153</v>
      </c>
      <c r="D231" s="125" t="s">
        <v>153</v>
      </c>
      <c r="E231" s="355">
        <f>local331[[#Totals],[Program
Costs]]</f>
        <v>10075391</v>
      </c>
      <c r="F231" s="269">
        <f>local331[[#Totals],[Less: Net
Payments 
and Offsets]]</f>
        <v>0</v>
      </c>
      <c r="G231" s="355">
        <f>local331[[#Totals],[Accounts Payable
Balance]]</f>
        <v>10075391</v>
      </c>
      <c r="H231" s="269">
        <f>local331[[#Totals],[Established
Accounts Receivable]]</f>
        <v>0</v>
      </c>
      <c r="I231" s="269">
        <f>local331[[#Totals],[Less:
 Recovered
Amount]]</f>
        <v>0</v>
      </c>
      <c r="J231" s="269">
        <f>local331[[#Totals],[Accounts Receivable
Balance]]</f>
        <v>0</v>
      </c>
      <c r="K231" s="355">
        <f>local331[[#Totals],[Net
Balance]]</f>
        <v>10075391</v>
      </c>
    </row>
    <row r="232" spans="1:11" ht="15.75" x14ac:dyDescent="0.25">
      <c r="A232" s="320" t="s">
        <v>236</v>
      </c>
      <c r="B232" s="121" t="s">
        <v>153</v>
      </c>
      <c r="C232" s="121" t="s">
        <v>153</v>
      </c>
      <c r="D232" s="121" t="s">
        <v>153</v>
      </c>
      <c r="E232" s="356">
        <f>SUBTOTAL(109,localunfundedgrandtotal[Program
Costs])</f>
        <v>366615578</v>
      </c>
      <c r="F232" s="279">
        <f>SUBTOTAL(109,localunfundedgrandtotal[Less: Net
Payments 
and Offsets])</f>
        <v>0</v>
      </c>
      <c r="G232" s="356">
        <f>SUBTOTAL(109,localunfundedgrandtotal[Accounts Payable
Balance])</f>
        <v>366615578</v>
      </c>
      <c r="H232" s="279">
        <f>SUBTOTAL(109,localunfundedgrandtotal[Established
Accounts Receivable])</f>
        <v>0</v>
      </c>
      <c r="I232" s="279">
        <f>SUBTOTAL(109,localunfundedgrandtotal[Less:
 Recovered
Amount])</f>
        <v>0</v>
      </c>
      <c r="J232" s="279">
        <f>SUBTOTAL(109,localunfundedgrandtotal[Accounts Receivable
Balance])</f>
        <v>0</v>
      </c>
      <c r="K232" s="356">
        <f>SUBTOTAL(109,localunfundedgrandtotal[Net
Balance])</f>
        <v>366615578</v>
      </c>
    </row>
    <row r="233" spans="1:11" ht="15.75" x14ac:dyDescent="0.25">
      <c r="A233" s="321"/>
      <c r="B233" s="263"/>
      <c r="C233" s="287"/>
      <c r="D233" s="263"/>
      <c r="E233" s="325"/>
      <c r="F233" s="325"/>
      <c r="G233" s="325"/>
      <c r="H233" s="325"/>
      <c r="I233" s="325"/>
      <c r="J233" s="325"/>
      <c r="K233" s="325"/>
    </row>
    <row r="234" spans="1:11" ht="15.75" x14ac:dyDescent="0.25">
      <c r="A234" s="321"/>
      <c r="B234" s="263"/>
      <c r="C234" s="287"/>
      <c r="D234" s="263"/>
      <c r="E234" s="325"/>
      <c r="F234" s="325"/>
      <c r="G234" s="325"/>
      <c r="H234" s="325"/>
      <c r="I234" s="325"/>
      <c r="J234" s="325"/>
      <c r="K234" s="325"/>
    </row>
  </sheetData>
  <printOptions horizontalCentered="1" gridLines="1"/>
  <pageMargins left="0.3" right="0.3" top="1.1000000000000001" bottom="0.75" header="0.3" footer="0.1"/>
  <pageSetup scale="58" fitToHeight="0" orientation="landscape" r:id="rId1"/>
  <headerFooter>
    <oddHeader>&amp;C&amp;"Arial,Bold"&amp;12State Controller's Office
Schedule B2: Detail of Unfunded State-Mandated Programs
As of April 1, 2021</oddHeader>
    <oddFooter>&amp;L&amp;"Arial,Regular"&amp;12Schedule B2: Detail of Unfunded State-Mandated Programs 
Local Agencies&amp;R&amp;"Arial,Regular"&amp;12Page &amp;P of &amp;N</oddFooter>
  </headerFooter>
  <rowBreaks count="5" manualBreakCount="5">
    <brk id="43" max="10" man="1"/>
    <brk id="88" max="10" man="1"/>
    <brk id="133" max="10" man="1"/>
    <brk id="175" max="10" man="1"/>
    <brk id="214" max="10" man="1"/>
  </rowBreaks>
  <tableParts count="17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5"/>
  <sheetViews>
    <sheetView zoomScale="80" zoomScaleNormal="80" zoomScalePageLayoutView="80" workbookViewId="0">
      <selection activeCell="A15" sqref="A15"/>
    </sheetView>
  </sheetViews>
  <sheetFormatPr defaultColWidth="9.140625" defaultRowHeight="15.75" x14ac:dyDescent="0.25"/>
  <cols>
    <col min="1" max="1" width="73.140625" style="321" customWidth="1"/>
    <col min="2" max="2" width="13.5703125" style="273" customWidth="1"/>
    <col min="3" max="3" width="21.85546875" style="263" customWidth="1"/>
    <col min="4" max="4" width="12.5703125" style="263" customWidth="1"/>
    <col min="5" max="5" width="16.5703125" style="360" customWidth="1"/>
    <col min="6" max="6" width="14.5703125" style="360" customWidth="1"/>
    <col min="7" max="7" width="16.5703125" style="360" customWidth="1"/>
    <col min="8" max="10" width="14.5703125" style="360" customWidth="1"/>
    <col min="11" max="11" width="16.5703125" style="360" customWidth="1"/>
    <col min="12" max="16384" width="9.140625" style="106"/>
  </cols>
  <sheetData>
    <row r="1" spans="1:11" ht="54" x14ac:dyDescent="0.25">
      <c r="A1" s="20" t="s">
        <v>567</v>
      </c>
      <c r="B1" s="357"/>
      <c r="C1" s="357"/>
      <c r="D1" s="357"/>
      <c r="E1" s="358"/>
      <c r="F1" s="358"/>
      <c r="G1" s="358"/>
      <c r="H1" s="358"/>
      <c r="I1" s="358"/>
      <c r="J1" s="358"/>
      <c r="K1" s="358"/>
    </row>
    <row r="2" spans="1:11" s="359" customFormat="1" ht="50.1" customHeight="1" x14ac:dyDescent="0.25">
      <c r="A2" s="28" t="s">
        <v>268</v>
      </c>
      <c r="B2" s="28" t="s">
        <v>2</v>
      </c>
      <c r="C2" s="28" t="s">
        <v>568</v>
      </c>
      <c r="D2" s="28" t="s">
        <v>221</v>
      </c>
      <c r="E2" s="196" t="s">
        <v>223</v>
      </c>
      <c r="F2" s="195" t="s">
        <v>569</v>
      </c>
      <c r="G2" s="196" t="s">
        <v>270</v>
      </c>
      <c r="H2" s="196" t="s">
        <v>271</v>
      </c>
      <c r="I2" s="196" t="s">
        <v>570</v>
      </c>
      <c r="J2" s="196" t="s">
        <v>272</v>
      </c>
      <c r="K2" s="196" t="s">
        <v>273</v>
      </c>
    </row>
    <row r="3" spans="1:11" ht="15" customHeight="1" x14ac:dyDescent="0.25">
      <c r="A3" s="152" t="s">
        <v>587</v>
      </c>
      <c r="B3" s="280" t="s">
        <v>588</v>
      </c>
      <c r="C3" s="24">
        <v>374</v>
      </c>
      <c r="D3" s="24" t="s">
        <v>274</v>
      </c>
      <c r="E3" s="268">
        <v>252694</v>
      </c>
      <c r="F3" s="269">
        <v>0</v>
      </c>
      <c r="G3" s="268">
        <v>252694</v>
      </c>
      <c r="H3" s="269">
        <v>0</v>
      </c>
      <c r="I3" s="269">
        <v>0</v>
      </c>
      <c r="J3" s="269">
        <v>0</v>
      </c>
      <c r="K3" s="268">
        <v>252694</v>
      </c>
    </row>
    <row r="4" spans="1:11" ht="15" customHeight="1" x14ac:dyDescent="0.25">
      <c r="A4" s="152" t="s">
        <v>587</v>
      </c>
      <c r="B4" s="115" t="s">
        <v>588</v>
      </c>
      <c r="C4" s="24">
        <v>374</v>
      </c>
      <c r="D4" s="24" t="s">
        <v>43</v>
      </c>
      <c r="E4" s="268">
        <v>623071</v>
      </c>
      <c r="F4" s="269">
        <v>0</v>
      </c>
      <c r="G4" s="268">
        <v>623071</v>
      </c>
      <c r="H4" s="269">
        <v>0</v>
      </c>
      <c r="I4" s="269">
        <v>0</v>
      </c>
      <c r="J4" s="269">
        <v>0</v>
      </c>
      <c r="K4" s="268">
        <v>623071</v>
      </c>
    </row>
    <row r="5" spans="1:11" ht="15" customHeight="1" x14ac:dyDescent="0.25">
      <c r="A5" s="152" t="s">
        <v>587</v>
      </c>
      <c r="B5" s="115" t="s">
        <v>588</v>
      </c>
      <c r="C5" s="24">
        <v>374</v>
      </c>
      <c r="D5" s="24" t="s">
        <v>44</v>
      </c>
      <c r="E5" s="268">
        <v>927753</v>
      </c>
      <c r="F5" s="269">
        <v>0</v>
      </c>
      <c r="G5" s="268">
        <v>927753</v>
      </c>
      <c r="H5" s="269">
        <v>0</v>
      </c>
      <c r="I5" s="269">
        <v>0</v>
      </c>
      <c r="J5" s="269">
        <v>0</v>
      </c>
      <c r="K5" s="268">
        <v>927753</v>
      </c>
    </row>
    <row r="6" spans="1:11" x14ac:dyDescent="0.25">
      <c r="A6" s="320" t="s">
        <v>589</v>
      </c>
      <c r="B6" s="361" t="s">
        <v>153</v>
      </c>
      <c r="C6" s="361" t="s">
        <v>153</v>
      </c>
      <c r="D6" s="361" t="s">
        <v>153</v>
      </c>
      <c r="E6" s="277">
        <f>SUBTOTAL(109,school374[Program
Costs])</f>
        <v>1803518</v>
      </c>
      <c r="F6" s="279">
        <f>SUBTOTAL(109,school374[Less: Net
Payments 
and Offsets])</f>
        <v>0</v>
      </c>
      <c r="G6" s="277">
        <f>SUBTOTAL(109,school374[Accounts Payable
Balance])</f>
        <v>1803518</v>
      </c>
      <c r="H6" s="279">
        <f>SUBTOTAL(109,school374[Established
Accounts Receivable])</f>
        <v>0</v>
      </c>
      <c r="I6" s="279">
        <f>SUBTOTAL(109,school374[Less:
 Recovered
Amount])</f>
        <v>0</v>
      </c>
      <c r="J6" s="279">
        <f>SUBTOTAL(109,school374[Accounts Receivable
Balance])</f>
        <v>0</v>
      </c>
      <c r="K6" s="277">
        <f>SUBTOTAL(109,school374[Net
Balance])</f>
        <v>1803518</v>
      </c>
    </row>
    <row r="7" spans="1:11" x14ac:dyDescent="0.25">
      <c r="A7" s="319" t="s">
        <v>181</v>
      </c>
    </row>
    <row r="8" spans="1:11" s="359" customFormat="1" ht="50.1" customHeight="1" x14ac:dyDescent="0.25">
      <c r="A8" s="28" t="s">
        <v>268</v>
      </c>
      <c r="B8" s="28" t="s">
        <v>2</v>
      </c>
      <c r="C8" s="28" t="s">
        <v>568</v>
      </c>
      <c r="D8" s="28" t="s">
        <v>221</v>
      </c>
      <c r="E8" s="196" t="s">
        <v>223</v>
      </c>
      <c r="F8" s="195" t="s">
        <v>569</v>
      </c>
      <c r="G8" s="196" t="s">
        <v>270</v>
      </c>
      <c r="H8" s="196" t="s">
        <v>271</v>
      </c>
      <c r="I8" s="196" t="s">
        <v>570</v>
      </c>
      <c r="J8" s="196" t="s">
        <v>272</v>
      </c>
      <c r="K8" s="196" t="s">
        <v>273</v>
      </c>
    </row>
    <row r="9" spans="1:11" x14ac:dyDescent="0.25">
      <c r="A9" s="152" t="s">
        <v>587</v>
      </c>
      <c r="B9" s="364" t="s">
        <v>153</v>
      </c>
      <c r="C9" s="364" t="s">
        <v>153</v>
      </c>
      <c r="D9" s="364" t="s">
        <v>153</v>
      </c>
      <c r="E9" s="362">
        <f>school374[[#Totals],[Program
Costs]]</f>
        <v>1803518</v>
      </c>
      <c r="F9" s="269">
        <f>school374[[#Totals],[Less: Net
Payments 
and Offsets]]</f>
        <v>0</v>
      </c>
      <c r="G9" s="362">
        <f>school374[[#Totals],[Accounts Payable
Balance]]</f>
        <v>1803518</v>
      </c>
      <c r="H9" s="269">
        <f>school374[[#Totals],[Established
Accounts Receivable]]</f>
        <v>0</v>
      </c>
      <c r="I9" s="269">
        <f>school374[[#Totals],[Less:
 Recovered
Amount]]</f>
        <v>0</v>
      </c>
      <c r="J9" s="269">
        <f>school374[[#Totals],[Accounts Receivable
Balance]]</f>
        <v>0</v>
      </c>
      <c r="K9" s="362">
        <f>school374[[#Totals],[Net
Balance]]</f>
        <v>1803518</v>
      </c>
    </row>
    <row r="10" spans="1:11" x14ac:dyDescent="0.25">
      <c r="A10" s="320" t="s">
        <v>109</v>
      </c>
      <c r="B10" s="361" t="s">
        <v>153</v>
      </c>
      <c r="C10" s="361" t="s">
        <v>153</v>
      </c>
      <c r="D10" s="361" t="s">
        <v>153</v>
      </c>
      <c r="E10" s="363">
        <f>SUBTOTAL(109,schoolunfundedgrandtotal[Program
Costs])</f>
        <v>1803518</v>
      </c>
      <c r="F10" s="279">
        <f>SUBTOTAL(109,schoolunfundedgrandtotal[Less: Net
Payments 
and Offsets])</f>
        <v>0</v>
      </c>
      <c r="G10" s="363">
        <f>SUBTOTAL(109,schoolunfundedgrandtotal[Accounts Payable
Balance])</f>
        <v>1803518</v>
      </c>
      <c r="H10" s="279">
        <f>SUBTOTAL(109,schoolunfundedgrandtotal[Established
Accounts Receivable])</f>
        <v>0</v>
      </c>
      <c r="I10" s="279">
        <f>SUBTOTAL(109,schoolunfundedgrandtotal[Less:
 Recovered
Amount])</f>
        <v>0</v>
      </c>
      <c r="J10" s="279">
        <f>SUBTOTAL(109,schoolunfundedgrandtotal[Accounts Receivable
Balance])</f>
        <v>0</v>
      </c>
      <c r="K10" s="363">
        <f>SUBTOTAL(109,schoolunfundedgrandtotal[Net
Balance])</f>
        <v>1803518</v>
      </c>
    </row>
    <row r="11" spans="1:11" x14ac:dyDescent="0.25">
      <c r="A11" s="319" t="s">
        <v>181</v>
      </c>
    </row>
    <row r="12" spans="1:11" s="359" customFormat="1" ht="50.1" customHeight="1" x14ac:dyDescent="0.25">
      <c r="A12" s="28" t="s">
        <v>268</v>
      </c>
      <c r="B12" s="28" t="s">
        <v>2</v>
      </c>
      <c r="C12" s="28" t="s">
        <v>568</v>
      </c>
      <c r="D12" s="28" t="s">
        <v>221</v>
      </c>
      <c r="E12" s="196" t="s">
        <v>223</v>
      </c>
      <c r="F12" s="195" t="s">
        <v>569</v>
      </c>
      <c r="G12" s="196" t="s">
        <v>270</v>
      </c>
      <c r="H12" s="196" t="s">
        <v>271</v>
      </c>
      <c r="I12" s="196" t="s">
        <v>570</v>
      </c>
      <c r="J12" s="196" t="s">
        <v>272</v>
      </c>
      <c r="K12" s="196" t="s">
        <v>273</v>
      </c>
    </row>
    <row r="13" spans="1:11" x14ac:dyDescent="0.25">
      <c r="A13" s="152" t="s">
        <v>0</v>
      </c>
      <c r="B13" s="364" t="s">
        <v>153</v>
      </c>
      <c r="C13" s="364" t="s">
        <v>153</v>
      </c>
      <c r="D13" s="364" t="s">
        <v>153</v>
      </c>
      <c r="E13" s="355">
        <f>localunfundedgrandtotal[[#Totals],[Program
Costs]]</f>
        <v>366615578</v>
      </c>
      <c r="F13" s="269">
        <f>localunfundedgrandtotal[[#Totals],[Less: Net
Payments 
and Offsets]]</f>
        <v>0</v>
      </c>
      <c r="G13" s="355">
        <f>localunfundedgrandtotal[[#Totals],[Accounts Payable
Balance]]</f>
        <v>366615578</v>
      </c>
      <c r="H13" s="269">
        <f>localunfundedgrandtotal[[#Totals],[Established
Accounts Receivable]]</f>
        <v>0</v>
      </c>
      <c r="I13" s="269">
        <f>localunfundedgrandtotal[[#Totals],[Less:
 Recovered
Amount]]</f>
        <v>0</v>
      </c>
      <c r="J13" s="269">
        <f>localunfundedgrandtotal[[#Totals],[Accounts Receivable
Balance]]</f>
        <v>0</v>
      </c>
      <c r="K13" s="268">
        <f>localunfundedgrandtotal[[#Totals],[Net
Balance]]</f>
        <v>366615578</v>
      </c>
    </row>
    <row r="14" spans="1:11" x14ac:dyDescent="0.25">
      <c r="A14" s="152" t="s">
        <v>241</v>
      </c>
      <c r="B14" s="364" t="s">
        <v>153</v>
      </c>
      <c r="C14" s="364" t="s">
        <v>153</v>
      </c>
      <c r="D14" s="364" t="s">
        <v>153</v>
      </c>
      <c r="E14" s="355">
        <f>schoolunfundedgrandtotal[[#Totals],[Program
Costs]]</f>
        <v>1803518</v>
      </c>
      <c r="F14" s="269">
        <f>schoolunfundedgrandtotal[[#Totals],[Less: Net
Payments 
and Offsets]]</f>
        <v>0</v>
      </c>
      <c r="G14" s="355">
        <f>schoolunfundedgrandtotal[[#Totals],[Accounts Payable
Balance]]</f>
        <v>1803518</v>
      </c>
      <c r="H14" s="269">
        <f>schoolunfundedgrandtotal[[#Totals],[Established
Accounts Receivable]]</f>
        <v>0</v>
      </c>
      <c r="I14" s="269">
        <f>schoolunfundedgrandtotal[[#Totals],[Less:
 Recovered
Amount]]</f>
        <v>0</v>
      </c>
      <c r="J14" s="269">
        <f>schoolunfundedgrandtotal[[#Totals],[Accounts Receivable
Balance]]</f>
        <v>0</v>
      </c>
      <c r="K14" s="268">
        <f>schoolunfundedgrandtotal[[#Totals],[Net
Balance]]</f>
        <v>1803518</v>
      </c>
    </row>
    <row r="15" spans="1:11" x14ac:dyDescent="0.25">
      <c r="A15" s="320" t="s">
        <v>594</v>
      </c>
      <c r="B15" s="123" t="s">
        <v>153</v>
      </c>
      <c r="C15" s="121" t="s">
        <v>153</v>
      </c>
      <c r="D15" s="121" t="s">
        <v>153</v>
      </c>
      <c r="E15" s="356">
        <f>SUBTOTAL(109,totalunfunded[Program
Costs])</f>
        <v>368419096</v>
      </c>
      <c r="F15" s="279">
        <f>SUBTOTAL(109,totalunfunded[Less: Net
Payments 
and Offsets])</f>
        <v>0</v>
      </c>
      <c r="G15" s="356">
        <f>SUBTOTAL(109,totalunfunded[Accounts Payable
Balance])</f>
        <v>368419096</v>
      </c>
      <c r="H15" s="279">
        <f>SUBTOTAL(109,totalunfunded[Established
Accounts Receivable])</f>
        <v>0</v>
      </c>
      <c r="I15" s="279">
        <f>SUBTOTAL(109,totalunfunded[Less:
 Recovered
Amount])</f>
        <v>0</v>
      </c>
      <c r="J15" s="279">
        <f>SUBTOTAL(109,totalunfunded[Accounts Receivable
Balance])</f>
        <v>0</v>
      </c>
      <c r="K15" s="277">
        <f>SUBTOTAL(109,totalunfunded[Net
Balance])</f>
        <v>368419096</v>
      </c>
    </row>
  </sheetData>
  <printOptions horizontalCentered="1" gridLines="1"/>
  <pageMargins left="0.3" right="0.3" top="1.1000000000000001" bottom="0.75" header="0.3" footer="0.1"/>
  <pageSetup scale="57" fitToHeight="0" orientation="landscape" r:id="rId1"/>
  <headerFooter>
    <oddHeader>&amp;C&amp;"Arial,Bold"&amp;12State Controller's Office
Schedule B2: Detail of Unfunded State-Mandated Programs
As of April 1, 2021</oddHeader>
    <oddFooter>&amp;L&amp;"Arial,Regular"&amp;12Schedule B2: Detail of Unfunded State-Mandated Programs 
School Districts&amp;R&amp;"Arial,Regular"&amp;12Page &amp;P of &amp;N</oddFooter>
  </headerFooter>
  <tableParts count="3">
    <tablePart r:id="rId2"/>
    <tablePart r:id="rId3"/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1"/>
  <sheetViews>
    <sheetView topLeftCell="A4" workbookViewId="0">
      <selection activeCell="B18" sqref="B18"/>
    </sheetView>
  </sheetViews>
  <sheetFormatPr defaultRowHeight="15" x14ac:dyDescent="0.25"/>
  <cols>
    <col min="1" max="1" width="20" bestFit="1" customWidth="1"/>
    <col min="2" max="2" width="117.42578125" bestFit="1" customWidth="1"/>
    <col min="3" max="3" width="10.5703125" bestFit="1" customWidth="1"/>
  </cols>
  <sheetData>
    <row r="1" spans="1:3" ht="20.25" x14ac:dyDescent="0.25">
      <c r="A1" s="9" t="s">
        <v>157</v>
      </c>
      <c r="B1" s="10"/>
      <c r="C1" s="10"/>
    </row>
    <row r="2" spans="1:3" ht="20.25" x14ac:dyDescent="0.25">
      <c r="A2" s="9" t="s">
        <v>158</v>
      </c>
      <c r="B2" s="10"/>
      <c r="C2" s="10"/>
    </row>
    <row r="3" spans="1:3" ht="20.25" x14ac:dyDescent="0.25">
      <c r="A3" s="9" t="s">
        <v>159</v>
      </c>
      <c r="B3" s="10"/>
      <c r="C3" s="10"/>
    </row>
    <row r="4" spans="1:3" ht="18" x14ac:dyDescent="0.25">
      <c r="A4" s="11" t="s">
        <v>171</v>
      </c>
      <c r="B4" s="10"/>
      <c r="C4" s="10"/>
    </row>
    <row r="5" spans="1:3" ht="18" x14ac:dyDescent="0.25">
      <c r="A5" s="12" t="s">
        <v>172</v>
      </c>
      <c r="B5" s="10"/>
      <c r="C5" s="10"/>
    </row>
    <row r="6" spans="1:3" ht="18" x14ac:dyDescent="0.25">
      <c r="A6" s="13" t="s">
        <v>160</v>
      </c>
      <c r="B6" s="14" t="s">
        <v>161</v>
      </c>
      <c r="C6" s="367" t="s">
        <v>162</v>
      </c>
    </row>
    <row r="7" spans="1:3" ht="18" x14ac:dyDescent="0.25">
      <c r="A7" s="13" t="s">
        <v>163</v>
      </c>
      <c r="B7" s="14" t="s">
        <v>164</v>
      </c>
      <c r="C7" s="367" t="s">
        <v>593</v>
      </c>
    </row>
    <row r="8" spans="1:3" ht="18" x14ac:dyDescent="0.25">
      <c r="A8" s="12" t="s">
        <v>173</v>
      </c>
      <c r="B8" s="10"/>
      <c r="C8" s="368"/>
    </row>
    <row r="9" spans="1:3" ht="18" x14ac:dyDescent="0.25">
      <c r="A9" s="13" t="s">
        <v>165</v>
      </c>
      <c r="B9" s="14" t="s">
        <v>166</v>
      </c>
      <c r="C9" s="367" t="s">
        <v>590</v>
      </c>
    </row>
    <row r="10" spans="1:3" ht="18" x14ac:dyDescent="0.25">
      <c r="A10" s="13" t="s">
        <v>167</v>
      </c>
      <c r="B10" s="14" t="s">
        <v>168</v>
      </c>
      <c r="C10" s="367" t="s">
        <v>591</v>
      </c>
    </row>
    <row r="11" spans="1:3" ht="18" x14ac:dyDescent="0.25">
      <c r="A11" s="13" t="s">
        <v>169</v>
      </c>
      <c r="B11" s="14" t="s">
        <v>170</v>
      </c>
      <c r="C11" s="367" t="s">
        <v>592</v>
      </c>
    </row>
  </sheetData>
  <pageMargins left="0.7" right="0.7" top="0.75" bottom="0.75" header="0.3" footer="0.3"/>
  <pageSetup scale="82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2"/>
  <sheetViews>
    <sheetView tabSelected="1" view="pageLayout" zoomScale="70" zoomScaleNormal="80" zoomScaleSheetLayoutView="50" zoomScalePageLayoutView="70" workbookViewId="0">
      <selection activeCell="F1" sqref="F1"/>
    </sheetView>
  </sheetViews>
  <sheetFormatPr defaultRowHeight="14.25" x14ac:dyDescent="0.2"/>
  <cols>
    <col min="1" max="1" width="52.5703125" style="52" customWidth="1"/>
    <col min="2" max="2" width="25.5703125" style="52" customWidth="1"/>
    <col min="3" max="3" width="17.85546875" style="52" customWidth="1"/>
    <col min="4" max="4" width="21.85546875" style="53" customWidth="1"/>
    <col min="5" max="5" width="14" style="53" customWidth="1"/>
    <col min="6" max="6" width="17.28515625" style="52" customWidth="1"/>
    <col min="7" max="7" width="17.85546875" style="52" customWidth="1"/>
    <col min="8" max="8" width="2.5703125" style="54" customWidth="1"/>
    <col min="9" max="9" width="19.28515625" style="52" customWidth="1"/>
    <col min="10" max="10" width="27" style="52" customWidth="1"/>
    <col min="11" max="11" width="2.5703125" style="54" customWidth="1"/>
    <col min="12" max="12" width="24.28515625" style="52" customWidth="1"/>
    <col min="13" max="13" width="18" style="52" customWidth="1"/>
    <col min="14" max="16384" width="9.140625" style="52"/>
  </cols>
  <sheetData>
    <row r="1" spans="1:13" ht="74.45" customHeight="1" x14ac:dyDescent="0.25">
      <c r="A1" s="20" t="s">
        <v>191</v>
      </c>
      <c r="B1" s="62"/>
      <c r="C1" s="15"/>
      <c r="D1" s="15"/>
      <c r="E1" s="15"/>
      <c r="F1" s="15"/>
      <c r="G1" s="15"/>
      <c r="H1" s="63"/>
      <c r="I1" s="15"/>
      <c r="J1" s="15"/>
      <c r="K1" s="63"/>
      <c r="L1" s="15"/>
      <c r="M1" s="15"/>
    </row>
    <row r="2" spans="1:13" ht="75" customHeight="1" x14ac:dyDescent="0.25">
      <c r="A2" s="32" t="s">
        <v>174</v>
      </c>
      <c r="B2" s="33" t="s">
        <v>142</v>
      </c>
      <c r="C2" s="34" t="s">
        <v>2</v>
      </c>
      <c r="D2" s="34" t="s">
        <v>143</v>
      </c>
      <c r="E2" s="34" t="s">
        <v>129</v>
      </c>
      <c r="F2" s="35" t="s">
        <v>144</v>
      </c>
      <c r="G2" s="60" t="s">
        <v>596</v>
      </c>
      <c r="H2" s="58" t="s">
        <v>198</v>
      </c>
      <c r="I2" s="36" t="s">
        <v>145</v>
      </c>
      <c r="J2" s="36" t="s">
        <v>146</v>
      </c>
      <c r="K2" s="37" t="s">
        <v>177</v>
      </c>
      <c r="L2" s="61" t="s">
        <v>597</v>
      </c>
      <c r="M2" s="38" t="s">
        <v>147</v>
      </c>
    </row>
    <row r="3" spans="1:13" ht="15" customHeight="1" x14ac:dyDescent="0.2">
      <c r="A3" s="71" t="s">
        <v>178</v>
      </c>
      <c r="B3" s="71" t="s">
        <v>128</v>
      </c>
      <c r="C3" s="71" t="s">
        <v>113</v>
      </c>
      <c r="D3" s="72" t="s">
        <v>127</v>
      </c>
      <c r="E3" s="73">
        <v>45107</v>
      </c>
      <c r="F3" s="74">
        <v>41147000</v>
      </c>
      <c r="G3" s="74">
        <v>41147000</v>
      </c>
      <c r="H3" s="75" t="s">
        <v>153</v>
      </c>
      <c r="I3" s="74">
        <v>146834</v>
      </c>
      <c r="J3" s="74">
        <v>41146995</v>
      </c>
      <c r="K3" s="76" t="s">
        <v>179</v>
      </c>
      <c r="L3" s="77">
        <v>0</v>
      </c>
      <c r="M3" s="74">
        <v>146839</v>
      </c>
    </row>
    <row r="4" spans="1:13" ht="15" customHeight="1" x14ac:dyDescent="0.25">
      <c r="A4" s="65" t="s">
        <v>178</v>
      </c>
      <c r="B4" s="65" t="s">
        <v>126</v>
      </c>
      <c r="C4" s="65" t="s">
        <v>141</v>
      </c>
      <c r="D4" s="66" t="s">
        <v>148</v>
      </c>
      <c r="E4" s="67">
        <v>44742</v>
      </c>
      <c r="F4" s="68">
        <v>52094000</v>
      </c>
      <c r="G4" s="68">
        <v>1276948</v>
      </c>
      <c r="H4" s="45" t="s">
        <v>153</v>
      </c>
      <c r="I4" s="68">
        <v>32507</v>
      </c>
      <c r="J4" s="68">
        <v>588875</v>
      </c>
      <c r="K4" s="70">
        <v>2</v>
      </c>
      <c r="L4" s="69">
        <v>0</v>
      </c>
      <c r="M4" s="68">
        <v>720580</v>
      </c>
    </row>
    <row r="5" spans="1:13" ht="15" customHeight="1" x14ac:dyDescent="0.25">
      <c r="A5" s="78" t="s">
        <v>178</v>
      </c>
      <c r="B5" s="78" t="s">
        <v>125</v>
      </c>
      <c r="C5" s="78" t="s">
        <v>110</v>
      </c>
      <c r="D5" s="79" t="s">
        <v>124</v>
      </c>
      <c r="E5" s="80">
        <v>44377</v>
      </c>
      <c r="F5" s="81">
        <v>315241000</v>
      </c>
      <c r="G5" s="81">
        <v>16377052</v>
      </c>
      <c r="H5" s="82" t="s">
        <v>153</v>
      </c>
      <c r="I5" s="81">
        <v>250323</v>
      </c>
      <c r="J5" s="81">
        <v>180993</v>
      </c>
      <c r="K5" s="83">
        <v>2</v>
      </c>
      <c r="L5" s="84">
        <v>0</v>
      </c>
      <c r="M5" s="81">
        <v>16446382</v>
      </c>
    </row>
    <row r="6" spans="1:13" ht="15" customHeight="1" x14ac:dyDescent="0.25">
      <c r="A6" s="99" t="s">
        <v>180</v>
      </c>
      <c r="B6" s="89" t="s">
        <v>153</v>
      </c>
      <c r="C6" s="89" t="s">
        <v>153</v>
      </c>
      <c r="D6" s="89" t="s">
        <v>153</v>
      </c>
      <c r="E6" s="89" t="s">
        <v>153</v>
      </c>
      <c r="F6" s="100">
        <f>SUBTOTAL(109,localgeneralfund[Original
Appropriation
Amount])</f>
        <v>408482000</v>
      </c>
      <c r="G6" s="100">
        <f>SUBTOTAL(109,localgeneralfund[[Appropriation Balances 1 ]])</f>
        <v>58801000</v>
      </c>
      <c r="H6" s="89" t="s">
        <v>153</v>
      </c>
      <c r="I6" s="100">
        <f>SUBTOTAL(109,localgeneralfund[Add: Receipts
and Recovered
Amounts])</f>
        <v>429664</v>
      </c>
      <c r="J6" s="100">
        <f>SUBTOTAL(109,localgeneralfund[Less: Mandated Program Payments,
Offsets, and Interest
(see Schedule A1)])</f>
        <v>41916863</v>
      </c>
      <c r="K6" s="89" t="s">
        <v>153</v>
      </c>
      <c r="L6" s="101">
        <f>SUBTOTAL(109,localgeneralfund[Less: Reappropriations 3])</f>
        <v>0</v>
      </c>
      <c r="M6" s="100">
        <f>SUBTOTAL(109,localgeneralfund[Appropriation
Balances
as of 4/1/2021])</f>
        <v>17313801</v>
      </c>
    </row>
    <row r="7" spans="1:13" ht="15" x14ac:dyDescent="0.2">
      <c r="A7" s="110" t="s">
        <v>181</v>
      </c>
      <c r="B7" s="46"/>
      <c r="C7" s="46"/>
      <c r="D7" s="92"/>
      <c r="E7" s="92"/>
      <c r="F7" s="46"/>
      <c r="G7" s="46"/>
      <c r="H7" s="57"/>
      <c r="I7" s="46"/>
      <c r="J7" s="46"/>
      <c r="K7" s="57"/>
      <c r="L7" s="46"/>
      <c r="M7" s="46"/>
    </row>
    <row r="8" spans="1:13" ht="75" customHeight="1" x14ac:dyDescent="0.25">
      <c r="A8" s="21" t="s">
        <v>174</v>
      </c>
      <c r="B8" s="28" t="s">
        <v>142</v>
      </c>
      <c r="C8" s="28" t="s">
        <v>2</v>
      </c>
      <c r="D8" s="28" t="s">
        <v>143</v>
      </c>
      <c r="E8" s="28" t="s">
        <v>129</v>
      </c>
      <c r="F8" s="17" t="s">
        <v>144</v>
      </c>
      <c r="G8" s="29" t="s">
        <v>192</v>
      </c>
      <c r="H8" s="59" t="s">
        <v>176</v>
      </c>
      <c r="I8" s="30" t="s">
        <v>145</v>
      </c>
      <c r="J8" s="30" t="s">
        <v>146</v>
      </c>
      <c r="K8" s="59" t="s">
        <v>177</v>
      </c>
      <c r="L8" s="31" t="s">
        <v>193</v>
      </c>
      <c r="M8" s="18" t="s">
        <v>147</v>
      </c>
    </row>
    <row r="9" spans="1:13" ht="15" customHeight="1" x14ac:dyDescent="0.25">
      <c r="A9" s="85" t="s">
        <v>182</v>
      </c>
      <c r="B9" s="85" t="s">
        <v>123</v>
      </c>
      <c r="C9" s="85" t="s">
        <v>113</v>
      </c>
      <c r="D9" s="86" t="s">
        <v>43</v>
      </c>
      <c r="E9" s="87">
        <v>45107</v>
      </c>
      <c r="F9" s="88">
        <v>1951000</v>
      </c>
      <c r="G9" s="88">
        <v>1951000</v>
      </c>
      <c r="H9" s="89" t="s">
        <v>153</v>
      </c>
      <c r="I9" s="88">
        <v>1486</v>
      </c>
      <c r="J9" s="88">
        <v>1949892</v>
      </c>
      <c r="K9" s="90" t="s">
        <v>153</v>
      </c>
      <c r="L9" s="91">
        <v>0</v>
      </c>
      <c r="M9" s="88">
        <v>2594</v>
      </c>
    </row>
    <row r="10" spans="1:13" ht="15" customHeight="1" x14ac:dyDescent="0.25">
      <c r="A10" s="46" t="s">
        <v>182</v>
      </c>
      <c r="B10" s="46" t="s">
        <v>122</v>
      </c>
      <c r="C10" s="46" t="s">
        <v>141</v>
      </c>
      <c r="D10" s="92" t="s">
        <v>44</v>
      </c>
      <c r="E10" s="48">
        <v>44742</v>
      </c>
      <c r="F10" s="49">
        <v>2275000</v>
      </c>
      <c r="G10" s="49">
        <v>954223</v>
      </c>
      <c r="H10" s="45" t="s">
        <v>153</v>
      </c>
      <c r="I10" s="49">
        <v>5182</v>
      </c>
      <c r="J10" s="49">
        <v>90011</v>
      </c>
      <c r="K10" s="51" t="s">
        <v>153</v>
      </c>
      <c r="L10" s="50">
        <v>0</v>
      </c>
      <c r="M10" s="49">
        <v>869394</v>
      </c>
    </row>
    <row r="11" spans="1:13" ht="15" customHeight="1" x14ac:dyDescent="0.25">
      <c r="A11" s="93" t="s">
        <v>182</v>
      </c>
      <c r="B11" s="93" t="s">
        <v>121</v>
      </c>
      <c r="C11" s="93" t="s">
        <v>110</v>
      </c>
      <c r="D11" s="94" t="s">
        <v>153</v>
      </c>
      <c r="E11" s="95">
        <v>44377</v>
      </c>
      <c r="F11" s="96">
        <v>2105000</v>
      </c>
      <c r="G11" s="96">
        <v>206352</v>
      </c>
      <c r="H11" s="82" t="s">
        <v>153</v>
      </c>
      <c r="I11" s="97">
        <v>0</v>
      </c>
      <c r="J11" s="97">
        <v>0</v>
      </c>
      <c r="K11" s="98" t="s">
        <v>153</v>
      </c>
      <c r="L11" s="97">
        <v>0</v>
      </c>
      <c r="M11" s="96">
        <v>206352</v>
      </c>
    </row>
    <row r="12" spans="1:13" ht="15" customHeight="1" x14ac:dyDescent="0.25">
      <c r="A12" s="43" t="s">
        <v>183</v>
      </c>
      <c r="B12" s="102" t="s">
        <v>153</v>
      </c>
      <c r="C12" s="102" t="s">
        <v>153</v>
      </c>
      <c r="D12" s="102" t="s">
        <v>153</v>
      </c>
      <c r="E12" s="102" t="s">
        <v>153</v>
      </c>
      <c r="F12" s="103">
        <f>SUBTOTAL(109,dmvnongeneralfund[Original
Appropriation
Amount])</f>
        <v>6331000</v>
      </c>
      <c r="G12" s="103">
        <f>SUBTOTAL(109,dmvnongeneralfund[[Appropriation Balances1 ]])</f>
        <v>3111575</v>
      </c>
      <c r="H12" s="102" t="s">
        <v>153</v>
      </c>
      <c r="I12" s="103">
        <f>SUBTOTAL(109,dmvnongeneralfund[Add: Receipts
and Recovered
Amounts])</f>
        <v>6668</v>
      </c>
      <c r="J12" s="103">
        <f>SUBTOTAL(109,dmvnongeneralfund[Less: Mandated Program Payments,
Offsets, and Interest
(see Schedule A1)])</f>
        <v>2039903</v>
      </c>
      <c r="K12" s="102" t="s">
        <v>153</v>
      </c>
      <c r="L12" s="104">
        <f>SUBTOTAL(109,dmvnongeneralfund[Less: Reappropriations3])</f>
        <v>0</v>
      </c>
      <c r="M12" s="103">
        <f>SUBTOTAL(109,dmvnongeneralfund[Appropriation
Balances
as of 4/1/2021])</f>
        <v>1078340</v>
      </c>
    </row>
    <row r="13" spans="1:13" ht="15" x14ac:dyDescent="0.2">
      <c r="A13" s="107" t="s">
        <v>181</v>
      </c>
      <c r="B13" s="85"/>
      <c r="C13" s="85"/>
      <c r="D13" s="86"/>
      <c r="E13" s="86"/>
      <c r="F13" s="85"/>
      <c r="G13" s="85"/>
      <c r="H13" s="108"/>
      <c r="I13" s="85"/>
      <c r="J13" s="85"/>
      <c r="K13" s="109"/>
      <c r="L13" s="85"/>
      <c r="M13" s="85"/>
    </row>
    <row r="14" spans="1:13" ht="75" customHeight="1" x14ac:dyDescent="0.25">
      <c r="A14" s="27" t="s">
        <v>174</v>
      </c>
      <c r="B14" s="28" t="s">
        <v>142</v>
      </c>
      <c r="C14" s="28" t="s">
        <v>2</v>
      </c>
      <c r="D14" s="28" t="s">
        <v>143</v>
      </c>
      <c r="E14" s="28" t="s">
        <v>129</v>
      </c>
      <c r="F14" s="17" t="s">
        <v>144</v>
      </c>
      <c r="G14" s="29" t="s">
        <v>192</v>
      </c>
      <c r="H14" s="59" t="s">
        <v>176</v>
      </c>
      <c r="I14" s="30" t="s">
        <v>145</v>
      </c>
      <c r="J14" s="30" t="s">
        <v>146</v>
      </c>
      <c r="K14" s="59" t="s">
        <v>177</v>
      </c>
      <c r="L14" s="31" t="s">
        <v>193</v>
      </c>
      <c r="M14" s="18" t="s">
        <v>147</v>
      </c>
    </row>
    <row r="15" spans="1:13" ht="15" customHeight="1" x14ac:dyDescent="0.25">
      <c r="A15" s="85" t="s">
        <v>184</v>
      </c>
      <c r="B15" s="85" t="s">
        <v>120</v>
      </c>
      <c r="C15" s="85" t="s">
        <v>113</v>
      </c>
      <c r="D15" s="86" t="s">
        <v>43</v>
      </c>
      <c r="E15" s="87">
        <v>45107</v>
      </c>
      <c r="F15" s="88">
        <v>46000</v>
      </c>
      <c r="G15" s="88">
        <v>46000</v>
      </c>
      <c r="H15" s="89" t="s">
        <v>153</v>
      </c>
      <c r="I15" s="91">
        <v>0</v>
      </c>
      <c r="J15" s="88">
        <v>46000</v>
      </c>
      <c r="K15" s="90" t="s">
        <v>153</v>
      </c>
      <c r="L15" s="91">
        <v>0</v>
      </c>
      <c r="M15" s="91">
        <v>0</v>
      </c>
    </row>
    <row r="16" spans="1:13" ht="15" customHeight="1" x14ac:dyDescent="0.25">
      <c r="A16" s="46" t="s">
        <v>184</v>
      </c>
      <c r="B16" s="46" t="s">
        <v>119</v>
      </c>
      <c r="C16" s="46" t="s">
        <v>141</v>
      </c>
      <c r="D16" s="47" t="s">
        <v>153</v>
      </c>
      <c r="E16" s="48">
        <v>44742</v>
      </c>
      <c r="F16" s="49">
        <v>65000</v>
      </c>
      <c r="G16" s="49">
        <v>21949</v>
      </c>
      <c r="H16" s="45" t="s">
        <v>153</v>
      </c>
      <c r="I16" s="50">
        <v>0</v>
      </c>
      <c r="J16" s="50">
        <v>0</v>
      </c>
      <c r="K16" s="51" t="s">
        <v>153</v>
      </c>
      <c r="L16" s="50">
        <v>0</v>
      </c>
      <c r="M16" s="49">
        <v>21949</v>
      </c>
    </row>
    <row r="17" spans="1:13" ht="15" customHeight="1" x14ac:dyDescent="0.25">
      <c r="A17" s="93" t="s">
        <v>184</v>
      </c>
      <c r="B17" s="93" t="s">
        <v>118</v>
      </c>
      <c r="C17" s="93" t="s">
        <v>110</v>
      </c>
      <c r="D17" s="105" t="s">
        <v>47</v>
      </c>
      <c r="E17" s="95">
        <v>44377</v>
      </c>
      <c r="F17" s="96">
        <v>65000</v>
      </c>
      <c r="G17" s="96">
        <v>4293</v>
      </c>
      <c r="H17" s="82" t="s">
        <v>153</v>
      </c>
      <c r="I17" s="97">
        <v>0</v>
      </c>
      <c r="J17" s="96">
        <v>151</v>
      </c>
      <c r="K17" s="135">
        <v>2</v>
      </c>
      <c r="L17" s="97">
        <v>0</v>
      </c>
      <c r="M17" s="96">
        <v>4142</v>
      </c>
    </row>
    <row r="18" spans="1:13" ht="15" customHeight="1" x14ac:dyDescent="0.25">
      <c r="A18" s="106" t="s">
        <v>185</v>
      </c>
      <c r="B18" s="45" t="s">
        <v>153</v>
      </c>
      <c r="C18" s="45" t="s">
        <v>153</v>
      </c>
      <c r="D18" s="45" t="s">
        <v>153</v>
      </c>
      <c r="E18" s="45" t="s">
        <v>153</v>
      </c>
      <c r="F18" s="39">
        <f>SUBTOTAL(109,pestnongeneralfund[Original
Appropriation
Amount])</f>
        <v>176000</v>
      </c>
      <c r="G18" s="39">
        <f>SUBTOTAL(109,pestnongeneralfund[[Appropriation Balances1 ]])</f>
        <v>72242</v>
      </c>
      <c r="H18" s="45" t="s">
        <v>153</v>
      </c>
      <c r="I18" s="40">
        <f>SUBTOTAL(109,pestnongeneralfund[Add: Receipts
and Recovered
Amounts])</f>
        <v>0</v>
      </c>
      <c r="J18" s="39">
        <f>SUBTOTAL(109,pestnongeneralfund[Less: Mandated Program Payments,
Offsets, and Interest
(see Schedule A1)])</f>
        <v>46151</v>
      </c>
      <c r="K18" s="89" t="s">
        <v>153</v>
      </c>
      <c r="L18" s="40">
        <f>SUBTOTAL(109,pestnongeneralfund[Less: Reappropriations3])</f>
        <v>0</v>
      </c>
      <c r="M18" s="39">
        <f>SUBTOTAL(109,pestnongeneralfund[Appropriation
Balances
as of 4/1/2021])</f>
        <v>26091</v>
      </c>
    </row>
    <row r="19" spans="1:13" ht="15.75" customHeight="1" x14ac:dyDescent="0.2">
      <c r="A19" s="110" t="s">
        <v>181</v>
      </c>
      <c r="B19" s="46"/>
      <c r="C19" s="46"/>
      <c r="D19" s="92"/>
      <c r="E19" s="92"/>
      <c r="F19" s="46"/>
      <c r="G19" s="46"/>
      <c r="H19" s="57"/>
      <c r="I19" s="46"/>
      <c r="J19" s="46"/>
      <c r="K19" s="57"/>
      <c r="L19" s="46"/>
      <c r="M19" s="46"/>
    </row>
    <row r="20" spans="1:13" ht="75" customHeight="1" x14ac:dyDescent="0.25">
      <c r="A20" s="27" t="s">
        <v>174</v>
      </c>
      <c r="B20" s="28" t="s">
        <v>142</v>
      </c>
      <c r="C20" s="28" t="s">
        <v>2</v>
      </c>
      <c r="D20" s="28" t="s">
        <v>143</v>
      </c>
      <c r="E20" s="28" t="s">
        <v>129</v>
      </c>
      <c r="F20" s="17" t="s">
        <v>144</v>
      </c>
      <c r="G20" s="29" t="s">
        <v>192</v>
      </c>
      <c r="H20" s="59" t="s">
        <v>176</v>
      </c>
      <c r="I20" s="30" t="s">
        <v>145</v>
      </c>
      <c r="J20" s="30" t="s">
        <v>146</v>
      </c>
      <c r="K20" s="59" t="s">
        <v>177</v>
      </c>
      <c r="L20" s="31" t="s">
        <v>193</v>
      </c>
      <c r="M20" s="18" t="s">
        <v>147</v>
      </c>
    </row>
    <row r="21" spans="1:13" ht="15" customHeight="1" x14ac:dyDescent="0.25">
      <c r="A21" s="85" t="s">
        <v>186</v>
      </c>
      <c r="B21" s="85" t="s">
        <v>117</v>
      </c>
      <c r="C21" s="85" t="s">
        <v>113</v>
      </c>
      <c r="D21" s="86" t="s">
        <v>43</v>
      </c>
      <c r="E21" s="87">
        <v>45107</v>
      </c>
      <c r="F21" s="88">
        <v>48000</v>
      </c>
      <c r="G21" s="88">
        <v>48000</v>
      </c>
      <c r="H21" s="89" t="s">
        <v>153</v>
      </c>
      <c r="I21" s="91">
        <v>0</v>
      </c>
      <c r="J21" s="88">
        <v>31000</v>
      </c>
      <c r="K21" s="90" t="s">
        <v>153</v>
      </c>
      <c r="L21" s="91">
        <v>0</v>
      </c>
      <c r="M21" s="88">
        <v>17000</v>
      </c>
    </row>
    <row r="22" spans="1:13" ht="15" customHeight="1" x14ac:dyDescent="0.25">
      <c r="A22" s="46" t="s">
        <v>186</v>
      </c>
      <c r="B22" s="46" t="s">
        <v>116</v>
      </c>
      <c r="C22" s="46" t="s">
        <v>141</v>
      </c>
      <c r="D22" s="47" t="s">
        <v>153</v>
      </c>
      <c r="E22" s="48">
        <v>44742</v>
      </c>
      <c r="F22" s="49">
        <v>49000</v>
      </c>
      <c r="G22" s="49">
        <v>16000</v>
      </c>
      <c r="H22" s="45" t="s">
        <v>153</v>
      </c>
      <c r="I22" s="49">
        <v>1000</v>
      </c>
      <c r="J22" s="50">
        <v>0</v>
      </c>
      <c r="K22" s="51" t="s">
        <v>153</v>
      </c>
      <c r="L22" s="50">
        <v>0</v>
      </c>
      <c r="M22" s="49">
        <v>17000</v>
      </c>
    </row>
    <row r="23" spans="1:13" ht="15" customHeight="1" x14ac:dyDescent="0.25">
      <c r="A23" s="93" t="s">
        <v>186</v>
      </c>
      <c r="B23" s="93" t="s">
        <v>115</v>
      </c>
      <c r="C23" s="93" t="s">
        <v>110</v>
      </c>
      <c r="D23" s="94" t="s">
        <v>153</v>
      </c>
      <c r="E23" s="95">
        <v>44377</v>
      </c>
      <c r="F23" s="96">
        <v>48000</v>
      </c>
      <c r="G23" s="96">
        <v>15000</v>
      </c>
      <c r="H23" s="82" t="s">
        <v>153</v>
      </c>
      <c r="I23" s="97">
        <v>0</v>
      </c>
      <c r="J23" s="97">
        <v>0</v>
      </c>
      <c r="K23" s="98" t="s">
        <v>153</v>
      </c>
      <c r="L23" s="97">
        <v>0</v>
      </c>
      <c r="M23" s="96">
        <v>15000</v>
      </c>
    </row>
    <row r="24" spans="1:13" ht="15" customHeight="1" x14ac:dyDescent="0.25">
      <c r="A24" s="106" t="s">
        <v>187</v>
      </c>
      <c r="B24" s="45" t="s">
        <v>153</v>
      </c>
      <c r="C24" s="45" t="s">
        <v>153</v>
      </c>
      <c r="D24" s="45" t="s">
        <v>153</v>
      </c>
      <c r="E24" s="45" t="s">
        <v>153</v>
      </c>
      <c r="F24" s="39">
        <f>SUBTOTAL(109,sdgeneralfund[Original
Appropriation
Amount])</f>
        <v>145000</v>
      </c>
      <c r="G24" s="39">
        <f>SUBTOTAL(109,sdgeneralfund[[Appropriation Balances1 ]])</f>
        <v>79000</v>
      </c>
      <c r="H24" s="45" t="s">
        <v>153</v>
      </c>
      <c r="I24" s="40">
        <f>SUBTOTAL(109,sdgeneralfund[Add: Receipts
and Recovered
Amounts])</f>
        <v>1000</v>
      </c>
      <c r="J24" s="104">
        <f>SUBTOTAL(109,sdgeneralfund[Less: Mandated Program Payments,
Offsets, and Interest
(see Schedule A1)])</f>
        <v>31000</v>
      </c>
      <c r="K24" s="45" t="s">
        <v>153</v>
      </c>
      <c r="L24" s="40">
        <f>SUBTOTAL(109,sdgeneralfund[Less: Reappropriations3])</f>
        <v>0</v>
      </c>
      <c r="M24" s="39">
        <f>SUBTOTAL(109,sdgeneralfund[Appropriation
Balances
as of 4/1/2021])</f>
        <v>49000</v>
      </c>
    </row>
    <row r="25" spans="1:13" ht="15.75" customHeight="1" x14ac:dyDescent="0.2">
      <c r="A25" s="22" t="s">
        <v>181</v>
      </c>
      <c r="B25" s="23"/>
      <c r="C25" s="23"/>
      <c r="D25" s="24"/>
      <c r="E25" s="24"/>
      <c r="F25" s="23"/>
      <c r="G25" s="23"/>
      <c r="H25" s="25"/>
      <c r="I25" s="23"/>
      <c r="J25" s="23"/>
      <c r="K25" s="25"/>
      <c r="L25" s="23"/>
      <c r="M25" s="23"/>
    </row>
    <row r="26" spans="1:13" ht="75" customHeight="1" x14ac:dyDescent="0.25">
      <c r="A26" s="27" t="s">
        <v>174</v>
      </c>
      <c r="B26" s="28" t="s">
        <v>142</v>
      </c>
      <c r="C26" s="28" t="s">
        <v>2</v>
      </c>
      <c r="D26" s="28" t="s">
        <v>143</v>
      </c>
      <c r="E26" s="28" t="s">
        <v>129</v>
      </c>
      <c r="F26" s="17" t="s">
        <v>144</v>
      </c>
      <c r="G26" s="29" t="s">
        <v>192</v>
      </c>
      <c r="H26" s="59" t="s">
        <v>176</v>
      </c>
      <c r="I26" s="30" t="s">
        <v>145</v>
      </c>
      <c r="J26" s="30" t="s">
        <v>146</v>
      </c>
      <c r="K26" s="59" t="s">
        <v>177</v>
      </c>
      <c r="L26" s="31" t="s">
        <v>193</v>
      </c>
      <c r="M26" s="18" t="s">
        <v>147</v>
      </c>
    </row>
    <row r="27" spans="1:13" ht="15" customHeight="1" x14ac:dyDescent="0.2">
      <c r="A27" s="85" t="s">
        <v>188</v>
      </c>
      <c r="B27" s="85" t="s">
        <v>114</v>
      </c>
      <c r="C27" s="85" t="s">
        <v>113</v>
      </c>
      <c r="D27" s="16" t="s">
        <v>153</v>
      </c>
      <c r="E27" s="87">
        <v>45107</v>
      </c>
      <c r="F27" s="88">
        <v>13000</v>
      </c>
      <c r="G27" s="88">
        <v>13000</v>
      </c>
      <c r="H27" s="90" t="s">
        <v>153</v>
      </c>
      <c r="I27" s="91">
        <v>0</v>
      </c>
      <c r="J27" s="91">
        <v>0</v>
      </c>
      <c r="K27" s="90" t="s">
        <v>153</v>
      </c>
      <c r="L27" s="91">
        <v>0</v>
      </c>
      <c r="M27" s="88">
        <v>13000</v>
      </c>
    </row>
    <row r="28" spans="1:13" ht="15" customHeight="1" x14ac:dyDescent="0.2">
      <c r="A28" s="46" t="s">
        <v>188</v>
      </c>
      <c r="B28" s="46" t="s">
        <v>112</v>
      </c>
      <c r="C28" s="46" t="s">
        <v>141</v>
      </c>
      <c r="D28" s="47" t="s">
        <v>153</v>
      </c>
      <c r="E28" s="48">
        <v>44742</v>
      </c>
      <c r="F28" s="49">
        <v>13000</v>
      </c>
      <c r="G28" s="49">
        <v>13000</v>
      </c>
      <c r="H28" s="51" t="s">
        <v>153</v>
      </c>
      <c r="I28" s="50">
        <v>0</v>
      </c>
      <c r="J28" s="50">
        <v>0</v>
      </c>
      <c r="K28" s="51" t="s">
        <v>153</v>
      </c>
      <c r="L28" s="50">
        <v>0</v>
      </c>
      <c r="M28" s="49">
        <v>13000</v>
      </c>
    </row>
    <row r="29" spans="1:13" ht="15" customHeight="1" x14ac:dyDescent="0.2">
      <c r="A29" s="93" t="s">
        <v>188</v>
      </c>
      <c r="B29" s="93" t="s">
        <v>111</v>
      </c>
      <c r="C29" s="93" t="s">
        <v>110</v>
      </c>
      <c r="D29" s="94" t="s">
        <v>153</v>
      </c>
      <c r="E29" s="95">
        <v>44377</v>
      </c>
      <c r="F29" s="96">
        <v>13000</v>
      </c>
      <c r="G29" s="96">
        <v>13000</v>
      </c>
      <c r="H29" s="98" t="s">
        <v>153</v>
      </c>
      <c r="I29" s="97">
        <v>0</v>
      </c>
      <c r="J29" s="97">
        <v>0</v>
      </c>
      <c r="K29" s="98" t="s">
        <v>197</v>
      </c>
      <c r="L29" s="96">
        <v>13000</v>
      </c>
      <c r="M29" s="97">
        <v>0</v>
      </c>
    </row>
    <row r="30" spans="1:13" ht="15" customHeight="1" x14ac:dyDescent="0.25">
      <c r="A30" s="44" t="s">
        <v>189</v>
      </c>
      <c r="B30" s="89" t="s">
        <v>153</v>
      </c>
      <c r="C30" s="89" t="s">
        <v>153</v>
      </c>
      <c r="D30" s="89" t="s">
        <v>153</v>
      </c>
      <c r="E30" s="89" t="s">
        <v>153</v>
      </c>
      <c r="F30" s="111">
        <f>SUBTOTAL(109,ccdgeneralfund0[Original
Appropriation
Amount])</f>
        <v>39000</v>
      </c>
      <c r="G30" s="111">
        <f>SUBTOTAL(109,ccdgeneralfund0[[Appropriation Balances1 ]])</f>
        <v>39000</v>
      </c>
      <c r="H30" s="89" t="s">
        <v>153</v>
      </c>
      <c r="I30" s="112">
        <f>SUBTOTAL(109,ccdgeneralfund0[Add: Receipts
and Recovered
Amounts])</f>
        <v>0</v>
      </c>
      <c r="J30" s="112">
        <f>SUBTOTAL(109,ccdgeneralfund0[Less: Mandated Program Payments,
Offsets, and Interest
(see Schedule A1)])</f>
        <v>0</v>
      </c>
      <c r="K30" s="113"/>
      <c r="L30" s="112">
        <f>SUBTOTAL(109,ccdgeneralfund0[Less: Reappropriations3])</f>
        <v>13000</v>
      </c>
      <c r="M30" s="111">
        <f>SUBTOTAL(109,ccdgeneralfund0[Appropriation
Balances
as of 4/1/2021])</f>
        <v>26000</v>
      </c>
    </row>
    <row r="31" spans="1:13" ht="15.75" customHeight="1" x14ac:dyDescent="0.2">
      <c r="A31" s="110" t="s">
        <v>181</v>
      </c>
      <c r="B31" s="23"/>
      <c r="C31" s="23"/>
      <c r="D31" s="24"/>
      <c r="E31" s="24"/>
      <c r="F31" s="23"/>
      <c r="G31" s="23"/>
      <c r="H31" s="25"/>
      <c r="I31" s="23"/>
      <c r="J31" s="23"/>
      <c r="K31" s="25"/>
      <c r="L31" s="23"/>
      <c r="M31" s="23"/>
    </row>
    <row r="32" spans="1:13" ht="75" customHeight="1" x14ac:dyDescent="0.25">
      <c r="A32" s="27" t="s">
        <v>174</v>
      </c>
      <c r="B32" s="28" t="s">
        <v>142</v>
      </c>
      <c r="C32" s="28" t="s">
        <v>2</v>
      </c>
      <c r="D32" s="28" t="s">
        <v>143</v>
      </c>
      <c r="E32" s="28" t="s">
        <v>129</v>
      </c>
      <c r="F32" s="17" t="s">
        <v>144</v>
      </c>
      <c r="G32" s="29" t="s">
        <v>192</v>
      </c>
      <c r="H32" s="59" t="s">
        <v>176</v>
      </c>
      <c r="I32" s="30" t="s">
        <v>145</v>
      </c>
      <c r="J32" s="30" t="s">
        <v>146</v>
      </c>
      <c r="K32" s="59" t="s">
        <v>177</v>
      </c>
      <c r="L32" s="31" t="s">
        <v>193</v>
      </c>
      <c r="M32" s="18" t="s">
        <v>147</v>
      </c>
    </row>
    <row r="33" spans="1:13" ht="15.75" customHeight="1" x14ac:dyDescent="0.2">
      <c r="A33" s="85" t="s">
        <v>178</v>
      </c>
      <c r="B33" s="108" t="s">
        <v>153</v>
      </c>
      <c r="C33" s="108" t="s">
        <v>153</v>
      </c>
      <c r="D33" s="16" t="s">
        <v>153</v>
      </c>
      <c r="E33" s="16" t="s">
        <v>153</v>
      </c>
      <c r="F33" s="88">
        <v>408482000</v>
      </c>
      <c r="G33" s="88">
        <v>58801000</v>
      </c>
      <c r="H33" s="90" t="s">
        <v>153</v>
      </c>
      <c r="I33" s="88">
        <v>429664</v>
      </c>
      <c r="J33" s="88">
        <v>41916863</v>
      </c>
      <c r="K33" s="90" t="s">
        <v>153</v>
      </c>
      <c r="L33" s="91">
        <v>0</v>
      </c>
      <c r="M33" s="88">
        <v>17313801</v>
      </c>
    </row>
    <row r="34" spans="1:13" ht="15.75" customHeight="1" x14ac:dyDescent="0.2">
      <c r="A34" s="46" t="s">
        <v>182</v>
      </c>
      <c r="B34" s="57" t="s">
        <v>153</v>
      </c>
      <c r="C34" s="57" t="s">
        <v>153</v>
      </c>
      <c r="D34" s="47" t="s">
        <v>153</v>
      </c>
      <c r="E34" s="47" t="s">
        <v>153</v>
      </c>
      <c r="F34" s="49">
        <v>6331000</v>
      </c>
      <c r="G34" s="49">
        <v>3111575</v>
      </c>
      <c r="H34" s="51" t="s">
        <v>153</v>
      </c>
      <c r="I34" s="49">
        <v>6668</v>
      </c>
      <c r="J34" s="49">
        <v>2039903</v>
      </c>
      <c r="K34" s="51" t="s">
        <v>153</v>
      </c>
      <c r="L34" s="50">
        <v>0</v>
      </c>
      <c r="M34" s="49">
        <v>1078340</v>
      </c>
    </row>
    <row r="35" spans="1:13" ht="15.75" customHeight="1" x14ac:dyDescent="0.2">
      <c r="A35" s="46" t="s">
        <v>184</v>
      </c>
      <c r="B35" s="57" t="s">
        <v>153</v>
      </c>
      <c r="C35" s="57" t="s">
        <v>153</v>
      </c>
      <c r="D35" s="47" t="s">
        <v>153</v>
      </c>
      <c r="E35" s="47" t="s">
        <v>153</v>
      </c>
      <c r="F35" s="49">
        <v>176000</v>
      </c>
      <c r="G35" s="49">
        <v>72242</v>
      </c>
      <c r="H35" s="51" t="s">
        <v>153</v>
      </c>
      <c r="I35" s="50">
        <v>0</v>
      </c>
      <c r="J35" s="49">
        <v>46151</v>
      </c>
      <c r="K35" s="51" t="s">
        <v>153</v>
      </c>
      <c r="L35" s="50">
        <v>0</v>
      </c>
      <c r="M35" s="49">
        <v>26091</v>
      </c>
    </row>
    <row r="36" spans="1:13" ht="15.75" customHeight="1" x14ac:dyDescent="0.2">
      <c r="A36" s="46" t="s">
        <v>186</v>
      </c>
      <c r="B36" s="57" t="s">
        <v>153</v>
      </c>
      <c r="C36" s="57" t="s">
        <v>153</v>
      </c>
      <c r="D36" s="47" t="s">
        <v>153</v>
      </c>
      <c r="E36" s="47" t="s">
        <v>153</v>
      </c>
      <c r="F36" s="49">
        <v>145000</v>
      </c>
      <c r="G36" s="49">
        <v>79000</v>
      </c>
      <c r="H36" s="51" t="s">
        <v>153</v>
      </c>
      <c r="I36" s="49">
        <v>1000</v>
      </c>
      <c r="J36" s="49">
        <v>31000</v>
      </c>
      <c r="K36" s="51" t="s">
        <v>153</v>
      </c>
      <c r="L36" s="50">
        <v>0</v>
      </c>
      <c r="M36" s="49">
        <v>49000</v>
      </c>
    </row>
    <row r="37" spans="1:13" ht="15.75" customHeight="1" x14ac:dyDescent="0.2">
      <c r="A37" s="93" t="s">
        <v>188</v>
      </c>
      <c r="B37" s="114" t="s">
        <v>153</v>
      </c>
      <c r="C37" s="114" t="s">
        <v>153</v>
      </c>
      <c r="D37" s="94" t="s">
        <v>153</v>
      </c>
      <c r="E37" s="94" t="s">
        <v>153</v>
      </c>
      <c r="F37" s="96">
        <v>39000</v>
      </c>
      <c r="G37" s="96">
        <v>39000</v>
      </c>
      <c r="H37" s="98" t="s">
        <v>153</v>
      </c>
      <c r="I37" s="97">
        <v>0</v>
      </c>
      <c r="J37" s="97">
        <v>0</v>
      </c>
      <c r="K37" s="98" t="s">
        <v>153</v>
      </c>
      <c r="L37" s="96">
        <v>13000</v>
      </c>
      <c r="M37" s="96">
        <v>26000</v>
      </c>
    </row>
    <row r="38" spans="1:13" ht="15.75" customHeight="1" x14ac:dyDescent="0.25">
      <c r="A38" s="43" t="s">
        <v>190</v>
      </c>
      <c r="B38" s="89" t="s">
        <v>153</v>
      </c>
      <c r="C38" s="89" t="s">
        <v>153</v>
      </c>
      <c r="D38" s="89" t="s">
        <v>153</v>
      </c>
      <c r="E38" s="89" t="s">
        <v>153</v>
      </c>
      <c r="F38" s="103">
        <f>SUBTOTAL(109,grandtotala[Original
Appropriation
Amount])</f>
        <v>415173000</v>
      </c>
      <c r="G38" s="103">
        <f>SUBTOTAL(109,grandtotala[[Appropriation Balances1 ]])</f>
        <v>62102817</v>
      </c>
      <c r="H38" s="89" t="s">
        <v>153</v>
      </c>
      <c r="I38" s="103">
        <f>SUBTOTAL(109,grandtotala[Add: Receipts
and Recovered
Amounts])</f>
        <v>437332</v>
      </c>
      <c r="J38" s="103">
        <f>SUBTOTAL(109,grandtotala[Less: Mandated Program Payments,
Offsets, and Interest
(see Schedule A1)])</f>
        <v>44033917</v>
      </c>
      <c r="K38" s="89" t="s">
        <v>153</v>
      </c>
      <c r="L38" s="104">
        <f>SUBTOTAL(109,grandtotala[Less: Reappropriations3])</f>
        <v>13000</v>
      </c>
      <c r="M38" s="103">
        <f>SUBTOTAL(109,grandtotala[Appropriation
Balances
as of 4/1/2021])</f>
        <v>18493232</v>
      </c>
    </row>
    <row r="39" spans="1:13" ht="15.75" customHeight="1" x14ac:dyDescent="0.2">
      <c r="A39" s="26" t="s">
        <v>208</v>
      </c>
      <c r="B39" s="23"/>
      <c r="C39" s="23"/>
      <c r="D39" s="24"/>
      <c r="E39" s="24"/>
      <c r="F39" s="23"/>
      <c r="G39" s="23"/>
      <c r="H39" s="25"/>
      <c r="I39" s="23"/>
      <c r="J39" s="23"/>
      <c r="K39" s="25"/>
      <c r="L39" s="23"/>
      <c r="M39" s="23"/>
    </row>
    <row r="40" spans="1:13" ht="18.75" customHeight="1" x14ac:dyDescent="0.2">
      <c r="A40" s="26" t="s">
        <v>194</v>
      </c>
      <c r="B40" s="23"/>
      <c r="C40" s="23"/>
      <c r="D40" s="24"/>
      <c r="E40" s="24"/>
      <c r="F40" s="23"/>
      <c r="G40" s="23"/>
      <c r="H40" s="25"/>
      <c r="I40" s="23"/>
      <c r="J40" s="23"/>
      <c r="K40" s="25"/>
      <c r="L40" s="23"/>
      <c r="M40" s="23"/>
    </row>
    <row r="41" spans="1:13" ht="18.75" customHeight="1" x14ac:dyDescent="0.2">
      <c r="A41" s="26" t="s">
        <v>195</v>
      </c>
      <c r="B41" s="23"/>
      <c r="C41" s="23"/>
      <c r="D41" s="24"/>
      <c r="E41" s="24"/>
      <c r="F41" s="23"/>
      <c r="G41" s="23"/>
      <c r="H41" s="25"/>
      <c r="I41" s="23"/>
      <c r="J41" s="23"/>
      <c r="K41" s="25"/>
      <c r="L41" s="23"/>
      <c r="M41" s="23"/>
    </row>
    <row r="42" spans="1:13" ht="18.75" customHeight="1" x14ac:dyDescent="0.2">
      <c r="A42" s="26" t="s">
        <v>196</v>
      </c>
      <c r="B42" s="23"/>
      <c r="C42" s="23"/>
      <c r="D42" s="24"/>
      <c r="E42" s="24"/>
      <c r="F42" s="23"/>
      <c r="G42" s="23"/>
      <c r="H42" s="25"/>
      <c r="I42" s="23"/>
      <c r="J42" s="23"/>
      <c r="K42" s="25"/>
      <c r="L42" s="23"/>
      <c r="M42" s="23"/>
    </row>
  </sheetData>
  <hyperlinks>
    <hyperlink ref="K4" location="'Schedule A-Summary'!A39" tooltip="This hyperlink will take you to the referenced footnote-footnote 2" display="'Schedule A-Summary'!A39"/>
    <hyperlink ref="K5" location="'Schedule A-Summary'!A39" tooltip="This hyperlink will take you to the referenced footnote-footnote 2" display="'Schedule A-Summary'!A39"/>
    <hyperlink ref="G2" location="'Schedule A-Summary'!A39" tooltip="This hyperlink will take you to the referenced footnote-footnote 1" display="Appropriation Balances1 "/>
    <hyperlink ref="L2" location="'Schedule A-Summary'!A39" tooltip="This hyperlink will take you to the referenced footnote-footnote 3" display="Less: Reappropriations3"/>
  </hyperlinks>
  <printOptions horizontalCentered="1" gridLines="1"/>
  <pageMargins left="0.35" right="0.35" top="1" bottom="1" header="0.3" footer="0.1"/>
  <pageSetup scale="48" orientation="landscape" r:id="rId1"/>
  <headerFooter>
    <oddHeader>&amp;C&amp;"Arial,Regular"&amp;12State Controller's Office
Schedule A: Summary of State-Mandated Program Appropriations, Receipts, and Payments 
As of April 1, 2021</oddHeader>
    <oddFooter>&amp;L&amp;"Arial,Regular"&amp;12Schedule A: Summary of State-Mandated Program Appropriations, Receipts, and Payments
&amp;R&amp;"Arial,Regular"&amp;12Page &amp;P of &amp;N</oddFooter>
  </headerFooter>
  <legacyDrawing r:id="rId2"/>
  <tableParts count="6">
    <tablePart r:id="rId3"/>
    <tablePart r:id="rId4"/>
    <tablePart r:id="rId5"/>
    <tablePart r:id="rId6"/>
    <tablePart r:id="rId7"/>
    <tablePart r:id="rId8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0"/>
  <sheetViews>
    <sheetView view="pageLayout" zoomScale="70" zoomScaleNormal="100" zoomScalePageLayoutView="70" workbookViewId="0">
      <selection activeCell="H40" sqref="H40"/>
    </sheetView>
  </sheetViews>
  <sheetFormatPr defaultRowHeight="15" x14ac:dyDescent="0.25"/>
  <cols>
    <col min="1" max="1" width="53.140625" customWidth="1"/>
    <col min="2" max="2" width="15.5703125" style="1" customWidth="1"/>
    <col min="3" max="3" width="25.5703125" style="1" customWidth="1"/>
    <col min="4" max="4" width="76.28515625" customWidth="1"/>
    <col min="5" max="5" width="12.5703125" style="1" customWidth="1"/>
    <col min="6" max="6" width="14.5703125" style="1" customWidth="1"/>
    <col min="7" max="7" width="16.5703125" style="41" customWidth="1"/>
    <col min="8" max="8" width="14.5703125" style="41" customWidth="1"/>
    <col min="9" max="9" width="15.7109375" style="41" customWidth="1"/>
  </cols>
  <sheetData>
    <row r="1" spans="1:9" ht="54" customHeight="1" x14ac:dyDescent="0.25">
      <c r="A1" s="20" t="s">
        <v>212</v>
      </c>
      <c r="B1" s="19"/>
      <c r="C1" s="19"/>
      <c r="D1" s="19"/>
      <c r="E1" s="19"/>
      <c r="F1" s="19"/>
      <c r="G1" s="19"/>
      <c r="H1" s="19"/>
      <c r="I1" s="19"/>
    </row>
    <row r="2" spans="1:9" ht="48" customHeight="1" x14ac:dyDescent="0.25">
      <c r="A2" s="28" t="s">
        <v>199</v>
      </c>
      <c r="B2" s="28" t="s">
        <v>200</v>
      </c>
      <c r="C2" s="28" t="s">
        <v>201</v>
      </c>
      <c r="D2" s="28" t="s">
        <v>202</v>
      </c>
      <c r="E2" s="28" t="s">
        <v>175</v>
      </c>
      <c r="F2" s="28" t="s">
        <v>203</v>
      </c>
      <c r="G2" s="28" t="s">
        <v>204</v>
      </c>
      <c r="H2" s="28" t="s">
        <v>205</v>
      </c>
      <c r="I2" s="28" t="s">
        <v>206</v>
      </c>
    </row>
    <row r="3" spans="1:9" ht="15.75" customHeight="1" x14ac:dyDescent="0.25">
      <c r="A3" s="23" t="s">
        <v>207</v>
      </c>
      <c r="B3" s="24" t="s">
        <v>43</v>
      </c>
      <c r="C3" s="24" t="s">
        <v>128</v>
      </c>
      <c r="D3" s="23" t="s">
        <v>5</v>
      </c>
      <c r="E3" s="115" t="s">
        <v>6</v>
      </c>
      <c r="F3" s="24">
        <v>152</v>
      </c>
      <c r="G3" s="55">
        <v>584999</v>
      </c>
      <c r="H3" s="116">
        <v>0</v>
      </c>
      <c r="I3" s="55">
        <v>584999</v>
      </c>
    </row>
    <row r="4" spans="1:9" ht="15.75" customHeight="1" x14ac:dyDescent="0.25">
      <c r="A4" s="23" t="s">
        <v>207</v>
      </c>
      <c r="B4" s="24" t="s">
        <v>43</v>
      </c>
      <c r="C4" s="24" t="s">
        <v>128</v>
      </c>
      <c r="D4" s="23" t="s">
        <v>7</v>
      </c>
      <c r="E4" s="115" t="s">
        <v>8</v>
      </c>
      <c r="F4" s="24">
        <v>90</v>
      </c>
      <c r="G4" s="55">
        <v>388169</v>
      </c>
      <c r="H4" s="116">
        <v>0</v>
      </c>
      <c r="I4" s="55">
        <v>388169</v>
      </c>
    </row>
    <row r="5" spans="1:9" ht="15.75" customHeight="1" x14ac:dyDescent="0.25">
      <c r="A5" s="23" t="s">
        <v>207</v>
      </c>
      <c r="B5" s="24" t="s">
        <v>43</v>
      </c>
      <c r="C5" s="24" t="s">
        <v>128</v>
      </c>
      <c r="D5" s="23" t="s">
        <v>9</v>
      </c>
      <c r="E5" s="115" t="s">
        <v>10</v>
      </c>
      <c r="F5" s="24">
        <v>262</v>
      </c>
      <c r="G5" s="55">
        <v>172453</v>
      </c>
      <c r="H5" s="116">
        <v>0</v>
      </c>
      <c r="I5" s="55">
        <v>172453</v>
      </c>
    </row>
    <row r="6" spans="1:9" ht="15.75" customHeight="1" x14ac:dyDescent="0.25">
      <c r="A6" s="23" t="s">
        <v>207</v>
      </c>
      <c r="B6" s="24" t="s">
        <v>43</v>
      </c>
      <c r="C6" s="24" t="s">
        <v>128</v>
      </c>
      <c r="D6" s="23" t="s">
        <v>11</v>
      </c>
      <c r="E6" s="115" t="s">
        <v>12</v>
      </c>
      <c r="F6" s="24">
        <v>13</v>
      </c>
      <c r="G6" s="55">
        <v>12872611</v>
      </c>
      <c r="H6" s="116">
        <v>0</v>
      </c>
      <c r="I6" s="55">
        <v>12872611</v>
      </c>
    </row>
    <row r="7" spans="1:9" ht="15.75" customHeight="1" x14ac:dyDescent="0.25">
      <c r="A7" s="23" t="s">
        <v>207</v>
      </c>
      <c r="B7" s="24" t="s">
        <v>43</v>
      </c>
      <c r="C7" s="24" t="s">
        <v>128</v>
      </c>
      <c r="D7" s="23" t="s">
        <v>13</v>
      </c>
      <c r="E7" s="115" t="s">
        <v>14</v>
      </c>
      <c r="F7" s="24">
        <v>167</v>
      </c>
      <c r="G7" s="55">
        <v>9508028</v>
      </c>
      <c r="H7" s="116">
        <v>0</v>
      </c>
      <c r="I7" s="55">
        <v>9508028</v>
      </c>
    </row>
    <row r="8" spans="1:9" ht="15.75" customHeight="1" x14ac:dyDescent="0.25">
      <c r="A8" s="23" t="s">
        <v>207</v>
      </c>
      <c r="B8" s="24" t="s">
        <v>43</v>
      </c>
      <c r="C8" s="24" t="s">
        <v>128</v>
      </c>
      <c r="D8" s="23" t="s">
        <v>15</v>
      </c>
      <c r="E8" s="115" t="s">
        <v>16</v>
      </c>
      <c r="F8" s="24">
        <v>274</v>
      </c>
      <c r="G8" s="55">
        <v>2220997</v>
      </c>
      <c r="H8" s="116">
        <v>0</v>
      </c>
      <c r="I8" s="55">
        <v>2220997</v>
      </c>
    </row>
    <row r="9" spans="1:9" ht="15.75" customHeight="1" x14ac:dyDescent="0.25">
      <c r="A9" s="23" t="s">
        <v>207</v>
      </c>
      <c r="B9" s="24" t="s">
        <v>43</v>
      </c>
      <c r="C9" s="24" t="s">
        <v>128</v>
      </c>
      <c r="D9" s="23" t="s">
        <v>17</v>
      </c>
      <c r="E9" s="115" t="s">
        <v>18</v>
      </c>
      <c r="F9" s="24">
        <v>177</v>
      </c>
      <c r="G9" s="55">
        <v>2297992</v>
      </c>
      <c r="H9" s="116">
        <v>0</v>
      </c>
      <c r="I9" s="55">
        <v>2297992</v>
      </c>
    </row>
    <row r="10" spans="1:9" ht="15.75" customHeight="1" x14ac:dyDescent="0.25">
      <c r="A10" s="23" t="s">
        <v>207</v>
      </c>
      <c r="B10" s="24" t="s">
        <v>43</v>
      </c>
      <c r="C10" s="24" t="s">
        <v>128</v>
      </c>
      <c r="D10" s="23" t="s">
        <v>19</v>
      </c>
      <c r="E10" s="115" t="s">
        <v>20</v>
      </c>
      <c r="F10" s="24">
        <v>197</v>
      </c>
      <c r="G10" s="55">
        <v>2616223</v>
      </c>
      <c r="H10" s="116">
        <v>0</v>
      </c>
      <c r="I10" s="55">
        <v>2616223</v>
      </c>
    </row>
    <row r="11" spans="1:9" ht="15.75" customHeight="1" x14ac:dyDescent="0.25">
      <c r="A11" s="23" t="s">
        <v>207</v>
      </c>
      <c r="B11" s="24" t="s">
        <v>43</v>
      </c>
      <c r="C11" s="24" t="s">
        <v>128</v>
      </c>
      <c r="D11" s="23" t="s">
        <v>21</v>
      </c>
      <c r="E11" s="115" t="s">
        <v>22</v>
      </c>
      <c r="F11" s="24">
        <v>371</v>
      </c>
      <c r="G11" s="55">
        <v>201582</v>
      </c>
      <c r="H11" s="116">
        <v>0</v>
      </c>
      <c r="I11" s="55">
        <v>201582</v>
      </c>
    </row>
    <row r="12" spans="1:9" ht="15.75" customHeight="1" x14ac:dyDescent="0.25">
      <c r="A12" s="23" t="s">
        <v>207</v>
      </c>
      <c r="B12" s="24" t="s">
        <v>43</v>
      </c>
      <c r="C12" s="24" t="s">
        <v>128</v>
      </c>
      <c r="D12" s="23" t="s">
        <v>23</v>
      </c>
      <c r="E12" s="115" t="s">
        <v>24</v>
      </c>
      <c r="F12" s="24">
        <v>334</v>
      </c>
      <c r="G12" s="55">
        <v>16200</v>
      </c>
      <c r="H12" s="116">
        <v>0</v>
      </c>
      <c r="I12" s="55">
        <v>16200</v>
      </c>
    </row>
    <row r="13" spans="1:9" ht="15.75" customHeight="1" x14ac:dyDescent="0.25">
      <c r="A13" s="23" t="s">
        <v>207</v>
      </c>
      <c r="B13" s="24" t="s">
        <v>43</v>
      </c>
      <c r="C13" s="24" t="s">
        <v>128</v>
      </c>
      <c r="D13" s="23" t="s">
        <v>25</v>
      </c>
      <c r="E13" s="115" t="s">
        <v>26</v>
      </c>
      <c r="F13" s="24">
        <v>43</v>
      </c>
      <c r="G13" s="55">
        <v>8146</v>
      </c>
      <c r="H13" s="116">
        <v>0</v>
      </c>
      <c r="I13" s="55">
        <v>8146</v>
      </c>
    </row>
    <row r="14" spans="1:9" ht="15.75" customHeight="1" x14ac:dyDescent="0.25">
      <c r="A14" s="23" t="s">
        <v>207</v>
      </c>
      <c r="B14" s="24" t="s">
        <v>43</v>
      </c>
      <c r="C14" s="24" t="s">
        <v>128</v>
      </c>
      <c r="D14" s="23" t="s">
        <v>27</v>
      </c>
      <c r="E14" s="115" t="s">
        <v>28</v>
      </c>
      <c r="F14" s="24">
        <v>361</v>
      </c>
      <c r="G14" s="55">
        <v>1628</v>
      </c>
      <c r="H14" s="116">
        <v>0</v>
      </c>
      <c r="I14" s="55">
        <v>1628</v>
      </c>
    </row>
    <row r="15" spans="1:9" ht="15.75" customHeight="1" x14ac:dyDescent="0.25">
      <c r="A15" s="23" t="s">
        <v>207</v>
      </c>
      <c r="B15" s="24" t="s">
        <v>43</v>
      </c>
      <c r="C15" s="24" t="s">
        <v>128</v>
      </c>
      <c r="D15" s="23" t="s">
        <v>29</v>
      </c>
      <c r="E15" s="115" t="s">
        <v>30</v>
      </c>
      <c r="F15" s="24">
        <v>264</v>
      </c>
      <c r="G15" s="55">
        <v>785067</v>
      </c>
      <c r="H15" s="116">
        <v>0</v>
      </c>
      <c r="I15" s="55">
        <v>785067</v>
      </c>
    </row>
    <row r="16" spans="1:9" ht="15.75" customHeight="1" x14ac:dyDescent="0.25">
      <c r="A16" s="23" t="s">
        <v>207</v>
      </c>
      <c r="B16" s="24" t="s">
        <v>43</v>
      </c>
      <c r="C16" s="24" t="s">
        <v>128</v>
      </c>
      <c r="D16" s="23" t="s">
        <v>33</v>
      </c>
      <c r="E16" s="115" t="s">
        <v>34</v>
      </c>
      <c r="F16" s="24">
        <v>127</v>
      </c>
      <c r="G16" s="55">
        <v>583727</v>
      </c>
      <c r="H16" s="116">
        <v>0</v>
      </c>
      <c r="I16" s="55">
        <v>583727</v>
      </c>
    </row>
    <row r="17" spans="1:9" ht="15.75" customHeight="1" x14ac:dyDescent="0.25">
      <c r="A17" s="23" t="s">
        <v>207</v>
      </c>
      <c r="B17" s="24" t="s">
        <v>43</v>
      </c>
      <c r="C17" s="24" t="s">
        <v>128</v>
      </c>
      <c r="D17" s="23" t="s">
        <v>35</v>
      </c>
      <c r="E17" s="115" t="s">
        <v>36</v>
      </c>
      <c r="F17" s="24">
        <v>175</v>
      </c>
      <c r="G17" s="55">
        <v>3688999</v>
      </c>
      <c r="H17" s="116">
        <v>0</v>
      </c>
      <c r="I17" s="55">
        <v>3688999</v>
      </c>
    </row>
    <row r="18" spans="1:9" ht="15.75" customHeight="1" x14ac:dyDescent="0.25">
      <c r="A18" s="23" t="s">
        <v>207</v>
      </c>
      <c r="B18" s="24" t="s">
        <v>43</v>
      </c>
      <c r="C18" s="24" t="s">
        <v>128</v>
      </c>
      <c r="D18" s="23" t="s">
        <v>37</v>
      </c>
      <c r="E18" s="115" t="s">
        <v>38</v>
      </c>
      <c r="F18" s="24">
        <v>360</v>
      </c>
      <c r="G18" s="55">
        <v>703084</v>
      </c>
      <c r="H18" s="116">
        <v>0</v>
      </c>
      <c r="I18" s="55">
        <v>703084</v>
      </c>
    </row>
    <row r="19" spans="1:9" ht="15.75" customHeight="1" x14ac:dyDescent="0.25">
      <c r="A19" s="23" t="s">
        <v>207</v>
      </c>
      <c r="B19" s="24" t="s">
        <v>43</v>
      </c>
      <c r="C19" s="24" t="s">
        <v>128</v>
      </c>
      <c r="D19" s="23" t="s">
        <v>39</v>
      </c>
      <c r="E19" s="115" t="s">
        <v>40</v>
      </c>
      <c r="F19" s="24">
        <v>345</v>
      </c>
      <c r="G19" s="55">
        <v>232475</v>
      </c>
      <c r="H19" s="116">
        <v>0</v>
      </c>
      <c r="I19" s="55">
        <v>232475</v>
      </c>
    </row>
    <row r="20" spans="1:9" ht="15.75" customHeight="1" x14ac:dyDescent="0.25">
      <c r="A20" s="23" t="s">
        <v>207</v>
      </c>
      <c r="B20" s="24" t="s">
        <v>43</v>
      </c>
      <c r="C20" s="24" t="s">
        <v>128</v>
      </c>
      <c r="D20" s="23" t="s">
        <v>41</v>
      </c>
      <c r="E20" s="115" t="s">
        <v>42</v>
      </c>
      <c r="F20" s="24">
        <v>372</v>
      </c>
      <c r="G20" s="55">
        <v>813201</v>
      </c>
      <c r="H20" s="116">
        <v>0</v>
      </c>
      <c r="I20" s="55">
        <v>813201</v>
      </c>
    </row>
    <row r="21" spans="1:9" ht="15.75" customHeight="1" x14ac:dyDescent="0.25">
      <c r="A21" s="23" t="s">
        <v>207</v>
      </c>
      <c r="B21" s="24" t="s">
        <v>44</v>
      </c>
      <c r="C21" s="24" t="s">
        <v>128</v>
      </c>
      <c r="D21" s="23" t="s">
        <v>21</v>
      </c>
      <c r="E21" s="115" t="s">
        <v>22</v>
      </c>
      <c r="F21" s="24">
        <v>371</v>
      </c>
      <c r="G21" s="55">
        <v>326114</v>
      </c>
      <c r="H21" s="116">
        <v>0</v>
      </c>
      <c r="I21" s="55">
        <v>326114</v>
      </c>
    </row>
    <row r="22" spans="1:9" ht="15.75" customHeight="1" x14ac:dyDescent="0.25">
      <c r="A22" s="23" t="s">
        <v>207</v>
      </c>
      <c r="B22" s="24" t="s">
        <v>44</v>
      </c>
      <c r="C22" s="24" t="s">
        <v>128</v>
      </c>
      <c r="D22" s="23" t="s">
        <v>41</v>
      </c>
      <c r="E22" s="115" t="s">
        <v>42</v>
      </c>
      <c r="F22" s="24">
        <v>372</v>
      </c>
      <c r="G22" s="55">
        <v>1284690</v>
      </c>
      <c r="H22" s="116">
        <v>0</v>
      </c>
      <c r="I22" s="55">
        <v>1284690</v>
      </c>
    </row>
    <row r="23" spans="1:9" ht="15.75" customHeight="1" x14ac:dyDescent="0.25">
      <c r="A23" s="23" t="s">
        <v>207</v>
      </c>
      <c r="B23" s="24" t="s">
        <v>45</v>
      </c>
      <c r="C23" s="24" t="s">
        <v>128</v>
      </c>
      <c r="D23" s="23" t="s">
        <v>21</v>
      </c>
      <c r="E23" s="115" t="s">
        <v>22</v>
      </c>
      <c r="F23" s="24">
        <v>371</v>
      </c>
      <c r="G23" s="55">
        <v>106277</v>
      </c>
      <c r="H23" s="116">
        <v>0</v>
      </c>
      <c r="I23" s="55">
        <v>106277</v>
      </c>
    </row>
    <row r="24" spans="1:9" ht="15.75" customHeight="1" x14ac:dyDescent="0.25">
      <c r="A24" s="23" t="s">
        <v>207</v>
      </c>
      <c r="B24" s="24" t="s">
        <v>45</v>
      </c>
      <c r="C24" s="24" t="s">
        <v>128</v>
      </c>
      <c r="D24" s="23" t="s">
        <v>41</v>
      </c>
      <c r="E24" s="115" t="s">
        <v>42</v>
      </c>
      <c r="F24" s="24">
        <v>372</v>
      </c>
      <c r="G24" s="55">
        <v>1202109</v>
      </c>
      <c r="H24" s="116">
        <v>0</v>
      </c>
      <c r="I24" s="55">
        <v>1202109</v>
      </c>
    </row>
    <row r="25" spans="1:9" ht="15.75" customHeight="1" x14ac:dyDescent="0.25">
      <c r="A25" s="23" t="s">
        <v>207</v>
      </c>
      <c r="B25" s="24" t="s">
        <v>46</v>
      </c>
      <c r="C25" s="24" t="s">
        <v>128</v>
      </c>
      <c r="D25" s="23" t="s">
        <v>21</v>
      </c>
      <c r="E25" s="115" t="s">
        <v>22</v>
      </c>
      <c r="F25" s="24">
        <v>371</v>
      </c>
      <c r="G25" s="55">
        <v>532224</v>
      </c>
      <c r="H25" s="116">
        <v>0</v>
      </c>
      <c r="I25" s="55">
        <v>532224</v>
      </c>
    </row>
    <row r="26" spans="1:9" ht="15.75" customHeight="1" x14ac:dyDescent="0.25">
      <c r="A26" s="43" t="s">
        <v>138</v>
      </c>
      <c r="B26" s="117" t="s">
        <v>153</v>
      </c>
      <c r="C26" s="117" t="s">
        <v>153</v>
      </c>
      <c r="D26" s="118" t="s">
        <v>153</v>
      </c>
      <c r="E26" s="119" t="s">
        <v>153</v>
      </c>
      <c r="F26" s="117" t="s">
        <v>153</v>
      </c>
      <c r="G26" s="103">
        <f>SUBTOTAL(109,localannualclaim20[Program 
Payments and Offsets])</f>
        <v>41146995</v>
      </c>
      <c r="H26" s="120">
        <f>SUBTOTAL(109,localannualclaim20[Interest
Payments and Offsets])</f>
        <v>0</v>
      </c>
      <c r="I26" s="103">
        <f>SUBTOTAL(109,localannualclaim20[Total 
Payments])</f>
        <v>41146995</v>
      </c>
    </row>
    <row r="27" spans="1:9" ht="15.75" customHeight="1" x14ac:dyDescent="0.25">
      <c r="A27" s="64" t="s">
        <v>181</v>
      </c>
      <c r="B27" s="121"/>
      <c r="C27" s="121"/>
      <c r="D27" s="122"/>
      <c r="E27" s="123"/>
      <c r="F27" s="121"/>
      <c r="G27" s="42"/>
      <c r="H27" s="124"/>
      <c r="I27" s="42"/>
    </row>
    <row r="28" spans="1:9" ht="48" customHeight="1" x14ac:dyDescent="0.25">
      <c r="A28" s="28" t="s">
        <v>199</v>
      </c>
      <c r="B28" s="28" t="s">
        <v>200</v>
      </c>
      <c r="C28" s="28" t="s">
        <v>201</v>
      </c>
      <c r="D28" s="28" t="s">
        <v>202</v>
      </c>
      <c r="E28" s="28" t="s">
        <v>175</v>
      </c>
      <c r="F28" s="28" t="s">
        <v>203</v>
      </c>
      <c r="G28" s="28" t="s">
        <v>204</v>
      </c>
      <c r="H28" s="28" t="s">
        <v>205</v>
      </c>
      <c r="I28" s="28" t="s">
        <v>206</v>
      </c>
    </row>
    <row r="29" spans="1:9" ht="15.75" customHeight="1" x14ac:dyDescent="0.25">
      <c r="A29" s="23" t="s">
        <v>207</v>
      </c>
      <c r="B29" s="24" t="s">
        <v>44</v>
      </c>
      <c r="C29" s="24" t="s">
        <v>126</v>
      </c>
      <c r="D29" s="23" t="s">
        <v>5</v>
      </c>
      <c r="E29" s="115" t="s">
        <v>6</v>
      </c>
      <c r="F29" s="24">
        <v>152</v>
      </c>
      <c r="G29" s="55">
        <v>15985</v>
      </c>
      <c r="H29" s="56">
        <v>0</v>
      </c>
      <c r="I29" s="55">
        <v>15985</v>
      </c>
    </row>
    <row r="30" spans="1:9" ht="15.75" customHeight="1" x14ac:dyDescent="0.25">
      <c r="A30" s="23" t="s">
        <v>207</v>
      </c>
      <c r="B30" s="24" t="s">
        <v>44</v>
      </c>
      <c r="C30" s="24" t="s">
        <v>126</v>
      </c>
      <c r="D30" s="23" t="s">
        <v>9</v>
      </c>
      <c r="E30" s="115" t="s">
        <v>10</v>
      </c>
      <c r="F30" s="24">
        <v>262</v>
      </c>
      <c r="G30" s="55">
        <v>2482</v>
      </c>
      <c r="H30" s="56">
        <v>0</v>
      </c>
      <c r="I30" s="55">
        <v>2482</v>
      </c>
    </row>
    <row r="31" spans="1:9" ht="15.75" customHeight="1" x14ac:dyDescent="0.25">
      <c r="A31" s="23" t="s">
        <v>207</v>
      </c>
      <c r="B31" s="24" t="s">
        <v>44</v>
      </c>
      <c r="C31" s="24" t="s">
        <v>126</v>
      </c>
      <c r="D31" s="23" t="s">
        <v>11</v>
      </c>
      <c r="E31" s="115" t="s">
        <v>12</v>
      </c>
      <c r="F31" s="24">
        <v>13</v>
      </c>
      <c r="G31" s="55">
        <v>13910</v>
      </c>
      <c r="H31" s="56">
        <v>0</v>
      </c>
      <c r="I31" s="55">
        <v>13910</v>
      </c>
    </row>
    <row r="32" spans="1:9" ht="15.75" customHeight="1" x14ac:dyDescent="0.25">
      <c r="A32" s="23" t="s">
        <v>207</v>
      </c>
      <c r="B32" s="24" t="s">
        <v>44</v>
      </c>
      <c r="C32" s="24" t="s">
        <v>126</v>
      </c>
      <c r="D32" s="23" t="s">
        <v>13</v>
      </c>
      <c r="E32" s="115" t="s">
        <v>14</v>
      </c>
      <c r="F32" s="24">
        <v>167</v>
      </c>
      <c r="G32" s="55">
        <v>290312</v>
      </c>
      <c r="H32" s="56">
        <v>0</v>
      </c>
      <c r="I32" s="55">
        <v>290312</v>
      </c>
    </row>
    <row r="33" spans="1:9" ht="15.75" customHeight="1" x14ac:dyDescent="0.25">
      <c r="A33" s="23" t="s">
        <v>207</v>
      </c>
      <c r="B33" s="24" t="s">
        <v>44</v>
      </c>
      <c r="C33" s="24" t="s">
        <v>126</v>
      </c>
      <c r="D33" s="23" t="s">
        <v>15</v>
      </c>
      <c r="E33" s="115" t="s">
        <v>16</v>
      </c>
      <c r="F33" s="24">
        <v>274</v>
      </c>
      <c r="G33" s="55">
        <v>74509</v>
      </c>
      <c r="H33" s="56">
        <v>0</v>
      </c>
      <c r="I33" s="55">
        <v>74509</v>
      </c>
    </row>
    <row r="34" spans="1:9" ht="15.75" customHeight="1" x14ac:dyDescent="0.25">
      <c r="A34" s="23" t="s">
        <v>207</v>
      </c>
      <c r="B34" s="24" t="s">
        <v>44</v>
      </c>
      <c r="C34" s="24" t="s">
        <v>126</v>
      </c>
      <c r="D34" s="23" t="s">
        <v>17</v>
      </c>
      <c r="E34" s="115" t="s">
        <v>18</v>
      </c>
      <c r="F34" s="24">
        <v>177</v>
      </c>
      <c r="G34" s="55">
        <v>22449</v>
      </c>
      <c r="H34" s="56">
        <v>0</v>
      </c>
      <c r="I34" s="55">
        <v>22449</v>
      </c>
    </row>
    <row r="35" spans="1:9" ht="15.75" customHeight="1" x14ac:dyDescent="0.25">
      <c r="A35" s="23" t="s">
        <v>207</v>
      </c>
      <c r="B35" s="24" t="s">
        <v>44</v>
      </c>
      <c r="C35" s="24" t="s">
        <v>126</v>
      </c>
      <c r="D35" s="23" t="s">
        <v>19</v>
      </c>
      <c r="E35" s="115" t="s">
        <v>20</v>
      </c>
      <c r="F35" s="24">
        <v>197</v>
      </c>
      <c r="G35" s="55">
        <v>28607</v>
      </c>
      <c r="H35" s="56">
        <v>0</v>
      </c>
      <c r="I35" s="55">
        <v>28607</v>
      </c>
    </row>
    <row r="36" spans="1:9" ht="15.75" customHeight="1" x14ac:dyDescent="0.25">
      <c r="A36" s="23" t="s">
        <v>207</v>
      </c>
      <c r="B36" s="24" t="s">
        <v>44</v>
      </c>
      <c r="C36" s="24" t="s">
        <v>126</v>
      </c>
      <c r="D36" s="23" t="s">
        <v>29</v>
      </c>
      <c r="E36" s="115" t="s">
        <v>30</v>
      </c>
      <c r="F36" s="24">
        <v>264</v>
      </c>
      <c r="G36" s="55">
        <v>14296</v>
      </c>
      <c r="H36" s="56">
        <v>0</v>
      </c>
      <c r="I36" s="55">
        <v>14296</v>
      </c>
    </row>
    <row r="37" spans="1:9" ht="15.75" customHeight="1" x14ac:dyDescent="0.25">
      <c r="A37" s="23" t="s">
        <v>207</v>
      </c>
      <c r="B37" s="24" t="s">
        <v>44</v>
      </c>
      <c r="C37" s="24" t="s">
        <v>126</v>
      </c>
      <c r="D37" s="23" t="s">
        <v>33</v>
      </c>
      <c r="E37" s="115" t="s">
        <v>34</v>
      </c>
      <c r="F37" s="24">
        <v>127</v>
      </c>
      <c r="G37" s="55">
        <v>15102</v>
      </c>
      <c r="H37" s="56">
        <v>0</v>
      </c>
      <c r="I37" s="55">
        <v>15102</v>
      </c>
    </row>
    <row r="38" spans="1:9" ht="15.75" customHeight="1" x14ac:dyDescent="0.25">
      <c r="A38" s="23" t="s">
        <v>207</v>
      </c>
      <c r="B38" s="24" t="s">
        <v>44</v>
      </c>
      <c r="C38" s="24" t="s">
        <v>126</v>
      </c>
      <c r="D38" s="23" t="s">
        <v>37</v>
      </c>
      <c r="E38" s="115" t="s">
        <v>38</v>
      </c>
      <c r="F38" s="24">
        <v>360</v>
      </c>
      <c r="G38" s="55">
        <v>84430</v>
      </c>
      <c r="H38" s="56">
        <v>0</v>
      </c>
      <c r="I38" s="55">
        <v>84430</v>
      </c>
    </row>
    <row r="39" spans="1:9" ht="15.75" customHeight="1" x14ac:dyDescent="0.25">
      <c r="A39" s="23" t="s">
        <v>207</v>
      </c>
      <c r="B39" s="24" t="s">
        <v>49</v>
      </c>
      <c r="C39" s="24" t="s">
        <v>126</v>
      </c>
      <c r="D39" s="23" t="s">
        <v>137</v>
      </c>
      <c r="E39" s="115" t="s">
        <v>136</v>
      </c>
      <c r="F39" s="24">
        <v>282</v>
      </c>
      <c r="G39" s="55">
        <v>24677</v>
      </c>
      <c r="H39" s="55">
        <v>2116</v>
      </c>
      <c r="I39" s="55">
        <v>26793</v>
      </c>
    </row>
    <row r="40" spans="1:9" ht="15.75" customHeight="1" x14ac:dyDescent="0.25">
      <c r="A40" s="43" t="s">
        <v>135</v>
      </c>
      <c r="B40" s="117" t="s">
        <v>153</v>
      </c>
      <c r="C40" s="117" t="s">
        <v>153</v>
      </c>
      <c r="D40" s="117" t="s">
        <v>153</v>
      </c>
      <c r="E40" s="117" t="s">
        <v>153</v>
      </c>
      <c r="F40" s="117" t="s">
        <v>153</v>
      </c>
      <c r="G40" s="103">
        <f>SUBTOTAL(109,localannualclaim19[Program 
Payments and Offsets])</f>
        <v>586759</v>
      </c>
      <c r="H40" s="103">
        <f>SUBTOTAL(109,localannualclaim19[Interest
Payments and Offsets])</f>
        <v>2116</v>
      </c>
      <c r="I40" s="103">
        <f>SUBTOTAL(109,localannualclaim19[Total 
Payments])</f>
        <v>588875</v>
      </c>
    </row>
    <row r="41" spans="1:9" ht="15.75" customHeight="1" x14ac:dyDescent="0.25">
      <c r="A41" s="64" t="s">
        <v>181</v>
      </c>
      <c r="B41" s="24"/>
      <c r="C41" s="24"/>
      <c r="D41" s="23"/>
      <c r="E41" s="24"/>
      <c r="F41" s="24"/>
      <c r="G41" s="55"/>
      <c r="H41" s="55"/>
      <c r="I41" s="55"/>
    </row>
    <row r="42" spans="1:9" ht="48" customHeight="1" x14ac:dyDescent="0.25">
      <c r="A42" s="28" t="s">
        <v>199</v>
      </c>
      <c r="B42" s="28" t="s">
        <v>200</v>
      </c>
      <c r="C42" s="28" t="s">
        <v>201</v>
      </c>
      <c r="D42" s="28" t="s">
        <v>202</v>
      </c>
      <c r="E42" s="28" t="s">
        <v>175</v>
      </c>
      <c r="F42" s="28" t="s">
        <v>203</v>
      </c>
      <c r="G42" s="28" t="s">
        <v>204</v>
      </c>
      <c r="H42" s="28" t="s">
        <v>205</v>
      </c>
      <c r="I42" s="28" t="s">
        <v>206</v>
      </c>
    </row>
    <row r="43" spans="1:9" ht="15.75" customHeight="1" x14ac:dyDescent="0.25">
      <c r="A43" s="23" t="s">
        <v>207</v>
      </c>
      <c r="B43" s="24" t="s">
        <v>46</v>
      </c>
      <c r="C43" s="24" t="s">
        <v>125</v>
      </c>
      <c r="D43" s="23" t="s">
        <v>11</v>
      </c>
      <c r="E43" s="115" t="s">
        <v>12</v>
      </c>
      <c r="F43" s="24">
        <v>13</v>
      </c>
      <c r="G43" s="56">
        <v>0</v>
      </c>
      <c r="H43" s="55">
        <v>894</v>
      </c>
      <c r="I43" s="55">
        <v>894</v>
      </c>
    </row>
    <row r="44" spans="1:9" ht="15.75" customHeight="1" x14ac:dyDescent="0.25">
      <c r="A44" s="23" t="s">
        <v>207</v>
      </c>
      <c r="B44" s="24" t="s">
        <v>46</v>
      </c>
      <c r="C44" s="24" t="s">
        <v>125</v>
      </c>
      <c r="D44" s="23" t="s">
        <v>13</v>
      </c>
      <c r="E44" s="115" t="s">
        <v>14</v>
      </c>
      <c r="F44" s="24">
        <v>167</v>
      </c>
      <c r="G44" s="56">
        <v>0</v>
      </c>
      <c r="H44" s="55">
        <v>21156</v>
      </c>
      <c r="I44" s="55">
        <v>21156</v>
      </c>
    </row>
    <row r="45" spans="1:9" ht="15.75" customHeight="1" x14ac:dyDescent="0.25">
      <c r="A45" s="23" t="s">
        <v>207</v>
      </c>
      <c r="B45" s="24" t="s">
        <v>46</v>
      </c>
      <c r="C45" s="24" t="s">
        <v>125</v>
      </c>
      <c r="D45" s="23" t="s">
        <v>17</v>
      </c>
      <c r="E45" s="115" t="s">
        <v>18</v>
      </c>
      <c r="F45" s="24">
        <v>177</v>
      </c>
      <c r="G45" s="56">
        <v>0</v>
      </c>
      <c r="H45" s="55">
        <v>4558</v>
      </c>
      <c r="I45" s="55">
        <v>4558</v>
      </c>
    </row>
    <row r="46" spans="1:9" ht="15.75" customHeight="1" x14ac:dyDescent="0.25">
      <c r="A46" s="23" t="s">
        <v>207</v>
      </c>
      <c r="B46" s="24" t="s">
        <v>47</v>
      </c>
      <c r="C46" s="24" t="s">
        <v>125</v>
      </c>
      <c r="D46" s="23" t="s">
        <v>17</v>
      </c>
      <c r="E46" s="115" t="s">
        <v>18</v>
      </c>
      <c r="F46" s="24">
        <v>177</v>
      </c>
      <c r="G46" s="56">
        <v>0</v>
      </c>
      <c r="H46" s="55">
        <v>373</v>
      </c>
      <c r="I46" s="55">
        <v>373</v>
      </c>
    </row>
    <row r="47" spans="1:9" ht="15.75" customHeight="1" x14ac:dyDescent="0.25">
      <c r="A47" s="23" t="s">
        <v>207</v>
      </c>
      <c r="B47" s="24" t="s">
        <v>47</v>
      </c>
      <c r="C47" s="24" t="s">
        <v>125</v>
      </c>
      <c r="D47" s="23" t="s">
        <v>19</v>
      </c>
      <c r="E47" s="115" t="s">
        <v>20</v>
      </c>
      <c r="F47" s="24">
        <v>197</v>
      </c>
      <c r="G47" s="56">
        <v>0</v>
      </c>
      <c r="H47" s="55">
        <v>2249</v>
      </c>
      <c r="I47" s="55">
        <v>2249</v>
      </c>
    </row>
    <row r="48" spans="1:9" ht="15.75" customHeight="1" x14ac:dyDescent="0.25">
      <c r="A48" s="23" t="s">
        <v>207</v>
      </c>
      <c r="B48" s="24" t="s">
        <v>47</v>
      </c>
      <c r="C48" s="24" t="s">
        <v>125</v>
      </c>
      <c r="D48" s="23" t="s">
        <v>23</v>
      </c>
      <c r="E48" s="115" t="s">
        <v>24</v>
      </c>
      <c r="F48" s="24">
        <v>334</v>
      </c>
      <c r="G48" s="56">
        <v>0</v>
      </c>
      <c r="H48" s="55">
        <v>40</v>
      </c>
      <c r="I48" s="55">
        <v>40</v>
      </c>
    </row>
    <row r="49" spans="1:9" ht="15.75" customHeight="1" x14ac:dyDescent="0.25">
      <c r="A49" s="23" t="s">
        <v>207</v>
      </c>
      <c r="B49" s="24" t="s">
        <v>47</v>
      </c>
      <c r="C49" s="24" t="s">
        <v>125</v>
      </c>
      <c r="D49" s="23" t="s">
        <v>29</v>
      </c>
      <c r="E49" s="115" t="s">
        <v>30</v>
      </c>
      <c r="F49" s="24">
        <v>264</v>
      </c>
      <c r="G49" s="56">
        <v>0</v>
      </c>
      <c r="H49" s="55">
        <v>96</v>
      </c>
      <c r="I49" s="55">
        <v>96</v>
      </c>
    </row>
    <row r="50" spans="1:9" ht="15.75" customHeight="1" x14ac:dyDescent="0.25">
      <c r="A50" s="23" t="s">
        <v>207</v>
      </c>
      <c r="B50" s="24" t="s">
        <v>47</v>
      </c>
      <c r="C50" s="24" t="s">
        <v>125</v>
      </c>
      <c r="D50" s="23" t="s">
        <v>33</v>
      </c>
      <c r="E50" s="115" t="s">
        <v>34</v>
      </c>
      <c r="F50" s="24">
        <v>127</v>
      </c>
      <c r="G50" s="56">
        <v>0</v>
      </c>
      <c r="H50" s="55">
        <v>38</v>
      </c>
      <c r="I50" s="55">
        <v>38</v>
      </c>
    </row>
    <row r="51" spans="1:9" ht="15.75" customHeight="1" x14ac:dyDescent="0.25">
      <c r="A51" s="23" t="s">
        <v>207</v>
      </c>
      <c r="B51" s="24" t="s">
        <v>47</v>
      </c>
      <c r="C51" s="24" t="s">
        <v>125</v>
      </c>
      <c r="D51" s="23" t="s">
        <v>39</v>
      </c>
      <c r="E51" s="115" t="s">
        <v>40</v>
      </c>
      <c r="F51" s="24">
        <v>345</v>
      </c>
      <c r="G51" s="56">
        <v>0</v>
      </c>
      <c r="H51" s="55">
        <v>22</v>
      </c>
      <c r="I51" s="55">
        <v>22</v>
      </c>
    </row>
    <row r="52" spans="1:9" ht="15.75" customHeight="1" x14ac:dyDescent="0.25">
      <c r="A52" s="23" t="s">
        <v>207</v>
      </c>
      <c r="B52" s="24" t="s">
        <v>1</v>
      </c>
      <c r="C52" s="24" t="s">
        <v>125</v>
      </c>
      <c r="D52" s="23" t="s">
        <v>139</v>
      </c>
      <c r="E52" s="115" t="s">
        <v>140</v>
      </c>
      <c r="F52" s="24">
        <v>273</v>
      </c>
      <c r="G52" s="56">
        <v>0</v>
      </c>
      <c r="H52" s="55">
        <v>97337</v>
      </c>
      <c r="I52" s="55">
        <v>97337</v>
      </c>
    </row>
    <row r="53" spans="1:9" ht="15.75" customHeight="1" x14ac:dyDescent="0.25">
      <c r="A53" s="23" t="s">
        <v>207</v>
      </c>
      <c r="B53" s="24" t="s">
        <v>48</v>
      </c>
      <c r="C53" s="24" t="s">
        <v>125</v>
      </c>
      <c r="D53" s="23" t="s">
        <v>139</v>
      </c>
      <c r="E53" s="115" t="s">
        <v>140</v>
      </c>
      <c r="F53" s="24">
        <v>273</v>
      </c>
      <c r="G53" s="56">
        <v>0</v>
      </c>
      <c r="H53" s="55">
        <v>54230</v>
      </c>
      <c r="I53" s="55">
        <v>54230</v>
      </c>
    </row>
    <row r="54" spans="1:9" ht="15.75" customHeight="1" x14ac:dyDescent="0.25">
      <c r="A54" s="43" t="s">
        <v>134</v>
      </c>
      <c r="B54" s="117" t="s">
        <v>153</v>
      </c>
      <c r="C54" s="117" t="s">
        <v>153</v>
      </c>
      <c r="D54" s="117" t="s">
        <v>153</v>
      </c>
      <c r="E54" s="117" t="s">
        <v>153</v>
      </c>
      <c r="F54" s="117" t="s">
        <v>153</v>
      </c>
      <c r="G54" s="104">
        <f>SUBTOTAL(109,localannualclaim18[Program 
Payments and Offsets])</f>
        <v>0</v>
      </c>
      <c r="H54" s="103">
        <f>SUBTOTAL(109,localannualclaim18[Interest
Payments and Offsets])</f>
        <v>180993</v>
      </c>
      <c r="I54" s="103">
        <f>SUBTOTAL(109,localannualclaim18[Total 
Payments])</f>
        <v>180993</v>
      </c>
    </row>
    <row r="55" spans="1:9" ht="15.75" customHeight="1" x14ac:dyDescent="0.25">
      <c r="A55" s="64" t="s">
        <v>181</v>
      </c>
      <c r="B55" s="24"/>
      <c r="C55" s="24"/>
      <c r="D55" s="23"/>
      <c r="E55" s="24"/>
      <c r="F55" s="24"/>
      <c r="G55" s="55"/>
      <c r="H55" s="55"/>
      <c r="I55" s="55"/>
    </row>
    <row r="56" spans="1:9" ht="48" customHeight="1" x14ac:dyDescent="0.25">
      <c r="A56" s="28" t="s">
        <v>199</v>
      </c>
      <c r="B56" s="28" t="s">
        <v>200</v>
      </c>
      <c r="C56" s="28" t="s">
        <v>201</v>
      </c>
      <c r="D56" s="28" t="s">
        <v>202</v>
      </c>
      <c r="E56" s="28" t="s">
        <v>175</v>
      </c>
      <c r="F56" s="28" t="s">
        <v>203</v>
      </c>
      <c r="G56" s="28" t="s">
        <v>204</v>
      </c>
      <c r="H56" s="28" t="s">
        <v>205</v>
      </c>
      <c r="I56" s="28" t="s">
        <v>206</v>
      </c>
    </row>
    <row r="57" spans="1:9" ht="15.75" customHeight="1" x14ac:dyDescent="0.25">
      <c r="A57" s="23" t="s">
        <v>209</v>
      </c>
      <c r="B57" s="24" t="s">
        <v>43</v>
      </c>
      <c r="C57" s="24" t="s">
        <v>123</v>
      </c>
      <c r="D57" s="23" t="s">
        <v>3</v>
      </c>
      <c r="E57" s="24" t="s">
        <v>4</v>
      </c>
      <c r="F57" s="24">
        <v>246</v>
      </c>
      <c r="G57" s="55">
        <v>1949892</v>
      </c>
      <c r="H57" s="56">
        <v>0</v>
      </c>
      <c r="I57" s="55">
        <v>1949892</v>
      </c>
    </row>
    <row r="58" spans="1:9" ht="15.75" customHeight="1" x14ac:dyDescent="0.25">
      <c r="A58" s="43" t="s">
        <v>133</v>
      </c>
      <c r="B58" s="117" t="s">
        <v>153</v>
      </c>
      <c r="C58" s="117" t="s">
        <v>153</v>
      </c>
      <c r="D58" s="117" t="s">
        <v>153</v>
      </c>
      <c r="E58" s="117" t="s">
        <v>153</v>
      </c>
      <c r="F58" s="117" t="s">
        <v>153</v>
      </c>
      <c r="G58" s="103">
        <f>SUBTOTAL(109,localmotor20[Program 
Payments and Offsets])</f>
        <v>1949892</v>
      </c>
      <c r="H58" s="104">
        <f>SUBTOTAL(109,localmotor20[Interest
Payments and Offsets])</f>
        <v>0</v>
      </c>
      <c r="I58" s="103">
        <f>SUBTOTAL(109,localmotor20[Total 
Payments])</f>
        <v>1949892</v>
      </c>
    </row>
    <row r="59" spans="1:9" ht="15.75" customHeight="1" x14ac:dyDescent="0.25">
      <c r="A59" s="64" t="s">
        <v>181</v>
      </c>
      <c r="B59" s="24"/>
      <c r="C59" s="24"/>
      <c r="D59" s="23"/>
      <c r="E59" s="24"/>
      <c r="F59" s="24"/>
      <c r="G59" s="55"/>
      <c r="H59" s="55"/>
      <c r="I59" s="55"/>
    </row>
    <row r="60" spans="1:9" ht="48" customHeight="1" x14ac:dyDescent="0.25">
      <c r="A60" s="28" t="s">
        <v>199</v>
      </c>
      <c r="B60" s="28" t="s">
        <v>200</v>
      </c>
      <c r="C60" s="28" t="s">
        <v>201</v>
      </c>
      <c r="D60" s="28" t="s">
        <v>202</v>
      </c>
      <c r="E60" s="28" t="s">
        <v>175</v>
      </c>
      <c r="F60" s="28" t="s">
        <v>203</v>
      </c>
      <c r="G60" s="28" t="s">
        <v>204</v>
      </c>
      <c r="H60" s="28" t="s">
        <v>205</v>
      </c>
      <c r="I60" s="28" t="s">
        <v>206</v>
      </c>
    </row>
    <row r="61" spans="1:9" ht="15.75" customHeight="1" x14ac:dyDescent="0.25">
      <c r="A61" s="23" t="s">
        <v>209</v>
      </c>
      <c r="B61" s="24" t="s">
        <v>44</v>
      </c>
      <c r="C61" s="24" t="s">
        <v>122</v>
      </c>
      <c r="D61" s="23" t="s">
        <v>3</v>
      </c>
      <c r="E61" s="24" t="s">
        <v>4</v>
      </c>
      <c r="F61" s="24">
        <v>246</v>
      </c>
      <c r="G61" s="55">
        <v>90011</v>
      </c>
      <c r="H61" s="56">
        <v>0</v>
      </c>
      <c r="I61" s="55">
        <v>90011</v>
      </c>
    </row>
    <row r="62" spans="1:9" ht="15.75" customHeight="1" x14ac:dyDescent="0.25">
      <c r="A62" s="43" t="s">
        <v>132</v>
      </c>
      <c r="B62" s="117" t="s">
        <v>153</v>
      </c>
      <c r="C62" s="117" t="s">
        <v>153</v>
      </c>
      <c r="D62" s="117" t="s">
        <v>153</v>
      </c>
      <c r="E62" s="117" t="s">
        <v>153</v>
      </c>
      <c r="F62" s="117" t="s">
        <v>153</v>
      </c>
      <c r="G62" s="103">
        <f>SUBTOTAL(109,localmotor19[Program 
Payments and Offsets])</f>
        <v>90011</v>
      </c>
      <c r="H62" s="104">
        <f>SUBTOTAL(109,localmotor19[Interest
Payments and Offsets])</f>
        <v>0</v>
      </c>
      <c r="I62" s="103">
        <f>SUBTOTAL(109,localmotor19[Total 
Payments])</f>
        <v>90011</v>
      </c>
    </row>
    <row r="63" spans="1:9" ht="15.75" customHeight="1" x14ac:dyDescent="0.25">
      <c r="A63" s="64" t="s">
        <v>181</v>
      </c>
      <c r="B63" s="24"/>
      <c r="C63" s="24"/>
      <c r="D63" s="23"/>
      <c r="E63" s="24"/>
      <c r="F63" s="24"/>
      <c r="G63" s="55"/>
      <c r="H63" s="55"/>
      <c r="I63" s="55"/>
    </row>
    <row r="64" spans="1:9" ht="48" customHeight="1" x14ac:dyDescent="0.25">
      <c r="A64" s="28" t="s">
        <v>199</v>
      </c>
      <c r="B64" s="28" t="s">
        <v>200</v>
      </c>
      <c r="C64" s="28" t="s">
        <v>201</v>
      </c>
      <c r="D64" s="28" t="s">
        <v>202</v>
      </c>
      <c r="E64" s="28" t="s">
        <v>175</v>
      </c>
      <c r="F64" s="28" t="s">
        <v>203</v>
      </c>
      <c r="G64" s="28" t="s">
        <v>204</v>
      </c>
      <c r="H64" s="28" t="s">
        <v>205</v>
      </c>
      <c r="I64" s="28" t="s">
        <v>206</v>
      </c>
    </row>
    <row r="65" spans="1:9" ht="15.75" customHeight="1" x14ac:dyDescent="0.25">
      <c r="A65" s="23" t="s">
        <v>210</v>
      </c>
      <c r="B65" s="24" t="s">
        <v>43</v>
      </c>
      <c r="C65" s="24" t="s">
        <v>120</v>
      </c>
      <c r="D65" s="23" t="s">
        <v>31</v>
      </c>
      <c r="E65" s="24" t="s">
        <v>32</v>
      </c>
      <c r="F65" s="24">
        <v>121</v>
      </c>
      <c r="G65" s="55">
        <v>46000</v>
      </c>
      <c r="H65" s="56">
        <v>0</v>
      </c>
      <c r="I65" s="55">
        <v>46000</v>
      </c>
    </row>
    <row r="66" spans="1:9" ht="15.75" customHeight="1" x14ac:dyDescent="0.25">
      <c r="A66" s="43" t="s">
        <v>131</v>
      </c>
      <c r="B66" s="117" t="s">
        <v>153</v>
      </c>
      <c r="C66" s="117" t="s">
        <v>153</v>
      </c>
      <c r="D66" s="117" t="s">
        <v>153</v>
      </c>
      <c r="E66" s="117" t="s">
        <v>153</v>
      </c>
      <c r="F66" s="117" t="s">
        <v>153</v>
      </c>
      <c r="G66" s="103">
        <f>SUBTOTAL(109,localpest20[Program 
Payments and Offsets])</f>
        <v>46000</v>
      </c>
      <c r="H66" s="104">
        <f>SUBTOTAL(109,localpest20[Interest
Payments and Offsets])</f>
        <v>0</v>
      </c>
      <c r="I66" s="103">
        <f>SUBTOTAL(109,localpest20[Total 
Payments])</f>
        <v>46000</v>
      </c>
    </row>
    <row r="67" spans="1:9" ht="15.75" customHeight="1" x14ac:dyDescent="0.25">
      <c r="A67" s="64" t="s">
        <v>181</v>
      </c>
      <c r="B67" s="24"/>
      <c r="C67" s="24"/>
      <c r="D67" s="23"/>
      <c r="E67" s="24"/>
      <c r="F67" s="24"/>
      <c r="G67" s="55"/>
      <c r="H67" s="55"/>
      <c r="I67" s="55"/>
    </row>
    <row r="68" spans="1:9" ht="48" customHeight="1" x14ac:dyDescent="0.25">
      <c r="A68" s="28" t="s">
        <v>199</v>
      </c>
      <c r="B68" s="28" t="s">
        <v>200</v>
      </c>
      <c r="C68" s="28" t="s">
        <v>201</v>
      </c>
      <c r="D68" s="28" t="s">
        <v>202</v>
      </c>
      <c r="E68" s="28" t="s">
        <v>175</v>
      </c>
      <c r="F68" s="28" t="s">
        <v>203</v>
      </c>
      <c r="G68" s="28" t="s">
        <v>204</v>
      </c>
      <c r="H68" s="28" t="s">
        <v>205</v>
      </c>
      <c r="I68" s="28" t="s">
        <v>206</v>
      </c>
    </row>
    <row r="69" spans="1:9" ht="15.75" customHeight="1" x14ac:dyDescent="0.25">
      <c r="A69" s="23" t="s">
        <v>210</v>
      </c>
      <c r="B69" s="24" t="s">
        <v>47</v>
      </c>
      <c r="C69" s="24" t="s">
        <v>118</v>
      </c>
      <c r="D69" s="23" t="s">
        <v>31</v>
      </c>
      <c r="E69" s="24" t="s">
        <v>32</v>
      </c>
      <c r="F69" s="24">
        <v>121</v>
      </c>
      <c r="G69" s="56">
        <v>0</v>
      </c>
      <c r="H69" s="55">
        <v>151</v>
      </c>
      <c r="I69" s="55">
        <v>151</v>
      </c>
    </row>
    <row r="70" spans="1:9" ht="15.75" customHeight="1" x14ac:dyDescent="0.25">
      <c r="A70" s="43" t="s">
        <v>130</v>
      </c>
      <c r="B70" s="117" t="s">
        <v>153</v>
      </c>
      <c r="C70" s="117" t="s">
        <v>153</v>
      </c>
      <c r="D70" s="117" t="s">
        <v>153</v>
      </c>
      <c r="E70" s="117" t="s">
        <v>153</v>
      </c>
      <c r="F70" s="117" t="s">
        <v>153</v>
      </c>
      <c r="G70" s="104">
        <f>SUBTOTAL(109,localpest18[Program 
Payments and Offsets])</f>
        <v>0</v>
      </c>
      <c r="H70" s="103">
        <f>SUBTOTAL(109,localpest18[Interest
Payments and Offsets])</f>
        <v>151</v>
      </c>
      <c r="I70" s="103">
        <f>SUBTOTAL(109,localpest18[Total 
Payments])</f>
        <v>151</v>
      </c>
    </row>
    <row r="71" spans="1:9" ht="15.75" customHeight="1" x14ac:dyDescent="0.25">
      <c r="A71" s="64" t="s">
        <v>181</v>
      </c>
      <c r="B71" s="24"/>
      <c r="C71" s="24"/>
      <c r="D71" s="23"/>
      <c r="E71" s="24"/>
      <c r="F71" s="24"/>
      <c r="G71" s="55"/>
      <c r="H71" s="55"/>
      <c r="I71" s="55"/>
    </row>
    <row r="72" spans="1:9" ht="48" customHeight="1" x14ac:dyDescent="0.25">
      <c r="A72" s="28" t="s">
        <v>199</v>
      </c>
      <c r="B72" s="28" t="s">
        <v>200</v>
      </c>
      <c r="C72" s="28" t="s">
        <v>201</v>
      </c>
      <c r="D72" s="28" t="s">
        <v>202</v>
      </c>
      <c r="E72" s="28" t="s">
        <v>175</v>
      </c>
      <c r="F72" s="28" t="s">
        <v>203</v>
      </c>
      <c r="G72" s="28" t="s">
        <v>204</v>
      </c>
      <c r="H72" s="28" t="s">
        <v>205</v>
      </c>
      <c r="I72" s="28" t="s">
        <v>206</v>
      </c>
    </row>
    <row r="73" spans="1:9" ht="15.75" customHeight="1" x14ac:dyDescent="0.25">
      <c r="A73" s="23" t="s">
        <v>207</v>
      </c>
      <c r="B73" s="125" t="s">
        <v>153</v>
      </c>
      <c r="C73" s="24" t="s">
        <v>128</v>
      </c>
      <c r="D73" s="125" t="s">
        <v>153</v>
      </c>
      <c r="E73" s="125" t="s">
        <v>153</v>
      </c>
      <c r="F73" s="125" t="s">
        <v>153</v>
      </c>
      <c r="G73" s="55">
        <f>localannualclaim20[[#Totals],[Program 
Payments and Offsets]]</f>
        <v>41146995</v>
      </c>
      <c r="H73" s="56">
        <f>localannualclaim20[[#Totals],[Interest
Payments and Offsets]]</f>
        <v>0</v>
      </c>
      <c r="I73" s="55">
        <f>localannualclaim20[[#Totals],[Total 
Payments]]</f>
        <v>41146995</v>
      </c>
    </row>
    <row r="74" spans="1:9" ht="15.75" customHeight="1" x14ac:dyDescent="0.25">
      <c r="A74" s="23" t="s">
        <v>207</v>
      </c>
      <c r="B74" s="125" t="s">
        <v>153</v>
      </c>
      <c r="C74" s="24" t="s">
        <v>126</v>
      </c>
      <c r="D74" s="125" t="s">
        <v>153</v>
      </c>
      <c r="E74" s="125" t="s">
        <v>153</v>
      </c>
      <c r="F74" s="125" t="s">
        <v>153</v>
      </c>
      <c r="G74" s="55">
        <f>localannualclaim19[[#Totals],[Program 
Payments and Offsets]]</f>
        <v>586759</v>
      </c>
      <c r="H74" s="55">
        <f>localannualclaim19[[#Totals],[Interest
Payments and Offsets]]</f>
        <v>2116</v>
      </c>
      <c r="I74" s="55">
        <f>localannualclaim19[[#Totals],[Total 
Payments]]</f>
        <v>588875</v>
      </c>
    </row>
    <row r="75" spans="1:9" ht="15.75" customHeight="1" x14ac:dyDescent="0.25">
      <c r="A75" s="23" t="s">
        <v>207</v>
      </c>
      <c r="B75" s="125" t="s">
        <v>153</v>
      </c>
      <c r="C75" s="24" t="s">
        <v>125</v>
      </c>
      <c r="D75" s="125" t="s">
        <v>153</v>
      </c>
      <c r="E75" s="125" t="s">
        <v>153</v>
      </c>
      <c r="F75" s="125" t="s">
        <v>153</v>
      </c>
      <c r="G75" s="56">
        <f>localannualclaim18[[#Totals],[Program 
Payments and Offsets]]</f>
        <v>0</v>
      </c>
      <c r="H75" s="55">
        <f>localannualclaim18[[#Totals],[Interest
Payments and Offsets]]</f>
        <v>180993</v>
      </c>
      <c r="I75" s="55">
        <f>localannualclaim18[[#Totals],[Total 
Payments]]</f>
        <v>180993</v>
      </c>
    </row>
    <row r="76" spans="1:9" ht="15.75" customHeight="1" x14ac:dyDescent="0.25">
      <c r="A76" s="23" t="s">
        <v>209</v>
      </c>
      <c r="B76" s="125" t="s">
        <v>153</v>
      </c>
      <c r="C76" s="24" t="s">
        <v>123</v>
      </c>
      <c r="D76" s="125" t="s">
        <v>153</v>
      </c>
      <c r="E76" s="125" t="s">
        <v>153</v>
      </c>
      <c r="F76" s="125" t="s">
        <v>153</v>
      </c>
      <c r="G76" s="55">
        <f>localmotor20[[#Totals],[Program 
Payments and Offsets]]</f>
        <v>1949892</v>
      </c>
      <c r="H76" s="56">
        <f>localmotor20[[#Totals],[Interest
Payments and Offsets]]</f>
        <v>0</v>
      </c>
      <c r="I76" s="55">
        <f>localmotor20[[#Totals],[Total 
Payments]]</f>
        <v>1949892</v>
      </c>
    </row>
    <row r="77" spans="1:9" ht="15.75" customHeight="1" x14ac:dyDescent="0.25">
      <c r="A77" s="23" t="s">
        <v>209</v>
      </c>
      <c r="B77" s="125" t="s">
        <v>153</v>
      </c>
      <c r="C77" s="24" t="s">
        <v>122</v>
      </c>
      <c r="D77" s="125" t="s">
        <v>153</v>
      </c>
      <c r="E77" s="125" t="s">
        <v>153</v>
      </c>
      <c r="F77" s="125" t="s">
        <v>153</v>
      </c>
      <c r="G77" s="55">
        <f>localmotor19[[#Totals],[Program 
Payments and Offsets]]</f>
        <v>90011</v>
      </c>
      <c r="H77" s="56">
        <f>localmotor19[[#Totals],[Interest
Payments and Offsets]]</f>
        <v>0</v>
      </c>
      <c r="I77" s="55">
        <f>localmotor19[[#Totals],[Total 
Payments]]</f>
        <v>90011</v>
      </c>
    </row>
    <row r="78" spans="1:9" ht="15.75" customHeight="1" x14ac:dyDescent="0.25">
      <c r="A78" s="23" t="s">
        <v>210</v>
      </c>
      <c r="B78" s="125" t="s">
        <v>153</v>
      </c>
      <c r="C78" s="24" t="s">
        <v>120</v>
      </c>
      <c r="D78" s="125" t="s">
        <v>153</v>
      </c>
      <c r="E78" s="125" t="s">
        <v>153</v>
      </c>
      <c r="F78" s="125" t="s">
        <v>153</v>
      </c>
      <c r="G78" s="55">
        <f>localpest20[[#Totals],[Program 
Payments and Offsets]]</f>
        <v>46000</v>
      </c>
      <c r="H78" s="56">
        <f>localpest20[[#Totals],[Interest
Payments and Offsets]]</f>
        <v>0</v>
      </c>
      <c r="I78" s="55">
        <f>localpest20[[#Totals],[Total 
Payments]]</f>
        <v>46000</v>
      </c>
    </row>
    <row r="79" spans="1:9" ht="15.75" customHeight="1" x14ac:dyDescent="0.25">
      <c r="A79" s="23" t="s">
        <v>210</v>
      </c>
      <c r="B79" s="125" t="s">
        <v>153</v>
      </c>
      <c r="C79" s="24" t="s">
        <v>118</v>
      </c>
      <c r="D79" s="125" t="s">
        <v>153</v>
      </c>
      <c r="E79" s="125" t="s">
        <v>153</v>
      </c>
      <c r="F79" s="125" t="s">
        <v>153</v>
      </c>
      <c r="G79" s="56">
        <f>localpest18[[#Totals],[Program 
Payments and Offsets]]</f>
        <v>0</v>
      </c>
      <c r="H79" s="55">
        <f>localpest18[[#Totals],[Interest
Payments and Offsets]]</f>
        <v>151</v>
      </c>
      <c r="I79" s="55">
        <f>localpest18[[#Totals],[Total 
Payments]]</f>
        <v>151</v>
      </c>
    </row>
    <row r="80" spans="1:9" ht="15.75" customHeight="1" x14ac:dyDescent="0.25">
      <c r="A80" s="43" t="s">
        <v>190</v>
      </c>
      <c r="B80" s="117" t="s">
        <v>153</v>
      </c>
      <c r="C80" s="117" t="s">
        <v>153</v>
      </c>
      <c r="D80" s="117" t="s">
        <v>153</v>
      </c>
      <c r="E80" s="117" t="s">
        <v>153</v>
      </c>
      <c r="F80" s="117" t="s">
        <v>153</v>
      </c>
      <c r="G80" s="103">
        <f>SUBTOTAL(109,localgrandtotala1[Program 
Payments and Offsets])</f>
        <v>43819657</v>
      </c>
      <c r="H80" s="103">
        <f>SUBTOTAL(109,localgrandtotala1[Interest
Payments and Offsets])</f>
        <v>183260</v>
      </c>
      <c r="I80" s="103">
        <f>SUBTOTAL(109,localgrandtotala1[Total 
Payments])</f>
        <v>44002917</v>
      </c>
    </row>
  </sheetData>
  <printOptions horizontalCentered="1" gridLines="1"/>
  <pageMargins left="0.35" right="0.35" top="1" bottom="1" header="0.3" footer="0.1"/>
  <pageSetup scale="50" orientation="landscape" r:id="rId1"/>
  <headerFooter>
    <oddHeader>&amp;C&amp;"Arial,Bold"&amp;12State Controller's Office
Schedule A1: Detail of State-Mandated Program Payments by Fiscal Year 
As of April 1, 2021</oddHeader>
    <oddFooter>&amp;L&amp;"Arial,Regular"&amp;12Schedule A1: Detail of State-Mandated Program Payments by Fiscal Year
Local Agencies
&amp;R&amp;"Arial,Regular"&amp;12Page &amp;P of &amp;N</oddFooter>
  </headerFooter>
  <rowBreaks count="1" manualBreakCount="1">
    <brk id="55" max="8" man="1"/>
  </rowBreaks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41"/>
  <sheetViews>
    <sheetView view="pageLayout" zoomScale="70" zoomScaleNormal="60" zoomScalePageLayoutView="70" workbookViewId="0">
      <selection activeCell="A40" sqref="A40"/>
    </sheetView>
  </sheetViews>
  <sheetFormatPr defaultRowHeight="15" x14ac:dyDescent="0.2"/>
  <cols>
    <col min="1" max="1" width="55.28515625" style="23" customWidth="1"/>
    <col min="2" max="2" width="15.5703125" style="23" customWidth="1"/>
    <col min="3" max="3" width="25.5703125" style="24" customWidth="1"/>
    <col min="4" max="4" width="94" style="23" customWidth="1"/>
    <col min="5" max="5" width="12.5703125" style="23" customWidth="1"/>
    <col min="6" max="6" width="14.5703125" style="24" customWidth="1"/>
    <col min="7" max="7" width="16.5703125" style="23" customWidth="1"/>
    <col min="8" max="8" width="14.5703125" style="23" customWidth="1"/>
    <col min="9" max="9" width="17" style="23" customWidth="1"/>
    <col min="10" max="16384" width="9.140625" style="23"/>
  </cols>
  <sheetData>
    <row r="1" spans="1:9" s="52" customFormat="1" ht="54" customHeight="1" x14ac:dyDescent="0.25">
      <c r="A1" s="20" t="s">
        <v>211</v>
      </c>
      <c r="B1" s="15"/>
      <c r="C1" s="15"/>
      <c r="D1" s="15"/>
      <c r="E1" s="15"/>
      <c r="F1" s="15"/>
      <c r="G1" s="15"/>
      <c r="H1" s="15"/>
      <c r="I1" s="15"/>
    </row>
    <row r="2" spans="1:9" s="52" customFormat="1" ht="48" customHeight="1" x14ac:dyDescent="0.25">
      <c r="A2" s="28" t="s">
        <v>199</v>
      </c>
      <c r="B2" s="28" t="s">
        <v>200</v>
      </c>
      <c r="C2" s="28" t="s">
        <v>201</v>
      </c>
      <c r="D2" s="28" t="s">
        <v>202</v>
      </c>
      <c r="E2" s="28" t="s">
        <v>175</v>
      </c>
      <c r="F2" s="28" t="s">
        <v>203</v>
      </c>
      <c r="G2" s="28" t="s">
        <v>204</v>
      </c>
      <c r="H2" s="28" t="s">
        <v>205</v>
      </c>
      <c r="I2" s="28" t="s">
        <v>206</v>
      </c>
    </row>
    <row r="3" spans="1:9" ht="15.75" customHeight="1" x14ac:dyDescent="0.2">
      <c r="A3" s="24" t="s">
        <v>213</v>
      </c>
      <c r="B3" s="24" t="s">
        <v>43</v>
      </c>
      <c r="C3" s="24" t="s">
        <v>117</v>
      </c>
      <c r="D3" s="23" t="s">
        <v>53</v>
      </c>
      <c r="E3" s="23" t="s">
        <v>54</v>
      </c>
      <c r="F3" s="24">
        <v>250</v>
      </c>
      <c r="G3" s="55">
        <v>1000</v>
      </c>
      <c r="H3" s="56">
        <v>0</v>
      </c>
      <c r="I3" s="55">
        <v>1000</v>
      </c>
    </row>
    <row r="4" spans="1:9" ht="15.75" customHeight="1" x14ac:dyDescent="0.2">
      <c r="A4" s="24" t="s">
        <v>213</v>
      </c>
      <c r="B4" s="24" t="s">
        <v>43</v>
      </c>
      <c r="C4" s="24" t="s">
        <v>117</v>
      </c>
      <c r="D4" s="23" t="s">
        <v>98</v>
      </c>
      <c r="E4" s="23" t="s">
        <v>99</v>
      </c>
      <c r="F4" s="24">
        <v>370</v>
      </c>
      <c r="G4" s="55">
        <v>1000</v>
      </c>
      <c r="H4" s="56">
        <v>0</v>
      </c>
      <c r="I4" s="55">
        <v>1000</v>
      </c>
    </row>
    <row r="5" spans="1:9" ht="15.75" customHeight="1" x14ac:dyDescent="0.2">
      <c r="A5" s="24" t="s">
        <v>213</v>
      </c>
      <c r="B5" s="24" t="s">
        <v>43</v>
      </c>
      <c r="C5" s="24" t="s">
        <v>117</v>
      </c>
      <c r="D5" s="23" t="s">
        <v>55</v>
      </c>
      <c r="E5" s="23" t="s">
        <v>56</v>
      </c>
      <c r="F5" s="24">
        <v>369</v>
      </c>
      <c r="G5" s="55">
        <v>1000</v>
      </c>
      <c r="H5" s="56">
        <v>0</v>
      </c>
      <c r="I5" s="55">
        <v>1000</v>
      </c>
    </row>
    <row r="6" spans="1:9" ht="15.75" customHeight="1" x14ac:dyDescent="0.2">
      <c r="A6" s="24" t="s">
        <v>213</v>
      </c>
      <c r="B6" s="24" t="s">
        <v>43</v>
      </c>
      <c r="C6" s="24" t="s">
        <v>117</v>
      </c>
      <c r="D6" s="23" t="s">
        <v>57</v>
      </c>
      <c r="E6" s="23" t="s">
        <v>58</v>
      </c>
      <c r="F6" s="24">
        <v>172</v>
      </c>
      <c r="G6" s="55">
        <v>1000</v>
      </c>
      <c r="H6" s="56">
        <v>0</v>
      </c>
      <c r="I6" s="55">
        <v>1000</v>
      </c>
    </row>
    <row r="7" spans="1:9" ht="15.75" customHeight="1" x14ac:dyDescent="0.2">
      <c r="A7" s="24" t="s">
        <v>213</v>
      </c>
      <c r="B7" s="24" t="s">
        <v>43</v>
      </c>
      <c r="C7" s="24" t="s">
        <v>117</v>
      </c>
      <c r="D7" s="23" t="s">
        <v>50</v>
      </c>
      <c r="E7" s="23" t="s">
        <v>51</v>
      </c>
      <c r="F7" s="24">
        <v>11</v>
      </c>
      <c r="G7" s="55">
        <v>1000</v>
      </c>
      <c r="H7" s="56">
        <v>0</v>
      </c>
      <c r="I7" s="55">
        <v>1000</v>
      </c>
    </row>
    <row r="8" spans="1:9" ht="15.75" customHeight="1" x14ac:dyDescent="0.2">
      <c r="A8" s="24" t="s">
        <v>213</v>
      </c>
      <c r="B8" s="24" t="s">
        <v>43</v>
      </c>
      <c r="C8" s="24" t="s">
        <v>117</v>
      </c>
      <c r="D8" s="23" t="s">
        <v>59</v>
      </c>
      <c r="E8" s="23" t="s">
        <v>60</v>
      </c>
      <c r="F8" s="24">
        <v>313</v>
      </c>
      <c r="G8" s="55">
        <v>1000</v>
      </c>
      <c r="H8" s="56">
        <v>0</v>
      </c>
      <c r="I8" s="55">
        <v>1000</v>
      </c>
    </row>
    <row r="9" spans="1:9" ht="15.75" customHeight="1" x14ac:dyDescent="0.2">
      <c r="A9" s="24" t="s">
        <v>213</v>
      </c>
      <c r="B9" s="24" t="s">
        <v>43</v>
      </c>
      <c r="C9" s="24" t="s">
        <v>117</v>
      </c>
      <c r="D9" s="23" t="s">
        <v>61</v>
      </c>
      <c r="E9" s="23" t="s">
        <v>62</v>
      </c>
      <c r="F9" s="24">
        <v>330</v>
      </c>
      <c r="G9" s="55">
        <v>1000</v>
      </c>
      <c r="H9" s="56">
        <v>0</v>
      </c>
      <c r="I9" s="55">
        <v>1000</v>
      </c>
    </row>
    <row r="10" spans="1:9" ht="15.75" customHeight="1" x14ac:dyDescent="0.2">
      <c r="A10" s="24" t="s">
        <v>213</v>
      </c>
      <c r="B10" s="24" t="s">
        <v>43</v>
      </c>
      <c r="C10" s="24" t="s">
        <v>117</v>
      </c>
      <c r="D10" s="23" t="s">
        <v>63</v>
      </c>
      <c r="E10" s="23" t="s">
        <v>64</v>
      </c>
      <c r="F10" s="24">
        <v>272</v>
      </c>
      <c r="G10" s="55">
        <v>1000</v>
      </c>
      <c r="H10" s="56">
        <v>0</v>
      </c>
      <c r="I10" s="55">
        <v>1000</v>
      </c>
    </row>
    <row r="11" spans="1:9" ht="31.5" customHeight="1" x14ac:dyDescent="0.2">
      <c r="A11" s="128" t="s">
        <v>213</v>
      </c>
      <c r="B11" s="128" t="s">
        <v>43</v>
      </c>
      <c r="C11" s="128" t="s">
        <v>117</v>
      </c>
      <c r="D11" s="129" t="s">
        <v>65</v>
      </c>
      <c r="E11" s="130" t="s">
        <v>66</v>
      </c>
      <c r="F11" s="128">
        <v>276</v>
      </c>
      <c r="G11" s="131">
        <v>1000</v>
      </c>
      <c r="H11" s="132">
        <v>0</v>
      </c>
      <c r="I11" s="131">
        <v>1000</v>
      </c>
    </row>
    <row r="12" spans="1:9" ht="31.5" customHeight="1" x14ac:dyDescent="0.2">
      <c r="A12" s="128" t="s">
        <v>213</v>
      </c>
      <c r="B12" s="128" t="s">
        <v>43</v>
      </c>
      <c r="C12" s="128" t="s">
        <v>117</v>
      </c>
      <c r="D12" s="129" t="s">
        <v>67</v>
      </c>
      <c r="E12" s="130" t="s">
        <v>68</v>
      </c>
      <c r="F12" s="128">
        <v>292</v>
      </c>
      <c r="G12" s="131">
        <v>1000</v>
      </c>
      <c r="H12" s="132">
        <v>0</v>
      </c>
      <c r="I12" s="131">
        <v>1000</v>
      </c>
    </row>
    <row r="13" spans="1:9" ht="15.75" customHeight="1" x14ac:dyDescent="0.2">
      <c r="A13" s="24" t="s">
        <v>213</v>
      </c>
      <c r="B13" s="24" t="s">
        <v>43</v>
      </c>
      <c r="C13" s="24" t="s">
        <v>117</v>
      </c>
      <c r="D13" s="23" t="s">
        <v>69</v>
      </c>
      <c r="E13" s="23" t="s">
        <v>70</v>
      </c>
      <c r="F13" s="24">
        <v>209</v>
      </c>
      <c r="G13" s="55">
        <v>1000</v>
      </c>
      <c r="H13" s="56">
        <v>0</v>
      </c>
      <c r="I13" s="55">
        <v>1000</v>
      </c>
    </row>
    <row r="14" spans="1:9" ht="15.75" customHeight="1" x14ac:dyDescent="0.2">
      <c r="A14" s="24" t="s">
        <v>213</v>
      </c>
      <c r="B14" s="24" t="s">
        <v>43</v>
      </c>
      <c r="C14" s="24" t="s">
        <v>117</v>
      </c>
      <c r="D14" s="23" t="s">
        <v>71</v>
      </c>
      <c r="E14" s="23" t="s">
        <v>72</v>
      </c>
      <c r="F14" s="24">
        <v>183</v>
      </c>
      <c r="G14" s="55">
        <v>1000</v>
      </c>
      <c r="H14" s="56">
        <v>0</v>
      </c>
      <c r="I14" s="55">
        <v>1000</v>
      </c>
    </row>
    <row r="15" spans="1:9" ht="15.75" customHeight="1" x14ac:dyDescent="0.2">
      <c r="A15" s="24" t="s">
        <v>213</v>
      </c>
      <c r="B15" s="24" t="s">
        <v>43</v>
      </c>
      <c r="C15" s="24" t="s">
        <v>117</v>
      </c>
      <c r="D15" s="23" t="s">
        <v>100</v>
      </c>
      <c r="E15" s="23" t="s">
        <v>101</v>
      </c>
      <c r="F15" s="24">
        <v>251</v>
      </c>
      <c r="G15" s="55">
        <v>1000</v>
      </c>
      <c r="H15" s="56">
        <v>0</v>
      </c>
      <c r="I15" s="55">
        <v>1000</v>
      </c>
    </row>
    <row r="16" spans="1:9" ht="15.75" customHeight="1" x14ac:dyDescent="0.2">
      <c r="A16" s="24" t="s">
        <v>213</v>
      </c>
      <c r="B16" s="24" t="s">
        <v>43</v>
      </c>
      <c r="C16" s="24" t="s">
        <v>117</v>
      </c>
      <c r="D16" s="23" t="s">
        <v>73</v>
      </c>
      <c r="E16" s="23" t="s">
        <v>52</v>
      </c>
      <c r="F16" s="24">
        <v>192</v>
      </c>
      <c r="G16" s="55">
        <v>1000</v>
      </c>
      <c r="H16" s="56">
        <v>0</v>
      </c>
      <c r="I16" s="55">
        <v>1000</v>
      </c>
    </row>
    <row r="17" spans="1:9" ht="15.75" customHeight="1" x14ac:dyDescent="0.2">
      <c r="A17" s="24" t="s">
        <v>213</v>
      </c>
      <c r="B17" s="24" t="s">
        <v>43</v>
      </c>
      <c r="C17" s="24" t="s">
        <v>117</v>
      </c>
      <c r="D17" s="23" t="s">
        <v>74</v>
      </c>
      <c r="E17" s="23" t="s">
        <v>75</v>
      </c>
      <c r="F17" s="24">
        <v>297</v>
      </c>
      <c r="G17" s="55">
        <v>1000</v>
      </c>
      <c r="H17" s="56">
        <v>0</v>
      </c>
      <c r="I17" s="55">
        <v>1000</v>
      </c>
    </row>
    <row r="18" spans="1:9" ht="15.75" customHeight="1" x14ac:dyDescent="0.2">
      <c r="A18" s="24" t="s">
        <v>213</v>
      </c>
      <c r="B18" s="24" t="s">
        <v>43</v>
      </c>
      <c r="C18" s="24" t="s">
        <v>117</v>
      </c>
      <c r="D18" s="23" t="s">
        <v>76</v>
      </c>
      <c r="E18" s="23" t="s">
        <v>77</v>
      </c>
      <c r="F18" s="24">
        <v>166</v>
      </c>
      <c r="G18" s="55">
        <v>1000</v>
      </c>
      <c r="H18" s="56">
        <v>0</v>
      </c>
      <c r="I18" s="55">
        <v>1000</v>
      </c>
    </row>
    <row r="19" spans="1:9" ht="15.75" customHeight="1" x14ac:dyDescent="0.2">
      <c r="A19" s="24" t="s">
        <v>213</v>
      </c>
      <c r="B19" s="24" t="s">
        <v>43</v>
      </c>
      <c r="C19" s="24" t="s">
        <v>117</v>
      </c>
      <c r="D19" s="23" t="s">
        <v>78</v>
      </c>
      <c r="E19" s="23" t="s">
        <v>79</v>
      </c>
      <c r="F19" s="24">
        <v>32</v>
      </c>
      <c r="G19" s="55">
        <v>1000</v>
      </c>
      <c r="H19" s="56">
        <v>0</v>
      </c>
      <c r="I19" s="55">
        <v>1000</v>
      </c>
    </row>
    <row r="20" spans="1:9" ht="15.75" customHeight="1" x14ac:dyDescent="0.2">
      <c r="A20" s="24" t="s">
        <v>213</v>
      </c>
      <c r="B20" s="24" t="s">
        <v>43</v>
      </c>
      <c r="C20" s="24" t="s">
        <v>117</v>
      </c>
      <c r="D20" s="23" t="s">
        <v>80</v>
      </c>
      <c r="E20" s="23" t="s">
        <v>81</v>
      </c>
      <c r="F20" s="24">
        <v>368</v>
      </c>
      <c r="G20" s="55">
        <v>1000</v>
      </c>
      <c r="H20" s="56">
        <v>0</v>
      </c>
      <c r="I20" s="55">
        <v>1000</v>
      </c>
    </row>
    <row r="21" spans="1:9" ht="15.75" customHeight="1" x14ac:dyDescent="0.2">
      <c r="A21" s="24" t="s">
        <v>213</v>
      </c>
      <c r="B21" s="24" t="s">
        <v>43</v>
      </c>
      <c r="C21" s="24" t="s">
        <v>117</v>
      </c>
      <c r="D21" s="23" t="s">
        <v>82</v>
      </c>
      <c r="E21" s="23" t="s">
        <v>83</v>
      </c>
      <c r="F21" s="24">
        <v>357</v>
      </c>
      <c r="G21" s="55">
        <v>1000</v>
      </c>
      <c r="H21" s="56">
        <v>0</v>
      </c>
      <c r="I21" s="55">
        <v>1000</v>
      </c>
    </row>
    <row r="22" spans="1:9" ht="15.75" customHeight="1" x14ac:dyDescent="0.2">
      <c r="A22" s="24" t="s">
        <v>213</v>
      </c>
      <c r="B22" s="24" t="s">
        <v>43</v>
      </c>
      <c r="C22" s="24" t="s">
        <v>117</v>
      </c>
      <c r="D22" s="23" t="s">
        <v>84</v>
      </c>
      <c r="E22" s="23" t="s">
        <v>85</v>
      </c>
      <c r="F22" s="24">
        <v>153</v>
      </c>
      <c r="G22" s="55">
        <v>1000</v>
      </c>
      <c r="H22" s="56">
        <v>0</v>
      </c>
      <c r="I22" s="55">
        <v>1000</v>
      </c>
    </row>
    <row r="23" spans="1:9" ht="15.75" customHeight="1" x14ac:dyDescent="0.2">
      <c r="A23" s="24" t="s">
        <v>213</v>
      </c>
      <c r="B23" s="24" t="s">
        <v>43</v>
      </c>
      <c r="C23" s="24" t="s">
        <v>117</v>
      </c>
      <c r="D23" s="23" t="s">
        <v>102</v>
      </c>
      <c r="E23" s="23" t="s">
        <v>103</v>
      </c>
      <c r="F23" s="24">
        <v>155</v>
      </c>
      <c r="G23" s="55">
        <v>1000</v>
      </c>
      <c r="H23" s="56">
        <v>0</v>
      </c>
      <c r="I23" s="55">
        <v>1000</v>
      </c>
    </row>
    <row r="24" spans="1:9" ht="15.75" customHeight="1" x14ac:dyDescent="0.2">
      <c r="A24" s="24" t="s">
        <v>213</v>
      </c>
      <c r="B24" s="24" t="s">
        <v>43</v>
      </c>
      <c r="C24" s="24" t="s">
        <v>117</v>
      </c>
      <c r="D24" s="23" t="s">
        <v>86</v>
      </c>
      <c r="E24" s="23" t="s">
        <v>75</v>
      </c>
      <c r="F24" s="24">
        <v>48</v>
      </c>
      <c r="G24" s="55">
        <v>1000</v>
      </c>
      <c r="H24" s="56">
        <v>0</v>
      </c>
      <c r="I24" s="55">
        <v>1000</v>
      </c>
    </row>
    <row r="25" spans="1:9" ht="15.75" customHeight="1" x14ac:dyDescent="0.2">
      <c r="A25" s="24" t="s">
        <v>213</v>
      </c>
      <c r="B25" s="24" t="s">
        <v>43</v>
      </c>
      <c r="C25" s="24" t="s">
        <v>117</v>
      </c>
      <c r="D25" s="23" t="s">
        <v>87</v>
      </c>
      <c r="E25" s="23" t="s">
        <v>88</v>
      </c>
      <c r="F25" s="24">
        <v>350</v>
      </c>
      <c r="G25" s="55">
        <v>1000</v>
      </c>
      <c r="H25" s="56">
        <v>0</v>
      </c>
      <c r="I25" s="55">
        <v>1000</v>
      </c>
    </row>
    <row r="26" spans="1:9" ht="15.75" customHeight="1" x14ac:dyDescent="0.2">
      <c r="A26" s="24" t="s">
        <v>213</v>
      </c>
      <c r="B26" s="24" t="s">
        <v>43</v>
      </c>
      <c r="C26" s="24" t="s">
        <v>117</v>
      </c>
      <c r="D26" s="23" t="s">
        <v>104</v>
      </c>
      <c r="E26" s="23" t="s">
        <v>105</v>
      </c>
      <c r="F26" s="24">
        <v>173</v>
      </c>
      <c r="G26" s="55">
        <v>1000</v>
      </c>
      <c r="H26" s="56">
        <v>0</v>
      </c>
      <c r="I26" s="55">
        <v>1000</v>
      </c>
    </row>
    <row r="27" spans="1:9" ht="15.75" customHeight="1" x14ac:dyDescent="0.2">
      <c r="A27" s="24" t="s">
        <v>213</v>
      </c>
      <c r="B27" s="24" t="s">
        <v>43</v>
      </c>
      <c r="C27" s="24" t="s">
        <v>117</v>
      </c>
      <c r="D27" s="23" t="s">
        <v>106</v>
      </c>
      <c r="E27" s="23" t="s">
        <v>92</v>
      </c>
      <c r="F27" s="24">
        <v>244</v>
      </c>
      <c r="G27" s="55">
        <v>1000</v>
      </c>
      <c r="H27" s="56">
        <v>0</v>
      </c>
      <c r="I27" s="55">
        <v>1000</v>
      </c>
    </row>
    <row r="28" spans="1:9" ht="15.75" customHeight="1" x14ac:dyDescent="0.2">
      <c r="A28" s="24" t="s">
        <v>213</v>
      </c>
      <c r="B28" s="24" t="s">
        <v>43</v>
      </c>
      <c r="C28" s="24" t="s">
        <v>117</v>
      </c>
      <c r="D28" s="23" t="s">
        <v>89</v>
      </c>
      <c r="E28" s="23" t="s">
        <v>90</v>
      </c>
      <c r="F28" s="24">
        <v>171</v>
      </c>
      <c r="G28" s="55">
        <v>1000</v>
      </c>
      <c r="H28" s="56">
        <v>0</v>
      </c>
      <c r="I28" s="55">
        <v>1000</v>
      </c>
    </row>
    <row r="29" spans="1:9" ht="15.75" customHeight="1" x14ac:dyDescent="0.2">
      <c r="A29" s="24" t="s">
        <v>213</v>
      </c>
      <c r="B29" s="24" t="s">
        <v>43</v>
      </c>
      <c r="C29" s="24" t="s">
        <v>117</v>
      </c>
      <c r="D29" s="23" t="s">
        <v>91</v>
      </c>
      <c r="E29" s="23" t="s">
        <v>92</v>
      </c>
      <c r="F29" s="24">
        <v>258</v>
      </c>
      <c r="G29" s="55">
        <v>1000</v>
      </c>
      <c r="H29" s="56">
        <v>0</v>
      </c>
      <c r="I29" s="55">
        <v>1000</v>
      </c>
    </row>
    <row r="30" spans="1:9" ht="15.75" customHeight="1" x14ac:dyDescent="0.2">
      <c r="A30" s="24" t="s">
        <v>213</v>
      </c>
      <c r="B30" s="24" t="s">
        <v>43</v>
      </c>
      <c r="C30" s="24" t="s">
        <v>117</v>
      </c>
      <c r="D30" s="23" t="s">
        <v>93</v>
      </c>
      <c r="E30" s="23" t="s">
        <v>75</v>
      </c>
      <c r="F30" s="24">
        <v>260</v>
      </c>
      <c r="G30" s="55">
        <v>1000</v>
      </c>
      <c r="H30" s="56">
        <v>0</v>
      </c>
      <c r="I30" s="55">
        <v>1000</v>
      </c>
    </row>
    <row r="31" spans="1:9" ht="15.75" customHeight="1" x14ac:dyDescent="0.2">
      <c r="A31" s="24" t="s">
        <v>213</v>
      </c>
      <c r="B31" s="24" t="s">
        <v>43</v>
      </c>
      <c r="C31" s="24" t="s">
        <v>117</v>
      </c>
      <c r="D31" s="23" t="s">
        <v>94</v>
      </c>
      <c r="E31" s="23" t="s">
        <v>95</v>
      </c>
      <c r="F31" s="24">
        <v>367</v>
      </c>
      <c r="G31" s="55">
        <v>1000</v>
      </c>
      <c r="H31" s="56">
        <v>0</v>
      </c>
      <c r="I31" s="55">
        <v>1000</v>
      </c>
    </row>
    <row r="32" spans="1:9" ht="15.75" customHeight="1" x14ac:dyDescent="0.2">
      <c r="A32" s="24" t="s">
        <v>213</v>
      </c>
      <c r="B32" s="24" t="s">
        <v>43</v>
      </c>
      <c r="C32" s="24" t="s">
        <v>117</v>
      </c>
      <c r="D32" s="23" t="s">
        <v>107</v>
      </c>
      <c r="E32" s="23" t="s">
        <v>108</v>
      </c>
      <c r="F32" s="24">
        <v>346</v>
      </c>
      <c r="G32" s="55">
        <v>1000</v>
      </c>
      <c r="H32" s="56">
        <v>0</v>
      </c>
      <c r="I32" s="55">
        <v>1000</v>
      </c>
    </row>
    <row r="33" spans="1:9" ht="15.75" customHeight="1" x14ac:dyDescent="0.2">
      <c r="A33" s="24" t="s">
        <v>213</v>
      </c>
      <c r="B33" s="24" t="s">
        <v>43</v>
      </c>
      <c r="C33" s="24" t="s">
        <v>117</v>
      </c>
      <c r="D33" s="23" t="s">
        <v>96</v>
      </c>
      <c r="E33" s="23" t="s">
        <v>97</v>
      </c>
      <c r="F33" s="24">
        <v>351</v>
      </c>
      <c r="G33" s="55">
        <v>1000</v>
      </c>
      <c r="H33" s="56">
        <v>0</v>
      </c>
      <c r="I33" s="55">
        <v>1000</v>
      </c>
    </row>
    <row r="34" spans="1:9" ht="15.75" customHeight="1" x14ac:dyDescent="0.25">
      <c r="A34" s="43" t="s">
        <v>109</v>
      </c>
      <c r="B34" s="118" t="s">
        <v>153</v>
      </c>
      <c r="C34" s="117" t="s">
        <v>153</v>
      </c>
      <c r="D34" s="118" t="s">
        <v>153</v>
      </c>
      <c r="E34" s="118" t="s">
        <v>153</v>
      </c>
      <c r="F34" s="117" t="s">
        <v>153</v>
      </c>
      <c r="G34" s="103">
        <f>SUBTOTAL(109,schoolannualclaim[Program 
Payments and Offsets])</f>
        <v>31000</v>
      </c>
      <c r="H34" s="104">
        <f>SUBTOTAL(109,schoolannualclaim[Interest
Payments and Offsets])</f>
        <v>0</v>
      </c>
      <c r="I34" s="103">
        <f>SUBTOTAL(109,schoolannualclaim[Total 
Payments])</f>
        <v>31000</v>
      </c>
    </row>
    <row r="35" spans="1:9" ht="15.75" customHeight="1" x14ac:dyDescent="0.2">
      <c r="A35" s="126" t="s">
        <v>181</v>
      </c>
    </row>
    <row r="36" spans="1:9" ht="47.25" x14ac:dyDescent="0.25">
      <c r="A36" s="28" t="s">
        <v>199</v>
      </c>
      <c r="B36" s="28" t="s">
        <v>200</v>
      </c>
      <c r="C36" s="28" t="s">
        <v>201</v>
      </c>
      <c r="D36" s="28" t="s">
        <v>202</v>
      </c>
      <c r="E36" s="28" t="s">
        <v>175</v>
      </c>
      <c r="F36" s="28" t="s">
        <v>203</v>
      </c>
      <c r="G36" s="28" t="s">
        <v>204</v>
      </c>
      <c r="H36" s="28" t="s">
        <v>205</v>
      </c>
      <c r="I36" s="28" t="s">
        <v>206</v>
      </c>
    </row>
    <row r="37" spans="1:9" ht="15" customHeight="1" x14ac:dyDescent="0.2">
      <c r="A37" s="24" t="s">
        <v>0</v>
      </c>
      <c r="B37" s="125" t="s">
        <v>153</v>
      </c>
      <c r="C37" s="125" t="s">
        <v>153</v>
      </c>
      <c r="D37" s="25" t="s">
        <v>153</v>
      </c>
      <c r="E37" s="25" t="s">
        <v>153</v>
      </c>
      <c r="F37" s="125" t="s">
        <v>153</v>
      </c>
      <c r="G37" s="55">
        <v>43819657</v>
      </c>
      <c r="H37" s="55">
        <v>183260</v>
      </c>
      <c r="I37" s="55">
        <v>44002917</v>
      </c>
    </row>
    <row r="38" spans="1:9" ht="15" customHeight="1" x14ac:dyDescent="0.2">
      <c r="A38" s="24" t="s">
        <v>214</v>
      </c>
      <c r="B38" s="125" t="s">
        <v>153</v>
      </c>
      <c r="C38" s="125" t="s">
        <v>153</v>
      </c>
      <c r="D38" s="25" t="s">
        <v>153</v>
      </c>
      <c r="E38" s="25" t="s">
        <v>153</v>
      </c>
      <c r="F38" s="125" t="s">
        <v>153</v>
      </c>
      <c r="G38" s="55">
        <f>schoolannualclaim[[#Totals],[Program 
Payments and Offsets]]</f>
        <v>31000</v>
      </c>
      <c r="H38" s="56">
        <f>schoolannualclaim[[#Totals],[Interest
Payments and Offsets]]</f>
        <v>0</v>
      </c>
      <c r="I38" s="55">
        <f>schoolannualclaim[[#Totals],[Total 
Payments]]</f>
        <v>31000</v>
      </c>
    </row>
    <row r="39" spans="1:9" ht="18.75" customHeight="1" x14ac:dyDescent="0.25">
      <c r="A39" s="127" t="s">
        <v>218</v>
      </c>
      <c r="B39" s="118" t="s">
        <v>215</v>
      </c>
      <c r="C39" s="117" t="s">
        <v>153</v>
      </c>
      <c r="D39" s="118" t="s">
        <v>153</v>
      </c>
      <c r="E39" s="118" t="s">
        <v>153</v>
      </c>
      <c r="F39" s="117" t="s">
        <v>153</v>
      </c>
      <c r="G39" s="103">
        <f>SUBTOTAL(109,schoolgrandtotala1[Program 
Payments and Offsets])</f>
        <v>43850657</v>
      </c>
      <c r="H39" s="104">
        <f>SUBTOTAL(109,schoolgrandtotala1[Interest
Payments and Offsets])</f>
        <v>183260</v>
      </c>
      <c r="I39" s="103">
        <f>SUBTOTAL(109,schoolgrandtotala1[Total 
Payments])</f>
        <v>44033917</v>
      </c>
    </row>
    <row r="40" spans="1:9" ht="15" customHeight="1" x14ac:dyDescent="0.2">
      <c r="A40" s="23" t="s">
        <v>217</v>
      </c>
    </row>
    <row r="41" spans="1:9" ht="18" customHeight="1" x14ac:dyDescent="0.2">
      <c r="A41" s="23" t="s">
        <v>216</v>
      </c>
    </row>
  </sheetData>
  <hyperlinks>
    <hyperlink ref="A39" location="'Schedule A1-Schools'!A40" display="Grant Total Local Agencies and School Districts 4"/>
  </hyperlinks>
  <printOptions horizontalCentered="1" gridLines="1"/>
  <pageMargins left="0.35" right="0.35" top="1" bottom="1" header="0.3" footer="0.1"/>
  <pageSetup scale="49" orientation="landscape" r:id="rId1"/>
  <headerFooter>
    <oddHeader>&amp;C&amp;"Arial,Bold"&amp;12State Controller's Office
Schedule A1: Detail of State-Mandated Program Payments by Fiscal Year 
As of April 1, 2021</oddHeader>
    <oddFooter>&amp;L&amp;"Arial,Regular"&amp;12Schedule A1: Detail of State-Mandated Program Payments by Fiscal Year
School Districts
&amp;R&amp;"Arial,Regular"&amp;12Page &amp;P of &amp;N</oddFooter>
  </headerFooter>
  <legacyDrawing r:id="rId2"/>
  <tableParts count="2">
    <tablePart r:id="rId3"/>
    <tablePart r:id="rId4"/>
  </tablePar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"/>
  <sheetViews>
    <sheetView view="pageLayout" topLeftCell="B6" zoomScale="80" zoomScaleNormal="80" zoomScalePageLayoutView="80" workbookViewId="0">
      <selection activeCell="A39" sqref="A39"/>
    </sheetView>
  </sheetViews>
  <sheetFormatPr defaultRowHeight="15" x14ac:dyDescent="0.2"/>
  <cols>
    <col min="1" max="1" width="82.85546875" style="23" customWidth="1"/>
    <col min="2" max="2" width="2.5703125" style="25" customWidth="1"/>
    <col min="3" max="3" width="20.85546875" style="24" customWidth="1"/>
    <col min="4" max="4" width="14.5703125" style="24" customWidth="1"/>
    <col min="5" max="6" width="18.140625" style="55" customWidth="1"/>
    <col min="7" max="7" width="2.5703125" style="23" customWidth="1"/>
    <col min="8" max="8" width="18.140625" style="55" customWidth="1"/>
    <col min="9" max="9" width="2.5703125" style="23" customWidth="1"/>
    <col min="10" max="10" width="16.28515625" style="55" customWidth="1"/>
    <col min="11" max="11" width="2.5703125" style="23" customWidth="1"/>
    <col min="12" max="12" width="16.28515625" style="55" customWidth="1"/>
    <col min="13" max="13" width="15.5703125" style="55" customWidth="1"/>
    <col min="14" max="14" width="2.5703125" style="23" customWidth="1"/>
    <col min="15" max="15" width="18.28515625" style="55" customWidth="1"/>
    <col min="16" max="16" width="2.5703125" style="23" customWidth="1"/>
    <col min="17" max="16384" width="9.140625" style="52"/>
  </cols>
  <sheetData>
    <row r="1" spans="1:16" ht="54" customHeight="1" x14ac:dyDescent="0.25">
      <c r="A1" s="133" t="s">
        <v>219</v>
      </c>
      <c r="B1" s="63"/>
      <c r="C1" s="15"/>
      <c r="D1" s="15"/>
      <c r="E1" s="143"/>
      <c r="F1" s="143"/>
      <c r="G1" s="15"/>
      <c r="H1" s="143"/>
      <c r="I1" s="15"/>
      <c r="J1" s="143"/>
      <c r="K1" s="15"/>
      <c r="L1" s="143"/>
      <c r="M1" s="143"/>
      <c r="N1" s="15"/>
      <c r="O1" s="143"/>
      <c r="P1" s="15"/>
    </row>
    <row r="2" spans="1:16" ht="60" customHeight="1" x14ac:dyDescent="0.25">
      <c r="A2" s="34" t="s">
        <v>220</v>
      </c>
      <c r="B2" s="134" t="s">
        <v>176</v>
      </c>
      <c r="C2" s="34" t="s">
        <v>221</v>
      </c>
      <c r="D2" s="34" t="s">
        <v>222</v>
      </c>
      <c r="E2" s="137" t="s">
        <v>223</v>
      </c>
      <c r="F2" s="138" t="s">
        <v>228</v>
      </c>
      <c r="G2" s="139" t="s">
        <v>177</v>
      </c>
      <c r="H2" s="149" t="s">
        <v>260</v>
      </c>
      <c r="I2" s="140" t="s">
        <v>224</v>
      </c>
      <c r="J2" s="149" t="s">
        <v>261</v>
      </c>
      <c r="K2" s="141" t="s">
        <v>225</v>
      </c>
      <c r="L2" s="137" t="s">
        <v>226</v>
      </c>
      <c r="M2" s="149" t="s">
        <v>262</v>
      </c>
      <c r="N2" s="140" t="s">
        <v>227</v>
      </c>
      <c r="O2" s="149" t="s">
        <v>263</v>
      </c>
      <c r="P2" s="142" t="s">
        <v>239</v>
      </c>
    </row>
    <row r="3" spans="1:16" ht="15.75" customHeight="1" x14ac:dyDescent="0.25">
      <c r="A3" s="144" t="s">
        <v>233</v>
      </c>
      <c r="B3" s="25" t="s">
        <v>153</v>
      </c>
      <c r="C3" s="25" t="s">
        <v>153</v>
      </c>
      <c r="D3" s="25" t="s">
        <v>153</v>
      </c>
      <c r="E3" s="25" t="s">
        <v>153</v>
      </c>
      <c r="F3" s="25" t="s">
        <v>153</v>
      </c>
      <c r="G3" s="145" t="s">
        <v>237</v>
      </c>
      <c r="H3" s="25" t="s">
        <v>153</v>
      </c>
      <c r="I3" s="25" t="s">
        <v>153</v>
      </c>
      <c r="J3" s="25" t="s">
        <v>153</v>
      </c>
      <c r="K3" s="25" t="s">
        <v>153</v>
      </c>
      <c r="L3" s="25" t="s">
        <v>153</v>
      </c>
      <c r="M3" s="25" t="s">
        <v>153</v>
      </c>
      <c r="N3" s="25" t="s">
        <v>153</v>
      </c>
      <c r="O3" s="25" t="s">
        <v>153</v>
      </c>
      <c r="P3" s="25" t="s">
        <v>153</v>
      </c>
    </row>
    <row r="4" spans="1:16" ht="15.75" customHeight="1" x14ac:dyDescent="0.2">
      <c r="A4" s="23" t="s">
        <v>0</v>
      </c>
      <c r="B4" s="25" t="s">
        <v>153</v>
      </c>
      <c r="C4" s="24" t="s">
        <v>234</v>
      </c>
      <c r="D4" s="24" t="s">
        <v>235</v>
      </c>
      <c r="E4" s="55">
        <v>684761040</v>
      </c>
      <c r="F4" s="55">
        <v>282031325</v>
      </c>
      <c r="G4" s="150">
        <v>1</v>
      </c>
      <c r="H4" s="55">
        <v>402729715</v>
      </c>
      <c r="I4" s="25" t="s">
        <v>153</v>
      </c>
      <c r="J4" s="55">
        <v>50121097</v>
      </c>
      <c r="K4" s="25" t="s">
        <v>153</v>
      </c>
      <c r="L4" s="55">
        <v>47870233</v>
      </c>
      <c r="M4" s="55">
        <v>2250864</v>
      </c>
      <c r="N4" s="25" t="s">
        <v>153</v>
      </c>
      <c r="O4" s="55">
        <v>400478851</v>
      </c>
      <c r="P4" s="25" t="s">
        <v>153</v>
      </c>
    </row>
    <row r="5" spans="1:16" ht="15.75" customHeight="1" x14ac:dyDescent="0.25">
      <c r="A5" s="43" t="s">
        <v>236</v>
      </c>
      <c r="B5" s="118" t="s">
        <v>153</v>
      </c>
      <c r="C5" s="118" t="s">
        <v>153</v>
      </c>
      <c r="D5" s="118" t="s">
        <v>153</v>
      </c>
      <c r="E5" s="103">
        <f>SUBTOTAL(109,scheduleblocalfunded[Program
Costs])</f>
        <v>684761040</v>
      </c>
      <c r="F5" s="103">
        <f>SUBTOTAL(109,scheduleblocalfunded[Less: Net Payments and Offsets])</f>
        <v>282031325</v>
      </c>
      <c r="G5" s="118" t="s">
        <v>153</v>
      </c>
      <c r="H5" s="103">
        <f>SUBTOTAL(109,scheduleblocalfunded[Accounts Payable
Balance 3])</f>
        <v>402729715</v>
      </c>
      <c r="I5" s="118" t="s">
        <v>153</v>
      </c>
      <c r="J5" s="103">
        <f>SUBTOTAL(109,scheduleblocalfunded[Established
Accounts 
Receivable 4])</f>
        <v>50121097</v>
      </c>
      <c r="K5" s="118" t="s">
        <v>153</v>
      </c>
      <c r="L5" s="103">
        <f>SUBTOTAL(109,scheduleblocalfunded[Less: Recovered
Amount])</f>
        <v>47870233</v>
      </c>
      <c r="M5" s="103">
        <f>SUBTOTAL(109,scheduleblocalfunded[Accounts Receivable
Balance 5])</f>
        <v>2250864</v>
      </c>
      <c r="N5" s="118" t="s">
        <v>153</v>
      </c>
      <c r="O5" s="103">
        <f>SUBTOTAL(109,scheduleblocalfunded[Net
Balance 6 ])</f>
        <v>400478851</v>
      </c>
      <c r="P5" s="118" t="s">
        <v>153</v>
      </c>
    </row>
    <row r="6" spans="1:16" ht="15.75" customHeight="1" x14ac:dyDescent="0.25">
      <c r="A6" s="146" t="s">
        <v>181</v>
      </c>
    </row>
    <row r="7" spans="1:16" ht="60" customHeight="1" x14ac:dyDescent="0.25">
      <c r="A7" s="34" t="s">
        <v>220</v>
      </c>
      <c r="B7" s="136" t="s">
        <v>176</v>
      </c>
      <c r="C7" s="34" t="s">
        <v>221</v>
      </c>
      <c r="D7" s="34" t="s">
        <v>222</v>
      </c>
      <c r="E7" s="137" t="s">
        <v>223</v>
      </c>
      <c r="F7" s="138" t="s">
        <v>228</v>
      </c>
      <c r="G7" s="139" t="s">
        <v>238</v>
      </c>
      <c r="H7" s="138" t="s">
        <v>229</v>
      </c>
      <c r="I7" s="140" t="s">
        <v>245</v>
      </c>
      <c r="J7" s="138" t="s">
        <v>230</v>
      </c>
      <c r="K7" s="141" t="s">
        <v>246</v>
      </c>
      <c r="L7" s="137" t="s">
        <v>226</v>
      </c>
      <c r="M7" s="138" t="s">
        <v>231</v>
      </c>
      <c r="N7" s="140" t="s">
        <v>247</v>
      </c>
      <c r="O7" s="138" t="s">
        <v>232</v>
      </c>
      <c r="P7" s="142" t="s">
        <v>248</v>
      </c>
    </row>
    <row r="8" spans="1:16" ht="15.75" customHeight="1" x14ac:dyDescent="0.25">
      <c r="A8" s="144" t="s">
        <v>240</v>
      </c>
      <c r="B8" s="25" t="s">
        <v>153</v>
      </c>
      <c r="C8" s="25" t="s">
        <v>153</v>
      </c>
      <c r="D8" s="25" t="s">
        <v>153</v>
      </c>
      <c r="E8" s="25" t="s">
        <v>153</v>
      </c>
      <c r="F8" s="25" t="s">
        <v>153</v>
      </c>
      <c r="G8" s="25" t="s">
        <v>244</v>
      </c>
      <c r="H8" s="25" t="s">
        <v>153</v>
      </c>
      <c r="I8" s="25" t="s">
        <v>153</v>
      </c>
      <c r="J8" s="25" t="s">
        <v>153</v>
      </c>
      <c r="K8" s="25" t="s">
        <v>153</v>
      </c>
      <c r="L8" s="25" t="s">
        <v>153</v>
      </c>
      <c r="M8" s="25" t="s">
        <v>153</v>
      </c>
      <c r="N8" s="25" t="s">
        <v>153</v>
      </c>
      <c r="O8" s="25" t="s">
        <v>153</v>
      </c>
      <c r="P8" s="25" t="s">
        <v>153</v>
      </c>
    </row>
    <row r="9" spans="1:16" ht="15.75" customHeight="1" x14ac:dyDescent="0.2">
      <c r="A9" s="23" t="s">
        <v>241</v>
      </c>
      <c r="B9" s="25" t="s">
        <v>153</v>
      </c>
      <c r="C9" s="24" t="s">
        <v>234</v>
      </c>
      <c r="D9" s="24" t="s">
        <v>235</v>
      </c>
      <c r="E9" s="55">
        <v>6310268855</v>
      </c>
      <c r="F9" s="55">
        <v>5384866232</v>
      </c>
      <c r="G9" s="150">
        <v>2</v>
      </c>
      <c r="H9" s="55">
        <v>925402623</v>
      </c>
      <c r="I9" s="25" t="s">
        <v>153</v>
      </c>
      <c r="J9" s="55">
        <v>195262044</v>
      </c>
      <c r="K9" s="25" t="s">
        <v>153</v>
      </c>
      <c r="L9" s="55">
        <v>143556844</v>
      </c>
      <c r="M9" s="55">
        <v>51705200</v>
      </c>
      <c r="N9" s="25" t="s">
        <v>153</v>
      </c>
      <c r="O9" s="55">
        <v>873697423</v>
      </c>
      <c r="P9" s="25" t="s">
        <v>153</v>
      </c>
    </row>
    <row r="10" spans="1:16" ht="15.75" customHeight="1" x14ac:dyDescent="0.2">
      <c r="A10" s="23" t="s">
        <v>242</v>
      </c>
      <c r="B10" s="25" t="s">
        <v>153</v>
      </c>
      <c r="C10" s="24" t="s">
        <v>243</v>
      </c>
      <c r="D10" s="24" t="s">
        <v>235</v>
      </c>
      <c r="E10" s="55">
        <v>162623509</v>
      </c>
      <c r="F10" s="55">
        <v>151913713</v>
      </c>
      <c r="G10" s="150">
        <v>2</v>
      </c>
      <c r="H10" s="55">
        <v>10709796</v>
      </c>
      <c r="I10" s="25" t="s">
        <v>153</v>
      </c>
      <c r="J10" s="55">
        <v>24929129</v>
      </c>
      <c r="K10" s="25" t="s">
        <v>153</v>
      </c>
      <c r="L10" s="55">
        <v>12137711</v>
      </c>
      <c r="M10" s="55">
        <v>12791418</v>
      </c>
      <c r="N10" s="25" t="s">
        <v>153</v>
      </c>
      <c r="O10" s="55">
        <v>-2081622</v>
      </c>
      <c r="P10" s="25" t="s">
        <v>153</v>
      </c>
    </row>
    <row r="11" spans="1:16" ht="15.75" customHeight="1" x14ac:dyDescent="0.25">
      <c r="A11" s="43" t="s">
        <v>249</v>
      </c>
      <c r="B11" s="118" t="s">
        <v>153</v>
      </c>
      <c r="C11" s="118" t="s">
        <v>153</v>
      </c>
      <c r="D11" s="118" t="s">
        <v>153</v>
      </c>
      <c r="E11" s="103">
        <f>SUBTOTAL(109,schedulebsdandccdfunded[Program
Costs])</f>
        <v>6472892364</v>
      </c>
      <c r="F11" s="103">
        <f>SUBTOTAL(109,schedulebsdandccdfunded[Less: Net Payments and Offsets])</f>
        <v>5536779945</v>
      </c>
      <c r="G11" s="118" t="s">
        <v>153</v>
      </c>
      <c r="H11" s="103">
        <f>SUBTOTAL(109,schedulebsdandccdfunded[Accounts Payable
Balance 3])</f>
        <v>936112419</v>
      </c>
      <c r="I11" s="118" t="s">
        <v>153</v>
      </c>
      <c r="J11" s="103">
        <f>SUBTOTAL(109,schedulebsdandccdfunded[Established
Accounts 
Receivable 4])</f>
        <v>220191173</v>
      </c>
      <c r="K11" s="118" t="s">
        <v>153</v>
      </c>
      <c r="L11" s="103">
        <f>SUBTOTAL(109,schedulebsdandccdfunded[Less: Recovered
Amount])</f>
        <v>155694555</v>
      </c>
      <c r="M11" s="103">
        <f>SUBTOTAL(109,schedulebsdandccdfunded[Accounts Receivable
Balance 5])</f>
        <v>64496618</v>
      </c>
      <c r="N11" s="118" t="s">
        <v>153</v>
      </c>
      <c r="O11" s="103">
        <f>SUBTOTAL(109,schedulebsdandccdfunded[Net
Balance 6 ])</f>
        <v>871615801</v>
      </c>
      <c r="P11" s="118" t="s">
        <v>153</v>
      </c>
    </row>
    <row r="12" spans="1:16" ht="15.75" customHeight="1" x14ac:dyDescent="0.25">
      <c r="A12" s="146" t="s">
        <v>181</v>
      </c>
    </row>
    <row r="13" spans="1:16" ht="60" customHeight="1" x14ac:dyDescent="0.25">
      <c r="A13" s="34" t="s">
        <v>220</v>
      </c>
      <c r="B13" s="136" t="s">
        <v>176</v>
      </c>
      <c r="C13" s="34" t="s">
        <v>221</v>
      </c>
      <c r="D13" s="34" t="s">
        <v>222</v>
      </c>
      <c r="E13" s="137" t="s">
        <v>223</v>
      </c>
      <c r="F13" s="138" t="s">
        <v>228</v>
      </c>
      <c r="G13" s="139" t="s">
        <v>238</v>
      </c>
      <c r="H13" s="138" t="s">
        <v>229</v>
      </c>
      <c r="I13" s="140" t="s">
        <v>245</v>
      </c>
      <c r="J13" s="138" t="s">
        <v>230</v>
      </c>
      <c r="K13" s="141" t="s">
        <v>246</v>
      </c>
      <c r="L13" s="137" t="s">
        <v>226</v>
      </c>
      <c r="M13" s="138" t="s">
        <v>231</v>
      </c>
      <c r="N13" s="140" t="s">
        <v>247</v>
      </c>
      <c r="O13" s="138" t="s">
        <v>232</v>
      </c>
      <c r="P13" s="142" t="s">
        <v>248</v>
      </c>
    </row>
    <row r="14" spans="1:16" ht="15.75" customHeight="1" x14ac:dyDescent="0.2">
      <c r="A14" s="23" t="s">
        <v>0</v>
      </c>
      <c r="B14" s="25" t="s">
        <v>153</v>
      </c>
      <c r="C14" s="24" t="s">
        <v>234</v>
      </c>
      <c r="D14" s="24" t="s">
        <v>235</v>
      </c>
      <c r="E14" s="55">
        <f>scheduleblocalfunded[[#Totals],[Program
Costs]]</f>
        <v>684761040</v>
      </c>
      <c r="F14" s="55">
        <f>scheduleblocalfunded[[#Totals],[Less: Net Payments and Offsets]]</f>
        <v>282031325</v>
      </c>
      <c r="G14" s="25" t="s">
        <v>153</v>
      </c>
      <c r="H14" s="55">
        <f>scheduleblocalfunded[[#Totals],[Accounts Payable
Balance 3]]</f>
        <v>402729715</v>
      </c>
      <c r="I14" s="25" t="s">
        <v>153</v>
      </c>
      <c r="J14" s="55">
        <f>scheduleblocalfunded[[#Totals],[Established
Accounts 
Receivable 4]]</f>
        <v>50121097</v>
      </c>
      <c r="K14" s="25" t="s">
        <v>153</v>
      </c>
      <c r="L14" s="55">
        <f>scheduleblocalfunded[[#Totals],[Less: Recovered
Amount]]</f>
        <v>47870233</v>
      </c>
      <c r="M14" s="55">
        <f>scheduleblocalfunded[[#Totals],[Accounts Receivable
Balance 5]]</f>
        <v>2250864</v>
      </c>
      <c r="N14" s="25" t="s">
        <v>153</v>
      </c>
      <c r="O14" s="55">
        <f>scheduleblocalfunded[[#Totals],[Net
Balance 6 ]]</f>
        <v>400478851</v>
      </c>
      <c r="P14" s="25" t="s">
        <v>153</v>
      </c>
    </row>
    <row r="15" spans="1:16" ht="15.75" customHeight="1" x14ac:dyDescent="0.2">
      <c r="A15" s="23" t="s">
        <v>241</v>
      </c>
      <c r="B15" s="25" t="s">
        <v>153</v>
      </c>
      <c r="C15" s="24" t="s">
        <v>234</v>
      </c>
      <c r="D15" s="24" t="s">
        <v>235</v>
      </c>
      <c r="E15" s="55">
        <f>E9</f>
        <v>6310268855</v>
      </c>
      <c r="F15" s="55">
        <f>F9</f>
        <v>5384866232</v>
      </c>
      <c r="G15" s="25" t="s">
        <v>153</v>
      </c>
      <c r="H15" s="55">
        <f>H9</f>
        <v>925402623</v>
      </c>
      <c r="I15" s="25" t="s">
        <v>153</v>
      </c>
      <c r="J15" s="55">
        <f>J9</f>
        <v>195262044</v>
      </c>
      <c r="K15" s="25" t="s">
        <v>153</v>
      </c>
      <c r="L15" s="55">
        <f>L9</f>
        <v>143556844</v>
      </c>
      <c r="M15" s="55">
        <f>M9</f>
        <v>51705200</v>
      </c>
      <c r="N15" s="25" t="s">
        <v>153</v>
      </c>
      <c r="O15" s="55">
        <f>O9</f>
        <v>873697423</v>
      </c>
      <c r="P15" s="25" t="s">
        <v>153</v>
      </c>
    </row>
    <row r="16" spans="1:16" ht="15.75" customHeight="1" x14ac:dyDescent="0.2">
      <c r="A16" s="23" t="s">
        <v>242</v>
      </c>
      <c r="B16" s="25" t="s">
        <v>153</v>
      </c>
      <c r="C16" s="24" t="s">
        <v>243</v>
      </c>
      <c r="D16" s="24" t="s">
        <v>235</v>
      </c>
      <c r="E16" s="55">
        <f>E10</f>
        <v>162623509</v>
      </c>
      <c r="F16" s="55">
        <f>F10</f>
        <v>151913713</v>
      </c>
      <c r="G16" s="25" t="s">
        <v>153</v>
      </c>
      <c r="H16" s="55">
        <f>H10</f>
        <v>10709796</v>
      </c>
      <c r="I16" s="25" t="s">
        <v>153</v>
      </c>
      <c r="J16" s="55">
        <f>J10</f>
        <v>24929129</v>
      </c>
      <c r="K16" s="25" t="s">
        <v>153</v>
      </c>
      <c r="L16" s="55">
        <f>L10</f>
        <v>12137711</v>
      </c>
      <c r="M16" s="55">
        <f>M10</f>
        <v>12791418</v>
      </c>
      <c r="N16" s="25" t="s">
        <v>153</v>
      </c>
      <c r="O16" s="55">
        <f>O10</f>
        <v>-2081622</v>
      </c>
      <c r="P16" s="25" t="s">
        <v>153</v>
      </c>
    </row>
    <row r="17" spans="1:16" ht="15.75" customHeight="1" x14ac:dyDescent="0.25">
      <c r="A17" s="127" t="s">
        <v>265</v>
      </c>
      <c r="B17" s="118" t="s">
        <v>250</v>
      </c>
      <c r="C17" s="118" t="s">
        <v>153</v>
      </c>
      <c r="D17" s="118" t="s">
        <v>153</v>
      </c>
      <c r="E17" s="103">
        <f>SUBTOTAL(109,schedulebfunded[Program
Costs])</f>
        <v>7157653404</v>
      </c>
      <c r="F17" s="103">
        <f>SUBTOTAL(109,schedulebfunded[Less: Net Payments and Offsets])</f>
        <v>5818811270</v>
      </c>
      <c r="G17" s="118" t="s">
        <v>153</v>
      </c>
      <c r="H17" s="103">
        <f>SUBTOTAL(109,schedulebfunded[Accounts Payable
Balance 3])</f>
        <v>1338842134</v>
      </c>
      <c r="I17" s="118" t="s">
        <v>153</v>
      </c>
      <c r="J17" s="103">
        <f>SUBTOTAL(109,schedulebfunded[Established
Accounts 
Receivable 4])</f>
        <v>270312270</v>
      </c>
      <c r="K17" s="118" t="s">
        <v>153</v>
      </c>
      <c r="L17" s="103">
        <f>SUBTOTAL(109,schedulebfunded[Less: Recovered
Amount])</f>
        <v>203564788</v>
      </c>
      <c r="M17" s="103">
        <f>SUBTOTAL(109,schedulebfunded[Accounts Receivable
Balance 5])</f>
        <v>66747482</v>
      </c>
      <c r="N17" s="118" t="s">
        <v>153</v>
      </c>
      <c r="O17" s="103">
        <f>SUBTOTAL(109,schedulebfunded[Net
Balance 6 ])</f>
        <v>1272094652</v>
      </c>
      <c r="P17" s="118" t="s">
        <v>153</v>
      </c>
    </row>
    <row r="18" spans="1:16" ht="15.75" customHeight="1" x14ac:dyDescent="0.25">
      <c r="A18" s="146" t="s">
        <v>181</v>
      </c>
    </row>
    <row r="19" spans="1:16" ht="60" customHeight="1" x14ac:dyDescent="0.25">
      <c r="A19" s="34" t="s">
        <v>220</v>
      </c>
      <c r="B19" s="136" t="s">
        <v>176</v>
      </c>
      <c r="C19" s="34" t="s">
        <v>221</v>
      </c>
      <c r="D19" s="34" t="s">
        <v>222</v>
      </c>
      <c r="E19" s="137" t="s">
        <v>223</v>
      </c>
      <c r="F19" s="138" t="s">
        <v>228</v>
      </c>
      <c r="G19" s="139" t="s">
        <v>238</v>
      </c>
      <c r="H19" s="138" t="s">
        <v>229</v>
      </c>
      <c r="I19" s="140" t="s">
        <v>245</v>
      </c>
      <c r="J19" s="138" t="s">
        <v>230</v>
      </c>
      <c r="K19" s="141" t="s">
        <v>246</v>
      </c>
      <c r="L19" s="137" t="s">
        <v>226</v>
      </c>
      <c r="M19" s="138" t="s">
        <v>231</v>
      </c>
      <c r="N19" s="140" t="s">
        <v>247</v>
      </c>
      <c r="O19" s="138" t="s">
        <v>232</v>
      </c>
      <c r="P19" s="142" t="s">
        <v>248</v>
      </c>
    </row>
    <row r="20" spans="1:16" ht="15.75" customHeight="1" x14ac:dyDescent="0.25">
      <c r="A20" s="144" t="s">
        <v>233</v>
      </c>
      <c r="B20" s="25" t="s">
        <v>153</v>
      </c>
      <c r="C20" s="125" t="s">
        <v>153</v>
      </c>
      <c r="D20" s="125" t="s">
        <v>153</v>
      </c>
      <c r="E20" s="125" t="s">
        <v>153</v>
      </c>
      <c r="F20" s="125" t="s">
        <v>153</v>
      </c>
      <c r="G20" s="125" t="s">
        <v>153</v>
      </c>
      <c r="H20" s="125" t="s">
        <v>153</v>
      </c>
      <c r="I20" s="125" t="s">
        <v>153</v>
      </c>
      <c r="J20" s="125" t="s">
        <v>153</v>
      </c>
      <c r="K20" s="125" t="s">
        <v>153</v>
      </c>
      <c r="L20" s="125" t="s">
        <v>153</v>
      </c>
      <c r="M20" s="125" t="s">
        <v>153</v>
      </c>
      <c r="N20" s="125" t="s">
        <v>153</v>
      </c>
      <c r="O20" s="125" t="s">
        <v>153</v>
      </c>
      <c r="P20" s="125" t="s">
        <v>153</v>
      </c>
    </row>
    <row r="21" spans="1:16" ht="15.75" customHeight="1" x14ac:dyDescent="0.2">
      <c r="A21" s="23" t="s">
        <v>0</v>
      </c>
      <c r="B21" s="25" t="s">
        <v>153</v>
      </c>
      <c r="C21" s="24" t="s">
        <v>234</v>
      </c>
      <c r="D21" s="24" t="s">
        <v>251</v>
      </c>
      <c r="E21" s="55">
        <v>366615578</v>
      </c>
      <c r="F21" s="56">
        <v>0</v>
      </c>
      <c r="G21" s="25" t="s">
        <v>153</v>
      </c>
      <c r="H21" s="55">
        <v>366615578</v>
      </c>
      <c r="I21" s="25" t="s">
        <v>153</v>
      </c>
      <c r="J21" s="56">
        <v>0</v>
      </c>
      <c r="K21" s="25" t="s">
        <v>153</v>
      </c>
      <c r="L21" s="56">
        <v>0</v>
      </c>
      <c r="M21" s="56">
        <v>0</v>
      </c>
      <c r="N21" s="25" t="s">
        <v>153</v>
      </c>
      <c r="O21" s="55">
        <v>366615578</v>
      </c>
      <c r="P21" s="25" t="s">
        <v>153</v>
      </c>
    </row>
    <row r="22" spans="1:16" ht="15.75" customHeight="1" x14ac:dyDescent="0.25">
      <c r="A22" s="43" t="s">
        <v>236</v>
      </c>
      <c r="B22" s="118" t="s">
        <v>153</v>
      </c>
      <c r="C22" s="117" t="s">
        <v>153</v>
      </c>
      <c r="D22" s="117" t="s">
        <v>153</v>
      </c>
      <c r="E22" s="103">
        <f>SUBTOTAL(109,scheduleblocalunfunded[Program
Costs])</f>
        <v>366615578</v>
      </c>
      <c r="F22" s="104">
        <f>SUBTOTAL(109,scheduleblocalunfunded[Less: Net Payments and Offsets])</f>
        <v>0</v>
      </c>
      <c r="G22" s="118" t="s">
        <v>153</v>
      </c>
      <c r="H22" s="103">
        <f>SUBTOTAL(109,scheduleblocalunfunded[Accounts Payable
Balance 3])</f>
        <v>366615578</v>
      </c>
      <c r="I22" s="118" t="s">
        <v>153</v>
      </c>
      <c r="J22" s="104">
        <f>SUBTOTAL(109,scheduleblocalunfunded[Established
Accounts 
Receivable 4])</f>
        <v>0</v>
      </c>
      <c r="K22" s="118" t="s">
        <v>153</v>
      </c>
      <c r="L22" s="104">
        <f>SUBTOTAL(109,scheduleblocalunfunded[Less: Recovered
Amount])</f>
        <v>0</v>
      </c>
      <c r="M22" s="104">
        <f>SUBTOTAL(109,scheduleblocalunfunded[Accounts Receivable
Balance 5])</f>
        <v>0</v>
      </c>
      <c r="N22" s="118" t="s">
        <v>153</v>
      </c>
      <c r="O22" s="103">
        <f>SUBTOTAL(109,scheduleblocalunfunded[Net
Balance 6 ])</f>
        <v>366615578</v>
      </c>
      <c r="P22" s="118" t="s">
        <v>153</v>
      </c>
    </row>
    <row r="23" spans="1:16" ht="15.75" customHeight="1" x14ac:dyDescent="0.25">
      <c r="A23" s="146" t="s">
        <v>181</v>
      </c>
    </row>
    <row r="24" spans="1:16" ht="60" customHeight="1" x14ac:dyDescent="0.25">
      <c r="A24" s="34" t="s">
        <v>220</v>
      </c>
      <c r="B24" s="136" t="s">
        <v>176</v>
      </c>
      <c r="C24" s="34" t="s">
        <v>221</v>
      </c>
      <c r="D24" s="34" t="s">
        <v>222</v>
      </c>
      <c r="E24" s="137" t="s">
        <v>223</v>
      </c>
      <c r="F24" s="138" t="s">
        <v>228</v>
      </c>
      <c r="G24" s="139" t="s">
        <v>238</v>
      </c>
      <c r="H24" s="138" t="s">
        <v>229</v>
      </c>
      <c r="I24" s="140" t="s">
        <v>245</v>
      </c>
      <c r="J24" s="138" t="s">
        <v>230</v>
      </c>
      <c r="K24" s="141" t="s">
        <v>246</v>
      </c>
      <c r="L24" s="137" t="s">
        <v>226</v>
      </c>
      <c r="M24" s="138" t="s">
        <v>231</v>
      </c>
      <c r="N24" s="140" t="s">
        <v>247</v>
      </c>
      <c r="O24" s="138" t="s">
        <v>232</v>
      </c>
      <c r="P24" s="142" t="s">
        <v>248</v>
      </c>
    </row>
    <row r="25" spans="1:16" ht="15.75" customHeight="1" x14ac:dyDescent="0.25">
      <c r="A25" s="144" t="s">
        <v>240</v>
      </c>
      <c r="B25" s="25" t="s">
        <v>153</v>
      </c>
      <c r="C25" s="25" t="s">
        <v>153</v>
      </c>
      <c r="D25" s="25" t="s">
        <v>153</v>
      </c>
      <c r="E25" s="25" t="s">
        <v>153</v>
      </c>
      <c r="F25" s="25" t="s">
        <v>153</v>
      </c>
      <c r="G25" s="25" t="s">
        <v>153</v>
      </c>
      <c r="H25" s="25" t="s">
        <v>153</v>
      </c>
      <c r="I25" s="25" t="s">
        <v>153</v>
      </c>
      <c r="J25" s="25" t="s">
        <v>153</v>
      </c>
      <c r="K25" s="25" t="s">
        <v>153</v>
      </c>
      <c r="L25" s="25" t="s">
        <v>153</v>
      </c>
      <c r="M25" s="25" t="s">
        <v>153</v>
      </c>
      <c r="N25" s="25" t="s">
        <v>153</v>
      </c>
      <c r="O25" s="25" t="s">
        <v>153</v>
      </c>
      <c r="P25" s="25" t="s">
        <v>153</v>
      </c>
    </row>
    <row r="26" spans="1:16" ht="15.75" customHeight="1" x14ac:dyDescent="0.2">
      <c r="A26" s="23" t="s">
        <v>241</v>
      </c>
      <c r="B26" s="25" t="s">
        <v>153</v>
      </c>
      <c r="C26" s="24" t="s">
        <v>234</v>
      </c>
      <c r="D26" s="24" t="s">
        <v>251</v>
      </c>
      <c r="E26" s="55">
        <v>1803518</v>
      </c>
      <c r="F26" s="56">
        <v>0</v>
      </c>
      <c r="G26" s="147" t="s">
        <v>153</v>
      </c>
      <c r="H26" s="55">
        <v>1803518</v>
      </c>
      <c r="I26" s="25" t="s">
        <v>153</v>
      </c>
      <c r="J26" s="56">
        <v>0</v>
      </c>
      <c r="K26" s="25" t="s">
        <v>153</v>
      </c>
      <c r="L26" s="56">
        <v>0</v>
      </c>
      <c r="M26" s="56">
        <v>0</v>
      </c>
      <c r="N26" s="25" t="s">
        <v>153</v>
      </c>
      <c r="O26" s="55">
        <v>1803518</v>
      </c>
      <c r="P26" s="25" t="s">
        <v>153</v>
      </c>
    </row>
    <row r="27" spans="1:16" ht="15.75" customHeight="1" x14ac:dyDescent="0.25">
      <c r="A27" s="43" t="s">
        <v>109</v>
      </c>
      <c r="B27" s="118" t="s">
        <v>153</v>
      </c>
      <c r="C27" s="117" t="s">
        <v>153</v>
      </c>
      <c r="D27" s="117" t="s">
        <v>153</v>
      </c>
      <c r="E27" s="103">
        <f>SUBTOTAL(109,schedulebsdunfunded[Program
Costs])</f>
        <v>1803518</v>
      </c>
      <c r="F27" s="104">
        <f>SUBTOTAL(109,schedulebsdunfunded[Less: Net Payments and Offsets])</f>
        <v>0</v>
      </c>
      <c r="G27" s="148" t="s">
        <v>153</v>
      </c>
      <c r="H27" s="103">
        <f>SUBTOTAL(109,schedulebsdunfunded[Accounts Payable
Balance 3])</f>
        <v>1803518</v>
      </c>
      <c r="I27" s="118" t="s">
        <v>153</v>
      </c>
      <c r="J27" s="104">
        <f>SUBTOTAL(109,schedulebsdunfunded[Established
Accounts 
Receivable 4])</f>
        <v>0</v>
      </c>
      <c r="K27" s="118" t="s">
        <v>153</v>
      </c>
      <c r="L27" s="104">
        <f>SUBTOTAL(109,schedulebsdunfunded[Less: Recovered
Amount])</f>
        <v>0</v>
      </c>
      <c r="M27" s="104">
        <f>SUBTOTAL(109,schedulebsdunfunded[Accounts Receivable
Balance 5])</f>
        <v>0</v>
      </c>
      <c r="N27" s="118" t="s">
        <v>153</v>
      </c>
      <c r="O27" s="103">
        <f>SUBTOTAL(109,schedulebsdunfunded[Net
Balance 6 ])</f>
        <v>1803518</v>
      </c>
      <c r="P27" s="118" t="s">
        <v>153</v>
      </c>
    </row>
    <row r="28" spans="1:16" ht="15.75" customHeight="1" x14ac:dyDescent="0.25">
      <c r="A28" s="146" t="s">
        <v>181</v>
      </c>
    </row>
    <row r="29" spans="1:16" ht="60" customHeight="1" x14ac:dyDescent="0.25">
      <c r="A29" s="34" t="s">
        <v>220</v>
      </c>
      <c r="B29" s="136" t="s">
        <v>176</v>
      </c>
      <c r="C29" s="34" t="s">
        <v>221</v>
      </c>
      <c r="D29" s="34" t="s">
        <v>222</v>
      </c>
      <c r="E29" s="137" t="s">
        <v>223</v>
      </c>
      <c r="F29" s="138" t="s">
        <v>228</v>
      </c>
      <c r="G29" s="139" t="s">
        <v>238</v>
      </c>
      <c r="H29" s="138" t="s">
        <v>229</v>
      </c>
      <c r="I29" s="140" t="s">
        <v>245</v>
      </c>
      <c r="J29" s="138" t="s">
        <v>230</v>
      </c>
      <c r="K29" s="141" t="s">
        <v>246</v>
      </c>
      <c r="L29" s="137" t="s">
        <v>226</v>
      </c>
      <c r="M29" s="138" t="s">
        <v>231</v>
      </c>
      <c r="N29" s="140" t="s">
        <v>247</v>
      </c>
      <c r="O29" s="138" t="s">
        <v>232</v>
      </c>
      <c r="P29" s="142" t="s">
        <v>248</v>
      </c>
    </row>
    <row r="30" spans="1:16" ht="15.75" customHeight="1" x14ac:dyDescent="0.2">
      <c r="A30" s="23" t="s">
        <v>0</v>
      </c>
      <c r="B30" s="25" t="s">
        <v>153</v>
      </c>
      <c r="C30" s="24" t="s">
        <v>234</v>
      </c>
      <c r="D30" s="24" t="s">
        <v>251</v>
      </c>
      <c r="E30" s="55">
        <f>scheduleblocalunfunded[[#Totals],[Program
Costs]]</f>
        <v>366615578</v>
      </c>
      <c r="F30" s="56">
        <f>scheduleblocalunfunded[[#Totals],[Less: Net Payments and Offsets]]</f>
        <v>0</v>
      </c>
      <c r="G30" s="25" t="s">
        <v>153</v>
      </c>
      <c r="H30" s="55">
        <f>scheduleblocalunfunded[[#Totals],[Accounts Payable
Balance 3]]</f>
        <v>366615578</v>
      </c>
      <c r="I30" s="25" t="s">
        <v>153</v>
      </c>
      <c r="J30" s="56">
        <f>scheduleblocalunfunded[[#Totals],[Established
Accounts 
Receivable 4]]</f>
        <v>0</v>
      </c>
      <c r="K30" s="25" t="s">
        <v>153</v>
      </c>
      <c r="L30" s="56">
        <f>scheduleblocalunfunded[[#Totals],[Less: Recovered
Amount]]</f>
        <v>0</v>
      </c>
      <c r="M30" s="56">
        <f>scheduleblocalunfunded[[#Totals],[Accounts Receivable
Balance 5]]</f>
        <v>0</v>
      </c>
      <c r="N30" s="25" t="s">
        <v>153</v>
      </c>
      <c r="O30" s="55">
        <f>scheduleblocalunfunded[[#Totals],[Net
Balance 6 ]]</f>
        <v>366615578</v>
      </c>
      <c r="P30" s="25" t="s">
        <v>153</v>
      </c>
    </row>
    <row r="31" spans="1:16" ht="15.75" customHeight="1" x14ac:dyDescent="0.2">
      <c r="A31" s="23" t="s">
        <v>241</v>
      </c>
      <c r="B31" s="25" t="s">
        <v>153</v>
      </c>
      <c r="C31" s="24" t="s">
        <v>234</v>
      </c>
      <c r="D31" s="24" t="s">
        <v>251</v>
      </c>
      <c r="E31" s="55">
        <f>schedulebsdunfunded[[#Totals],[Program
Costs]]</f>
        <v>1803518</v>
      </c>
      <c r="F31" s="56">
        <f>schedulebsdunfunded[[#Totals],[Less: Net Payments and Offsets]]</f>
        <v>0</v>
      </c>
      <c r="G31" s="25" t="s">
        <v>153</v>
      </c>
      <c r="H31" s="55">
        <f>schedulebsdunfunded[[#Totals],[Accounts Payable
Balance 3]]</f>
        <v>1803518</v>
      </c>
      <c r="I31" s="25" t="s">
        <v>153</v>
      </c>
      <c r="J31" s="56">
        <f>schedulebsdunfunded[[#Totals],[Established
Accounts 
Receivable 4]]</f>
        <v>0</v>
      </c>
      <c r="K31" s="25" t="s">
        <v>153</v>
      </c>
      <c r="L31" s="56">
        <f>schedulebsdunfunded[[#Totals],[Less: Recovered
Amount]]</f>
        <v>0</v>
      </c>
      <c r="M31" s="56">
        <f>schedulebsdunfunded[[#Totals],[Accounts Receivable
Balance 5]]</f>
        <v>0</v>
      </c>
      <c r="N31" s="25" t="s">
        <v>153</v>
      </c>
      <c r="O31" s="55">
        <f>schedulebsdunfunded[[#Totals],[Net
Balance 6 ]]</f>
        <v>1803518</v>
      </c>
      <c r="P31" s="25" t="s">
        <v>153</v>
      </c>
    </row>
    <row r="32" spans="1:16" ht="15.75" customHeight="1" x14ac:dyDescent="0.25">
      <c r="A32" s="127" t="s">
        <v>264</v>
      </c>
      <c r="B32" s="118" t="s">
        <v>250</v>
      </c>
      <c r="C32" s="117" t="s">
        <v>153</v>
      </c>
      <c r="D32" s="117" t="s">
        <v>153</v>
      </c>
      <c r="E32" s="103">
        <f>SUBTOTAL(109,schedulebunfunded[Program
Costs])</f>
        <v>368419096</v>
      </c>
      <c r="F32" s="104">
        <f>SUBTOTAL(109,schedulebunfunded[Less: Net Payments and Offsets])</f>
        <v>0</v>
      </c>
      <c r="G32" s="118" t="s">
        <v>153</v>
      </c>
      <c r="H32" s="103">
        <f>SUBTOTAL(109,schedulebunfunded[Accounts Payable
Balance 3])</f>
        <v>368419096</v>
      </c>
      <c r="I32" s="118" t="s">
        <v>153</v>
      </c>
      <c r="J32" s="104">
        <f>SUBTOTAL(109,schedulebunfunded[Established
Accounts 
Receivable 4])</f>
        <v>0</v>
      </c>
      <c r="K32" s="118" t="s">
        <v>153</v>
      </c>
      <c r="L32" s="104">
        <f>SUBTOTAL(109,schedulebunfunded[Less: Recovered
Amount])</f>
        <v>0</v>
      </c>
      <c r="M32" s="104">
        <f>SUBTOTAL(109,schedulebunfunded[Accounts Receivable
Balance 5])</f>
        <v>0</v>
      </c>
      <c r="N32" s="118" t="s">
        <v>153</v>
      </c>
      <c r="O32" s="103">
        <f>SUBTOTAL(109,schedulebunfunded[Net
Balance 6 ])</f>
        <v>368419096</v>
      </c>
      <c r="P32" s="118" t="s">
        <v>153</v>
      </c>
    </row>
    <row r="33" spans="1:16" ht="15.75" customHeight="1" x14ac:dyDescent="0.25">
      <c r="A33" s="146" t="s">
        <v>181</v>
      </c>
    </row>
    <row r="34" spans="1:16" ht="60" customHeight="1" x14ac:dyDescent="0.25">
      <c r="A34" s="34" t="s">
        <v>220</v>
      </c>
      <c r="B34" s="136" t="s">
        <v>176</v>
      </c>
      <c r="C34" s="34" t="s">
        <v>221</v>
      </c>
      <c r="D34" s="34" t="s">
        <v>222</v>
      </c>
      <c r="E34" s="137" t="s">
        <v>223</v>
      </c>
      <c r="F34" s="138" t="s">
        <v>228</v>
      </c>
      <c r="G34" s="139" t="s">
        <v>238</v>
      </c>
      <c r="H34" s="138" t="s">
        <v>229</v>
      </c>
      <c r="I34" s="140" t="s">
        <v>245</v>
      </c>
      <c r="J34" s="138" t="s">
        <v>230</v>
      </c>
      <c r="K34" s="141" t="s">
        <v>246</v>
      </c>
      <c r="L34" s="137" t="s">
        <v>226</v>
      </c>
      <c r="M34" s="138" t="s">
        <v>231</v>
      </c>
      <c r="N34" s="140" t="s">
        <v>247</v>
      </c>
      <c r="O34" s="138" t="s">
        <v>232</v>
      </c>
      <c r="P34" s="142" t="s">
        <v>248</v>
      </c>
    </row>
    <row r="35" spans="1:16" ht="20.100000000000001" customHeight="1" x14ac:dyDescent="0.2">
      <c r="A35" s="23" t="s">
        <v>0</v>
      </c>
      <c r="B35" s="25" t="s">
        <v>153</v>
      </c>
      <c r="C35" s="125" t="s">
        <v>153</v>
      </c>
      <c r="D35" s="125" t="s">
        <v>153</v>
      </c>
      <c r="E35" s="55">
        <f>scheduleblocalfunded[[#Totals],[Program
Costs]]+scheduleblocalunfunded[[#Totals],[Program
Costs]]</f>
        <v>1051376618</v>
      </c>
      <c r="F35" s="55">
        <f>scheduleblocalfunded[[#Totals],[Less: Net Payments and Offsets]]+scheduleblocalunfunded[[#Totals],[Less: Net Payments and Offsets]]</f>
        <v>282031325</v>
      </c>
      <c r="G35" s="25" t="s">
        <v>153</v>
      </c>
      <c r="H35" s="55">
        <f>scheduleblocalfunded[[#Totals],[Accounts Payable
Balance 3]]+scheduleblocalunfunded[[#Totals],[Accounts Payable
Balance 3]]</f>
        <v>769345293</v>
      </c>
      <c r="I35" s="25" t="s">
        <v>153</v>
      </c>
      <c r="J35" s="55">
        <f>scheduleblocalfunded[[#Totals],[Established
Accounts 
Receivable 4]]+scheduleblocalunfunded[[#Totals],[Established
Accounts 
Receivable 4]]</f>
        <v>50121097</v>
      </c>
      <c r="K35" s="25" t="s">
        <v>153</v>
      </c>
      <c r="L35" s="55">
        <f>scheduleblocalfunded[[#Totals],[Less: Recovered
Amount]]+scheduleblocalunfunded[[#Totals],[Less: Recovered
Amount]]</f>
        <v>47870233</v>
      </c>
      <c r="M35" s="55">
        <f>scheduleblocalfunded[[#Totals],[Accounts Receivable
Balance 5]]+scheduleblocalunfunded[[#Totals],[Accounts Receivable
Balance 5]]</f>
        <v>2250864</v>
      </c>
      <c r="N35" s="25" t="s">
        <v>153</v>
      </c>
      <c r="O35" s="55">
        <f>scheduleblocalfunded[[#Totals],[Net
Balance 6 ]]+scheduleblocalunfunded[[#Totals],[Net
Balance 6 ]]</f>
        <v>767094429</v>
      </c>
      <c r="P35" s="25" t="s">
        <v>153</v>
      </c>
    </row>
    <row r="36" spans="1:16" ht="20.100000000000001" customHeight="1" x14ac:dyDescent="0.2">
      <c r="A36" s="23" t="s">
        <v>241</v>
      </c>
      <c r="B36" s="25" t="s">
        <v>153</v>
      </c>
      <c r="C36" s="125" t="s">
        <v>153</v>
      </c>
      <c r="D36" s="125" t="s">
        <v>153</v>
      </c>
      <c r="E36" s="55">
        <f>E9+schedulebsdunfunded[[#Totals],[Program
Costs]]</f>
        <v>6312072373</v>
      </c>
      <c r="F36" s="55">
        <f>F9+schedulebsdunfunded[[#Totals],[Less: Net Payments and Offsets]]</f>
        <v>5384866232</v>
      </c>
      <c r="G36" s="25" t="s">
        <v>153</v>
      </c>
      <c r="H36" s="55">
        <f>H9+schedulebsdunfunded[[#Totals],[Accounts Payable
Balance 3]]</f>
        <v>927206141</v>
      </c>
      <c r="I36" s="25" t="s">
        <v>153</v>
      </c>
      <c r="J36" s="55">
        <f>J9+schedulebsdunfunded[[#Totals],[Established
Accounts 
Receivable 4]]</f>
        <v>195262044</v>
      </c>
      <c r="K36" s="25" t="s">
        <v>153</v>
      </c>
      <c r="L36" s="55">
        <f>L9+schedulebsdunfunded[[#Totals],[Less: Recovered
Amount]]</f>
        <v>143556844</v>
      </c>
      <c r="M36" s="55">
        <f>M9+schedulebsdunfunded[[#Totals],[Accounts Receivable
Balance 5]]</f>
        <v>51705200</v>
      </c>
      <c r="N36" s="25" t="s">
        <v>153</v>
      </c>
      <c r="O36" s="55">
        <f>O9+schedulebsdunfunded[[#Totals],[Net
Balance 6 ]]</f>
        <v>875500941</v>
      </c>
      <c r="P36" s="25" t="s">
        <v>153</v>
      </c>
    </row>
    <row r="37" spans="1:16" ht="20.100000000000001" customHeight="1" x14ac:dyDescent="0.2">
      <c r="A37" s="23" t="s">
        <v>242</v>
      </c>
      <c r="B37" s="25" t="s">
        <v>153</v>
      </c>
      <c r="C37" s="125" t="s">
        <v>153</v>
      </c>
      <c r="D37" s="125" t="s">
        <v>153</v>
      </c>
      <c r="E37" s="55">
        <f>E10</f>
        <v>162623509</v>
      </c>
      <c r="F37" s="55">
        <f>F10</f>
        <v>151913713</v>
      </c>
      <c r="G37" s="25" t="s">
        <v>153</v>
      </c>
      <c r="H37" s="55">
        <f>H10</f>
        <v>10709796</v>
      </c>
      <c r="I37" s="25" t="s">
        <v>153</v>
      </c>
      <c r="J37" s="55">
        <f>J10</f>
        <v>24929129</v>
      </c>
      <c r="K37" s="25" t="s">
        <v>153</v>
      </c>
      <c r="L37" s="55">
        <f>L10</f>
        <v>12137711</v>
      </c>
      <c r="M37" s="55">
        <f>M10</f>
        <v>12791418</v>
      </c>
      <c r="N37" s="25" t="s">
        <v>153</v>
      </c>
      <c r="O37" s="55">
        <f>O10</f>
        <v>-2081622</v>
      </c>
      <c r="P37" s="25" t="s">
        <v>153</v>
      </c>
    </row>
    <row r="38" spans="1:16" ht="20.100000000000001" customHeight="1" x14ac:dyDescent="0.25">
      <c r="A38" s="43" t="s">
        <v>252</v>
      </c>
      <c r="B38" s="118" t="s">
        <v>153</v>
      </c>
      <c r="C38" s="117" t="s">
        <v>153</v>
      </c>
      <c r="D38" s="117" t="s">
        <v>153</v>
      </c>
      <c r="E38" s="103">
        <f>SUBTOTAL(109,schedulebgrandtotal[Program
Costs])</f>
        <v>7526072500</v>
      </c>
      <c r="F38" s="103">
        <f>SUBTOTAL(109,schedulebgrandtotal[Less: Net Payments and Offsets])</f>
        <v>5818811270</v>
      </c>
      <c r="G38" s="118" t="s">
        <v>153</v>
      </c>
      <c r="H38" s="103">
        <f>SUBTOTAL(109,schedulebgrandtotal[Accounts Payable
Balance 3])</f>
        <v>1707261230</v>
      </c>
      <c r="I38" s="118" t="s">
        <v>153</v>
      </c>
      <c r="J38" s="103">
        <f>SUBTOTAL(109,schedulebgrandtotal[Established
Accounts 
Receivable 4])</f>
        <v>270312270</v>
      </c>
      <c r="K38" s="118" t="s">
        <v>153</v>
      </c>
      <c r="L38" s="103">
        <f>SUBTOTAL(109,schedulebgrandtotal[Less: Recovered
Amount])</f>
        <v>203564788</v>
      </c>
      <c r="M38" s="103">
        <f>SUBTOTAL(109,schedulebgrandtotal[Accounts Receivable
Balance 5])</f>
        <v>66747482</v>
      </c>
      <c r="N38" s="118" t="s">
        <v>153</v>
      </c>
      <c r="O38" s="103">
        <f>SUBTOTAL(109,schedulebgrandtotal[Net
Balance 6 ])</f>
        <v>1640513748</v>
      </c>
      <c r="P38" s="118" t="s">
        <v>153</v>
      </c>
    </row>
    <row r="39" spans="1:16" ht="20.100000000000001" customHeight="1" x14ac:dyDescent="0.2">
      <c r="A39" s="23" t="s">
        <v>266</v>
      </c>
    </row>
    <row r="40" spans="1:16" ht="18.75" customHeight="1" x14ac:dyDescent="0.2">
      <c r="A40" s="23" t="s">
        <v>253</v>
      </c>
    </row>
    <row r="41" spans="1:16" ht="18.75" customHeight="1" x14ac:dyDescent="0.2">
      <c r="A41" s="23" t="s">
        <v>254</v>
      </c>
    </row>
    <row r="42" spans="1:16" ht="18.75" customHeight="1" x14ac:dyDescent="0.2">
      <c r="A42" s="23" t="s">
        <v>255</v>
      </c>
    </row>
    <row r="43" spans="1:16" ht="18.75" customHeight="1" x14ac:dyDescent="0.2">
      <c r="A43" s="23" t="s">
        <v>256</v>
      </c>
    </row>
    <row r="44" spans="1:16" ht="18.75" customHeight="1" x14ac:dyDescent="0.2">
      <c r="A44" s="23" t="s">
        <v>257</v>
      </c>
    </row>
    <row r="45" spans="1:16" ht="18.75" customHeight="1" x14ac:dyDescent="0.2">
      <c r="A45" s="23" t="s">
        <v>258</v>
      </c>
    </row>
    <row r="46" spans="1:16" ht="18.75" customHeight="1" x14ac:dyDescent="0.2">
      <c r="A46" s="23" t="s">
        <v>259</v>
      </c>
    </row>
  </sheetData>
  <hyperlinks>
    <hyperlink ref="H2" location="'Schedule B Summary'!A39" tooltip="This hyperlink will take you to the referenced footnote-footnote 3" display="'Schedule B Summary'!A39"/>
    <hyperlink ref="J2" location="'Schedule B Summary'!A39" tooltip="This hyperlink will take you to the referenced footnote-footnote 4" display="'Schedule B Summary'!A39"/>
    <hyperlink ref="M2" location="'Schedule B Summary'!A39" tooltip="This hyperlink will take you to the referenced footnote-footnote 5" display="'Schedule B Summary'!A39"/>
    <hyperlink ref="O2" location="'Schedule B Summary'!A39" tooltip="This hyperlink will take you to the referenced footnote-footnote 6" display="'Schedule B Summary'!A39"/>
    <hyperlink ref="G4" location="'Schedule B Summary'!A39" tooltip="This hyperlink will take you to the referenced footnote-footnote 1" display="'Schedule B Summary'!A39"/>
    <hyperlink ref="G9" location="'Schedule B Summary'!A39" tooltip="This hyperlink will take you to the referenced footnote-footnote 2" display="'Schedule B Summary'!A39"/>
    <hyperlink ref="G10" location="'Schedule B Summary'!A39" tooltip="This hyperlink will take you to the referenced footnote-footnote 2" display="'Schedule B Summary'!A39"/>
    <hyperlink ref="A32" location="'Schedule B Summary'!A39" tooltip="This hyperlink will take you to the referenced footnote-footnote 7" display="Total Schedule B2: Unfunded Mandates 7"/>
    <hyperlink ref="A17" location="'Schedule B Summary'!A39" tooltip="This hyperlink will take you to the referenced footnote-footnote 7" display="Total Schedule B1: Funded Mandates 7"/>
  </hyperlinks>
  <printOptions horizontalCentered="1" gridLines="1"/>
  <pageMargins left="0.3" right="0.3" top="1.1000000000000001" bottom="1" header="0.3" footer="0.3"/>
  <pageSetup scale="52" orientation="landscape" r:id="rId1"/>
  <headerFooter>
    <oddHeader>&amp;C&amp;"Arial,Bold"&amp;12State Controller's Office
Schedule B: Summary of Funded and Unfunded State-Mandated Programs
As of April 1, 2021</oddHeader>
    <oddFooter>&amp;LSchedule B: Summary of Funded and Unfunded State-Mandated Programs&amp;RPage &amp;P of &amp;N</oddFooter>
  </headerFooter>
  <legacyDrawing r:id="rId2"/>
  <tableParts count="7">
    <tablePart r:id="rId3"/>
    <tablePart r:id="rId4"/>
    <tablePart r:id="rId5"/>
    <tablePart r:id="rId6"/>
    <tablePart r:id="rId7"/>
    <tablePart r:id="rId8"/>
    <tablePart r:id="rId9"/>
  </tablePar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309"/>
  <sheetViews>
    <sheetView view="pageLayout" zoomScale="70" zoomScaleNormal="70" zoomScalePageLayoutView="70" workbookViewId="0"/>
  </sheetViews>
  <sheetFormatPr defaultRowHeight="15" x14ac:dyDescent="0.2"/>
  <cols>
    <col min="1" max="1" width="20.7109375" style="24" customWidth="1"/>
    <col min="2" max="2" width="40.5703125" style="152" customWidth="1"/>
    <col min="3" max="3" width="12.5703125" style="23" customWidth="1"/>
    <col min="4" max="4" width="14.5703125" style="170" customWidth="1"/>
    <col min="5" max="6" width="16.5703125" style="271" customWidth="1"/>
    <col min="7" max="7" width="2.5703125" style="327" customWidth="1"/>
    <col min="8" max="8" width="16.5703125" style="271" customWidth="1"/>
    <col min="9" max="9" width="17" style="271" customWidth="1"/>
    <col min="10" max="10" width="15.5703125" style="271" customWidth="1"/>
    <col min="11" max="11" width="16.85546875" style="271" customWidth="1"/>
    <col min="12" max="12" width="17.85546875" style="271" customWidth="1"/>
    <col min="13" max="13" width="2.5703125" style="25" customWidth="1"/>
    <col min="14" max="14" width="9.140625" style="52"/>
    <col min="15" max="17" width="18.140625" style="160" bestFit="1" customWidth="1"/>
    <col min="18" max="19" width="17.7109375" style="160" bestFit="1" customWidth="1"/>
    <col min="20" max="20" width="14.85546875" style="160" bestFit="1" customWidth="1"/>
    <col min="21" max="21" width="18.140625" style="160" bestFit="1" customWidth="1"/>
    <col min="22" max="23" width="9.140625" style="52"/>
    <col min="24" max="24" width="14.85546875" style="52" bestFit="1" customWidth="1"/>
    <col min="25" max="16384" width="9.140625" style="52"/>
  </cols>
  <sheetData>
    <row r="1" spans="1:13" ht="54" customHeight="1" x14ac:dyDescent="0.25">
      <c r="A1" s="20" t="s">
        <v>267</v>
      </c>
      <c r="B1" s="62"/>
      <c r="C1" s="62"/>
      <c r="D1" s="174"/>
      <c r="E1" s="365"/>
      <c r="F1" s="365"/>
      <c r="G1" s="366"/>
      <c r="H1" s="365"/>
      <c r="I1" s="365"/>
      <c r="J1" s="365"/>
      <c r="K1" s="365"/>
      <c r="L1" s="365"/>
      <c r="M1" s="15"/>
    </row>
    <row r="2" spans="1:13" ht="50.1" customHeight="1" x14ac:dyDescent="0.25">
      <c r="A2" s="21" t="s">
        <v>221</v>
      </c>
      <c r="B2" s="21" t="s">
        <v>268</v>
      </c>
      <c r="C2" s="21" t="s">
        <v>2</v>
      </c>
      <c r="D2" s="169" t="s">
        <v>280</v>
      </c>
      <c r="E2" s="153" t="s">
        <v>223</v>
      </c>
      <c r="F2" s="168" t="s">
        <v>595</v>
      </c>
      <c r="G2" s="154" t="s">
        <v>269</v>
      </c>
      <c r="H2" s="151" t="s">
        <v>270</v>
      </c>
      <c r="I2" s="151" t="s">
        <v>271</v>
      </c>
      <c r="J2" s="151" t="s">
        <v>282</v>
      </c>
      <c r="K2" s="151" t="s">
        <v>272</v>
      </c>
      <c r="L2" s="151" t="s">
        <v>273</v>
      </c>
      <c r="M2" s="250"/>
    </row>
    <row r="3" spans="1:13" ht="15.75" customHeight="1" x14ac:dyDescent="0.2">
      <c r="A3" s="24" t="s">
        <v>274</v>
      </c>
      <c r="B3" s="152" t="s">
        <v>3</v>
      </c>
      <c r="C3" s="23" t="s">
        <v>4</v>
      </c>
      <c r="D3" s="170">
        <v>246</v>
      </c>
      <c r="E3" s="271">
        <v>1765525</v>
      </c>
      <c r="F3" s="326">
        <v>0</v>
      </c>
      <c r="G3" s="327" t="s">
        <v>153</v>
      </c>
      <c r="H3" s="271">
        <v>1765525</v>
      </c>
      <c r="I3" s="326">
        <v>0</v>
      </c>
      <c r="J3" s="326">
        <v>0</v>
      </c>
      <c r="K3" s="326">
        <v>0</v>
      </c>
      <c r="L3" s="271">
        <v>1765525</v>
      </c>
    </row>
    <row r="4" spans="1:13" ht="15.75" customHeight="1" x14ac:dyDescent="0.2">
      <c r="A4" s="24" t="s">
        <v>274</v>
      </c>
      <c r="B4" s="152" t="s">
        <v>5</v>
      </c>
      <c r="C4" s="23" t="s">
        <v>6</v>
      </c>
      <c r="D4" s="170">
        <v>152</v>
      </c>
      <c r="E4" s="271">
        <v>772325</v>
      </c>
      <c r="F4" s="326">
        <v>0</v>
      </c>
      <c r="G4" s="327" t="s">
        <v>153</v>
      </c>
      <c r="H4" s="271">
        <v>772325</v>
      </c>
      <c r="I4" s="326">
        <v>0</v>
      </c>
      <c r="J4" s="326">
        <v>0</v>
      </c>
      <c r="K4" s="326">
        <v>0</v>
      </c>
      <c r="L4" s="271">
        <v>772325</v>
      </c>
    </row>
    <row r="5" spans="1:13" ht="15.75" customHeight="1" x14ac:dyDescent="0.2">
      <c r="A5" s="24" t="s">
        <v>274</v>
      </c>
      <c r="B5" s="152" t="s">
        <v>7</v>
      </c>
      <c r="C5" s="23" t="s">
        <v>8</v>
      </c>
      <c r="D5" s="170">
        <v>90</v>
      </c>
      <c r="E5" s="271">
        <v>372572</v>
      </c>
      <c r="F5" s="326">
        <v>0</v>
      </c>
      <c r="G5" s="327" t="s">
        <v>153</v>
      </c>
      <c r="H5" s="271">
        <v>372572</v>
      </c>
      <c r="I5" s="326">
        <v>0</v>
      </c>
      <c r="J5" s="326">
        <v>0</v>
      </c>
      <c r="K5" s="326">
        <v>0</v>
      </c>
      <c r="L5" s="271">
        <v>372572</v>
      </c>
    </row>
    <row r="6" spans="1:13" ht="15.75" customHeight="1" x14ac:dyDescent="0.2">
      <c r="A6" s="24" t="s">
        <v>274</v>
      </c>
      <c r="B6" s="152" t="s">
        <v>9</v>
      </c>
      <c r="C6" s="23" t="s">
        <v>10</v>
      </c>
      <c r="D6" s="170">
        <v>262</v>
      </c>
      <c r="E6" s="271">
        <v>179639</v>
      </c>
      <c r="F6" s="326">
        <v>0</v>
      </c>
      <c r="G6" s="327" t="s">
        <v>153</v>
      </c>
      <c r="H6" s="271">
        <v>179639</v>
      </c>
      <c r="I6" s="326">
        <v>0</v>
      </c>
      <c r="J6" s="326">
        <v>0</v>
      </c>
      <c r="K6" s="326">
        <v>0</v>
      </c>
      <c r="L6" s="271">
        <v>179639</v>
      </c>
    </row>
    <row r="7" spans="1:13" ht="30" customHeight="1" x14ac:dyDescent="0.2">
      <c r="A7" s="24" t="s">
        <v>274</v>
      </c>
      <c r="B7" s="152" t="s">
        <v>11</v>
      </c>
      <c r="C7" s="23" t="s">
        <v>12</v>
      </c>
      <c r="D7" s="170">
        <v>13</v>
      </c>
      <c r="E7" s="271">
        <v>12796010</v>
      </c>
      <c r="F7" s="326">
        <v>0</v>
      </c>
      <c r="G7" s="327" t="s">
        <v>153</v>
      </c>
      <c r="H7" s="271">
        <v>12796010</v>
      </c>
      <c r="I7" s="326">
        <v>0</v>
      </c>
      <c r="J7" s="326">
        <v>0</v>
      </c>
      <c r="K7" s="326">
        <v>0</v>
      </c>
      <c r="L7" s="271">
        <v>12796010</v>
      </c>
    </row>
    <row r="8" spans="1:13" ht="30" customHeight="1" x14ac:dyDescent="0.2">
      <c r="A8" s="24" t="s">
        <v>274</v>
      </c>
      <c r="B8" s="152" t="s">
        <v>13</v>
      </c>
      <c r="C8" s="23" t="s">
        <v>14</v>
      </c>
      <c r="D8" s="170">
        <v>167</v>
      </c>
      <c r="E8" s="271">
        <v>9546431</v>
      </c>
      <c r="F8" s="326">
        <v>0</v>
      </c>
      <c r="G8" s="327" t="s">
        <v>153</v>
      </c>
      <c r="H8" s="271">
        <v>9546431</v>
      </c>
      <c r="I8" s="326">
        <v>0</v>
      </c>
      <c r="J8" s="326">
        <v>0</v>
      </c>
      <c r="K8" s="326">
        <v>0</v>
      </c>
      <c r="L8" s="271">
        <v>9546431</v>
      </c>
    </row>
    <row r="9" spans="1:13" ht="30" customHeight="1" x14ac:dyDescent="0.2">
      <c r="A9" s="24" t="s">
        <v>274</v>
      </c>
      <c r="B9" s="152" t="s">
        <v>15</v>
      </c>
      <c r="C9" s="23" t="s">
        <v>16</v>
      </c>
      <c r="D9" s="170">
        <v>274</v>
      </c>
      <c r="E9" s="271">
        <v>2331228</v>
      </c>
      <c r="F9" s="326">
        <v>0</v>
      </c>
      <c r="G9" s="327" t="s">
        <v>153</v>
      </c>
      <c r="H9" s="271">
        <v>2331228</v>
      </c>
      <c r="I9" s="326">
        <v>0</v>
      </c>
      <c r="J9" s="326">
        <v>0</v>
      </c>
      <c r="K9" s="326">
        <v>0</v>
      </c>
      <c r="L9" s="271">
        <v>2331228</v>
      </c>
    </row>
    <row r="10" spans="1:13" ht="30" customHeight="1" x14ac:dyDescent="0.2">
      <c r="A10" s="24" t="s">
        <v>274</v>
      </c>
      <c r="B10" s="152" t="s">
        <v>17</v>
      </c>
      <c r="C10" s="23" t="s">
        <v>18</v>
      </c>
      <c r="D10" s="170">
        <v>177</v>
      </c>
      <c r="E10" s="271">
        <v>2161354</v>
      </c>
      <c r="F10" s="326">
        <v>0</v>
      </c>
      <c r="G10" s="327" t="s">
        <v>153</v>
      </c>
      <c r="H10" s="271">
        <v>2161354</v>
      </c>
      <c r="I10" s="326">
        <v>0</v>
      </c>
      <c r="J10" s="326">
        <v>0</v>
      </c>
      <c r="K10" s="326">
        <v>0</v>
      </c>
      <c r="L10" s="271">
        <v>2161354</v>
      </c>
    </row>
    <row r="11" spans="1:13" ht="30" customHeight="1" x14ac:dyDescent="0.2">
      <c r="A11" s="24" t="s">
        <v>274</v>
      </c>
      <c r="B11" s="152" t="s">
        <v>19</v>
      </c>
      <c r="C11" s="23" t="s">
        <v>20</v>
      </c>
      <c r="D11" s="170">
        <v>197</v>
      </c>
      <c r="E11" s="271">
        <v>2511671</v>
      </c>
      <c r="F11" s="326">
        <v>0</v>
      </c>
      <c r="G11" s="327" t="s">
        <v>153</v>
      </c>
      <c r="H11" s="271">
        <v>2511671</v>
      </c>
      <c r="I11" s="326">
        <v>0</v>
      </c>
      <c r="J11" s="326">
        <v>0</v>
      </c>
      <c r="K11" s="326">
        <v>0</v>
      </c>
      <c r="L11" s="271">
        <v>2511671</v>
      </c>
    </row>
    <row r="12" spans="1:13" ht="15.75" customHeight="1" x14ac:dyDescent="0.2">
      <c r="A12" s="24" t="s">
        <v>274</v>
      </c>
      <c r="B12" s="152" t="s">
        <v>21</v>
      </c>
      <c r="C12" s="23" t="s">
        <v>22</v>
      </c>
      <c r="D12" s="170">
        <v>371</v>
      </c>
      <c r="E12" s="271">
        <v>260542</v>
      </c>
      <c r="F12" s="326">
        <v>0</v>
      </c>
      <c r="G12" s="327" t="s">
        <v>153</v>
      </c>
      <c r="H12" s="271">
        <v>260542</v>
      </c>
      <c r="I12" s="326">
        <v>0</v>
      </c>
      <c r="J12" s="326">
        <v>0</v>
      </c>
      <c r="K12" s="326">
        <v>0</v>
      </c>
      <c r="L12" s="271">
        <v>260542</v>
      </c>
    </row>
    <row r="13" spans="1:13" ht="15.75" customHeight="1" x14ac:dyDescent="0.2">
      <c r="A13" s="24" t="s">
        <v>274</v>
      </c>
      <c r="B13" s="152" t="s">
        <v>23</v>
      </c>
      <c r="C13" s="23" t="s">
        <v>24</v>
      </c>
      <c r="D13" s="170">
        <v>334</v>
      </c>
      <c r="E13" s="271">
        <v>14818</v>
      </c>
      <c r="F13" s="326">
        <v>0</v>
      </c>
      <c r="G13" s="327" t="s">
        <v>153</v>
      </c>
      <c r="H13" s="271">
        <v>14818</v>
      </c>
      <c r="I13" s="326">
        <v>0</v>
      </c>
      <c r="J13" s="326">
        <v>0</v>
      </c>
      <c r="K13" s="326">
        <v>0</v>
      </c>
      <c r="L13" s="271">
        <v>14818</v>
      </c>
    </row>
    <row r="14" spans="1:13" ht="15.75" customHeight="1" x14ac:dyDescent="0.2">
      <c r="A14" s="24" t="s">
        <v>274</v>
      </c>
      <c r="B14" s="152" t="s">
        <v>25</v>
      </c>
      <c r="C14" s="23" t="s">
        <v>26</v>
      </c>
      <c r="D14" s="170">
        <v>43</v>
      </c>
      <c r="E14" s="271">
        <v>12012</v>
      </c>
      <c r="F14" s="326">
        <v>0</v>
      </c>
      <c r="G14" s="327" t="s">
        <v>153</v>
      </c>
      <c r="H14" s="271">
        <v>12012</v>
      </c>
      <c r="I14" s="326">
        <v>0</v>
      </c>
      <c r="J14" s="326">
        <v>0</v>
      </c>
      <c r="K14" s="326">
        <v>0</v>
      </c>
      <c r="L14" s="271">
        <v>12012</v>
      </c>
    </row>
    <row r="15" spans="1:13" ht="15.75" customHeight="1" x14ac:dyDescent="0.2">
      <c r="A15" s="24" t="s">
        <v>274</v>
      </c>
      <c r="B15" s="152" t="s">
        <v>27</v>
      </c>
      <c r="C15" s="23" t="s">
        <v>28</v>
      </c>
      <c r="D15" s="170">
        <v>361</v>
      </c>
      <c r="E15" s="271">
        <v>4262</v>
      </c>
      <c r="F15" s="326">
        <v>0</v>
      </c>
      <c r="G15" s="327" t="s">
        <v>153</v>
      </c>
      <c r="H15" s="271">
        <v>4262</v>
      </c>
      <c r="I15" s="326">
        <v>0</v>
      </c>
      <c r="J15" s="326">
        <v>0</v>
      </c>
      <c r="K15" s="326">
        <v>0</v>
      </c>
      <c r="L15" s="271">
        <v>4262</v>
      </c>
    </row>
    <row r="16" spans="1:13" ht="30" customHeight="1" x14ac:dyDescent="0.2">
      <c r="A16" s="24" t="s">
        <v>274</v>
      </c>
      <c r="B16" s="152" t="s">
        <v>29</v>
      </c>
      <c r="C16" s="23" t="s">
        <v>30</v>
      </c>
      <c r="D16" s="170">
        <v>264</v>
      </c>
      <c r="E16" s="271">
        <v>834437</v>
      </c>
      <c r="F16" s="326">
        <v>0</v>
      </c>
      <c r="G16" s="327" t="s">
        <v>153</v>
      </c>
      <c r="H16" s="271">
        <v>834437</v>
      </c>
      <c r="I16" s="326">
        <v>0</v>
      </c>
      <c r="J16" s="326">
        <v>0</v>
      </c>
      <c r="K16" s="326">
        <v>0</v>
      </c>
      <c r="L16" s="271">
        <v>834437</v>
      </c>
    </row>
    <row r="17" spans="1:13" ht="15" customHeight="1" x14ac:dyDescent="0.2">
      <c r="A17" s="24" t="s">
        <v>274</v>
      </c>
      <c r="B17" s="152" t="s">
        <v>275</v>
      </c>
      <c r="C17" s="23" t="s">
        <v>276</v>
      </c>
      <c r="D17" s="170">
        <v>187</v>
      </c>
      <c r="E17" s="271">
        <v>7038940</v>
      </c>
      <c r="F17" s="326">
        <v>0</v>
      </c>
      <c r="G17" s="327" t="s">
        <v>153</v>
      </c>
      <c r="H17" s="271">
        <v>7038940</v>
      </c>
      <c r="I17" s="326">
        <v>0</v>
      </c>
      <c r="J17" s="326">
        <v>0</v>
      </c>
      <c r="K17" s="326">
        <v>0</v>
      </c>
      <c r="L17" s="271">
        <v>7038940</v>
      </c>
    </row>
    <row r="18" spans="1:13" ht="15.75" customHeight="1" x14ac:dyDescent="0.2">
      <c r="A18" s="24" t="s">
        <v>274</v>
      </c>
      <c r="B18" s="152" t="s">
        <v>31</v>
      </c>
      <c r="C18" s="23" t="s">
        <v>32</v>
      </c>
      <c r="D18" s="170">
        <v>121</v>
      </c>
      <c r="E18" s="271">
        <v>65987</v>
      </c>
      <c r="F18" s="326">
        <v>0</v>
      </c>
      <c r="G18" s="327" t="s">
        <v>153</v>
      </c>
      <c r="H18" s="271">
        <v>65987</v>
      </c>
      <c r="I18" s="326">
        <v>0</v>
      </c>
      <c r="J18" s="326">
        <v>0</v>
      </c>
      <c r="K18" s="326">
        <v>0</v>
      </c>
      <c r="L18" s="271">
        <v>65987</v>
      </c>
    </row>
    <row r="19" spans="1:13" ht="15" customHeight="1" x14ac:dyDescent="0.2">
      <c r="A19" s="24" t="s">
        <v>274</v>
      </c>
      <c r="B19" s="152" t="s">
        <v>33</v>
      </c>
      <c r="C19" s="23" t="s">
        <v>34</v>
      </c>
      <c r="D19" s="170">
        <v>127</v>
      </c>
      <c r="E19" s="271">
        <v>544861</v>
      </c>
      <c r="F19" s="326">
        <v>0</v>
      </c>
      <c r="G19" s="327" t="s">
        <v>153</v>
      </c>
      <c r="H19" s="271">
        <v>544861</v>
      </c>
      <c r="I19" s="326">
        <v>0</v>
      </c>
      <c r="J19" s="326">
        <v>0</v>
      </c>
      <c r="K19" s="326">
        <v>0</v>
      </c>
      <c r="L19" s="271">
        <v>544861</v>
      </c>
    </row>
    <row r="20" spans="1:13" ht="15.75" customHeight="1" x14ac:dyDescent="0.2">
      <c r="A20" s="24" t="s">
        <v>274</v>
      </c>
      <c r="B20" s="152" t="s">
        <v>35</v>
      </c>
      <c r="C20" s="23" t="s">
        <v>36</v>
      </c>
      <c r="D20" s="170">
        <v>175</v>
      </c>
      <c r="E20" s="271">
        <v>14383245</v>
      </c>
      <c r="F20" s="326">
        <v>0</v>
      </c>
      <c r="G20" s="327" t="s">
        <v>153</v>
      </c>
      <c r="H20" s="271">
        <v>14383245</v>
      </c>
      <c r="I20" s="326">
        <v>0</v>
      </c>
      <c r="J20" s="326">
        <v>0</v>
      </c>
      <c r="K20" s="326">
        <v>0</v>
      </c>
      <c r="L20" s="271">
        <v>14383245</v>
      </c>
    </row>
    <row r="21" spans="1:13" ht="30" customHeight="1" x14ac:dyDescent="0.2">
      <c r="A21" s="24" t="s">
        <v>274</v>
      </c>
      <c r="B21" s="152" t="s">
        <v>37</v>
      </c>
      <c r="C21" s="23" t="s">
        <v>38</v>
      </c>
      <c r="D21" s="170">
        <v>360</v>
      </c>
      <c r="E21" s="271">
        <v>549882</v>
      </c>
      <c r="F21" s="326">
        <v>0</v>
      </c>
      <c r="G21" s="327" t="s">
        <v>153</v>
      </c>
      <c r="H21" s="271">
        <v>549882</v>
      </c>
      <c r="I21" s="326">
        <v>0</v>
      </c>
      <c r="J21" s="326">
        <v>0</v>
      </c>
      <c r="K21" s="326">
        <v>0</v>
      </c>
      <c r="L21" s="271">
        <v>549882</v>
      </c>
      <c r="M21" s="25" t="s">
        <v>519</v>
      </c>
    </row>
    <row r="22" spans="1:13" ht="15.75" customHeight="1" x14ac:dyDescent="0.2">
      <c r="A22" s="24" t="s">
        <v>274</v>
      </c>
      <c r="B22" s="152" t="s">
        <v>277</v>
      </c>
      <c r="C22" s="23" t="s">
        <v>278</v>
      </c>
      <c r="D22" s="170">
        <v>163</v>
      </c>
      <c r="E22" s="271">
        <v>25054</v>
      </c>
      <c r="F22" s="326">
        <v>0</v>
      </c>
      <c r="G22" s="327" t="s">
        <v>153</v>
      </c>
      <c r="H22" s="271">
        <v>25054</v>
      </c>
      <c r="I22" s="326">
        <v>0</v>
      </c>
      <c r="J22" s="326">
        <v>0</v>
      </c>
      <c r="K22" s="326">
        <v>0</v>
      </c>
      <c r="L22" s="271">
        <v>25054</v>
      </c>
    </row>
    <row r="23" spans="1:13" ht="15.75" customHeight="1" x14ac:dyDescent="0.2">
      <c r="A23" s="24" t="s">
        <v>274</v>
      </c>
      <c r="B23" s="152" t="s">
        <v>39</v>
      </c>
      <c r="C23" s="23" t="s">
        <v>40</v>
      </c>
      <c r="D23" s="170">
        <v>345</v>
      </c>
      <c r="E23" s="271">
        <v>148065</v>
      </c>
      <c r="F23" s="326">
        <v>0</v>
      </c>
      <c r="G23" s="327" t="s">
        <v>153</v>
      </c>
      <c r="H23" s="271">
        <v>148065</v>
      </c>
      <c r="I23" s="326">
        <v>0</v>
      </c>
      <c r="J23" s="326">
        <v>0</v>
      </c>
      <c r="K23" s="326">
        <v>0</v>
      </c>
      <c r="L23" s="271">
        <v>148065</v>
      </c>
    </row>
    <row r="24" spans="1:13" ht="30" customHeight="1" x14ac:dyDescent="0.2">
      <c r="A24" s="24" t="s">
        <v>274</v>
      </c>
      <c r="B24" s="152" t="s">
        <v>41</v>
      </c>
      <c r="C24" s="23" t="s">
        <v>42</v>
      </c>
      <c r="D24" s="170">
        <v>372</v>
      </c>
      <c r="E24" s="271">
        <v>1559538</v>
      </c>
      <c r="F24" s="326">
        <v>0</v>
      </c>
      <c r="G24" s="327" t="s">
        <v>153</v>
      </c>
      <c r="H24" s="271">
        <v>1559538</v>
      </c>
      <c r="I24" s="326">
        <v>0</v>
      </c>
      <c r="J24" s="326">
        <v>0</v>
      </c>
      <c r="K24" s="326">
        <v>0</v>
      </c>
      <c r="L24" s="271">
        <v>1559538</v>
      </c>
    </row>
    <row r="25" spans="1:13" ht="15.75" customHeight="1" x14ac:dyDescent="0.25">
      <c r="A25" s="165" t="s">
        <v>279</v>
      </c>
      <c r="B25" s="171" t="s">
        <v>153</v>
      </c>
      <c r="C25" s="122" t="s">
        <v>153</v>
      </c>
      <c r="D25" s="121" t="s">
        <v>153</v>
      </c>
      <c r="E25" s="277">
        <f>SUBTOTAL(109,local201920[Program
Costs])</f>
        <v>57878398</v>
      </c>
      <c r="F25" s="279">
        <f>SUBTOTAL(109,local201920[Less: Net 
Payments
 and Offsets 1])</f>
        <v>0</v>
      </c>
      <c r="G25" s="328" t="s">
        <v>153</v>
      </c>
      <c r="H25" s="277">
        <f>SUBTOTAL(109,local201920[Accounts Payable
Balance])</f>
        <v>57878398</v>
      </c>
      <c r="I25" s="279">
        <f>SUBTOTAL(109,local201920[Established
Accounts Receivable])</f>
        <v>0</v>
      </c>
      <c r="J25" s="279">
        <f>SUBTOTAL(109,local201920[Less: 
Recovered 
Amount])</f>
        <v>0</v>
      </c>
      <c r="K25" s="279">
        <f>SUBTOTAL(109,local201920[Accounts Receivable
Balance])</f>
        <v>0</v>
      </c>
      <c r="L25" s="277">
        <f>SUBTOTAL(109,local201920[Net
Balance])</f>
        <v>57878398</v>
      </c>
      <c r="M25" s="251"/>
    </row>
    <row r="26" spans="1:13" ht="15.75" customHeight="1" x14ac:dyDescent="0.25">
      <c r="A26" s="146" t="s">
        <v>181</v>
      </c>
    </row>
    <row r="27" spans="1:13" ht="50.1" customHeight="1" x14ac:dyDescent="0.25">
      <c r="A27" s="28" t="s">
        <v>221</v>
      </c>
      <c r="B27" s="28" t="s">
        <v>268</v>
      </c>
      <c r="C27" s="28" t="s">
        <v>2</v>
      </c>
      <c r="D27" s="169" t="s">
        <v>280</v>
      </c>
      <c r="E27" s="155" t="s">
        <v>223</v>
      </c>
      <c r="F27" s="28" t="s">
        <v>281</v>
      </c>
      <c r="G27" s="154" t="s">
        <v>176</v>
      </c>
      <c r="H27" s="156" t="s">
        <v>270</v>
      </c>
      <c r="I27" s="156" t="s">
        <v>271</v>
      </c>
      <c r="J27" s="156" t="s">
        <v>282</v>
      </c>
      <c r="K27" s="156" t="s">
        <v>272</v>
      </c>
      <c r="L27" s="151" t="s">
        <v>273</v>
      </c>
      <c r="M27" s="250" t="s">
        <v>511</v>
      </c>
    </row>
    <row r="28" spans="1:13" ht="15.75" customHeight="1" x14ac:dyDescent="0.2">
      <c r="A28" s="24" t="s">
        <v>43</v>
      </c>
      <c r="B28" s="152" t="s">
        <v>3</v>
      </c>
      <c r="C28" s="23" t="s">
        <v>4</v>
      </c>
      <c r="D28" s="170">
        <v>246</v>
      </c>
      <c r="E28" s="271">
        <v>1963745</v>
      </c>
      <c r="F28" s="271">
        <v>1942278</v>
      </c>
      <c r="G28" s="327" t="s">
        <v>153</v>
      </c>
      <c r="H28" s="271">
        <v>21467</v>
      </c>
      <c r="I28" s="271">
        <v>7614</v>
      </c>
      <c r="J28" s="326">
        <v>0</v>
      </c>
      <c r="K28" s="271">
        <v>7614</v>
      </c>
      <c r="L28" s="271">
        <v>13853</v>
      </c>
    </row>
    <row r="29" spans="1:13" ht="15.75" customHeight="1" x14ac:dyDescent="0.2">
      <c r="A29" s="24" t="s">
        <v>43</v>
      </c>
      <c r="B29" s="152" t="s">
        <v>5</v>
      </c>
      <c r="C29" s="23" t="s">
        <v>6</v>
      </c>
      <c r="D29" s="170">
        <v>152</v>
      </c>
      <c r="E29" s="271">
        <v>711707</v>
      </c>
      <c r="F29" s="271">
        <v>584999</v>
      </c>
      <c r="G29" s="327" t="s">
        <v>153</v>
      </c>
      <c r="H29" s="271">
        <v>126708</v>
      </c>
      <c r="I29" s="326">
        <v>0</v>
      </c>
      <c r="J29" s="326">
        <v>0</v>
      </c>
      <c r="K29" s="326">
        <v>0</v>
      </c>
      <c r="L29" s="271">
        <v>126708</v>
      </c>
    </row>
    <row r="30" spans="1:13" ht="15.75" customHeight="1" x14ac:dyDescent="0.2">
      <c r="A30" s="24" t="s">
        <v>43</v>
      </c>
      <c r="B30" s="152" t="s">
        <v>9</v>
      </c>
      <c r="C30" s="23" t="s">
        <v>10</v>
      </c>
      <c r="D30" s="170">
        <v>262</v>
      </c>
      <c r="E30" s="271">
        <v>173499</v>
      </c>
      <c r="F30" s="271">
        <v>172453</v>
      </c>
      <c r="G30" s="327" t="s">
        <v>153</v>
      </c>
      <c r="H30" s="271">
        <v>1046</v>
      </c>
      <c r="I30" s="326">
        <v>0</v>
      </c>
      <c r="J30" s="326">
        <v>0</v>
      </c>
      <c r="K30" s="326">
        <v>0</v>
      </c>
      <c r="L30" s="271">
        <v>1046</v>
      </c>
    </row>
    <row r="31" spans="1:13" ht="30" customHeight="1" x14ac:dyDescent="0.2">
      <c r="A31" s="24" t="s">
        <v>43</v>
      </c>
      <c r="B31" s="152" t="s">
        <v>11</v>
      </c>
      <c r="C31" s="23" t="s">
        <v>12</v>
      </c>
      <c r="D31" s="170">
        <v>13</v>
      </c>
      <c r="E31" s="271">
        <v>12880927</v>
      </c>
      <c r="F31" s="271">
        <v>12872611</v>
      </c>
      <c r="G31" s="327" t="s">
        <v>153</v>
      </c>
      <c r="H31" s="271">
        <v>8316</v>
      </c>
      <c r="I31" s="326">
        <v>0</v>
      </c>
      <c r="J31" s="326">
        <v>0</v>
      </c>
      <c r="K31" s="326">
        <v>0</v>
      </c>
      <c r="L31" s="271">
        <v>8316</v>
      </c>
    </row>
    <row r="32" spans="1:13" ht="30" customHeight="1" x14ac:dyDescent="0.2">
      <c r="A32" s="24" t="s">
        <v>43</v>
      </c>
      <c r="B32" s="152" t="s">
        <v>13</v>
      </c>
      <c r="C32" s="23" t="s">
        <v>14</v>
      </c>
      <c r="D32" s="170">
        <v>167</v>
      </c>
      <c r="E32" s="271">
        <v>9650123</v>
      </c>
      <c r="F32" s="271">
        <v>9508028</v>
      </c>
      <c r="G32" s="327" t="s">
        <v>153</v>
      </c>
      <c r="H32" s="271">
        <v>142095</v>
      </c>
      <c r="I32" s="326">
        <v>0</v>
      </c>
      <c r="J32" s="326">
        <v>0</v>
      </c>
      <c r="K32" s="326">
        <v>0</v>
      </c>
      <c r="L32" s="271">
        <v>142095</v>
      </c>
    </row>
    <row r="33" spans="1:21" ht="30" customHeight="1" x14ac:dyDescent="0.2">
      <c r="A33" s="24" t="s">
        <v>43</v>
      </c>
      <c r="B33" s="152" t="s">
        <v>15</v>
      </c>
      <c r="C33" s="23" t="s">
        <v>16</v>
      </c>
      <c r="D33" s="170">
        <v>274</v>
      </c>
      <c r="E33" s="271">
        <v>2411035</v>
      </c>
      <c r="F33" s="271">
        <v>2215741</v>
      </c>
      <c r="G33" s="327" t="s">
        <v>153</v>
      </c>
      <c r="H33" s="271">
        <v>195294</v>
      </c>
      <c r="I33" s="271">
        <v>5256</v>
      </c>
      <c r="J33" s="326">
        <v>0</v>
      </c>
      <c r="K33" s="271">
        <v>5256</v>
      </c>
      <c r="L33" s="271">
        <v>190038</v>
      </c>
    </row>
    <row r="34" spans="1:21" ht="30" customHeight="1" x14ac:dyDescent="0.2">
      <c r="A34" s="24" t="s">
        <v>43</v>
      </c>
      <c r="B34" s="152" t="s">
        <v>17</v>
      </c>
      <c r="C34" s="23" t="s">
        <v>18</v>
      </c>
      <c r="D34" s="170">
        <v>177</v>
      </c>
      <c r="E34" s="271">
        <v>2322807</v>
      </c>
      <c r="F34" s="271">
        <v>2297992</v>
      </c>
      <c r="G34" s="327" t="s">
        <v>153</v>
      </c>
      <c r="H34" s="271">
        <v>24815</v>
      </c>
      <c r="I34" s="326">
        <v>0</v>
      </c>
      <c r="J34" s="326">
        <v>0</v>
      </c>
      <c r="K34" s="326">
        <v>0</v>
      </c>
      <c r="L34" s="271">
        <v>24815</v>
      </c>
    </row>
    <row r="35" spans="1:21" ht="30" customHeight="1" x14ac:dyDescent="0.2">
      <c r="A35" s="24" t="s">
        <v>43</v>
      </c>
      <c r="B35" s="152" t="s">
        <v>19</v>
      </c>
      <c r="C35" s="23" t="s">
        <v>20</v>
      </c>
      <c r="D35" s="170">
        <v>197</v>
      </c>
      <c r="E35" s="271">
        <v>2610954</v>
      </c>
      <c r="F35" s="271">
        <v>2610954</v>
      </c>
      <c r="G35" s="327" t="s">
        <v>153</v>
      </c>
      <c r="H35" s="326">
        <v>0</v>
      </c>
      <c r="I35" s="271">
        <v>5269</v>
      </c>
      <c r="J35" s="326">
        <v>0</v>
      </c>
      <c r="K35" s="271">
        <v>5269</v>
      </c>
      <c r="L35" s="271">
        <v>-5269</v>
      </c>
    </row>
    <row r="36" spans="1:21" ht="15.75" customHeight="1" x14ac:dyDescent="0.2">
      <c r="A36" s="24" t="s">
        <v>43</v>
      </c>
      <c r="B36" s="152" t="s">
        <v>21</v>
      </c>
      <c r="C36" s="23" t="s">
        <v>22</v>
      </c>
      <c r="D36" s="170">
        <v>371</v>
      </c>
      <c r="E36" s="271">
        <v>204115</v>
      </c>
      <c r="F36" s="271">
        <v>201582</v>
      </c>
      <c r="G36" s="327" t="s">
        <v>153</v>
      </c>
      <c r="H36" s="271">
        <v>2533</v>
      </c>
      <c r="I36" s="326">
        <v>0</v>
      </c>
      <c r="J36" s="326">
        <v>0</v>
      </c>
      <c r="K36" s="326">
        <v>0</v>
      </c>
      <c r="L36" s="271">
        <v>2533</v>
      </c>
    </row>
    <row r="37" spans="1:21" ht="15.75" customHeight="1" x14ac:dyDescent="0.2">
      <c r="A37" s="24" t="s">
        <v>43</v>
      </c>
      <c r="B37" s="152" t="s">
        <v>27</v>
      </c>
      <c r="C37" s="23" t="s">
        <v>28</v>
      </c>
      <c r="D37" s="170">
        <v>361</v>
      </c>
      <c r="E37" s="271">
        <v>2700</v>
      </c>
      <c r="F37" s="271">
        <v>1628</v>
      </c>
      <c r="G37" s="327" t="s">
        <v>153</v>
      </c>
      <c r="H37" s="271">
        <v>1072</v>
      </c>
      <c r="I37" s="326">
        <v>0</v>
      </c>
      <c r="J37" s="326">
        <v>0</v>
      </c>
      <c r="K37" s="326">
        <v>0</v>
      </c>
      <c r="L37" s="271">
        <v>1072</v>
      </c>
    </row>
    <row r="38" spans="1:21" ht="30" customHeight="1" x14ac:dyDescent="0.2">
      <c r="A38" s="24" t="s">
        <v>43</v>
      </c>
      <c r="B38" s="152" t="s">
        <v>29</v>
      </c>
      <c r="C38" s="23" t="s">
        <v>30</v>
      </c>
      <c r="D38" s="170">
        <v>264</v>
      </c>
      <c r="E38" s="271">
        <v>806978</v>
      </c>
      <c r="F38" s="271">
        <v>782868</v>
      </c>
      <c r="G38" s="327" t="s">
        <v>153</v>
      </c>
      <c r="H38" s="271">
        <v>24110</v>
      </c>
      <c r="I38" s="271">
        <v>2199</v>
      </c>
      <c r="J38" s="326">
        <v>0</v>
      </c>
      <c r="K38" s="271">
        <v>2199</v>
      </c>
      <c r="L38" s="271">
        <v>21911</v>
      </c>
    </row>
    <row r="39" spans="1:21" ht="15" customHeight="1" x14ac:dyDescent="0.2">
      <c r="A39" s="24" t="s">
        <v>43</v>
      </c>
      <c r="B39" s="152" t="s">
        <v>275</v>
      </c>
      <c r="C39" s="23" t="s">
        <v>276</v>
      </c>
      <c r="D39" s="170">
        <v>187</v>
      </c>
      <c r="E39" s="271">
        <v>6705629</v>
      </c>
      <c r="F39" s="326">
        <v>0</v>
      </c>
      <c r="G39" s="327" t="s">
        <v>153</v>
      </c>
      <c r="H39" s="271">
        <v>6705629</v>
      </c>
      <c r="I39" s="326">
        <v>0</v>
      </c>
      <c r="J39" s="326">
        <v>0</v>
      </c>
      <c r="K39" s="326">
        <v>0</v>
      </c>
      <c r="L39" s="271">
        <v>6705629</v>
      </c>
    </row>
    <row r="40" spans="1:21" ht="15.75" customHeight="1" x14ac:dyDescent="0.2">
      <c r="A40" s="24" t="s">
        <v>43</v>
      </c>
      <c r="B40" s="152" t="s">
        <v>31</v>
      </c>
      <c r="C40" s="23" t="s">
        <v>32</v>
      </c>
      <c r="D40" s="170">
        <v>121</v>
      </c>
      <c r="E40" s="271">
        <v>64723</v>
      </c>
      <c r="F40" s="271">
        <v>46000</v>
      </c>
      <c r="G40" s="327" t="s">
        <v>153</v>
      </c>
      <c r="H40" s="271">
        <v>18723</v>
      </c>
      <c r="I40" s="326">
        <v>0</v>
      </c>
      <c r="J40" s="326">
        <v>0</v>
      </c>
      <c r="K40" s="326">
        <v>0</v>
      </c>
      <c r="L40" s="271">
        <v>18723</v>
      </c>
    </row>
    <row r="41" spans="1:21" ht="15" customHeight="1" x14ac:dyDescent="0.2">
      <c r="A41" s="24" t="s">
        <v>43</v>
      </c>
      <c r="B41" s="152" t="s">
        <v>33</v>
      </c>
      <c r="C41" s="23" t="s">
        <v>34</v>
      </c>
      <c r="D41" s="170">
        <v>127</v>
      </c>
      <c r="E41" s="271">
        <v>589084</v>
      </c>
      <c r="F41" s="271">
        <v>583727</v>
      </c>
      <c r="G41" s="327" t="s">
        <v>153</v>
      </c>
      <c r="H41" s="271">
        <v>5357</v>
      </c>
      <c r="I41" s="326">
        <v>0</v>
      </c>
      <c r="J41" s="326">
        <v>0</v>
      </c>
      <c r="K41" s="326">
        <v>0</v>
      </c>
      <c r="L41" s="271">
        <v>5357</v>
      </c>
    </row>
    <row r="42" spans="1:21" ht="15.75" customHeight="1" x14ac:dyDescent="0.2">
      <c r="A42" s="24" t="s">
        <v>43</v>
      </c>
      <c r="B42" s="152" t="s">
        <v>35</v>
      </c>
      <c r="C42" s="23" t="s">
        <v>36</v>
      </c>
      <c r="D42" s="170">
        <v>175</v>
      </c>
      <c r="E42" s="271">
        <v>13876472</v>
      </c>
      <c r="F42" s="271">
        <v>3688999</v>
      </c>
      <c r="G42" s="327" t="s">
        <v>153</v>
      </c>
      <c r="H42" s="271">
        <v>10187473</v>
      </c>
      <c r="I42" s="326">
        <v>0</v>
      </c>
      <c r="J42" s="326">
        <v>0</v>
      </c>
      <c r="K42" s="326">
        <v>0</v>
      </c>
      <c r="L42" s="271">
        <v>10187473</v>
      </c>
    </row>
    <row r="43" spans="1:21" ht="30" customHeight="1" x14ac:dyDescent="0.2">
      <c r="A43" s="24" t="s">
        <v>43</v>
      </c>
      <c r="B43" s="152" t="s">
        <v>37</v>
      </c>
      <c r="C43" s="23" t="s">
        <v>38</v>
      </c>
      <c r="D43" s="170">
        <v>360</v>
      </c>
      <c r="E43" s="271">
        <v>705372</v>
      </c>
      <c r="F43" s="271">
        <v>703084</v>
      </c>
      <c r="G43" s="327" t="s">
        <v>153</v>
      </c>
      <c r="H43" s="271">
        <v>2288</v>
      </c>
      <c r="I43" s="326">
        <v>0</v>
      </c>
      <c r="J43" s="326">
        <v>0</v>
      </c>
      <c r="K43" s="326">
        <v>0</v>
      </c>
      <c r="L43" s="271">
        <v>2288</v>
      </c>
    </row>
    <row r="44" spans="1:21" ht="15.75" customHeight="1" x14ac:dyDescent="0.2">
      <c r="A44" s="24" t="s">
        <v>43</v>
      </c>
      <c r="B44" s="152" t="s">
        <v>277</v>
      </c>
      <c r="C44" s="23" t="s">
        <v>278</v>
      </c>
      <c r="D44" s="170">
        <v>163</v>
      </c>
      <c r="E44" s="271">
        <v>12770</v>
      </c>
      <c r="F44" s="326">
        <v>0</v>
      </c>
      <c r="G44" s="327" t="s">
        <v>153</v>
      </c>
      <c r="H44" s="271">
        <v>12770</v>
      </c>
      <c r="I44" s="326">
        <v>0</v>
      </c>
      <c r="J44" s="326">
        <v>0</v>
      </c>
      <c r="K44" s="326">
        <v>0</v>
      </c>
      <c r="L44" s="271">
        <v>12770</v>
      </c>
    </row>
    <row r="45" spans="1:21" ht="30" customHeight="1" x14ac:dyDescent="0.2">
      <c r="A45" s="24" t="s">
        <v>43</v>
      </c>
      <c r="B45" s="152" t="s">
        <v>41</v>
      </c>
      <c r="C45" s="23" t="s">
        <v>42</v>
      </c>
      <c r="D45" s="170">
        <v>372</v>
      </c>
      <c r="E45" s="271">
        <v>1338274</v>
      </c>
      <c r="F45" s="271">
        <v>813201</v>
      </c>
      <c r="G45" s="327" t="s">
        <v>153</v>
      </c>
      <c r="H45" s="271">
        <v>525073</v>
      </c>
      <c r="I45" s="326">
        <v>0</v>
      </c>
      <c r="J45" s="326">
        <v>0</v>
      </c>
      <c r="K45" s="326">
        <v>0</v>
      </c>
      <c r="L45" s="271">
        <v>525073</v>
      </c>
    </row>
    <row r="46" spans="1:21" ht="15.75" customHeight="1" x14ac:dyDescent="0.25">
      <c r="A46" s="165" t="s">
        <v>283</v>
      </c>
      <c r="B46" s="171" t="s">
        <v>153</v>
      </c>
      <c r="C46" s="122" t="s">
        <v>153</v>
      </c>
      <c r="D46" s="121" t="s">
        <v>153</v>
      </c>
      <c r="E46" s="277">
        <f>SUBTOTAL(109,local201819[Program
Costs])</f>
        <v>57030914</v>
      </c>
      <c r="F46" s="277">
        <f>SUBTOTAL(109,local201819[Less: Net 
Payments
 and Offsets 1])</f>
        <v>39026145</v>
      </c>
      <c r="G46" s="328" t="s">
        <v>153</v>
      </c>
      <c r="H46" s="277">
        <f>SUBTOTAL(109,local201819[Accounts Payable
Balance])</f>
        <v>18004769</v>
      </c>
      <c r="I46" s="277">
        <f>SUBTOTAL(109,local201819[Established
Accounts Receivable])</f>
        <v>20338</v>
      </c>
      <c r="J46" s="279">
        <f>SUBTOTAL(109,local201819[Less: 
Recovered 
Amount])</f>
        <v>0</v>
      </c>
      <c r="K46" s="277">
        <f>SUBTOTAL(109,local201819[Accounts Receivable
Balance])</f>
        <v>20338</v>
      </c>
      <c r="L46" s="277">
        <f>SUBTOTAL(109,local201819[Net
Balance])</f>
        <v>17984431</v>
      </c>
      <c r="M46" s="251"/>
    </row>
    <row r="47" spans="1:21" ht="15.75" customHeight="1" x14ac:dyDescent="0.25">
      <c r="A47" s="146" t="s">
        <v>181</v>
      </c>
    </row>
    <row r="48" spans="1:21" ht="50.1" customHeight="1" x14ac:dyDescent="0.25">
      <c r="A48" s="28" t="s">
        <v>221</v>
      </c>
      <c r="B48" s="28" t="s">
        <v>268</v>
      </c>
      <c r="C48" s="28" t="s">
        <v>2</v>
      </c>
      <c r="D48" s="169" t="s">
        <v>280</v>
      </c>
      <c r="E48" s="155" t="s">
        <v>223</v>
      </c>
      <c r="F48" s="28" t="s">
        <v>281</v>
      </c>
      <c r="G48" s="154" t="s">
        <v>176</v>
      </c>
      <c r="H48" s="156" t="s">
        <v>270</v>
      </c>
      <c r="I48" s="156" t="s">
        <v>271</v>
      </c>
      <c r="J48" s="156" t="s">
        <v>282</v>
      </c>
      <c r="K48" s="156" t="s">
        <v>272</v>
      </c>
      <c r="L48" s="156" t="s">
        <v>273</v>
      </c>
      <c r="M48" s="52"/>
      <c r="N48" s="160"/>
      <c r="U48" s="52"/>
    </row>
    <row r="49" spans="1:21" ht="30" customHeight="1" x14ac:dyDescent="0.2">
      <c r="A49" s="24" t="s">
        <v>44</v>
      </c>
      <c r="B49" s="152" t="s">
        <v>13</v>
      </c>
      <c r="C49" s="23" t="s">
        <v>14</v>
      </c>
      <c r="D49" s="170">
        <v>167</v>
      </c>
      <c r="E49" s="271">
        <v>9483538</v>
      </c>
      <c r="F49" s="271">
        <v>9483538</v>
      </c>
      <c r="G49" s="327" t="s">
        <v>153</v>
      </c>
      <c r="H49" s="326">
        <v>0</v>
      </c>
      <c r="I49" s="271">
        <v>32867</v>
      </c>
      <c r="J49" s="271">
        <v>32185</v>
      </c>
      <c r="K49" s="271">
        <v>682</v>
      </c>
      <c r="L49" s="271">
        <v>-682</v>
      </c>
      <c r="M49" s="52"/>
      <c r="N49" s="160"/>
      <c r="U49" s="52"/>
    </row>
    <row r="50" spans="1:21" ht="30" customHeight="1" x14ac:dyDescent="0.2">
      <c r="A50" s="24" t="s">
        <v>44</v>
      </c>
      <c r="B50" s="152" t="s">
        <v>19</v>
      </c>
      <c r="C50" s="23" t="s">
        <v>20</v>
      </c>
      <c r="D50" s="170">
        <v>197</v>
      </c>
      <c r="E50" s="271">
        <v>2631086</v>
      </c>
      <c r="F50" s="271">
        <v>2631086</v>
      </c>
      <c r="G50" s="327" t="s">
        <v>153</v>
      </c>
      <c r="H50" s="326">
        <v>0</v>
      </c>
      <c r="I50" s="271">
        <v>2026</v>
      </c>
      <c r="J50" s="326">
        <v>0</v>
      </c>
      <c r="K50" s="271">
        <v>2026</v>
      </c>
      <c r="L50" s="271">
        <v>-2026</v>
      </c>
      <c r="M50" s="52"/>
      <c r="N50" s="160"/>
      <c r="U50" s="52"/>
    </row>
    <row r="51" spans="1:21" ht="30" customHeight="1" x14ac:dyDescent="0.2">
      <c r="A51" s="24" t="s">
        <v>44</v>
      </c>
      <c r="B51" s="152" t="s">
        <v>21</v>
      </c>
      <c r="C51" s="23" t="s">
        <v>22</v>
      </c>
      <c r="D51" s="170">
        <v>371</v>
      </c>
      <c r="E51" s="271">
        <v>484645</v>
      </c>
      <c r="F51" s="271">
        <v>326114</v>
      </c>
      <c r="G51" s="327" t="s">
        <v>153</v>
      </c>
      <c r="H51" s="271">
        <v>158531</v>
      </c>
      <c r="I51" s="326">
        <v>0</v>
      </c>
      <c r="J51" s="326">
        <v>0</v>
      </c>
      <c r="K51" s="326">
        <v>0</v>
      </c>
      <c r="L51" s="271">
        <v>158531</v>
      </c>
      <c r="M51" s="52"/>
      <c r="N51" s="160"/>
      <c r="U51" s="52"/>
    </row>
    <row r="52" spans="1:21" ht="15" customHeight="1" x14ac:dyDescent="0.2">
      <c r="A52" s="24" t="s">
        <v>44</v>
      </c>
      <c r="B52" s="152" t="s">
        <v>275</v>
      </c>
      <c r="C52" s="23" t="s">
        <v>276</v>
      </c>
      <c r="D52" s="170">
        <v>187</v>
      </c>
      <c r="E52" s="271">
        <v>7056213</v>
      </c>
      <c r="F52" s="326">
        <v>0</v>
      </c>
      <c r="G52" s="327" t="s">
        <v>153</v>
      </c>
      <c r="H52" s="271">
        <v>7056213</v>
      </c>
      <c r="I52" s="326">
        <v>0</v>
      </c>
      <c r="J52" s="326">
        <v>0</v>
      </c>
      <c r="K52" s="326">
        <v>0</v>
      </c>
      <c r="L52" s="271">
        <v>7056213</v>
      </c>
      <c r="M52" s="52"/>
      <c r="N52" s="160"/>
      <c r="U52" s="52"/>
    </row>
    <row r="53" spans="1:21" ht="15.75" customHeight="1" x14ac:dyDescent="0.2">
      <c r="A53" s="24" t="s">
        <v>44</v>
      </c>
      <c r="B53" s="152" t="s">
        <v>277</v>
      </c>
      <c r="C53" s="23" t="s">
        <v>278</v>
      </c>
      <c r="D53" s="170">
        <v>163</v>
      </c>
      <c r="E53" s="271">
        <v>55019</v>
      </c>
      <c r="F53" s="326">
        <v>0</v>
      </c>
      <c r="G53" s="327" t="s">
        <v>153</v>
      </c>
      <c r="H53" s="271">
        <v>55019</v>
      </c>
      <c r="I53" s="326">
        <v>0</v>
      </c>
      <c r="J53" s="326">
        <v>0</v>
      </c>
      <c r="K53" s="326">
        <v>0</v>
      </c>
      <c r="L53" s="271">
        <v>55019</v>
      </c>
      <c r="M53" s="52"/>
      <c r="N53" s="160"/>
      <c r="U53" s="52"/>
    </row>
    <row r="54" spans="1:21" ht="30" customHeight="1" x14ac:dyDescent="0.2">
      <c r="A54" s="24" t="s">
        <v>44</v>
      </c>
      <c r="B54" s="152" t="s">
        <v>41</v>
      </c>
      <c r="C54" s="23" t="s">
        <v>42</v>
      </c>
      <c r="D54" s="170">
        <v>372</v>
      </c>
      <c r="E54" s="271">
        <v>1363117</v>
      </c>
      <c r="F54" s="271">
        <v>1284690</v>
      </c>
      <c r="G54" s="327" t="s">
        <v>153</v>
      </c>
      <c r="H54" s="271">
        <v>78427</v>
      </c>
      <c r="I54" s="326">
        <v>0</v>
      </c>
      <c r="J54" s="326">
        <v>0</v>
      </c>
      <c r="K54" s="326">
        <v>0</v>
      </c>
      <c r="L54" s="271">
        <v>78427</v>
      </c>
      <c r="M54" s="52"/>
      <c r="N54" s="160"/>
      <c r="U54" s="52"/>
    </row>
    <row r="55" spans="1:21" ht="15.75" customHeight="1" x14ac:dyDescent="0.25">
      <c r="A55" s="165" t="s">
        <v>284</v>
      </c>
      <c r="B55" s="171" t="s">
        <v>153</v>
      </c>
      <c r="C55" s="122" t="s">
        <v>153</v>
      </c>
      <c r="D55" s="121" t="s">
        <v>153</v>
      </c>
      <c r="E55" s="277">
        <f>SUBTOTAL(109,local201718[Program
Costs])</f>
        <v>21073618</v>
      </c>
      <c r="F55" s="277">
        <f>SUBTOTAL(109,local201718[Less: Net 
Payments
 and Offsets 1])</f>
        <v>13725428</v>
      </c>
      <c r="G55" s="328" t="s">
        <v>153</v>
      </c>
      <c r="H55" s="277">
        <f>SUBTOTAL(109,local201718[Accounts Payable
Balance])</f>
        <v>7348190</v>
      </c>
      <c r="I55" s="277">
        <f>SUBTOTAL(109,local201718[Established
Accounts Receivable])</f>
        <v>34893</v>
      </c>
      <c r="J55" s="277">
        <f>SUBTOTAL(109,local201718[Less: 
Recovered 
Amount])</f>
        <v>32185</v>
      </c>
      <c r="K55" s="277">
        <f>SUBTOTAL(109,local201718[Accounts Receivable
Balance])</f>
        <v>2708</v>
      </c>
      <c r="L55" s="277">
        <f>SUBTOTAL(109,local201718[Net
Balance])</f>
        <v>7345482</v>
      </c>
      <c r="M55" s="52"/>
      <c r="N55" s="160"/>
      <c r="U55" s="52"/>
    </row>
    <row r="56" spans="1:21" ht="15.75" customHeight="1" x14ac:dyDescent="0.25">
      <c r="A56" s="146" t="s">
        <v>181</v>
      </c>
    </row>
    <row r="57" spans="1:21" ht="50.1" customHeight="1" x14ac:dyDescent="0.25">
      <c r="A57" s="28" t="s">
        <v>221</v>
      </c>
      <c r="B57" s="28" t="s">
        <v>268</v>
      </c>
      <c r="C57" s="28" t="s">
        <v>2</v>
      </c>
      <c r="D57" s="169" t="s">
        <v>280</v>
      </c>
      <c r="E57" s="155" t="s">
        <v>223</v>
      </c>
      <c r="F57" s="28" t="s">
        <v>281</v>
      </c>
      <c r="G57" s="154" t="s">
        <v>176</v>
      </c>
      <c r="H57" s="156" t="s">
        <v>270</v>
      </c>
      <c r="I57" s="156" t="s">
        <v>271</v>
      </c>
      <c r="J57" s="156" t="s">
        <v>282</v>
      </c>
      <c r="K57" s="156" t="s">
        <v>272</v>
      </c>
      <c r="L57" s="156" t="s">
        <v>273</v>
      </c>
      <c r="M57" s="52"/>
      <c r="N57" s="160"/>
      <c r="U57" s="52"/>
    </row>
    <row r="58" spans="1:21" ht="30" customHeight="1" x14ac:dyDescent="0.2">
      <c r="A58" s="24" t="s">
        <v>45</v>
      </c>
      <c r="B58" s="152" t="s">
        <v>15</v>
      </c>
      <c r="C58" s="23" t="s">
        <v>16</v>
      </c>
      <c r="D58" s="170">
        <v>274</v>
      </c>
      <c r="E58" s="271">
        <v>2188022</v>
      </c>
      <c r="F58" s="271">
        <v>2188022</v>
      </c>
      <c r="G58" s="327" t="s">
        <v>153</v>
      </c>
      <c r="H58" s="326">
        <v>0</v>
      </c>
      <c r="I58" s="271">
        <v>1211</v>
      </c>
      <c r="J58" s="271">
        <v>711</v>
      </c>
      <c r="K58" s="271">
        <v>500</v>
      </c>
      <c r="L58" s="271">
        <v>-500</v>
      </c>
      <c r="M58" s="52"/>
      <c r="N58" s="160"/>
      <c r="U58" s="52"/>
    </row>
    <row r="59" spans="1:21" ht="15" customHeight="1" x14ac:dyDescent="0.2">
      <c r="A59" s="24" t="s">
        <v>45</v>
      </c>
      <c r="B59" s="152" t="s">
        <v>275</v>
      </c>
      <c r="C59" s="23" t="s">
        <v>276</v>
      </c>
      <c r="D59" s="170">
        <v>187</v>
      </c>
      <c r="E59" s="271">
        <v>6167307</v>
      </c>
      <c r="F59" s="326">
        <v>0</v>
      </c>
      <c r="G59" s="327" t="s">
        <v>153</v>
      </c>
      <c r="H59" s="271">
        <v>6167307</v>
      </c>
      <c r="I59" s="326">
        <v>0</v>
      </c>
      <c r="J59" s="326">
        <v>0</v>
      </c>
      <c r="K59" s="326">
        <v>0</v>
      </c>
      <c r="L59" s="271">
        <v>6167307</v>
      </c>
      <c r="M59" s="52"/>
      <c r="N59" s="160"/>
      <c r="U59" s="52"/>
    </row>
    <row r="60" spans="1:21" ht="30" customHeight="1" x14ac:dyDescent="0.2">
      <c r="A60" s="24" t="s">
        <v>45</v>
      </c>
      <c r="B60" s="152" t="s">
        <v>41</v>
      </c>
      <c r="C60" s="23" t="s">
        <v>42</v>
      </c>
      <c r="D60" s="170">
        <v>372</v>
      </c>
      <c r="E60" s="271">
        <v>1266852</v>
      </c>
      <c r="F60" s="271">
        <v>1202109</v>
      </c>
      <c r="G60" s="327" t="s">
        <v>153</v>
      </c>
      <c r="H60" s="271">
        <v>64743</v>
      </c>
      <c r="I60" s="326">
        <v>0</v>
      </c>
      <c r="J60" s="326">
        <v>0</v>
      </c>
      <c r="K60" s="326">
        <v>0</v>
      </c>
      <c r="L60" s="271">
        <v>64743</v>
      </c>
      <c r="M60" s="52"/>
      <c r="N60" s="160"/>
      <c r="U60" s="52"/>
    </row>
    <row r="61" spans="1:21" ht="15.75" customHeight="1" x14ac:dyDescent="0.25">
      <c r="A61" s="165" t="s">
        <v>285</v>
      </c>
      <c r="B61" s="171" t="s">
        <v>153</v>
      </c>
      <c r="C61" s="122" t="s">
        <v>153</v>
      </c>
      <c r="D61" s="121" t="s">
        <v>153</v>
      </c>
      <c r="E61" s="277">
        <f>SUBTOTAL(109,local201617[Program
Costs])</f>
        <v>9622181</v>
      </c>
      <c r="F61" s="277">
        <f>SUBTOTAL(109,local201617[Less: Net 
Payments
 and Offsets 1])</f>
        <v>3390131</v>
      </c>
      <c r="G61" s="328" t="s">
        <v>153</v>
      </c>
      <c r="H61" s="277">
        <f>SUBTOTAL(109,local201617[Accounts Payable
Balance])</f>
        <v>6232050</v>
      </c>
      <c r="I61" s="277">
        <f>SUBTOTAL(109,local201617[Established
Accounts Receivable])</f>
        <v>1211</v>
      </c>
      <c r="J61" s="277">
        <f>SUBTOTAL(109,local201617[Less: 
Recovered 
Amount])</f>
        <v>711</v>
      </c>
      <c r="K61" s="277">
        <f>SUBTOTAL(109,local201617[Accounts Receivable
Balance])</f>
        <v>500</v>
      </c>
      <c r="L61" s="277">
        <f>SUBTOTAL(109,local201617[Net
Balance])</f>
        <v>6231550</v>
      </c>
      <c r="M61" s="52"/>
      <c r="N61" s="160"/>
      <c r="U61" s="52"/>
    </row>
    <row r="62" spans="1:21" ht="15.75" customHeight="1" x14ac:dyDescent="0.25">
      <c r="A62" s="146" t="s">
        <v>181</v>
      </c>
    </row>
    <row r="63" spans="1:21" ht="50.1" customHeight="1" x14ac:dyDescent="0.25">
      <c r="A63" s="28" t="s">
        <v>221</v>
      </c>
      <c r="B63" s="28" t="s">
        <v>268</v>
      </c>
      <c r="C63" s="28" t="s">
        <v>2</v>
      </c>
      <c r="D63" s="169" t="s">
        <v>280</v>
      </c>
      <c r="E63" s="155" t="s">
        <v>223</v>
      </c>
      <c r="F63" s="28" t="s">
        <v>281</v>
      </c>
      <c r="G63" s="154" t="s">
        <v>176</v>
      </c>
      <c r="H63" s="156" t="s">
        <v>270</v>
      </c>
      <c r="I63" s="156" t="s">
        <v>271</v>
      </c>
      <c r="J63" s="156" t="s">
        <v>282</v>
      </c>
      <c r="K63" s="156" t="s">
        <v>272</v>
      </c>
      <c r="L63" s="156" t="s">
        <v>273</v>
      </c>
      <c r="M63" s="52"/>
      <c r="N63" s="160"/>
      <c r="U63" s="52"/>
    </row>
    <row r="64" spans="1:21" ht="30" customHeight="1" x14ac:dyDescent="0.2">
      <c r="A64" s="24" t="s">
        <v>46</v>
      </c>
      <c r="B64" s="152" t="s">
        <v>21</v>
      </c>
      <c r="C64" s="23" t="s">
        <v>22</v>
      </c>
      <c r="D64" s="170">
        <v>371</v>
      </c>
      <c r="E64" s="271">
        <v>298477</v>
      </c>
      <c r="F64" s="271">
        <v>298477</v>
      </c>
      <c r="G64" s="327" t="s">
        <v>153</v>
      </c>
      <c r="H64" s="326">
        <v>0</v>
      </c>
      <c r="I64" s="271">
        <v>233747</v>
      </c>
      <c r="J64" s="326">
        <v>0</v>
      </c>
      <c r="K64" s="271">
        <v>233747</v>
      </c>
      <c r="L64" s="271">
        <v>-233747</v>
      </c>
      <c r="M64" s="52"/>
      <c r="N64" s="160"/>
      <c r="U64" s="52"/>
    </row>
    <row r="65" spans="1:21" ht="15" customHeight="1" x14ac:dyDescent="0.2">
      <c r="A65" s="24" t="s">
        <v>46</v>
      </c>
      <c r="B65" s="152" t="s">
        <v>275</v>
      </c>
      <c r="C65" s="23" t="s">
        <v>276</v>
      </c>
      <c r="D65" s="170">
        <v>187</v>
      </c>
      <c r="E65" s="271">
        <v>6781918</v>
      </c>
      <c r="F65" s="326">
        <v>0</v>
      </c>
      <c r="G65" s="327" t="s">
        <v>153</v>
      </c>
      <c r="H65" s="271">
        <v>6781918</v>
      </c>
      <c r="I65" s="326">
        <v>0</v>
      </c>
      <c r="J65" s="326">
        <v>0</v>
      </c>
      <c r="K65" s="326">
        <v>0</v>
      </c>
      <c r="L65" s="271">
        <v>6781918</v>
      </c>
      <c r="M65" s="52"/>
      <c r="N65" s="160"/>
      <c r="U65" s="52"/>
    </row>
    <row r="66" spans="1:21" ht="15.75" customHeight="1" x14ac:dyDescent="0.25">
      <c r="A66" s="165" t="s">
        <v>286</v>
      </c>
      <c r="B66" s="171" t="s">
        <v>153</v>
      </c>
      <c r="C66" s="122" t="s">
        <v>153</v>
      </c>
      <c r="D66" s="121" t="s">
        <v>153</v>
      </c>
      <c r="E66" s="277">
        <f>SUBTOTAL(109,local201516[Program
Costs])</f>
        <v>7080395</v>
      </c>
      <c r="F66" s="277">
        <f>SUBTOTAL(109,local201516[Less: Net 
Payments
 and Offsets 1])</f>
        <v>298477</v>
      </c>
      <c r="G66" s="328" t="s">
        <v>153</v>
      </c>
      <c r="H66" s="277">
        <f>SUBTOTAL(109,local201516[Accounts Payable
Balance])</f>
        <v>6781918</v>
      </c>
      <c r="I66" s="277">
        <f>SUBTOTAL(109,local201516[Established
Accounts Receivable])</f>
        <v>233747</v>
      </c>
      <c r="J66" s="279">
        <f>SUBTOTAL(109,local201516[Less: 
Recovered 
Amount])</f>
        <v>0</v>
      </c>
      <c r="K66" s="277">
        <f>SUBTOTAL(109,local201516[Accounts Receivable
Balance])</f>
        <v>233747</v>
      </c>
      <c r="L66" s="277">
        <f>SUBTOTAL(109,local201516[Net
Balance])</f>
        <v>6548171</v>
      </c>
      <c r="M66" s="52"/>
      <c r="N66" s="160"/>
      <c r="U66" s="52"/>
    </row>
    <row r="67" spans="1:21" ht="15.75" customHeight="1" x14ac:dyDescent="0.25">
      <c r="A67" s="146" t="s">
        <v>181</v>
      </c>
    </row>
    <row r="68" spans="1:21" ht="50.1" customHeight="1" x14ac:dyDescent="0.25">
      <c r="A68" s="28" t="s">
        <v>221</v>
      </c>
      <c r="B68" s="28" t="s">
        <v>268</v>
      </c>
      <c r="C68" s="28" t="s">
        <v>2</v>
      </c>
      <c r="D68" s="169" t="s">
        <v>280</v>
      </c>
      <c r="E68" s="155" t="s">
        <v>223</v>
      </c>
      <c r="F68" s="28" t="s">
        <v>281</v>
      </c>
      <c r="G68" s="154" t="s">
        <v>176</v>
      </c>
      <c r="H68" s="156" t="s">
        <v>270</v>
      </c>
      <c r="I68" s="156" t="s">
        <v>271</v>
      </c>
      <c r="J68" s="156" t="s">
        <v>282</v>
      </c>
      <c r="K68" s="156" t="s">
        <v>272</v>
      </c>
      <c r="L68" s="156" t="s">
        <v>273</v>
      </c>
      <c r="M68" s="52"/>
      <c r="N68" s="160"/>
      <c r="U68" s="52"/>
    </row>
    <row r="69" spans="1:21" ht="15" customHeight="1" x14ac:dyDescent="0.2">
      <c r="A69" s="24" t="s">
        <v>47</v>
      </c>
      <c r="B69" s="152" t="s">
        <v>275</v>
      </c>
      <c r="C69" s="23" t="s">
        <v>276</v>
      </c>
      <c r="D69" s="170">
        <v>187</v>
      </c>
      <c r="E69" s="271">
        <v>6118565</v>
      </c>
      <c r="F69" s="326">
        <v>0</v>
      </c>
      <c r="G69" s="327" t="s">
        <v>153</v>
      </c>
      <c r="H69" s="271">
        <v>6118565</v>
      </c>
      <c r="I69" s="326">
        <v>0</v>
      </c>
      <c r="J69" s="326">
        <v>0</v>
      </c>
      <c r="K69" s="326">
        <v>0</v>
      </c>
      <c r="L69" s="271">
        <v>6118565</v>
      </c>
      <c r="M69" s="52"/>
      <c r="N69" s="160"/>
      <c r="U69" s="52"/>
    </row>
    <row r="70" spans="1:21" ht="15.75" customHeight="1" x14ac:dyDescent="0.25">
      <c r="A70" s="165" t="s">
        <v>287</v>
      </c>
      <c r="B70" s="171" t="s">
        <v>153</v>
      </c>
      <c r="C70" s="122" t="s">
        <v>153</v>
      </c>
      <c r="D70" s="121" t="s">
        <v>153</v>
      </c>
      <c r="E70" s="277">
        <f>SUBTOTAL(109,local201415[Program
Costs])</f>
        <v>6118565</v>
      </c>
      <c r="F70" s="279">
        <f>SUBTOTAL(109,local201415[Less: Net 
Payments
 and Offsets 1])</f>
        <v>0</v>
      </c>
      <c r="G70" s="328" t="s">
        <v>153</v>
      </c>
      <c r="H70" s="277">
        <f>SUBTOTAL(109,local201415[Accounts Payable
Balance])</f>
        <v>6118565</v>
      </c>
      <c r="I70" s="279">
        <f>SUBTOTAL(109,local201415[Established
Accounts Receivable])</f>
        <v>0</v>
      </c>
      <c r="J70" s="279">
        <f>SUBTOTAL(109,local201415[Less: 
Recovered 
Amount])</f>
        <v>0</v>
      </c>
      <c r="K70" s="279">
        <f>SUBTOTAL(109,local201415[Accounts Receivable
Balance])</f>
        <v>0</v>
      </c>
      <c r="L70" s="277">
        <f>SUBTOTAL(109,local201415[Net
Balance])</f>
        <v>6118565</v>
      </c>
      <c r="M70" s="52"/>
      <c r="N70" s="160"/>
      <c r="U70" s="52"/>
    </row>
    <row r="71" spans="1:21" ht="15.75" customHeight="1" x14ac:dyDescent="0.25">
      <c r="A71" s="146" t="s">
        <v>181</v>
      </c>
    </row>
    <row r="72" spans="1:21" ht="50.1" customHeight="1" x14ac:dyDescent="0.25">
      <c r="A72" s="28" t="s">
        <v>221</v>
      </c>
      <c r="B72" s="28" t="s">
        <v>268</v>
      </c>
      <c r="C72" s="28" t="s">
        <v>2</v>
      </c>
      <c r="D72" s="169" t="s">
        <v>280</v>
      </c>
      <c r="E72" s="155" t="s">
        <v>223</v>
      </c>
      <c r="F72" s="28" t="s">
        <v>281</v>
      </c>
      <c r="G72" s="154" t="s">
        <v>176</v>
      </c>
      <c r="H72" s="156" t="s">
        <v>270</v>
      </c>
      <c r="I72" s="156" t="s">
        <v>271</v>
      </c>
      <c r="J72" s="156" t="s">
        <v>282</v>
      </c>
      <c r="K72" s="156" t="s">
        <v>272</v>
      </c>
      <c r="L72" s="156" t="s">
        <v>273</v>
      </c>
      <c r="M72" s="52"/>
      <c r="N72" s="160"/>
      <c r="U72" s="52"/>
    </row>
    <row r="73" spans="1:21" ht="30" customHeight="1" x14ac:dyDescent="0.2">
      <c r="A73" s="24" t="s">
        <v>288</v>
      </c>
      <c r="B73" s="152" t="s">
        <v>13</v>
      </c>
      <c r="C73" s="23" t="s">
        <v>14</v>
      </c>
      <c r="D73" s="170">
        <v>167</v>
      </c>
      <c r="E73" s="271">
        <v>7825991</v>
      </c>
      <c r="F73" s="271">
        <v>7825991</v>
      </c>
      <c r="G73" s="327" t="s">
        <v>153</v>
      </c>
      <c r="H73" s="326">
        <v>0</v>
      </c>
      <c r="I73" s="271">
        <v>132637</v>
      </c>
      <c r="J73" s="271">
        <v>98973</v>
      </c>
      <c r="K73" s="271">
        <v>33664</v>
      </c>
      <c r="L73" s="271">
        <v>-33664</v>
      </c>
      <c r="M73" s="52"/>
      <c r="N73" s="160"/>
      <c r="U73" s="52"/>
    </row>
    <row r="74" spans="1:21" ht="15" customHeight="1" x14ac:dyDescent="0.2">
      <c r="A74" s="24" t="s">
        <v>288</v>
      </c>
      <c r="B74" s="152" t="s">
        <v>275</v>
      </c>
      <c r="C74" s="23" t="s">
        <v>276</v>
      </c>
      <c r="D74" s="170">
        <v>187</v>
      </c>
      <c r="E74" s="271">
        <v>6014556</v>
      </c>
      <c r="F74" s="326">
        <v>0</v>
      </c>
      <c r="G74" s="327" t="s">
        <v>153</v>
      </c>
      <c r="H74" s="271">
        <v>6014556</v>
      </c>
      <c r="I74" s="326">
        <v>0</v>
      </c>
      <c r="J74" s="326">
        <v>0</v>
      </c>
      <c r="K74" s="326">
        <v>0</v>
      </c>
      <c r="L74" s="271">
        <v>6014556</v>
      </c>
      <c r="M74" s="52"/>
      <c r="N74" s="160"/>
      <c r="U74" s="52"/>
    </row>
    <row r="75" spans="1:21" ht="15.75" customHeight="1" x14ac:dyDescent="0.25">
      <c r="A75" s="158" t="s">
        <v>289</v>
      </c>
      <c r="B75" s="172" t="s">
        <v>153</v>
      </c>
      <c r="C75" s="118" t="s">
        <v>153</v>
      </c>
      <c r="D75" s="117" t="s">
        <v>153</v>
      </c>
      <c r="E75" s="329">
        <f>SUBTOTAL(109,local201314[Program
Costs])</f>
        <v>13840547</v>
      </c>
      <c r="F75" s="329">
        <f>SUBTOTAL(109,local201314[Less: Net 
Payments
 and Offsets 1])</f>
        <v>7825991</v>
      </c>
      <c r="G75" s="330" t="s">
        <v>153</v>
      </c>
      <c r="H75" s="329">
        <f>SUBTOTAL(109,local201314[Accounts Payable
Balance])</f>
        <v>6014556</v>
      </c>
      <c r="I75" s="329">
        <f>SUBTOTAL(109,local201314[Established
Accounts Receivable])</f>
        <v>132637</v>
      </c>
      <c r="J75" s="329">
        <f>SUBTOTAL(109,local201314[Less: 
Recovered 
Amount])</f>
        <v>98973</v>
      </c>
      <c r="K75" s="329">
        <f>SUBTOTAL(109,local201314[Accounts Receivable
Balance])</f>
        <v>33664</v>
      </c>
      <c r="L75" s="329">
        <f>SUBTOTAL(109,local201314[Net
Balance])</f>
        <v>5980892</v>
      </c>
      <c r="M75" s="52"/>
      <c r="N75" s="160"/>
      <c r="U75" s="52"/>
    </row>
    <row r="76" spans="1:21" ht="15.75" customHeight="1" x14ac:dyDescent="0.25">
      <c r="A76" s="146" t="s">
        <v>181</v>
      </c>
    </row>
    <row r="77" spans="1:21" ht="50.1" customHeight="1" x14ac:dyDescent="0.25">
      <c r="A77" s="28" t="s">
        <v>221</v>
      </c>
      <c r="B77" s="28" t="s">
        <v>268</v>
      </c>
      <c r="C77" s="28" t="s">
        <v>2</v>
      </c>
      <c r="D77" s="169" t="s">
        <v>280</v>
      </c>
      <c r="E77" s="155" t="s">
        <v>223</v>
      </c>
      <c r="F77" s="28" t="s">
        <v>281</v>
      </c>
      <c r="G77" s="154" t="s">
        <v>176</v>
      </c>
      <c r="H77" s="156" t="s">
        <v>270</v>
      </c>
      <c r="I77" s="156" t="s">
        <v>271</v>
      </c>
      <c r="J77" s="156" t="s">
        <v>282</v>
      </c>
      <c r="K77" s="156" t="s">
        <v>272</v>
      </c>
      <c r="L77" s="156" t="s">
        <v>273</v>
      </c>
      <c r="M77" s="52"/>
      <c r="N77" s="160"/>
      <c r="U77" s="52"/>
    </row>
    <row r="78" spans="1:21" ht="15" customHeight="1" x14ac:dyDescent="0.2">
      <c r="A78" s="24" t="s">
        <v>290</v>
      </c>
      <c r="B78" s="152" t="s">
        <v>275</v>
      </c>
      <c r="C78" s="23" t="s">
        <v>276</v>
      </c>
      <c r="D78" s="170">
        <v>187</v>
      </c>
      <c r="E78" s="271">
        <v>5461966</v>
      </c>
      <c r="F78" s="326">
        <v>0</v>
      </c>
      <c r="G78" s="327" t="s">
        <v>153</v>
      </c>
      <c r="H78" s="271">
        <v>5461966</v>
      </c>
      <c r="I78" s="326">
        <v>0</v>
      </c>
      <c r="J78" s="326">
        <v>0</v>
      </c>
      <c r="K78" s="326">
        <v>0</v>
      </c>
      <c r="L78" s="271">
        <v>5461966</v>
      </c>
      <c r="M78" s="52"/>
      <c r="N78" s="160"/>
      <c r="U78" s="52"/>
    </row>
    <row r="79" spans="1:21" ht="15.75" customHeight="1" x14ac:dyDescent="0.25">
      <c r="A79" s="158" t="s">
        <v>291</v>
      </c>
      <c r="B79" s="172" t="s">
        <v>153</v>
      </c>
      <c r="C79" s="118" t="s">
        <v>153</v>
      </c>
      <c r="D79" s="117" t="s">
        <v>153</v>
      </c>
      <c r="E79" s="329">
        <f>SUBTOTAL(109,local201213[Program
Costs])</f>
        <v>5461966</v>
      </c>
      <c r="F79" s="331">
        <f>SUBTOTAL(109,local201213[Less: Net 
Payments
 and Offsets 1])</f>
        <v>0</v>
      </c>
      <c r="G79" s="330" t="s">
        <v>153</v>
      </c>
      <c r="H79" s="329">
        <f>SUBTOTAL(109,local201213[Accounts Payable
Balance])</f>
        <v>5461966</v>
      </c>
      <c r="I79" s="331">
        <f>SUBTOTAL(109,local201213[Established
Accounts Receivable])</f>
        <v>0</v>
      </c>
      <c r="J79" s="331">
        <f>SUBTOTAL(109,local201213[Less: 
Recovered 
Amount])</f>
        <v>0</v>
      </c>
      <c r="K79" s="331">
        <f>SUBTOTAL(109,local201213[Accounts Receivable
Balance])</f>
        <v>0</v>
      </c>
      <c r="L79" s="329">
        <f>SUBTOTAL(109,local201213[Net
Balance])</f>
        <v>5461966</v>
      </c>
      <c r="M79" s="52"/>
      <c r="N79" s="160"/>
      <c r="U79" s="52"/>
    </row>
    <row r="80" spans="1:21" ht="15.75" customHeight="1" x14ac:dyDescent="0.25">
      <c r="A80" s="146" t="s">
        <v>181</v>
      </c>
    </row>
    <row r="81" spans="1:22" ht="50.1" customHeight="1" x14ac:dyDescent="0.25">
      <c r="A81" s="28" t="s">
        <v>221</v>
      </c>
      <c r="B81" s="28" t="s">
        <v>268</v>
      </c>
      <c r="C81" s="28" t="s">
        <v>2</v>
      </c>
      <c r="D81" s="169" t="s">
        <v>280</v>
      </c>
      <c r="E81" s="155" t="s">
        <v>223</v>
      </c>
      <c r="F81" s="28" t="s">
        <v>281</v>
      </c>
      <c r="G81" s="154" t="s">
        <v>176</v>
      </c>
      <c r="H81" s="156" t="s">
        <v>270</v>
      </c>
      <c r="I81" s="156" t="s">
        <v>271</v>
      </c>
      <c r="J81" s="156" t="s">
        <v>282</v>
      </c>
      <c r="K81" s="156" t="s">
        <v>272</v>
      </c>
      <c r="L81" s="156" t="s">
        <v>273</v>
      </c>
      <c r="M81" s="52"/>
      <c r="N81" s="160"/>
      <c r="U81" s="52"/>
      <c r="V81" s="157"/>
    </row>
    <row r="82" spans="1:22" ht="15" customHeight="1" x14ac:dyDescent="0.2">
      <c r="A82" s="24" t="s">
        <v>292</v>
      </c>
      <c r="B82" s="152" t="s">
        <v>293</v>
      </c>
      <c r="C82" s="23" t="s">
        <v>294</v>
      </c>
      <c r="D82" s="170">
        <v>219</v>
      </c>
      <c r="E82" s="271">
        <v>14109658</v>
      </c>
      <c r="F82" s="326">
        <v>0</v>
      </c>
      <c r="G82" s="327" t="s">
        <v>153</v>
      </c>
      <c r="H82" s="271">
        <v>14109658</v>
      </c>
      <c r="I82" s="326">
        <v>0</v>
      </c>
      <c r="J82" s="326">
        <v>0</v>
      </c>
      <c r="K82" s="326">
        <v>0</v>
      </c>
      <c r="L82" s="271">
        <v>14109658</v>
      </c>
      <c r="M82" s="52"/>
      <c r="N82" s="160"/>
      <c r="U82" s="52"/>
    </row>
    <row r="83" spans="1:22" ht="15" customHeight="1" x14ac:dyDescent="0.2">
      <c r="A83" s="24" t="s">
        <v>292</v>
      </c>
      <c r="B83" s="152" t="s">
        <v>275</v>
      </c>
      <c r="C83" s="23" t="s">
        <v>276</v>
      </c>
      <c r="D83" s="170">
        <v>187</v>
      </c>
      <c r="E83" s="271">
        <v>5760946</v>
      </c>
      <c r="F83" s="326">
        <v>0</v>
      </c>
      <c r="G83" s="327" t="s">
        <v>153</v>
      </c>
      <c r="H83" s="271">
        <v>5760946</v>
      </c>
      <c r="I83" s="326">
        <v>0</v>
      </c>
      <c r="J83" s="326">
        <v>0</v>
      </c>
      <c r="K83" s="326">
        <v>0</v>
      </c>
      <c r="L83" s="271">
        <v>5760946</v>
      </c>
      <c r="M83" s="52"/>
      <c r="N83" s="160"/>
      <c r="U83" s="52"/>
    </row>
    <row r="84" spans="1:22" ht="15.75" customHeight="1" x14ac:dyDescent="0.25">
      <c r="A84" s="158" t="s">
        <v>295</v>
      </c>
      <c r="B84" s="172" t="s">
        <v>153</v>
      </c>
      <c r="C84" s="118" t="s">
        <v>153</v>
      </c>
      <c r="D84" s="117" t="s">
        <v>153</v>
      </c>
      <c r="E84" s="329">
        <f>SUBTOTAL(109,local201112[Program
Costs])</f>
        <v>19870604</v>
      </c>
      <c r="F84" s="331">
        <f>SUBTOTAL(109,local201112[Less: Net 
Payments
 and Offsets 1])</f>
        <v>0</v>
      </c>
      <c r="G84" s="330" t="s">
        <v>153</v>
      </c>
      <c r="H84" s="329">
        <f>SUBTOTAL(109,local201112[Accounts Payable
Balance])</f>
        <v>19870604</v>
      </c>
      <c r="I84" s="331">
        <f>SUBTOTAL(109,local201112[Established
Accounts Receivable])</f>
        <v>0</v>
      </c>
      <c r="J84" s="331">
        <f>SUBTOTAL(109,local201112[Less: 
Recovered 
Amount])</f>
        <v>0</v>
      </c>
      <c r="K84" s="331">
        <f>SUBTOTAL(109,local201112[Accounts Receivable
Balance])</f>
        <v>0</v>
      </c>
      <c r="L84" s="329">
        <f>SUBTOTAL(109,local201112[Net
Balance])</f>
        <v>19870604</v>
      </c>
      <c r="M84" s="52"/>
      <c r="N84" s="160"/>
      <c r="U84" s="52"/>
    </row>
    <row r="85" spans="1:22" ht="15.75" customHeight="1" x14ac:dyDescent="0.25">
      <c r="A85" s="146" t="s">
        <v>181</v>
      </c>
    </row>
    <row r="86" spans="1:22" ht="50.1" customHeight="1" x14ac:dyDescent="0.25">
      <c r="A86" s="28" t="s">
        <v>221</v>
      </c>
      <c r="B86" s="28" t="s">
        <v>268</v>
      </c>
      <c r="C86" s="28" t="s">
        <v>2</v>
      </c>
      <c r="D86" s="169" t="s">
        <v>280</v>
      </c>
      <c r="E86" s="155" t="s">
        <v>223</v>
      </c>
      <c r="F86" s="28" t="s">
        <v>281</v>
      </c>
      <c r="G86" s="154" t="s">
        <v>176</v>
      </c>
      <c r="H86" s="156" t="s">
        <v>270</v>
      </c>
      <c r="I86" s="156" t="s">
        <v>271</v>
      </c>
      <c r="J86" s="156" t="s">
        <v>282</v>
      </c>
      <c r="K86" s="156" t="s">
        <v>272</v>
      </c>
      <c r="L86" s="156" t="s">
        <v>273</v>
      </c>
      <c r="M86" s="52"/>
      <c r="N86" s="160"/>
      <c r="U86" s="52"/>
    </row>
    <row r="87" spans="1:22" ht="15.75" customHeight="1" x14ac:dyDescent="0.2">
      <c r="A87" s="24" t="s">
        <v>296</v>
      </c>
      <c r="B87" s="152" t="s">
        <v>297</v>
      </c>
      <c r="C87" s="23" t="s">
        <v>298</v>
      </c>
      <c r="D87" s="170">
        <v>2</v>
      </c>
      <c r="E87" s="271">
        <v>24780791</v>
      </c>
      <c r="F87" s="326">
        <v>0</v>
      </c>
      <c r="G87" s="327" t="s">
        <v>153</v>
      </c>
      <c r="H87" s="271">
        <v>24780791</v>
      </c>
      <c r="I87" s="326">
        <v>0</v>
      </c>
      <c r="J87" s="326">
        <v>0</v>
      </c>
      <c r="K87" s="326">
        <v>0</v>
      </c>
      <c r="L87" s="271">
        <v>24780791</v>
      </c>
      <c r="M87" s="52"/>
      <c r="N87" s="160"/>
      <c r="U87" s="52"/>
    </row>
    <row r="88" spans="1:22" ht="15" customHeight="1" x14ac:dyDescent="0.2">
      <c r="A88" s="24" t="s">
        <v>296</v>
      </c>
      <c r="B88" s="152" t="s">
        <v>299</v>
      </c>
      <c r="C88" s="23" t="s">
        <v>300</v>
      </c>
      <c r="D88" s="170">
        <v>248</v>
      </c>
      <c r="E88" s="271">
        <v>35138</v>
      </c>
      <c r="F88" s="326">
        <v>0</v>
      </c>
      <c r="G88" s="327" t="s">
        <v>153</v>
      </c>
      <c r="H88" s="271">
        <v>35138</v>
      </c>
      <c r="I88" s="326">
        <v>0</v>
      </c>
      <c r="J88" s="326">
        <v>0</v>
      </c>
      <c r="K88" s="326">
        <v>0</v>
      </c>
      <c r="L88" s="271">
        <v>35138</v>
      </c>
      <c r="M88" s="52"/>
      <c r="N88" s="160"/>
      <c r="U88" s="52"/>
    </row>
    <row r="89" spans="1:22" ht="15.75" customHeight="1" x14ac:dyDescent="0.2">
      <c r="A89" s="24" t="s">
        <v>296</v>
      </c>
      <c r="B89" s="152" t="s">
        <v>301</v>
      </c>
      <c r="C89" s="23" t="s">
        <v>302</v>
      </c>
      <c r="D89" s="170">
        <v>353</v>
      </c>
      <c r="E89" s="271">
        <v>2060812</v>
      </c>
      <c r="F89" s="271">
        <v>2060812</v>
      </c>
      <c r="G89" s="327" t="s">
        <v>153</v>
      </c>
      <c r="H89" s="326">
        <v>0</v>
      </c>
      <c r="I89" s="271">
        <v>11046</v>
      </c>
      <c r="J89" s="326">
        <v>0</v>
      </c>
      <c r="K89" s="271">
        <v>11046</v>
      </c>
      <c r="L89" s="271">
        <v>-11046</v>
      </c>
      <c r="M89" s="52"/>
      <c r="N89" s="160"/>
      <c r="U89" s="52"/>
    </row>
    <row r="90" spans="1:22" ht="15.75" customHeight="1" x14ac:dyDescent="0.2">
      <c r="A90" s="24" t="s">
        <v>296</v>
      </c>
      <c r="B90" s="152" t="s">
        <v>303</v>
      </c>
      <c r="C90" s="23" t="s">
        <v>304</v>
      </c>
      <c r="D90" s="170">
        <v>289</v>
      </c>
      <c r="E90" s="271">
        <v>15567</v>
      </c>
      <c r="F90" s="326">
        <v>0</v>
      </c>
      <c r="G90" s="327" t="s">
        <v>153</v>
      </c>
      <c r="H90" s="271">
        <v>15567</v>
      </c>
      <c r="I90" s="326">
        <v>0</v>
      </c>
      <c r="J90" s="326">
        <v>0</v>
      </c>
      <c r="K90" s="326">
        <v>0</v>
      </c>
      <c r="L90" s="271">
        <v>15567</v>
      </c>
      <c r="M90" s="52"/>
      <c r="N90" s="160"/>
      <c r="U90" s="52"/>
    </row>
    <row r="91" spans="1:22" ht="15.75" customHeight="1" x14ac:dyDescent="0.2">
      <c r="A91" s="24" t="s">
        <v>296</v>
      </c>
      <c r="B91" s="152" t="s">
        <v>305</v>
      </c>
      <c r="C91" s="23" t="s">
        <v>306</v>
      </c>
      <c r="D91" s="170">
        <v>41</v>
      </c>
      <c r="E91" s="271">
        <v>1410809</v>
      </c>
      <c r="F91" s="326">
        <v>0</v>
      </c>
      <c r="G91" s="327" t="s">
        <v>153</v>
      </c>
      <c r="H91" s="271">
        <v>1410809</v>
      </c>
      <c r="I91" s="326">
        <v>0</v>
      </c>
      <c r="J91" s="326">
        <v>0</v>
      </c>
      <c r="K91" s="326">
        <v>0</v>
      </c>
      <c r="L91" s="271">
        <v>1410809</v>
      </c>
      <c r="M91" s="52"/>
      <c r="N91" s="160"/>
      <c r="U91" s="52"/>
    </row>
    <row r="92" spans="1:22" ht="15" customHeight="1" x14ac:dyDescent="0.2">
      <c r="A92" s="24" t="s">
        <v>296</v>
      </c>
      <c r="B92" s="152" t="s">
        <v>293</v>
      </c>
      <c r="C92" s="23" t="s">
        <v>294</v>
      </c>
      <c r="D92" s="170">
        <v>219</v>
      </c>
      <c r="E92" s="271">
        <v>14728863</v>
      </c>
      <c r="F92" s="326">
        <v>0</v>
      </c>
      <c r="G92" s="327" t="s">
        <v>153</v>
      </c>
      <c r="H92" s="271">
        <v>14728863</v>
      </c>
      <c r="I92" s="326">
        <v>0</v>
      </c>
      <c r="J92" s="326">
        <v>0</v>
      </c>
      <c r="K92" s="326">
        <v>0</v>
      </c>
      <c r="L92" s="271">
        <v>14728863</v>
      </c>
      <c r="M92" s="52"/>
      <c r="N92" s="160"/>
      <c r="U92" s="52"/>
    </row>
    <row r="93" spans="1:22" ht="15" customHeight="1" x14ac:dyDescent="0.2">
      <c r="A93" s="24" t="s">
        <v>296</v>
      </c>
      <c r="B93" s="152" t="s">
        <v>275</v>
      </c>
      <c r="C93" s="23" t="s">
        <v>276</v>
      </c>
      <c r="D93" s="170">
        <v>187</v>
      </c>
      <c r="E93" s="271">
        <v>6025129</v>
      </c>
      <c r="F93" s="326">
        <v>0</v>
      </c>
      <c r="G93" s="327" t="s">
        <v>153</v>
      </c>
      <c r="H93" s="271">
        <v>6025129</v>
      </c>
      <c r="I93" s="326">
        <v>0</v>
      </c>
      <c r="J93" s="326">
        <v>0</v>
      </c>
      <c r="K93" s="326">
        <v>0</v>
      </c>
      <c r="L93" s="271">
        <v>6025129</v>
      </c>
      <c r="M93" s="52"/>
      <c r="N93" s="160"/>
      <c r="U93" s="52"/>
    </row>
    <row r="94" spans="1:22" ht="15.75" customHeight="1" x14ac:dyDescent="0.2">
      <c r="A94" s="24" t="s">
        <v>296</v>
      </c>
      <c r="B94" s="152" t="s">
        <v>307</v>
      </c>
      <c r="C94" s="23" t="s">
        <v>308</v>
      </c>
      <c r="D94" s="170">
        <v>56</v>
      </c>
      <c r="E94" s="271">
        <v>1275498</v>
      </c>
      <c r="F94" s="326">
        <v>0</v>
      </c>
      <c r="G94" s="327" t="s">
        <v>153</v>
      </c>
      <c r="H94" s="271">
        <v>1275498</v>
      </c>
      <c r="I94" s="326">
        <v>0</v>
      </c>
      <c r="J94" s="326">
        <v>0</v>
      </c>
      <c r="K94" s="326">
        <v>0</v>
      </c>
      <c r="L94" s="271">
        <v>1275498</v>
      </c>
      <c r="M94" s="52"/>
      <c r="N94" s="160"/>
      <c r="U94" s="52"/>
    </row>
    <row r="95" spans="1:22" ht="15.75" customHeight="1" x14ac:dyDescent="0.25">
      <c r="A95" s="158" t="s">
        <v>383</v>
      </c>
      <c r="B95" s="172" t="s">
        <v>153</v>
      </c>
      <c r="C95" s="118" t="s">
        <v>153</v>
      </c>
      <c r="D95" s="117" t="s">
        <v>153</v>
      </c>
      <c r="E95" s="329">
        <f>SUBTOTAL(109,local201011[Program
Costs])</f>
        <v>50332607</v>
      </c>
      <c r="F95" s="329">
        <f>SUBTOTAL(109,local201011[Less: Net 
Payments
 and Offsets 1])</f>
        <v>2060812</v>
      </c>
      <c r="G95" s="330" t="s">
        <v>153</v>
      </c>
      <c r="H95" s="329">
        <f>SUBTOTAL(109,local201011[Accounts Payable
Balance])</f>
        <v>48271795</v>
      </c>
      <c r="I95" s="329">
        <f>SUBTOTAL(109,local201011[Established
Accounts Receivable])</f>
        <v>11046</v>
      </c>
      <c r="J95" s="331">
        <f>SUBTOTAL(109,local201011[Less: 
Recovered 
Amount])</f>
        <v>0</v>
      </c>
      <c r="K95" s="329">
        <f>SUBTOTAL(109,local201011[Accounts Receivable
Balance])</f>
        <v>11046</v>
      </c>
      <c r="L95" s="329">
        <f>SUBTOTAL(109,local201011[Net
Balance])</f>
        <v>48260749</v>
      </c>
      <c r="M95" s="52"/>
      <c r="N95" s="160"/>
      <c r="U95" s="52"/>
    </row>
    <row r="96" spans="1:22" ht="15.75" customHeight="1" x14ac:dyDescent="0.25">
      <c r="A96" s="146" t="s">
        <v>181</v>
      </c>
    </row>
    <row r="97" spans="1:21" ht="50.1" customHeight="1" x14ac:dyDescent="0.25">
      <c r="A97" s="28" t="s">
        <v>221</v>
      </c>
      <c r="B97" s="28" t="s">
        <v>268</v>
      </c>
      <c r="C97" s="28" t="s">
        <v>2</v>
      </c>
      <c r="D97" s="169" t="s">
        <v>280</v>
      </c>
      <c r="E97" s="155" t="s">
        <v>223</v>
      </c>
      <c r="F97" s="28" t="s">
        <v>281</v>
      </c>
      <c r="G97" s="154" t="s">
        <v>176</v>
      </c>
      <c r="H97" s="156" t="s">
        <v>270</v>
      </c>
      <c r="I97" s="156" t="s">
        <v>271</v>
      </c>
      <c r="J97" s="156" t="s">
        <v>282</v>
      </c>
      <c r="K97" s="156" t="s">
        <v>272</v>
      </c>
      <c r="L97" s="156" t="s">
        <v>273</v>
      </c>
      <c r="M97" s="52"/>
      <c r="N97" s="160"/>
      <c r="U97" s="52"/>
    </row>
    <row r="98" spans="1:21" ht="15.75" customHeight="1" x14ac:dyDescent="0.2">
      <c r="A98" s="24" t="s">
        <v>1</v>
      </c>
      <c r="B98" s="152" t="s">
        <v>297</v>
      </c>
      <c r="C98" s="23" t="s">
        <v>298</v>
      </c>
      <c r="D98" s="170">
        <v>2</v>
      </c>
      <c r="E98" s="271">
        <v>24710823</v>
      </c>
      <c r="F98" s="326">
        <v>0</v>
      </c>
      <c r="G98" s="327" t="s">
        <v>153</v>
      </c>
      <c r="H98" s="271">
        <v>24710823</v>
      </c>
      <c r="I98" s="332">
        <v>0</v>
      </c>
      <c r="J98" s="332">
        <v>0</v>
      </c>
      <c r="K98" s="332">
        <v>0</v>
      </c>
      <c r="L98" s="271">
        <v>24710823</v>
      </c>
      <c r="M98" s="52"/>
      <c r="N98" s="160"/>
      <c r="U98" s="52"/>
    </row>
    <row r="99" spans="1:21" ht="15" customHeight="1" x14ac:dyDescent="0.2">
      <c r="A99" s="24" t="s">
        <v>1</v>
      </c>
      <c r="B99" s="152" t="s">
        <v>299</v>
      </c>
      <c r="C99" s="23" t="s">
        <v>300</v>
      </c>
      <c r="D99" s="170">
        <v>248</v>
      </c>
      <c r="E99" s="271">
        <v>32562</v>
      </c>
      <c r="F99" s="326">
        <v>0</v>
      </c>
      <c r="G99" s="327" t="s">
        <v>153</v>
      </c>
      <c r="H99" s="271">
        <v>32562</v>
      </c>
      <c r="I99" s="332">
        <v>0</v>
      </c>
      <c r="J99" s="332">
        <v>0</v>
      </c>
      <c r="K99" s="332">
        <v>0</v>
      </c>
      <c r="L99" s="271">
        <v>32562</v>
      </c>
      <c r="M99" s="52"/>
      <c r="N99" s="160"/>
      <c r="U99" s="52"/>
    </row>
    <row r="100" spans="1:21" ht="15.75" customHeight="1" x14ac:dyDescent="0.2">
      <c r="A100" s="24" t="s">
        <v>1</v>
      </c>
      <c r="B100" s="152" t="s">
        <v>309</v>
      </c>
      <c r="C100" s="23" t="s">
        <v>310</v>
      </c>
      <c r="D100" s="170">
        <v>213</v>
      </c>
      <c r="E100" s="271">
        <v>1542144</v>
      </c>
      <c r="F100" s="326">
        <v>0</v>
      </c>
      <c r="G100" s="327" t="s">
        <v>153</v>
      </c>
      <c r="H100" s="271">
        <v>1542144</v>
      </c>
      <c r="I100" s="332">
        <v>0</v>
      </c>
      <c r="J100" s="332">
        <v>0</v>
      </c>
      <c r="K100" s="332">
        <v>0</v>
      </c>
      <c r="L100" s="271">
        <v>1542144</v>
      </c>
      <c r="M100" s="52"/>
      <c r="N100" s="160"/>
      <c r="U100" s="52"/>
    </row>
    <row r="101" spans="1:21" ht="15.75" customHeight="1" x14ac:dyDescent="0.2">
      <c r="A101" s="24" t="s">
        <v>1</v>
      </c>
      <c r="B101" s="152" t="s">
        <v>301</v>
      </c>
      <c r="C101" s="23" t="s">
        <v>302</v>
      </c>
      <c r="D101" s="170">
        <v>353</v>
      </c>
      <c r="E101" s="271">
        <v>1640194</v>
      </c>
      <c r="F101" s="271">
        <v>1640194</v>
      </c>
      <c r="G101" s="327" t="s">
        <v>153</v>
      </c>
      <c r="H101" s="326">
        <v>0</v>
      </c>
      <c r="I101" s="271">
        <v>9444</v>
      </c>
      <c r="J101" s="332">
        <v>0</v>
      </c>
      <c r="K101" s="271">
        <v>9444</v>
      </c>
      <c r="L101" s="271">
        <v>-9444</v>
      </c>
      <c r="M101" s="52"/>
      <c r="N101" s="160"/>
      <c r="U101" s="52"/>
    </row>
    <row r="102" spans="1:21" ht="30" customHeight="1" x14ac:dyDescent="0.2">
      <c r="A102" s="24" t="s">
        <v>1</v>
      </c>
      <c r="B102" s="152" t="s">
        <v>311</v>
      </c>
      <c r="C102" s="23" t="s">
        <v>312</v>
      </c>
      <c r="D102" s="170">
        <v>67</v>
      </c>
      <c r="E102" s="271">
        <v>12927</v>
      </c>
      <c r="F102" s="326">
        <v>0</v>
      </c>
      <c r="G102" s="327" t="s">
        <v>153</v>
      </c>
      <c r="H102" s="271">
        <v>12927</v>
      </c>
      <c r="I102" s="332">
        <v>0</v>
      </c>
      <c r="J102" s="332">
        <v>0</v>
      </c>
      <c r="K102" s="332">
        <v>0</v>
      </c>
      <c r="L102" s="271">
        <v>12927</v>
      </c>
      <c r="M102" s="52"/>
      <c r="N102" s="160"/>
      <c r="U102" s="52"/>
    </row>
    <row r="103" spans="1:21" ht="15.75" customHeight="1" x14ac:dyDescent="0.2">
      <c r="A103" s="24" t="s">
        <v>1</v>
      </c>
      <c r="B103" s="152" t="s">
        <v>313</v>
      </c>
      <c r="C103" s="23" t="s">
        <v>314</v>
      </c>
      <c r="D103" s="170">
        <v>88</v>
      </c>
      <c r="E103" s="271">
        <v>8996</v>
      </c>
      <c r="F103" s="326">
        <v>0</v>
      </c>
      <c r="G103" s="327" t="s">
        <v>153</v>
      </c>
      <c r="H103" s="271">
        <v>8996</v>
      </c>
      <c r="I103" s="332">
        <v>0</v>
      </c>
      <c r="J103" s="332">
        <v>0</v>
      </c>
      <c r="K103" s="332">
        <v>0</v>
      </c>
      <c r="L103" s="271">
        <v>8996</v>
      </c>
      <c r="M103" s="52"/>
      <c r="N103" s="160"/>
      <c r="U103" s="52"/>
    </row>
    <row r="104" spans="1:21" ht="15.75" customHeight="1" x14ac:dyDescent="0.2">
      <c r="A104" s="24" t="s">
        <v>1</v>
      </c>
      <c r="B104" s="152" t="s">
        <v>315</v>
      </c>
      <c r="C104" s="23" t="s">
        <v>316</v>
      </c>
      <c r="D104" s="170">
        <v>158</v>
      </c>
      <c r="E104" s="271">
        <v>25577</v>
      </c>
      <c r="F104" s="326">
        <v>0</v>
      </c>
      <c r="G104" s="327" t="s">
        <v>153</v>
      </c>
      <c r="H104" s="271">
        <v>25577</v>
      </c>
      <c r="I104" s="332">
        <v>0</v>
      </c>
      <c r="J104" s="332">
        <v>0</v>
      </c>
      <c r="K104" s="332">
        <v>0</v>
      </c>
      <c r="L104" s="271">
        <v>25577</v>
      </c>
      <c r="M104" s="52"/>
      <c r="N104" s="160"/>
      <c r="U104" s="52"/>
    </row>
    <row r="105" spans="1:21" ht="30" customHeight="1" x14ac:dyDescent="0.2">
      <c r="A105" s="24" t="s">
        <v>1</v>
      </c>
      <c r="B105" s="152" t="s">
        <v>317</v>
      </c>
      <c r="C105" s="23" t="s">
        <v>318</v>
      </c>
      <c r="D105" s="170">
        <v>87</v>
      </c>
      <c r="E105" s="271">
        <v>40390</v>
      </c>
      <c r="F105" s="326">
        <v>0</v>
      </c>
      <c r="G105" s="327" t="s">
        <v>153</v>
      </c>
      <c r="H105" s="271">
        <v>40390</v>
      </c>
      <c r="I105" s="332">
        <v>0</v>
      </c>
      <c r="J105" s="332">
        <v>0</v>
      </c>
      <c r="K105" s="332">
        <v>0</v>
      </c>
      <c r="L105" s="271">
        <v>40390</v>
      </c>
      <c r="M105" s="52"/>
      <c r="N105" s="160"/>
      <c r="U105" s="52"/>
    </row>
    <row r="106" spans="1:21" ht="15.75" customHeight="1" x14ac:dyDescent="0.2">
      <c r="A106" s="24" t="s">
        <v>1</v>
      </c>
      <c r="B106" s="152" t="s">
        <v>303</v>
      </c>
      <c r="C106" s="23" t="s">
        <v>304</v>
      </c>
      <c r="D106" s="170">
        <v>289</v>
      </c>
      <c r="E106" s="271">
        <v>20569</v>
      </c>
      <c r="F106" s="326">
        <v>0</v>
      </c>
      <c r="G106" s="327" t="s">
        <v>153</v>
      </c>
      <c r="H106" s="271">
        <v>20569</v>
      </c>
      <c r="I106" s="332">
        <v>0</v>
      </c>
      <c r="J106" s="332">
        <v>0</v>
      </c>
      <c r="K106" s="332">
        <v>0</v>
      </c>
      <c r="L106" s="271">
        <v>20569</v>
      </c>
      <c r="M106" s="52"/>
      <c r="N106" s="160"/>
      <c r="U106" s="52"/>
    </row>
    <row r="107" spans="1:21" ht="30" customHeight="1" x14ac:dyDescent="0.2">
      <c r="A107" s="24" t="s">
        <v>1</v>
      </c>
      <c r="B107" s="152" t="s">
        <v>319</v>
      </c>
      <c r="C107" s="23" t="s">
        <v>320</v>
      </c>
      <c r="D107" s="170">
        <v>300</v>
      </c>
      <c r="E107" s="271">
        <v>7017</v>
      </c>
      <c r="F107" s="326">
        <v>0</v>
      </c>
      <c r="G107" s="327" t="s">
        <v>153</v>
      </c>
      <c r="H107" s="271">
        <v>7017</v>
      </c>
      <c r="I107" s="332">
        <v>0</v>
      </c>
      <c r="J107" s="332">
        <v>0</v>
      </c>
      <c r="K107" s="332">
        <v>0</v>
      </c>
      <c r="L107" s="271">
        <v>7017</v>
      </c>
      <c r="M107" s="52"/>
      <c r="N107" s="160"/>
      <c r="U107" s="52"/>
    </row>
    <row r="108" spans="1:21" ht="15.75" customHeight="1" x14ac:dyDescent="0.2">
      <c r="A108" s="24" t="s">
        <v>1</v>
      </c>
      <c r="B108" s="152" t="s">
        <v>305</v>
      </c>
      <c r="C108" s="23" t="s">
        <v>306</v>
      </c>
      <c r="D108" s="170">
        <v>41</v>
      </c>
      <c r="E108" s="271">
        <v>5475418</v>
      </c>
      <c r="F108" s="326">
        <v>0</v>
      </c>
      <c r="G108" s="327" t="s">
        <v>153</v>
      </c>
      <c r="H108" s="271">
        <v>5475418</v>
      </c>
      <c r="I108" s="332">
        <v>0</v>
      </c>
      <c r="J108" s="332">
        <v>0</v>
      </c>
      <c r="K108" s="332">
        <v>0</v>
      </c>
      <c r="L108" s="271">
        <v>5475418</v>
      </c>
      <c r="M108" s="52"/>
      <c r="N108" s="160"/>
      <c r="U108" s="52"/>
    </row>
    <row r="109" spans="1:21" ht="30" customHeight="1" x14ac:dyDescent="0.2">
      <c r="A109" s="24" t="s">
        <v>1</v>
      </c>
      <c r="B109" s="152" t="s">
        <v>321</v>
      </c>
      <c r="C109" s="23" t="s">
        <v>322</v>
      </c>
      <c r="D109" s="170">
        <v>203</v>
      </c>
      <c r="E109" s="271">
        <v>219819</v>
      </c>
      <c r="F109" s="326">
        <v>0</v>
      </c>
      <c r="G109" s="327" t="s">
        <v>153</v>
      </c>
      <c r="H109" s="271">
        <v>219819</v>
      </c>
      <c r="I109" s="332">
        <v>0</v>
      </c>
      <c r="J109" s="332">
        <v>0</v>
      </c>
      <c r="K109" s="332">
        <v>0</v>
      </c>
      <c r="L109" s="271">
        <v>219819</v>
      </c>
      <c r="M109" s="52"/>
      <c r="N109" s="160"/>
      <c r="U109" s="52"/>
    </row>
    <row r="110" spans="1:21" ht="30" customHeight="1" x14ac:dyDescent="0.2">
      <c r="A110" s="24" t="s">
        <v>1</v>
      </c>
      <c r="B110" s="152" t="s">
        <v>323</v>
      </c>
      <c r="C110" s="23" t="s">
        <v>324</v>
      </c>
      <c r="D110" s="170">
        <v>39</v>
      </c>
      <c r="E110" s="271">
        <v>3011</v>
      </c>
      <c r="F110" s="326">
        <v>0</v>
      </c>
      <c r="G110" s="327" t="s">
        <v>153</v>
      </c>
      <c r="H110" s="271">
        <v>3011</v>
      </c>
      <c r="I110" s="332">
        <v>0</v>
      </c>
      <c r="J110" s="332">
        <v>0</v>
      </c>
      <c r="K110" s="332">
        <v>0</v>
      </c>
      <c r="L110" s="271">
        <v>3011</v>
      </c>
      <c r="M110" s="52"/>
      <c r="N110" s="160"/>
      <c r="U110" s="52"/>
    </row>
    <row r="111" spans="1:21" ht="30" customHeight="1" x14ac:dyDescent="0.2">
      <c r="A111" s="24" t="s">
        <v>1</v>
      </c>
      <c r="B111" s="152" t="s">
        <v>325</v>
      </c>
      <c r="C111" s="23" t="s">
        <v>326</v>
      </c>
      <c r="D111" s="170">
        <v>66</v>
      </c>
      <c r="E111" s="271">
        <v>1345</v>
      </c>
      <c r="F111" s="326">
        <v>0</v>
      </c>
      <c r="G111" s="327" t="s">
        <v>153</v>
      </c>
      <c r="H111" s="271">
        <v>1345</v>
      </c>
      <c r="I111" s="332">
        <v>0</v>
      </c>
      <c r="J111" s="332">
        <v>0</v>
      </c>
      <c r="K111" s="332">
        <v>0</v>
      </c>
      <c r="L111" s="271">
        <v>1345</v>
      </c>
      <c r="M111" s="52"/>
      <c r="N111" s="160"/>
      <c r="U111" s="52"/>
    </row>
    <row r="112" spans="1:21" ht="15.75" customHeight="1" x14ac:dyDescent="0.2">
      <c r="A112" s="24" t="s">
        <v>1</v>
      </c>
      <c r="B112" s="152" t="s">
        <v>327</v>
      </c>
      <c r="C112" s="23" t="s">
        <v>328</v>
      </c>
      <c r="D112" s="170">
        <v>200</v>
      </c>
      <c r="E112" s="271">
        <v>120902</v>
      </c>
      <c r="F112" s="326">
        <v>0</v>
      </c>
      <c r="G112" s="327" t="s">
        <v>153</v>
      </c>
      <c r="H112" s="271">
        <v>120902</v>
      </c>
      <c r="I112" s="332">
        <v>0</v>
      </c>
      <c r="J112" s="332">
        <v>0</v>
      </c>
      <c r="K112" s="332">
        <v>0</v>
      </c>
      <c r="L112" s="271">
        <v>120902</v>
      </c>
      <c r="M112" s="52"/>
      <c r="N112" s="160"/>
      <c r="U112" s="52"/>
    </row>
    <row r="113" spans="1:21" ht="15" customHeight="1" x14ac:dyDescent="0.2">
      <c r="A113" s="24" t="s">
        <v>1</v>
      </c>
      <c r="B113" s="152" t="s">
        <v>293</v>
      </c>
      <c r="C113" s="23" t="s">
        <v>294</v>
      </c>
      <c r="D113" s="170">
        <v>219</v>
      </c>
      <c r="E113" s="271">
        <v>15433397</v>
      </c>
      <c r="F113" s="326">
        <v>0</v>
      </c>
      <c r="G113" s="327" t="s">
        <v>153</v>
      </c>
      <c r="H113" s="271">
        <v>15433397</v>
      </c>
      <c r="I113" s="332">
        <v>0</v>
      </c>
      <c r="J113" s="332">
        <v>0</v>
      </c>
      <c r="K113" s="332">
        <v>0</v>
      </c>
      <c r="L113" s="271">
        <v>15433397</v>
      </c>
      <c r="M113" s="52"/>
      <c r="N113" s="160"/>
      <c r="U113" s="52"/>
    </row>
    <row r="114" spans="1:21" ht="30" customHeight="1" x14ac:dyDescent="0.2">
      <c r="A114" s="24" t="s">
        <v>1</v>
      </c>
      <c r="B114" s="152" t="s">
        <v>329</v>
      </c>
      <c r="C114" s="23" t="s">
        <v>330</v>
      </c>
      <c r="D114" s="170">
        <v>122</v>
      </c>
      <c r="E114" s="271">
        <v>1466</v>
      </c>
      <c r="F114" s="326">
        <v>0</v>
      </c>
      <c r="G114" s="327" t="s">
        <v>153</v>
      </c>
      <c r="H114" s="271">
        <v>1466</v>
      </c>
      <c r="I114" s="332">
        <v>0</v>
      </c>
      <c r="J114" s="332">
        <v>0</v>
      </c>
      <c r="K114" s="332">
        <v>0</v>
      </c>
      <c r="L114" s="271">
        <v>1466</v>
      </c>
      <c r="M114" s="52"/>
      <c r="N114" s="160"/>
      <c r="U114" s="52"/>
    </row>
    <row r="115" spans="1:21" ht="15" customHeight="1" x14ac:dyDescent="0.2">
      <c r="A115" s="24" t="s">
        <v>1</v>
      </c>
      <c r="B115" s="152" t="s">
        <v>275</v>
      </c>
      <c r="C115" s="23" t="s">
        <v>276</v>
      </c>
      <c r="D115" s="170">
        <v>187</v>
      </c>
      <c r="E115" s="271">
        <v>6503704</v>
      </c>
      <c r="F115" s="326">
        <v>0</v>
      </c>
      <c r="G115" s="327" t="s">
        <v>153</v>
      </c>
      <c r="H115" s="271">
        <v>6503704</v>
      </c>
      <c r="I115" s="332">
        <v>0</v>
      </c>
      <c r="J115" s="332">
        <v>0</v>
      </c>
      <c r="K115" s="332">
        <v>0</v>
      </c>
      <c r="L115" s="271">
        <v>6503704</v>
      </c>
      <c r="M115" s="52"/>
      <c r="N115" s="160"/>
      <c r="U115" s="52"/>
    </row>
    <row r="116" spans="1:21" ht="15.75" customHeight="1" x14ac:dyDescent="0.2">
      <c r="A116" s="24" t="s">
        <v>1</v>
      </c>
      <c r="B116" s="152" t="s">
        <v>331</v>
      </c>
      <c r="C116" s="23" t="s">
        <v>332</v>
      </c>
      <c r="D116" s="170">
        <v>124</v>
      </c>
      <c r="E116" s="271">
        <v>47464</v>
      </c>
      <c r="F116" s="326">
        <v>0</v>
      </c>
      <c r="G116" s="327" t="s">
        <v>153</v>
      </c>
      <c r="H116" s="271">
        <v>47464</v>
      </c>
      <c r="I116" s="332">
        <v>0</v>
      </c>
      <c r="J116" s="332">
        <v>0</v>
      </c>
      <c r="K116" s="332">
        <v>0</v>
      </c>
      <c r="L116" s="271">
        <v>47464</v>
      </c>
      <c r="M116" s="52"/>
      <c r="N116" s="160"/>
      <c r="U116" s="52"/>
    </row>
    <row r="117" spans="1:21" ht="15.75" customHeight="1" x14ac:dyDescent="0.2">
      <c r="A117" s="24" t="s">
        <v>1</v>
      </c>
      <c r="B117" s="152" t="s">
        <v>333</v>
      </c>
      <c r="C117" s="23" t="s">
        <v>334</v>
      </c>
      <c r="D117" s="170">
        <v>83</v>
      </c>
      <c r="E117" s="271">
        <v>1310491</v>
      </c>
      <c r="F117" s="326">
        <v>0</v>
      </c>
      <c r="G117" s="327" t="s">
        <v>153</v>
      </c>
      <c r="H117" s="271">
        <v>1310491</v>
      </c>
      <c r="I117" s="332">
        <v>0</v>
      </c>
      <c r="J117" s="332">
        <v>0</v>
      </c>
      <c r="K117" s="332">
        <v>0</v>
      </c>
      <c r="L117" s="271">
        <v>1310491</v>
      </c>
      <c r="M117" s="52"/>
      <c r="N117" s="160"/>
      <c r="U117" s="52"/>
    </row>
    <row r="118" spans="1:21" ht="15.75" customHeight="1" x14ac:dyDescent="0.2">
      <c r="A118" s="24" t="s">
        <v>1</v>
      </c>
      <c r="B118" s="152" t="s">
        <v>335</v>
      </c>
      <c r="C118" s="23" t="s">
        <v>336</v>
      </c>
      <c r="D118" s="170">
        <v>215</v>
      </c>
      <c r="E118" s="271">
        <v>2177</v>
      </c>
      <c r="F118" s="326">
        <v>0</v>
      </c>
      <c r="G118" s="327" t="s">
        <v>153</v>
      </c>
      <c r="H118" s="271">
        <v>2177</v>
      </c>
      <c r="I118" s="332">
        <v>0</v>
      </c>
      <c r="J118" s="332">
        <v>0</v>
      </c>
      <c r="K118" s="332">
        <v>0</v>
      </c>
      <c r="L118" s="271">
        <v>2177</v>
      </c>
      <c r="M118" s="52"/>
      <c r="N118" s="160"/>
      <c r="U118" s="52"/>
    </row>
    <row r="119" spans="1:21" ht="15" customHeight="1" x14ac:dyDescent="0.2">
      <c r="A119" s="24" t="s">
        <v>1</v>
      </c>
      <c r="B119" s="152" t="s">
        <v>337</v>
      </c>
      <c r="C119" s="23" t="s">
        <v>338</v>
      </c>
      <c r="D119" s="170">
        <v>279</v>
      </c>
      <c r="E119" s="271">
        <v>7804</v>
      </c>
      <c r="F119" s="326">
        <v>0</v>
      </c>
      <c r="G119" s="327" t="s">
        <v>153</v>
      </c>
      <c r="H119" s="271">
        <v>7804</v>
      </c>
      <c r="I119" s="332">
        <v>0</v>
      </c>
      <c r="J119" s="332">
        <v>0</v>
      </c>
      <c r="K119" s="332">
        <v>0</v>
      </c>
      <c r="L119" s="271">
        <v>7804</v>
      </c>
      <c r="M119" s="52"/>
      <c r="N119" s="160"/>
      <c r="U119" s="52"/>
    </row>
    <row r="120" spans="1:21" ht="15.75" customHeight="1" x14ac:dyDescent="0.2">
      <c r="A120" s="24" t="s">
        <v>1</v>
      </c>
      <c r="B120" s="152" t="s">
        <v>339</v>
      </c>
      <c r="C120" s="23" t="s">
        <v>340</v>
      </c>
      <c r="D120" s="170">
        <v>73</v>
      </c>
      <c r="E120" s="271">
        <v>48090</v>
      </c>
      <c r="F120" s="326">
        <v>0</v>
      </c>
      <c r="G120" s="327" t="s">
        <v>153</v>
      </c>
      <c r="H120" s="271">
        <v>48090</v>
      </c>
      <c r="I120" s="332">
        <v>0</v>
      </c>
      <c r="J120" s="332">
        <v>0</v>
      </c>
      <c r="K120" s="332">
        <v>0</v>
      </c>
      <c r="L120" s="271">
        <v>48090</v>
      </c>
      <c r="M120" s="52"/>
      <c r="N120" s="160"/>
      <c r="U120" s="52"/>
    </row>
    <row r="121" spans="1:21" ht="15.75" customHeight="1" x14ac:dyDescent="0.2">
      <c r="A121" s="24" t="s">
        <v>1</v>
      </c>
      <c r="B121" s="152" t="s">
        <v>341</v>
      </c>
      <c r="C121" s="23" t="s">
        <v>342</v>
      </c>
      <c r="D121" s="170">
        <v>120</v>
      </c>
      <c r="E121" s="271">
        <v>13379</v>
      </c>
      <c r="F121" s="326">
        <v>0</v>
      </c>
      <c r="G121" s="327" t="s">
        <v>153</v>
      </c>
      <c r="H121" s="271">
        <v>13379</v>
      </c>
      <c r="I121" s="332">
        <v>0</v>
      </c>
      <c r="J121" s="332">
        <v>0</v>
      </c>
      <c r="K121" s="332">
        <v>0</v>
      </c>
      <c r="L121" s="271">
        <v>13379</v>
      </c>
      <c r="M121" s="52"/>
      <c r="N121" s="160"/>
      <c r="U121" s="52"/>
    </row>
    <row r="122" spans="1:21" ht="15.75" customHeight="1" x14ac:dyDescent="0.2">
      <c r="A122" s="24" t="s">
        <v>1</v>
      </c>
      <c r="B122" s="152" t="s">
        <v>307</v>
      </c>
      <c r="C122" s="23" t="s">
        <v>308</v>
      </c>
      <c r="D122" s="170">
        <v>56</v>
      </c>
      <c r="E122" s="271">
        <v>1205598</v>
      </c>
      <c r="F122" s="326">
        <v>0</v>
      </c>
      <c r="G122" s="327" t="s">
        <v>153</v>
      </c>
      <c r="H122" s="271">
        <v>1205598</v>
      </c>
      <c r="I122" s="332">
        <v>0</v>
      </c>
      <c r="J122" s="332">
        <v>0</v>
      </c>
      <c r="K122" s="332">
        <v>0</v>
      </c>
      <c r="L122" s="271">
        <v>1205598</v>
      </c>
      <c r="M122" s="52"/>
      <c r="N122" s="160"/>
      <c r="U122" s="52"/>
    </row>
    <row r="123" spans="1:21" ht="15.75" customHeight="1" x14ac:dyDescent="0.25">
      <c r="A123" s="158" t="s">
        <v>384</v>
      </c>
      <c r="B123" s="172" t="s">
        <v>153</v>
      </c>
      <c r="C123" s="118" t="s">
        <v>153</v>
      </c>
      <c r="D123" s="117" t="s">
        <v>153</v>
      </c>
      <c r="E123" s="329">
        <f>SUBTOTAL(109,local200910[Program
Costs])</f>
        <v>58435264</v>
      </c>
      <c r="F123" s="329">
        <f>SUBTOTAL(109,local200910[Less: Net 
Payments
 and Offsets 1])</f>
        <v>1640194</v>
      </c>
      <c r="G123" s="330" t="s">
        <v>153</v>
      </c>
      <c r="H123" s="329">
        <f>SUBTOTAL(109,local200910[Accounts Payable
Balance])</f>
        <v>56795070</v>
      </c>
      <c r="I123" s="329">
        <f>SUBTOTAL(109,local200910[Established
Accounts Receivable])</f>
        <v>9444</v>
      </c>
      <c r="J123" s="333">
        <f>SUBTOTAL(109,local200910[Less: 
Recovered 
Amount])</f>
        <v>0</v>
      </c>
      <c r="K123" s="329">
        <f>SUBTOTAL(109,local200910[Accounts Receivable
Balance])</f>
        <v>9444</v>
      </c>
      <c r="L123" s="329">
        <f>SUBTOTAL(109,local200910[Net
Balance])</f>
        <v>56785626</v>
      </c>
      <c r="M123" s="52"/>
      <c r="N123" s="160"/>
      <c r="U123" s="52"/>
    </row>
    <row r="124" spans="1:21" ht="15.75" customHeight="1" x14ac:dyDescent="0.25">
      <c r="A124" s="146" t="s">
        <v>181</v>
      </c>
    </row>
    <row r="125" spans="1:21" ht="50.1" customHeight="1" x14ac:dyDescent="0.25">
      <c r="A125" s="28" t="s">
        <v>221</v>
      </c>
      <c r="B125" s="28" t="s">
        <v>268</v>
      </c>
      <c r="C125" s="28" t="s">
        <v>2</v>
      </c>
      <c r="D125" s="169" t="s">
        <v>280</v>
      </c>
      <c r="E125" s="155" t="s">
        <v>223</v>
      </c>
      <c r="F125" s="28" t="s">
        <v>281</v>
      </c>
      <c r="G125" s="154" t="s">
        <v>176</v>
      </c>
      <c r="H125" s="156" t="s">
        <v>270</v>
      </c>
      <c r="I125" s="156" t="s">
        <v>271</v>
      </c>
      <c r="J125" s="156" t="s">
        <v>282</v>
      </c>
      <c r="K125" s="156" t="s">
        <v>272</v>
      </c>
      <c r="L125" s="156" t="s">
        <v>273</v>
      </c>
      <c r="M125" s="52"/>
      <c r="N125" s="160"/>
      <c r="U125" s="52"/>
    </row>
    <row r="126" spans="1:21" ht="15.75" customHeight="1" x14ac:dyDescent="0.2">
      <c r="A126" s="24" t="s">
        <v>48</v>
      </c>
      <c r="B126" s="152" t="s">
        <v>309</v>
      </c>
      <c r="C126" s="23" t="s">
        <v>310</v>
      </c>
      <c r="D126" s="170">
        <v>213</v>
      </c>
      <c r="E126" s="271">
        <v>19859110</v>
      </c>
      <c r="F126" s="326">
        <v>0</v>
      </c>
      <c r="G126" s="327" t="s">
        <v>153</v>
      </c>
      <c r="H126" s="271">
        <v>19859110</v>
      </c>
      <c r="I126" s="326">
        <v>0</v>
      </c>
      <c r="J126" s="326">
        <v>0</v>
      </c>
      <c r="K126" s="326">
        <v>0</v>
      </c>
      <c r="L126" s="271">
        <v>19859110</v>
      </c>
      <c r="M126" s="52"/>
      <c r="N126" s="160"/>
      <c r="U126" s="52"/>
    </row>
    <row r="127" spans="1:21" ht="15.75" customHeight="1" x14ac:dyDescent="0.2">
      <c r="A127" s="24" t="s">
        <v>48</v>
      </c>
      <c r="B127" s="152" t="s">
        <v>301</v>
      </c>
      <c r="C127" s="23" t="s">
        <v>302</v>
      </c>
      <c r="D127" s="170">
        <v>353</v>
      </c>
      <c r="E127" s="271">
        <v>1558731</v>
      </c>
      <c r="F127" s="271">
        <v>1558731</v>
      </c>
      <c r="G127" s="327" t="s">
        <v>153</v>
      </c>
      <c r="H127" s="326">
        <v>0</v>
      </c>
      <c r="I127" s="271">
        <v>7837</v>
      </c>
      <c r="J127" s="326">
        <v>0</v>
      </c>
      <c r="K127" s="271">
        <v>7837</v>
      </c>
      <c r="L127" s="271">
        <v>-7837</v>
      </c>
      <c r="M127" s="52"/>
      <c r="N127" s="160"/>
      <c r="U127" s="52"/>
    </row>
    <row r="128" spans="1:21" ht="30" customHeight="1" x14ac:dyDescent="0.2">
      <c r="A128" s="24" t="s">
        <v>48</v>
      </c>
      <c r="B128" s="152" t="s">
        <v>311</v>
      </c>
      <c r="C128" s="23" t="s">
        <v>312</v>
      </c>
      <c r="D128" s="170">
        <v>67</v>
      </c>
      <c r="E128" s="271">
        <v>171702</v>
      </c>
      <c r="F128" s="326">
        <v>0</v>
      </c>
      <c r="G128" s="327" t="s">
        <v>153</v>
      </c>
      <c r="H128" s="271">
        <v>171702</v>
      </c>
      <c r="I128" s="326">
        <v>0</v>
      </c>
      <c r="J128" s="326">
        <v>0</v>
      </c>
      <c r="K128" s="326">
        <v>0</v>
      </c>
      <c r="L128" s="271">
        <v>171702</v>
      </c>
      <c r="M128" s="52"/>
      <c r="N128" s="160"/>
      <c r="U128" s="52"/>
    </row>
    <row r="129" spans="1:21" ht="15.75" customHeight="1" x14ac:dyDescent="0.2">
      <c r="A129" s="24" t="s">
        <v>48</v>
      </c>
      <c r="B129" s="152" t="s">
        <v>313</v>
      </c>
      <c r="C129" s="23" t="s">
        <v>314</v>
      </c>
      <c r="D129" s="170">
        <v>88</v>
      </c>
      <c r="E129" s="271">
        <v>113089</v>
      </c>
      <c r="F129" s="326">
        <v>0</v>
      </c>
      <c r="G129" s="327" t="s">
        <v>153</v>
      </c>
      <c r="H129" s="271">
        <v>113089</v>
      </c>
      <c r="I129" s="326">
        <v>0</v>
      </c>
      <c r="J129" s="326">
        <v>0</v>
      </c>
      <c r="K129" s="326">
        <v>0</v>
      </c>
      <c r="L129" s="271">
        <v>113089</v>
      </c>
      <c r="M129" s="52"/>
      <c r="N129" s="160"/>
      <c r="U129" s="52"/>
    </row>
    <row r="130" spans="1:21" ht="15.75" customHeight="1" x14ac:dyDescent="0.2">
      <c r="A130" s="24" t="s">
        <v>48</v>
      </c>
      <c r="B130" s="152" t="s">
        <v>315</v>
      </c>
      <c r="C130" s="23" t="s">
        <v>316</v>
      </c>
      <c r="D130" s="170">
        <v>158</v>
      </c>
      <c r="E130" s="271">
        <v>363356</v>
      </c>
      <c r="F130" s="326">
        <v>0</v>
      </c>
      <c r="G130" s="327" t="s">
        <v>153</v>
      </c>
      <c r="H130" s="271">
        <v>363356</v>
      </c>
      <c r="I130" s="326">
        <v>0</v>
      </c>
      <c r="J130" s="326">
        <v>0</v>
      </c>
      <c r="K130" s="326">
        <v>0</v>
      </c>
      <c r="L130" s="271">
        <v>363356</v>
      </c>
      <c r="M130" s="52"/>
      <c r="N130" s="160"/>
      <c r="U130" s="52"/>
    </row>
    <row r="131" spans="1:21" ht="30" customHeight="1" x14ac:dyDescent="0.2">
      <c r="A131" s="24" t="s">
        <v>48</v>
      </c>
      <c r="B131" s="152" t="s">
        <v>317</v>
      </c>
      <c r="C131" s="23" t="s">
        <v>318</v>
      </c>
      <c r="D131" s="170">
        <v>87</v>
      </c>
      <c r="E131" s="271">
        <v>567312</v>
      </c>
      <c r="F131" s="326">
        <v>0</v>
      </c>
      <c r="G131" s="327" t="s">
        <v>153</v>
      </c>
      <c r="H131" s="271">
        <v>567312</v>
      </c>
      <c r="I131" s="326">
        <v>0</v>
      </c>
      <c r="J131" s="326">
        <v>0</v>
      </c>
      <c r="K131" s="326">
        <v>0</v>
      </c>
      <c r="L131" s="271">
        <v>567312</v>
      </c>
      <c r="M131" s="52"/>
      <c r="N131" s="160"/>
      <c r="U131" s="52"/>
    </row>
    <row r="132" spans="1:21" ht="15.75" customHeight="1" x14ac:dyDescent="0.2">
      <c r="A132" s="24" t="s">
        <v>48</v>
      </c>
      <c r="B132" s="152" t="s">
        <v>343</v>
      </c>
      <c r="C132" s="23" t="s">
        <v>344</v>
      </c>
      <c r="D132" s="170">
        <v>266</v>
      </c>
      <c r="E132" s="271">
        <v>146180</v>
      </c>
      <c r="F132" s="326">
        <v>0</v>
      </c>
      <c r="G132" s="327" t="s">
        <v>153</v>
      </c>
      <c r="H132" s="271">
        <v>146180</v>
      </c>
      <c r="I132" s="326">
        <v>0</v>
      </c>
      <c r="J132" s="326">
        <v>0</v>
      </c>
      <c r="K132" s="326">
        <v>0</v>
      </c>
      <c r="L132" s="271">
        <v>146180</v>
      </c>
      <c r="M132" s="52"/>
      <c r="N132" s="160"/>
      <c r="U132" s="52"/>
    </row>
    <row r="133" spans="1:21" ht="15.75" customHeight="1" x14ac:dyDescent="0.2">
      <c r="A133" s="24" t="s">
        <v>48</v>
      </c>
      <c r="B133" s="152" t="s">
        <v>345</v>
      </c>
      <c r="C133" s="23" t="s">
        <v>346</v>
      </c>
      <c r="D133" s="170">
        <v>257</v>
      </c>
      <c r="E133" s="271">
        <v>4297</v>
      </c>
      <c r="F133" s="326">
        <v>0</v>
      </c>
      <c r="G133" s="327" t="s">
        <v>153</v>
      </c>
      <c r="H133" s="271">
        <v>4297</v>
      </c>
      <c r="I133" s="326">
        <v>0</v>
      </c>
      <c r="J133" s="326">
        <v>0</v>
      </c>
      <c r="K133" s="326">
        <v>0</v>
      </c>
      <c r="L133" s="271">
        <v>4297</v>
      </c>
      <c r="M133" s="52"/>
      <c r="N133" s="160"/>
      <c r="U133" s="52"/>
    </row>
    <row r="134" spans="1:21" ht="30" customHeight="1" x14ac:dyDescent="0.2">
      <c r="A134" s="24" t="s">
        <v>48</v>
      </c>
      <c r="B134" s="152" t="s">
        <v>347</v>
      </c>
      <c r="C134" s="23" t="s">
        <v>348</v>
      </c>
      <c r="D134" s="170">
        <v>35</v>
      </c>
      <c r="E134" s="271">
        <v>139227</v>
      </c>
      <c r="F134" s="326">
        <v>0</v>
      </c>
      <c r="G134" s="327" t="s">
        <v>153</v>
      </c>
      <c r="H134" s="271">
        <v>139227</v>
      </c>
      <c r="I134" s="326">
        <v>0</v>
      </c>
      <c r="J134" s="326">
        <v>0</v>
      </c>
      <c r="K134" s="326">
        <v>0</v>
      </c>
      <c r="L134" s="271">
        <v>139227</v>
      </c>
      <c r="M134" s="52"/>
      <c r="N134" s="160"/>
      <c r="U134" s="52"/>
    </row>
    <row r="135" spans="1:21" ht="30" customHeight="1" x14ac:dyDescent="0.2">
      <c r="A135" s="24" t="s">
        <v>48</v>
      </c>
      <c r="B135" s="152" t="s">
        <v>321</v>
      </c>
      <c r="C135" s="23" t="s">
        <v>322</v>
      </c>
      <c r="D135" s="170">
        <v>203</v>
      </c>
      <c r="E135" s="271">
        <v>3802424</v>
      </c>
      <c r="F135" s="326">
        <v>0</v>
      </c>
      <c r="G135" s="327" t="s">
        <v>153</v>
      </c>
      <c r="H135" s="271">
        <v>3802424</v>
      </c>
      <c r="I135" s="326">
        <v>0</v>
      </c>
      <c r="J135" s="326">
        <v>0</v>
      </c>
      <c r="K135" s="326">
        <v>0</v>
      </c>
      <c r="L135" s="271">
        <v>3802424</v>
      </c>
      <c r="M135" s="52"/>
      <c r="N135" s="160"/>
      <c r="U135" s="52"/>
    </row>
    <row r="136" spans="1:21" ht="30" customHeight="1" x14ac:dyDescent="0.2">
      <c r="A136" s="24" t="s">
        <v>48</v>
      </c>
      <c r="B136" s="152" t="s">
        <v>323</v>
      </c>
      <c r="C136" s="23" t="s">
        <v>324</v>
      </c>
      <c r="D136" s="170">
        <v>39</v>
      </c>
      <c r="E136" s="271">
        <v>40980</v>
      </c>
      <c r="F136" s="326">
        <v>0</v>
      </c>
      <c r="G136" s="327" t="s">
        <v>153</v>
      </c>
      <c r="H136" s="271">
        <v>40980</v>
      </c>
      <c r="I136" s="326">
        <v>0</v>
      </c>
      <c r="J136" s="326">
        <v>0</v>
      </c>
      <c r="K136" s="326">
        <v>0</v>
      </c>
      <c r="L136" s="271">
        <v>40980</v>
      </c>
      <c r="M136" s="52"/>
      <c r="N136" s="160"/>
      <c r="U136" s="52"/>
    </row>
    <row r="137" spans="1:21" ht="30" customHeight="1" x14ac:dyDescent="0.2">
      <c r="A137" s="24" t="s">
        <v>48</v>
      </c>
      <c r="B137" s="152" t="s">
        <v>325</v>
      </c>
      <c r="C137" s="23" t="s">
        <v>326</v>
      </c>
      <c r="D137" s="170">
        <v>66</v>
      </c>
      <c r="E137" s="271">
        <v>17862</v>
      </c>
      <c r="F137" s="326">
        <v>0</v>
      </c>
      <c r="G137" s="327" t="s">
        <v>153</v>
      </c>
      <c r="H137" s="271">
        <v>17862</v>
      </c>
      <c r="I137" s="326">
        <v>0</v>
      </c>
      <c r="J137" s="326">
        <v>0</v>
      </c>
      <c r="K137" s="326">
        <v>0</v>
      </c>
      <c r="L137" s="271">
        <v>17862</v>
      </c>
      <c r="M137" s="52"/>
      <c r="N137" s="160"/>
      <c r="U137" s="52"/>
    </row>
    <row r="138" spans="1:21" ht="15.75" customHeight="1" x14ac:dyDescent="0.2">
      <c r="A138" s="24" t="s">
        <v>48</v>
      </c>
      <c r="B138" s="152" t="s">
        <v>327</v>
      </c>
      <c r="C138" s="23" t="s">
        <v>328</v>
      </c>
      <c r="D138" s="170">
        <v>200</v>
      </c>
      <c r="E138" s="271">
        <v>2749480</v>
      </c>
      <c r="F138" s="326">
        <v>0</v>
      </c>
      <c r="G138" s="327" t="s">
        <v>153</v>
      </c>
      <c r="H138" s="271">
        <v>2749480</v>
      </c>
      <c r="I138" s="326">
        <v>0</v>
      </c>
      <c r="J138" s="326">
        <v>0</v>
      </c>
      <c r="K138" s="326">
        <v>0</v>
      </c>
      <c r="L138" s="271">
        <v>2749480</v>
      </c>
      <c r="M138" s="52"/>
      <c r="N138" s="160"/>
      <c r="U138" s="52"/>
    </row>
    <row r="139" spans="1:21" ht="15" customHeight="1" x14ac:dyDescent="0.2">
      <c r="A139" s="24" t="s">
        <v>48</v>
      </c>
      <c r="B139" s="152" t="s">
        <v>293</v>
      </c>
      <c r="C139" s="23" t="s">
        <v>294</v>
      </c>
      <c r="D139" s="170">
        <v>219</v>
      </c>
      <c r="E139" s="271">
        <v>15673543</v>
      </c>
      <c r="F139" s="326">
        <v>0</v>
      </c>
      <c r="G139" s="327" t="s">
        <v>153</v>
      </c>
      <c r="H139" s="271">
        <v>15673543</v>
      </c>
      <c r="I139" s="326">
        <v>0</v>
      </c>
      <c r="J139" s="326">
        <v>0</v>
      </c>
      <c r="K139" s="326">
        <v>0</v>
      </c>
      <c r="L139" s="271">
        <v>15673543</v>
      </c>
      <c r="M139" s="52"/>
      <c r="N139" s="160"/>
      <c r="U139" s="52"/>
    </row>
    <row r="140" spans="1:21" ht="30" customHeight="1" x14ac:dyDescent="0.2">
      <c r="A140" s="24" t="s">
        <v>48</v>
      </c>
      <c r="B140" s="152" t="s">
        <v>329</v>
      </c>
      <c r="C140" s="23" t="s">
        <v>330</v>
      </c>
      <c r="D140" s="170">
        <v>122</v>
      </c>
      <c r="E140" s="271">
        <v>64851</v>
      </c>
      <c r="F140" s="326">
        <v>0</v>
      </c>
      <c r="G140" s="327" t="s">
        <v>153</v>
      </c>
      <c r="H140" s="271">
        <v>64851</v>
      </c>
      <c r="I140" s="326">
        <v>0</v>
      </c>
      <c r="J140" s="326">
        <v>0</v>
      </c>
      <c r="K140" s="326">
        <v>0</v>
      </c>
      <c r="L140" s="271">
        <v>64851</v>
      </c>
      <c r="M140" s="52"/>
      <c r="N140" s="160"/>
      <c r="U140" s="52"/>
    </row>
    <row r="141" spans="1:21" ht="15" customHeight="1" x14ac:dyDescent="0.2">
      <c r="A141" s="24" t="s">
        <v>48</v>
      </c>
      <c r="B141" s="152" t="s">
        <v>275</v>
      </c>
      <c r="C141" s="23" t="s">
        <v>276</v>
      </c>
      <c r="D141" s="170">
        <v>187</v>
      </c>
      <c r="E141" s="271">
        <v>6438488</v>
      </c>
      <c r="F141" s="326">
        <v>0</v>
      </c>
      <c r="G141" s="327" t="s">
        <v>153</v>
      </c>
      <c r="H141" s="271">
        <v>6438488</v>
      </c>
      <c r="I141" s="326">
        <v>0</v>
      </c>
      <c r="J141" s="326">
        <v>0</v>
      </c>
      <c r="K141" s="326">
        <v>0</v>
      </c>
      <c r="L141" s="271">
        <v>6438488</v>
      </c>
      <c r="M141" s="52"/>
      <c r="N141" s="160"/>
      <c r="U141" s="52"/>
    </row>
    <row r="142" spans="1:21" ht="15.75" customHeight="1" x14ac:dyDescent="0.2">
      <c r="A142" s="24" t="s">
        <v>48</v>
      </c>
      <c r="B142" s="152" t="s">
        <v>331</v>
      </c>
      <c r="C142" s="23" t="s">
        <v>332</v>
      </c>
      <c r="D142" s="170">
        <v>124</v>
      </c>
      <c r="E142" s="271">
        <v>1009278</v>
      </c>
      <c r="F142" s="326">
        <v>0</v>
      </c>
      <c r="G142" s="327" t="s">
        <v>153</v>
      </c>
      <c r="H142" s="271">
        <v>1009278</v>
      </c>
      <c r="I142" s="326">
        <v>0</v>
      </c>
      <c r="J142" s="326">
        <v>0</v>
      </c>
      <c r="K142" s="326">
        <v>0</v>
      </c>
      <c r="L142" s="271">
        <v>1009278</v>
      </c>
      <c r="M142" s="52"/>
      <c r="N142" s="160"/>
      <c r="U142" s="52"/>
    </row>
    <row r="143" spans="1:21" ht="15.75" customHeight="1" x14ac:dyDescent="0.2">
      <c r="A143" s="24" t="s">
        <v>48</v>
      </c>
      <c r="B143" s="152" t="s">
        <v>335</v>
      </c>
      <c r="C143" s="23" t="s">
        <v>336</v>
      </c>
      <c r="D143" s="170">
        <v>215</v>
      </c>
      <c r="E143" s="271">
        <v>112982</v>
      </c>
      <c r="F143" s="326">
        <v>0</v>
      </c>
      <c r="G143" s="327" t="s">
        <v>153</v>
      </c>
      <c r="H143" s="271">
        <v>112982</v>
      </c>
      <c r="I143" s="326">
        <v>0</v>
      </c>
      <c r="J143" s="326">
        <v>0</v>
      </c>
      <c r="K143" s="326">
        <v>0</v>
      </c>
      <c r="L143" s="271">
        <v>112982</v>
      </c>
      <c r="M143" s="52"/>
      <c r="N143" s="160"/>
      <c r="U143" s="52"/>
    </row>
    <row r="144" spans="1:21" ht="15" customHeight="1" x14ac:dyDescent="0.2">
      <c r="A144" s="24" t="s">
        <v>48</v>
      </c>
      <c r="B144" s="152" t="s">
        <v>337</v>
      </c>
      <c r="C144" s="23" t="s">
        <v>338</v>
      </c>
      <c r="D144" s="170">
        <v>279</v>
      </c>
      <c r="E144" s="271">
        <v>142458</v>
      </c>
      <c r="F144" s="326">
        <v>0</v>
      </c>
      <c r="G144" s="327" t="s">
        <v>153</v>
      </c>
      <c r="H144" s="271">
        <v>142458</v>
      </c>
      <c r="I144" s="326">
        <v>0</v>
      </c>
      <c r="J144" s="326">
        <v>0</v>
      </c>
      <c r="K144" s="326">
        <v>0</v>
      </c>
      <c r="L144" s="271">
        <v>142458</v>
      </c>
      <c r="M144" s="52"/>
      <c r="N144" s="160"/>
      <c r="U144" s="52"/>
    </row>
    <row r="145" spans="1:21" ht="30" customHeight="1" x14ac:dyDescent="0.2">
      <c r="A145" s="24" t="s">
        <v>48</v>
      </c>
      <c r="B145" s="152" t="s">
        <v>349</v>
      </c>
      <c r="C145" s="23" t="s">
        <v>350</v>
      </c>
      <c r="D145" s="170">
        <v>255</v>
      </c>
      <c r="E145" s="271">
        <v>1122</v>
      </c>
      <c r="F145" s="326">
        <v>0</v>
      </c>
      <c r="G145" s="327" t="s">
        <v>153</v>
      </c>
      <c r="H145" s="271">
        <v>1122</v>
      </c>
      <c r="I145" s="326">
        <v>0</v>
      </c>
      <c r="J145" s="326">
        <v>0</v>
      </c>
      <c r="K145" s="326">
        <v>0</v>
      </c>
      <c r="L145" s="271">
        <v>1122</v>
      </c>
      <c r="M145" s="52"/>
      <c r="N145" s="160"/>
      <c r="U145" s="52"/>
    </row>
    <row r="146" spans="1:21" ht="15.75" customHeight="1" x14ac:dyDescent="0.2">
      <c r="A146" s="24" t="s">
        <v>48</v>
      </c>
      <c r="B146" s="152" t="s">
        <v>339</v>
      </c>
      <c r="C146" s="23" t="s">
        <v>340</v>
      </c>
      <c r="D146" s="170">
        <v>73</v>
      </c>
      <c r="E146" s="271">
        <v>699803</v>
      </c>
      <c r="F146" s="326">
        <v>0</v>
      </c>
      <c r="G146" s="327" t="s">
        <v>153</v>
      </c>
      <c r="H146" s="271">
        <v>699803</v>
      </c>
      <c r="I146" s="326">
        <v>0</v>
      </c>
      <c r="J146" s="326">
        <v>0</v>
      </c>
      <c r="K146" s="326">
        <v>0</v>
      </c>
      <c r="L146" s="271">
        <v>699803</v>
      </c>
      <c r="M146" s="52"/>
      <c r="N146" s="160"/>
      <c r="U146" s="52"/>
    </row>
    <row r="147" spans="1:21" ht="30" customHeight="1" x14ac:dyDescent="0.2">
      <c r="A147" s="24" t="s">
        <v>48</v>
      </c>
      <c r="B147" s="152" t="s">
        <v>351</v>
      </c>
      <c r="C147" s="23" t="s">
        <v>352</v>
      </c>
      <c r="D147" s="170">
        <v>18</v>
      </c>
      <c r="E147" s="271">
        <v>195373</v>
      </c>
      <c r="F147" s="326">
        <v>0</v>
      </c>
      <c r="G147" s="327" t="s">
        <v>153</v>
      </c>
      <c r="H147" s="271">
        <v>195373</v>
      </c>
      <c r="I147" s="326">
        <v>0</v>
      </c>
      <c r="J147" s="326">
        <v>0</v>
      </c>
      <c r="K147" s="326">
        <v>0</v>
      </c>
      <c r="L147" s="271">
        <v>195373</v>
      </c>
      <c r="M147" s="52"/>
      <c r="N147" s="160"/>
      <c r="U147" s="52"/>
    </row>
    <row r="148" spans="1:21" ht="15.75" customHeight="1" x14ac:dyDescent="0.2">
      <c r="A148" s="24" t="s">
        <v>48</v>
      </c>
      <c r="B148" s="152" t="s">
        <v>341</v>
      </c>
      <c r="C148" s="23" t="s">
        <v>342</v>
      </c>
      <c r="D148" s="170">
        <v>120</v>
      </c>
      <c r="E148" s="271">
        <v>551742</v>
      </c>
      <c r="F148" s="326">
        <v>0</v>
      </c>
      <c r="G148" s="327" t="s">
        <v>153</v>
      </c>
      <c r="H148" s="271">
        <v>551742</v>
      </c>
      <c r="I148" s="326">
        <v>0</v>
      </c>
      <c r="J148" s="326">
        <v>0</v>
      </c>
      <c r="K148" s="326">
        <v>0</v>
      </c>
      <c r="L148" s="271">
        <v>551742</v>
      </c>
      <c r="M148" s="52"/>
      <c r="N148" s="160"/>
      <c r="U148" s="52"/>
    </row>
    <row r="149" spans="1:21" ht="15.75" customHeight="1" x14ac:dyDescent="0.25">
      <c r="A149" s="159" t="s">
        <v>385</v>
      </c>
      <c r="B149" s="172" t="s">
        <v>153</v>
      </c>
      <c r="C149" s="166" t="s">
        <v>153</v>
      </c>
      <c r="D149" s="166" t="s">
        <v>153</v>
      </c>
      <c r="E149" s="329">
        <f>SUBTOTAL(109,local200809[Program
Costs])</f>
        <v>54423390</v>
      </c>
      <c r="F149" s="329">
        <f>SUBTOTAL(109,local200809[Less: Net 
Payments
 and Offsets 1])</f>
        <v>1558731</v>
      </c>
      <c r="G149" s="330" t="s">
        <v>153</v>
      </c>
      <c r="H149" s="329">
        <f>SUBTOTAL(109,local200809[Accounts Payable
Balance])</f>
        <v>52864659</v>
      </c>
      <c r="I149" s="329">
        <f>SUBTOTAL(109,local200809[Established
Accounts Receivable])</f>
        <v>7837</v>
      </c>
      <c r="J149" s="333">
        <f>SUBTOTAL(109,local200809[Less: 
Recovered 
Amount])</f>
        <v>0</v>
      </c>
      <c r="K149" s="329">
        <f>SUBTOTAL(109,local200809[Accounts Receivable
Balance])</f>
        <v>7837</v>
      </c>
      <c r="L149" s="329">
        <f>SUBTOTAL(109,local200809[Net
Balance])</f>
        <v>52856822</v>
      </c>
      <c r="M149" s="52"/>
      <c r="N149" s="160"/>
      <c r="U149" s="52"/>
    </row>
    <row r="150" spans="1:21" ht="15.75" customHeight="1" x14ac:dyDescent="0.25">
      <c r="A150" s="146" t="s">
        <v>181</v>
      </c>
    </row>
    <row r="151" spans="1:21" ht="50.1" customHeight="1" x14ac:dyDescent="0.25">
      <c r="A151" s="28" t="s">
        <v>221</v>
      </c>
      <c r="B151" s="28" t="s">
        <v>268</v>
      </c>
      <c r="C151" s="28" t="s">
        <v>2</v>
      </c>
      <c r="D151" s="169" t="s">
        <v>280</v>
      </c>
      <c r="E151" s="155" t="s">
        <v>223</v>
      </c>
      <c r="F151" s="28" t="s">
        <v>281</v>
      </c>
      <c r="G151" s="154" t="s">
        <v>176</v>
      </c>
      <c r="H151" s="156" t="s">
        <v>270</v>
      </c>
      <c r="I151" s="156" t="s">
        <v>271</v>
      </c>
      <c r="J151" s="156" t="s">
        <v>282</v>
      </c>
      <c r="K151" s="156" t="s">
        <v>272</v>
      </c>
      <c r="L151" s="156" t="s">
        <v>273</v>
      </c>
      <c r="M151" s="52"/>
      <c r="N151" s="160"/>
      <c r="U151" s="52"/>
    </row>
    <row r="152" spans="1:21" ht="15.75" customHeight="1" x14ac:dyDescent="0.2">
      <c r="A152" s="24" t="s">
        <v>353</v>
      </c>
      <c r="B152" s="152" t="s">
        <v>309</v>
      </c>
      <c r="C152" s="23" t="s">
        <v>310</v>
      </c>
      <c r="D152" s="170">
        <v>213</v>
      </c>
      <c r="E152" s="271">
        <v>18220419</v>
      </c>
      <c r="F152" s="326">
        <v>0</v>
      </c>
      <c r="G152" s="327" t="s">
        <v>153</v>
      </c>
      <c r="H152" s="271">
        <v>18220419</v>
      </c>
      <c r="I152" s="326">
        <v>0</v>
      </c>
      <c r="J152" s="326">
        <v>0</v>
      </c>
      <c r="K152" s="326">
        <v>0</v>
      </c>
      <c r="L152" s="271">
        <v>18220419</v>
      </c>
      <c r="M152" s="52"/>
      <c r="N152" s="160"/>
      <c r="U152" s="52"/>
    </row>
    <row r="153" spans="1:21" ht="15.75" customHeight="1" x14ac:dyDescent="0.2">
      <c r="A153" s="24" t="s">
        <v>353</v>
      </c>
      <c r="B153" s="152" t="s">
        <v>301</v>
      </c>
      <c r="C153" s="23" t="s">
        <v>302</v>
      </c>
      <c r="D153" s="170">
        <v>353</v>
      </c>
      <c r="E153" s="271">
        <v>1228961</v>
      </c>
      <c r="F153" s="271">
        <v>1228961</v>
      </c>
      <c r="G153" s="327" t="s">
        <v>153</v>
      </c>
      <c r="H153" s="326">
        <v>0</v>
      </c>
      <c r="I153" s="271">
        <v>6821</v>
      </c>
      <c r="J153" s="326">
        <v>0</v>
      </c>
      <c r="K153" s="271">
        <v>6821</v>
      </c>
      <c r="L153" s="271">
        <v>-6821</v>
      </c>
      <c r="M153" s="52"/>
      <c r="N153" s="160"/>
      <c r="U153" s="52"/>
    </row>
    <row r="154" spans="1:21" ht="30" customHeight="1" x14ac:dyDescent="0.2">
      <c r="A154" s="24" t="s">
        <v>353</v>
      </c>
      <c r="B154" s="152" t="s">
        <v>311</v>
      </c>
      <c r="C154" s="23" t="s">
        <v>312</v>
      </c>
      <c r="D154" s="170">
        <v>67</v>
      </c>
      <c r="E154" s="271">
        <v>164218</v>
      </c>
      <c r="F154" s="326">
        <v>0</v>
      </c>
      <c r="G154" s="327" t="s">
        <v>153</v>
      </c>
      <c r="H154" s="271">
        <v>164218</v>
      </c>
      <c r="I154" s="326">
        <v>0</v>
      </c>
      <c r="J154" s="326">
        <v>0</v>
      </c>
      <c r="K154" s="326">
        <v>0</v>
      </c>
      <c r="L154" s="271">
        <v>164218</v>
      </c>
      <c r="M154" s="52"/>
      <c r="N154" s="160"/>
      <c r="U154" s="52"/>
    </row>
    <row r="155" spans="1:21" ht="15.75" customHeight="1" x14ac:dyDescent="0.2">
      <c r="A155" s="24" t="s">
        <v>353</v>
      </c>
      <c r="B155" s="152" t="s">
        <v>313</v>
      </c>
      <c r="C155" s="23" t="s">
        <v>314</v>
      </c>
      <c r="D155" s="170">
        <v>88</v>
      </c>
      <c r="E155" s="271">
        <v>99582</v>
      </c>
      <c r="F155" s="326">
        <v>0</v>
      </c>
      <c r="G155" s="327" t="s">
        <v>153</v>
      </c>
      <c r="H155" s="271">
        <v>99582</v>
      </c>
      <c r="I155" s="326">
        <v>0</v>
      </c>
      <c r="J155" s="326">
        <v>0</v>
      </c>
      <c r="K155" s="326">
        <v>0</v>
      </c>
      <c r="L155" s="271">
        <v>99582</v>
      </c>
      <c r="M155" s="52"/>
      <c r="N155" s="160"/>
      <c r="U155" s="52"/>
    </row>
    <row r="156" spans="1:21" ht="15.75" customHeight="1" x14ac:dyDescent="0.2">
      <c r="A156" s="24" t="s">
        <v>353</v>
      </c>
      <c r="B156" s="152" t="s">
        <v>315</v>
      </c>
      <c r="C156" s="23" t="s">
        <v>316</v>
      </c>
      <c r="D156" s="170">
        <v>158</v>
      </c>
      <c r="E156" s="271">
        <v>321041</v>
      </c>
      <c r="F156" s="326">
        <v>0</v>
      </c>
      <c r="G156" s="327" t="s">
        <v>153</v>
      </c>
      <c r="H156" s="271">
        <v>321041</v>
      </c>
      <c r="I156" s="326">
        <v>0</v>
      </c>
      <c r="J156" s="326">
        <v>0</v>
      </c>
      <c r="K156" s="326">
        <v>0</v>
      </c>
      <c r="L156" s="271">
        <v>321041</v>
      </c>
      <c r="M156" s="52"/>
      <c r="N156" s="160"/>
      <c r="U156" s="52"/>
    </row>
    <row r="157" spans="1:21" ht="30" customHeight="1" x14ac:dyDescent="0.2">
      <c r="A157" s="24" t="s">
        <v>353</v>
      </c>
      <c r="B157" s="152" t="s">
        <v>317</v>
      </c>
      <c r="C157" s="23" t="s">
        <v>318</v>
      </c>
      <c r="D157" s="170">
        <v>87</v>
      </c>
      <c r="E157" s="271">
        <v>593232</v>
      </c>
      <c r="F157" s="326">
        <v>0</v>
      </c>
      <c r="G157" s="327" t="s">
        <v>153</v>
      </c>
      <c r="H157" s="271">
        <v>593232</v>
      </c>
      <c r="I157" s="326">
        <v>0</v>
      </c>
      <c r="J157" s="326">
        <v>0</v>
      </c>
      <c r="K157" s="326">
        <v>0</v>
      </c>
      <c r="L157" s="271">
        <v>593232</v>
      </c>
      <c r="M157" s="52"/>
      <c r="N157" s="160"/>
      <c r="U157" s="52"/>
    </row>
    <row r="158" spans="1:21" ht="15.75" customHeight="1" x14ac:dyDescent="0.2">
      <c r="A158" s="24" t="s">
        <v>353</v>
      </c>
      <c r="B158" s="152" t="s">
        <v>343</v>
      </c>
      <c r="C158" s="23" t="s">
        <v>344</v>
      </c>
      <c r="D158" s="170">
        <v>266</v>
      </c>
      <c r="E158" s="271">
        <v>163634</v>
      </c>
      <c r="F158" s="326">
        <v>0</v>
      </c>
      <c r="G158" s="327" t="s">
        <v>153</v>
      </c>
      <c r="H158" s="271">
        <v>163634</v>
      </c>
      <c r="I158" s="326">
        <v>0</v>
      </c>
      <c r="J158" s="326">
        <v>0</v>
      </c>
      <c r="K158" s="326">
        <v>0</v>
      </c>
      <c r="L158" s="271">
        <v>163634</v>
      </c>
      <c r="M158" s="52"/>
      <c r="N158" s="160"/>
      <c r="U158" s="52"/>
    </row>
    <row r="159" spans="1:21" ht="15.75" customHeight="1" x14ac:dyDescent="0.2">
      <c r="A159" s="24" t="s">
        <v>353</v>
      </c>
      <c r="B159" s="152" t="s">
        <v>345</v>
      </c>
      <c r="C159" s="23" t="s">
        <v>346</v>
      </c>
      <c r="D159" s="170">
        <v>257</v>
      </c>
      <c r="E159" s="271">
        <v>5788</v>
      </c>
      <c r="F159" s="326">
        <v>0</v>
      </c>
      <c r="G159" s="327" t="s">
        <v>153</v>
      </c>
      <c r="H159" s="271">
        <v>5788</v>
      </c>
      <c r="I159" s="326">
        <v>0</v>
      </c>
      <c r="J159" s="326">
        <v>0</v>
      </c>
      <c r="K159" s="326">
        <v>0</v>
      </c>
      <c r="L159" s="271">
        <v>5788</v>
      </c>
      <c r="M159" s="52"/>
      <c r="N159" s="160"/>
      <c r="U159" s="52"/>
    </row>
    <row r="160" spans="1:21" ht="15.75" customHeight="1" x14ac:dyDescent="0.2">
      <c r="A160" s="24" t="s">
        <v>353</v>
      </c>
      <c r="B160" s="152" t="s">
        <v>354</v>
      </c>
      <c r="C160" s="23" t="s">
        <v>355</v>
      </c>
      <c r="D160" s="170">
        <v>23</v>
      </c>
      <c r="E160" s="271">
        <v>5861791</v>
      </c>
      <c r="F160" s="326">
        <v>0</v>
      </c>
      <c r="G160" s="327" t="s">
        <v>153</v>
      </c>
      <c r="H160" s="271">
        <v>5861791</v>
      </c>
      <c r="I160" s="326">
        <v>0</v>
      </c>
      <c r="J160" s="326">
        <v>0</v>
      </c>
      <c r="K160" s="326">
        <v>0</v>
      </c>
      <c r="L160" s="271">
        <v>5861791</v>
      </c>
      <c r="M160" s="52"/>
      <c r="N160" s="160"/>
      <c r="U160" s="52"/>
    </row>
    <row r="161" spans="1:21" ht="30" customHeight="1" x14ac:dyDescent="0.2">
      <c r="A161" s="24" t="s">
        <v>353</v>
      </c>
      <c r="B161" s="152" t="s">
        <v>347</v>
      </c>
      <c r="C161" s="23" t="s">
        <v>348</v>
      </c>
      <c r="D161" s="170">
        <v>35</v>
      </c>
      <c r="E161" s="271">
        <v>134655</v>
      </c>
      <c r="F161" s="326">
        <v>0</v>
      </c>
      <c r="G161" s="327" t="s">
        <v>153</v>
      </c>
      <c r="H161" s="271">
        <v>134655</v>
      </c>
      <c r="I161" s="326">
        <v>0</v>
      </c>
      <c r="J161" s="326">
        <v>0</v>
      </c>
      <c r="K161" s="326">
        <v>0</v>
      </c>
      <c r="L161" s="271">
        <v>134655</v>
      </c>
      <c r="M161" s="52"/>
      <c r="N161" s="160"/>
      <c r="U161" s="52"/>
    </row>
    <row r="162" spans="1:21" ht="30" customHeight="1" x14ac:dyDescent="0.2">
      <c r="A162" s="24" t="s">
        <v>353</v>
      </c>
      <c r="B162" s="152" t="s">
        <v>319</v>
      </c>
      <c r="C162" s="23" t="s">
        <v>320</v>
      </c>
      <c r="D162" s="170">
        <v>300</v>
      </c>
      <c r="E162" s="271">
        <v>9133</v>
      </c>
      <c r="F162" s="271">
        <v>5761</v>
      </c>
      <c r="G162" s="327" t="s">
        <v>153</v>
      </c>
      <c r="H162" s="271">
        <v>3372</v>
      </c>
      <c r="I162" s="326">
        <v>0</v>
      </c>
      <c r="J162" s="326">
        <v>0</v>
      </c>
      <c r="K162" s="326">
        <v>0</v>
      </c>
      <c r="L162" s="271">
        <v>3372</v>
      </c>
      <c r="M162" s="52"/>
      <c r="N162" s="160"/>
      <c r="U162" s="52"/>
    </row>
    <row r="163" spans="1:21" ht="30" customHeight="1" x14ac:dyDescent="0.2">
      <c r="A163" s="24" t="s">
        <v>353</v>
      </c>
      <c r="B163" s="152" t="s">
        <v>321</v>
      </c>
      <c r="C163" s="23" t="s">
        <v>322</v>
      </c>
      <c r="D163" s="170">
        <v>203</v>
      </c>
      <c r="E163" s="271">
        <v>3146513</v>
      </c>
      <c r="F163" s="326">
        <v>0</v>
      </c>
      <c r="G163" s="327" t="s">
        <v>153</v>
      </c>
      <c r="H163" s="271">
        <v>3146513</v>
      </c>
      <c r="I163" s="326">
        <v>0</v>
      </c>
      <c r="J163" s="326">
        <v>0</v>
      </c>
      <c r="K163" s="326">
        <v>0</v>
      </c>
      <c r="L163" s="271">
        <v>3146513</v>
      </c>
      <c r="M163" s="52"/>
      <c r="N163" s="160"/>
      <c r="U163" s="52"/>
    </row>
    <row r="164" spans="1:21" ht="30" customHeight="1" x14ac:dyDescent="0.2">
      <c r="A164" s="24" t="s">
        <v>353</v>
      </c>
      <c r="B164" s="152" t="s">
        <v>323</v>
      </c>
      <c r="C164" s="23" t="s">
        <v>324</v>
      </c>
      <c r="D164" s="170">
        <v>39</v>
      </c>
      <c r="E164" s="271">
        <v>295550</v>
      </c>
      <c r="F164" s="326">
        <v>0</v>
      </c>
      <c r="G164" s="327" t="s">
        <v>153</v>
      </c>
      <c r="H164" s="271">
        <v>295550</v>
      </c>
      <c r="I164" s="326">
        <v>0</v>
      </c>
      <c r="J164" s="326">
        <v>0</v>
      </c>
      <c r="K164" s="326">
        <v>0</v>
      </c>
      <c r="L164" s="271">
        <v>295550</v>
      </c>
      <c r="M164" s="52"/>
      <c r="N164" s="160"/>
      <c r="U164" s="52"/>
    </row>
    <row r="165" spans="1:21" ht="30" customHeight="1" x14ac:dyDescent="0.2">
      <c r="A165" s="24" t="s">
        <v>353</v>
      </c>
      <c r="B165" s="152" t="s">
        <v>325</v>
      </c>
      <c r="C165" s="23" t="s">
        <v>326</v>
      </c>
      <c r="D165" s="170">
        <v>66</v>
      </c>
      <c r="E165" s="271">
        <v>16698</v>
      </c>
      <c r="F165" s="326">
        <v>0</v>
      </c>
      <c r="G165" s="327" t="s">
        <v>153</v>
      </c>
      <c r="H165" s="271">
        <v>16698</v>
      </c>
      <c r="I165" s="326">
        <v>0</v>
      </c>
      <c r="J165" s="326">
        <v>0</v>
      </c>
      <c r="K165" s="326">
        <v>0</v>
      </c>
      <c r="L165" s="271">
        <v>16698</v>
      </c>
      <c r="M165" s="52"/>
      <c r="N165" s="160"/>
      <c r="U165" s="52"/>
    </row>
    <row r="166" spans="1:21" ht="15.75" customHeight="1" x14ac:dyDescent="0.2">
      <c r="A166" s="24" t="s">
        <v>353</v>
      </c>
      <c r="B166" s="152" t="s">
        <v>327</v>
      </c>
      <c r="C166" s="23" t="s">
        <v>328</v>
      </c>
      <c r="D166" s="170">
        <v>200</v>
      </c>
      <c r="E166" s="271">
        <v>2338247</v>
      </c>
      <c r="F166" s="326">
        <v>0</v>
      </c>
      <c r="G166" s="327" t="s">
        <v>153</v>
      </c>
      <c r="H166" s="271">
        <v>2338247</v>
      </c>
      <c r="I166" s="326">
        <v>0</v>
      </c>
      <c r="J166" s="326">
        <v>0</v>
      </c>
      <c r="K166" s="326">
        <v>0</v>
      </c>
      <c r="L166" s="271">
        <v>2338247</v>
      </c>
      <c r="M166" s="52"/>
      <c r="N166" s="160"/>
      <c r="U166" s="52"/>
    </row>
    <row r="167" spans="1:21" ht="15" customHeight="1" x14ac:dyDescent="0.2">
      <c r="A167" s="24" t="s">
        <v>353</v>
      </c>
      <c r="B167" s="152" t="s">
        <v>293</v>
      </c>
      <c r="C167" s="23" t="s">
        <v>294</v>
      </c>
      <c r="D167" s="170">
        <v>219</v>
      </c>
      <c r="E167" s="271">
        <v>15618922</v>
      </c>
      <c r="F167" s="326">
        <v>0</v>
      </c>
      <c r="G167" s="327" t="s">
        <v>153</v>
      </c>
      <c r="H167" s="271">
        <v>15618922</v>
      </c>
      <c r="I167" s="326">
        <v>0</v>
      </c>
      <c r="J167" s="326">
        <v>0</v>
      </c>
      <c r="K167" s="326">
        <v>0</v>
      </c>
      <c r="L167" s="271">
        <v>15618922</v>
      </c>
      <c r="M167" s="52"/>
      <c r="N167" s="160"/>
      <c r="U167" s="52"/>
    </row>
    <row r="168" spans="1:21" ht="30" customHeight="1" x14ac:dyDescent="0.2">
      <c r="A168" s="24" t="s">
        <v>353</v>
      </c>
      <c r="B168" s="152" t="s">
        <v>329</v>
      </c>
      <c r="C168" s="23" t="s">
        <v>330</v>
      </c>
      <c r="D168" s="170">
        <v>122</v>
      </c>
      <c r="E168" s="271">
        <v>277610</v>
      </c>
      <c r="F168" s="326">
        <v>0</v>
      </c>
      <c r="G168" s="327" t="s">
        <v>153</v>
      </c>
      <c r="H168" s="271">
        <v>277610</v>
      </c>
      <c r="I168" s="326">
        <v>0</v>
      </c>
      <c r="J168" s="326">
        <v>0</v>
      </c>
      <c r="K168" s="326">
        <v>0</v>
      </c>
      <c r="L168" s="271">
        <v>277610</v>
      </c>
      <c r="M168" s="52"/>
      <c r="N168" s="160"/>
      <c r="U168" s="52"/>
    </row>
    <row r="169" spans="1:21" ht="15.75" customHeight="1" x14ac:dyDescent="0.2">
      <c r="A169" s="24" t="s">
        <v>353</v>
      </c>
      <c r="B169" s="152" t="s">
        <v>356</v>
      </c>
      <c r="C169" s="23" t="s">
        <v>357</v>
      </c>
      <c r="D169" s="170">
        <v>118</v>
      </c>
      <c r="E169" s="271">
        <v>4797410</v>
      </c>
      <c r="F169" s="326">
        <v>0</v>
      </c>
      <c r="G169" s="327" t="s">
        <v>153</v>
      </c>
      <c r="H169" s="271">
        <v>4797410</v>
      </c>
      <c r="I169" s="326">
        <v>0</v>
      </c>
      <c r="J169" s="326">
        <v>0</v>
      </c>
      <c r="K169" s="326">
        <v>0</v>
      </c>
      <c r="L169" s="271">
        <v>4797410</v>
      </c>
      <c r="M169" s="52"/>
      <c r="N169" s="160"/>
      <c r="U169" s="52"/>
    </row>
    <row r="170" spans="1:21" ht="15" customHeight="1" x14ac:dyDescent="0.2">
      <c r="A170" s="24" t="s">
        <v>353</v>
      </c>
      <c r="B170" s="152" t="s">
        <v>275</v>
      </c>
      <c r="C170" s="23" t="s">
        <v>276</v>
      </c>
      <c r="D170" s="170">
        <v>187</v>
      </c>
      <c r="E170" s="271">
        <v>9211360</v>
      </c>
      <c r="F170" s="326">
        <v>0</v>
      </c>
      <c r="G170" s="327" t="s">
        <v>153</v>
      </c>
      <c r="H170" s="271">
        <v>9211360</v>
      </c>
      <c r="I170" s="326">
        <v>0</v>
      </c>
      <c r="J170" s="326">
        <v>0</v>
      </c>
      <c r="K170" s="326">
        <v>0</v>
      </c>
      <c r="L170" s="271">
        <v>9211360</v>
      </c>
      <c r="M170" s="52"/>
      <c r="N170" s="160"/>
      <c r="U170" s="52"/>
    </row>
    <row r="171" spans="1:21" ht="15.75" customHeight="1" x14ac:dyDescent="0.2">
      <c r="A171" s="24" t="s">
        <v>353</v>
      </c>
      <c r="B171" s="152" t="s">
        <v>331</v>
      </c>
      <c r="C171" s="23" t="s">
        <v>332</v>
      </c>
      <c r="D171" s="170">
        <v>124</v>
      </c>
      <c r="E171" s="271">
        <v>1280819</v>
      </c>
      <c r="F171" s="326">
        <v>0</v>
      </c>
      <c r="G171" s="327" t="s">
        <v>153</v>
      </c>
      <c r="H171" s="271">
        <v>1280819</v>
      </c>
      <c r="I171" s="326">
        <v>0</v>
      </c>
      <c r="J171" s="326">
        <v>0</v>
      </c>
      <c r="K171" s="326">
        <v>0</v>
      </c>
      <c r="L171" s="271">
        <v>1280819</v>
      </c>
      <c r="M171" s="52"/>
      <c r="N171" s="160"/>
      <c r="U171" s="52"/>
    </row>
    <row r="172" spans="1:21" ht="15.75" customHeight="1" x14ac:dyDescent="0.2">
      <c r="A172" s="24" t="s">
        <v>353</v>
      </c>
      <c r="B172" s="152" t="s">
        <v>335</v>
      </c>
      <c r="C172" s="23" t="s">
        <v>336</v>
      </c>
      <c r="D172" s="170">
        <v>215</v>
      </c>
      <c r="E172" s="271">
        <v>163955</v>
      </c>
      <c r="F172" s="326">
        <v>0</v>
      </c>
      <c r="G172" s="327" t="s">
        <v>153</v>
      </c>
      <c r="H172" s="271">
        <v>163955</v>
      </c>
      <c r="I172" s="326">
        <v>0</v>
      </c>
      <c r="J172" s="326">
        <v>0</v>
      </c>
      <c r="K172" s="326">
        <v>0</v>
      </c>
      <c r="L172" s="271">
        <v>163955</v>
      </c>
      <c r="M172" s="52"/>
      <c r="N172" s="160"/>
      <c r="U172" s="52"/>
    </row>
    <row r="173" spans="1:21" ht="15" customHeight="1" x14ac:dyDescent="0.2">
      <c r="A173" s="24" t="s">
        <v>353</v>
      </c>
      <c r="B173" s="152" t="s">
        <v>337</v>
      </c>
      <c r="C173" s="23" t="s">
        <v>338</v>
      </c>
      <c r="D173" s="170">
        <v>279</v>
      </c>
      <c r="E173" s="271">
        <v>123677</v>
      </c>
      <c r="F173" s="326">
        <v>0</v>
      </c>
      <c r="G173" s="327" t="s">
        <v>153</v>
      </c>
      <c r="H173" s="271">
        <v>123677</v>
      </c>
      <c r="I173" s="326">
        <v>0</v>
      </c>
      <c r="J173" s="326">
        <v>0</v>
      </c>
      <c r="K173" s="326">
        <v>0</v>
      </c>
      <c r="L173" s="271">
        <v>123677</v>
      </c>
      <c r="M173" s="52"/>
      <c r="N173" s="160"/>
      <c r="U173" s="52"/>
    </row>
    <row r="174" spans="1:21" ht="30" customHeight="1" x14ac:dyDescent="0.2">
      <c r="A174" s="24" t="s">
        <v>353</v>
      </c>
      <c r="B174" s="152" t="s">
        <v>349</v>
      </c>
      <c r="C174" s="23" t="s">
        <v>350</v>
      </c>
      <c r="D174" s="170">
        <v>255</v>
      </c>
      <c r="E174" s="271">
        <v>4338</v>
      </c>
      <c r="F174" s="326">
        <v>0</v>
      </c>
      <c r="G174" s="327" t="s">
        <v>153</v>
      </c>
      <c r="H174" s="271">
        <v>4338</v>
      </c>
      <c r="I174" s="326">
        <v>0</v>
      </c>
      <c r="J174" s="326">
        <v>0</v>
      </c>
      <c r="K174" s="326">
        <v>0</v>
      </c>
      <c r="L174" s="271">
        <v>4338</v>
      </c>
      <c r="M174" s="52"/>
      <c r="N174" s="160"/>
      <c r="U174" s="52"/>
    </row>
    <row r="175" spans="1:21" ht="15.75" customHeight="1" x14ac:dyDescent="0.2">
      <c r="A175" s="24" t="s">
        <v>353</v>
      </c>
      <c r="B175" s="152" t="s">
        <v>339</v>
      </c>
      <c r="C175" s="23" t="s">
        <v>340</v>
      </c>
      <c r="D175" s="170">
        <v>73</v>
      </c>
      <c r="E175" s="271">
        <v>834422</v>
      </c>
      <c r="F175" s="326">
        <v>0</v>
      </c>
      <c r="G175" s="327" t="s">
        <v>153</v>
      </c>
      <c r="H175" s="271">
        <v>834422</v>
      </c>
      <c r="I175" s="326">
        <v>0</v>
      </c>
      <c r="J175" s="326">
        <v>0</v>
      </c>
      <c r="K175" s="326">
        <v>0</v>
      </c>
      <c r="L175" s="271">
        <v>834422</v>
      </c>
      <c r="M175" s="52"/>
      <c r="N175" s="160"/>
      <c r="U175" s="52"/>
    </row>
    <row r="176" spans="1:21" ht="30" customHeight="1" x14ac:dyDescent="0.2">
      <c r="A176" s="24" t="s">
        <v>353</v>
      </c>
      <c r="B176" s="152" t="s">
        <v>351</v>
      </c>
      <c r="C176" s="23" t="s">
        <v>352</v>
      </c>
      <c r="D176" s="170">
        <v>18</v>
      </c>
      <c r="E176" s="271">
        <v>284904</v>
      </c>
      <c r="F176" s="326">
        <v>0</v>
      </c>
      <c r="G176" s="327" t="s">
        <v>153</v>
      </c>
      <c r="H176" s="271">
        <v>284904</v>
      </c>
      <c r="I176" s="326">
        <v>0</v>
      </c>
      <c r="J176" s="326">
        <v>0</v>
      </c>
      <c r="K176" s="326">
        <v>0</v>
      </c>
      <c r="L176" s="271">
        <v>284904</v>
      </c>
      <c r="M176" s="52"/>
      <c r="N176" s="160"/>
      <c r="U176" s="52"/>
    </row>
    <row r="177" spans="1:21" ht="15.75" customHeight="1" x14ac:dyDescent="0.2">
      <c r="A177" s="24" t="s">
        <v>353</v>
      </c>
      <c r="B177" s="152" t="s">
        <v>341</v>
      </c>
      <c r="C177" s="23" t="s">
        <v>342</v>
      </c>
      <c r="D177" s="170">
        <v>120</v>
      </c>
      <c r="E177" s="271">
        <v>551719</v>
      </c>
      <c r="F177" s="326">
        <v>0</v>
      </c>
      <c r="G177" s="327" t="s">
        <v>153</v>
      </c>
      <c r="H177" s="271">
        <v>551719</v>
      </c>
      <c r="I177" s="326">
        <v>0</v>
      </c>
      <c r="J177" s="326">
        <v>0</v>
      </c>
      <c r="K177" s="326">
        <v>0</v>
      </c>
      <c r="L177" s="271">
        <v>551719</v>
      </c>
      <c r="M177" s="52"/>
      <c r="N177" s="160"/>
      <c r="U177" s="52"/>
    </row>
    <row r="178" spans="1:21" ht="15.75" customHeight="1" x14ac:dyDescent="0.25">
      <c r="A178" s="158" t="s">
        <v>386</v>
      </c>
      <c r="B178" s="172" t="s">
        <v>153</v>
      </c>
      <c r="C178" s="118" t="s">
        <v>153</v>
      </c>
      <c r="D178" s="117" t="s">
        <v>153</v>
      </c>
      <c r="E178" s="329">
        <f>SUBTOTAL(109,local200708[Program
Costs])</f>
        <v>65748598</v>
      </c>
      <c r="F178" s="329">
        <f>SUBTOTAL(109,local200708[Less: Net 
Payments
 and Offsets 1])</f>
        <v>1234722</v>
      </c>
      <c r="G178" s="330" t="s">
        <v>153</v>
      </c>
      <c r="H178" s="329">
        <f>SUBTOTAL(109,local200708[Accounts Payable
Balance])</f>
        <v>64513876</v>
      </c>
      <c r="I178" s="329">
        <f>SUBTOTAL(109,local200708[Established
Accounts Receivable])</f>
        <v>6821</v>
      </c>
      <c r="J178" s="331">
        <f>SUBTOTAL(109,local200708[Less: 
Recovered 
Amount])</f>
        <v>0</v>
      </c>
      <c r="K178" s="329">
        <f>SUBTOTAL(109,local200708[Accounts Receivable
Balance])</f>
        <v>6821</v>
      </c>
      <c r="L178" s="329">
        <f>SUBTOTAL(109,local200708[Net
Balance])</f>
        <v>64507055</v>
      </c>
      <c r="M178" s="52"/>
      <c r="N178" s="160"/>
      <c r="U178" s="52"/>
    </row>
    <row r="179" spans="1:21" ht="15.75" customHeight="1" x14ac:dyDescent="0.25">
      <c r="A179" s="146" t="s">
        <v>181</v>
      </c>
    </row>
    <row r="180" spans="1:21" ht="50.1" customHeight="1" x14ac:dyDescent="0.25">
      <c r="A180" s="28" t="s">
        <v>221</v>
      </c>
      <c r="B180" s="28" t="s">
        <v>268</v>
      </c>
      <c r="C180" s="28" t="s">
        <v>2</v>
      </c>
      <c r="D180" s="169" t="s">
        <v>280</v>
      </c>
      <c r="E180" s="155" t="s">
        <v>223</v>
      </c>
      <c r="F180" s="28" t="s">
        <v>281</v>
      </c>
      <c r="G180" s="154" t="s">
        <v>176</v>
      </c>
      <c r="H180" s="156" t="s">
        <v>270</v>
      </c>
      <c r="I180" s="156" t="s">
        <v>271</v>
      </c>
      <c r="J180" s="156" t="s">
        <v>282</v>
      </c>
      <c r="K180" s="156" t="s">
        <v>272</v>
      </c>
      <c r="L180" s="156" t="s">
        <v>273</v>
      </c>
      <c r="M180" s="52"/>
      <c r="N180" s="160"/>
      <c r="U180" s="52"/>
    </row>
    <row r="181" spans="1:21" ht="15.75" customHeight="1" x14ac:dyDescent="0.2">
      <c r="A181" s="24" t="s">
        <v>358</v>
      </c>
      <c r="B181" s="152" t="s">
        <v>309</v>
      </c>
      <c r="C181" s="23" t="s">
        <v>310</v>
      </c>
      <c r="D181" s="170">
        <v>213</v>
      </c>
      <c r="E181" s="271">
        <v>17241364</v>
      </c>
      <c r="F181" s="271">
        <v>17241364</v>
      </c>
      <c r="G181" s="327" t="s">
        <v>153</v>
      </c>
      <c r="H181" s="326">
        <v>0</v>
      </c>
      <c r="I181" s="271">
        <v>7522234</v>
      </c>
      <c r="J181" s="271">
        <v>6773030</v>
      </c>
      <c r="K181" s="271">
        <v>749204</v>
      </c>
      <c r="L181" s="271">
        <v>-749204</v>
      </c>
      <c r="M181" s="52"/>
      <c r="N181" s="160"/>
      <c r="U181" s="52"/>
    </row>
    <row r="182" spans="1:21" ht="15.75" customHeight="1" x14ac:dyDescent="0.2">
      <c r="A182" s="24" t="s">
        <v>358</v>
      </c>
      <c r="B182" s="152" t="s">
        <v>301</v>
      </c>
      <c r="C182" s="23" t="s">
        <v>302</v>
      </c>
      <c r="D182" s="170">
        <v>353</v>
      </c>
      <c r="E182" s="271">
        <v>866729</v>
      </c>
      <c r="F182" s="271">
        <v>866729</v>
      </c>
      <c r="G182" s="327" t="s">
        <v>153</v>
      </c>
      <c r="H182" s="326">
        <v>0</v>
      </c>
      <c r="I182" s="271">
        <v>6573</v>
      </c>
      <c r="J182" s="326">
        <v>0</v>
      </c>
      <c r="K182" s="271">
        <v>6573</v>
      </c>
      <c r="L182" s="271">
        <v>-6573</v>
      </c>
      <c r="M182" s="52"/>
      <c r="N182" s="160"/>
      <c r="U182" s="52"/>
    </row>
    <row r="183" spans="1:21" ht="15.75" customHeight="1" x14ac:dyDescent="0.2">
      <c r="A183" s="24" t="s">
        <v>358</v>
      </c>
      <c r="B183" s="152" t="s">
        <v>354</v>
      </c>
      <c r="C183" s="23" t="s">
        <v>355</v>
      </c>
      <c r="D183" s="170">
        <v>23</v>
      </c>
      <c r="E183" s="271">
        <v>4926471</v>
      </c>
      <c r="F183" s="271">
        <v>4901214</v>
      </c>
      <c r="G183" s="327" t="s">
        <v>153</v>
      </c>
      <c r="H183" s="271">
        <v>25257</v>
      </c>
      <c r="I183" s="271">
        <v>319599</v>
      </c>
      <c r="J183" s="271">
        <v>262355</v>
      </c>
      <c r="K183" s="271">
        <v>57244</v>
      </c>
      <c r="L183" s="271">
        <v>-31987</v>
      </c>
      <c r="M183" s="52"/>
      <c r="N183" s="160"/>
      <c r="U183" s="52"/>
    </row>
    <row r="184" spans="1:21" ht="30" customHeight="1" x14ac:dyDescent="0.2">
      <c r="A184" s="24" t="s">
        <v>358</v>
      </c>
      <c r="B184" s="152" t="s">
        <v>321</v>
      </c>
      <c r="C184" s="23" t="s">
        <v>322</v>
      </c>
      <c r="D184" s="170">
        <v>203</v>
      </c>
      <c r="E184" s="271">
        <v>3003738</v>
      </c>
      <c r="F184" s="271">
        <v>2950498</v>
      </c>
      <c r="G184" s="327" t="s">
        <v>153</v>
      </c>
      <c r="H184" s="271">
        <v>53240</v>
      </c>
      <c r="I184" s="271">
        <v>341376</v>
      </c>
      <c r="J184" s="271">
        <v>341376</v>
      </c>
      <c r="K184" s="326">
        <v>0</v>
      </c>
      <c r="L184" s="271">
        <v>53240</v>
      </c>
      <c r="M184" s="52"/>
      <c r="N184" s="160"/>
      <c r="U184" s="52"/>
    </row>
    <row r="185" spans="1:21" ht="15.75" customHeight="1" x14ac:dyDescent="0.2">
      <c r="A185" s="24" t="s">
        <v>358</v>
      </c>
      <c r="B185" s="152" t="s">
        <v>327</v>
      </c>
      <c r="C185" s="23" t="s">
        <v>328</v>
      </c>
      <c r="D185" s="170">
        <v>200</v>
      </c>
      <c r="E185" s="271">
        <v>1707977</v>
      </c>
      <c r="F185" s="271">
        <v>1702574</v>
      </c>
      <c r="G185" s="327" t="s">
        <v>153</v>
      </c>
      <c r="H185" s="271">
        <v>5403</v>
      </c>
      <c r="I185" s="271">
        <v>439438</v>
      </c>
      <c r="J185" s="271">
        <v>439438</v>
      </c>
      <c r="K185" s="326">
        <v>0</v>
      </c>
      <c r="L185" s="271">
        <v>5403</v>
      </c>
      <c r="M185" s="52"/>
      <c r="N185" s="160"/>
      <c r="U185" s="52"/>
    </row>
    <row r="186" spans="1:21" ht="15" customHeight="1" x14ac:dyDescent="0.2">
      <c r="A186" s="24" t="s">
        <v>358</v>
      </c>
      <c r="B186" s="152" t="s">
        <v>293</v>
      </c>
      <c r="C186" s="23" t="s">
        <v>294</v>
      </c>
      <c r="D186" s="170">
        <v>219</v>
      </c>
      <c r="E186" s="271">
        <v>14827559</v>
      </c>
      <c r="F186" s="326">
        <v>0</v>
      </c>
      <c r="G186" s="327" t="s">
        <v>153</v>
      </c>
      <c r="H186" s="271">
        <v>14827559</v>
      </c>
      <c r="I186" s="326">
        <v>0</v>
      </c>
      <c r="J186" s="326">
        <v>0</v>
      </c>
      <c r="K186" s="326">
        <v>0</v>
      </c>
      <c r="L186" s="271">
        <v>14827559</v>
      </c>
      <c r="M186" s="52"/>
      <c r="N186" s="160"/>
      <c r="U186" s="52"/>
    </row>
    <row r="187" spans="1:21" ht="15.75" customHeight="1" x14ac:dyDescent="0.2">
      <c r="A187" s="24" t="s">
        <v>358</v>
      </c>
      <c r="B187" s="152" t="s">
        <v>356</v>
      </c>
      <c r="C187" s="23" t="s">
        <v>357</v>
      </c>
      <c r="D187" s="170">
        <v>118</v>
      </c>
      <c r="E187" s="271">
        <v>5458348</v>
      </c>
      <c r="F187" s="271">
        <v>5346969</v>
      </c>
      <c r="G187" s="327" t="s">
        <v>153</v>
      </c>
      <c r="H187" s="271">
        <v>111379</v>
      </c>
      <c r="I187" s="271">
        <v>499658</v>
      </c>
      <c r="J187" s="271">
        <v>499658</v>
      </c>
      <c r="K187" s="326">
        <v>0</v>
      </c>
      <c r="L187" s="271">
        <v>111379</v>
      </c>
      <c r="M187" s="52"/>
      <c r="N187" s="160"/>
      <c r="U187" s="52"/>
    </row>
    <row r="188" spans="1:21" ht="15" customHeight="1" x14ac:dyDescent="0.2">
      <c r="A188" s="24" t="s">
        <v>358</v>
      </c>
      <c r="B188" s="152" t="s">
        <v>275</v>
      </c>
      <c r="C188" s="23" t="s">
        <v>276</v>
      </c>
      <c r="D188" s="170">
        <v>187</v>
      </c>
      <c r="E188" s="271">
        <v>9846865</v>
      </c>
      <c r="F188" s="271">
        <v>7917464</v>
      </c>
      <c r="G188" s="327" t="s">
        <v>153</v>
      </c>
      <c r="H188" s="271">
        <v>1929401</v>
      </c>
      <c r="I188" s="271">
        <v>10543101</v>
      </c>
      <c r="J188" s="271">
        <v>10543101</v>
      </c>
      <c r="K188" s="326">
        <v>0</v>
      </c>
      <c r="L188" s="271">
        <v>1929401</v>
      </c>
      <c r="M188" s="52"/>
      <c r="N188" s="160"/>
      <c r="U188" s="52"/>
    </row>
    <row r="189" spans="1:21" ht="15.75" customHeight="1" x14ac:dyDescent="0.2">
      <c r="A189" s="24" t="s">
        <v>358</v>
      </c>
      <c r="B189" s="152" t="s">
        <v>335</v>
      </c>
      <c r="C189" s="23" t="s">
        <v>336</v>
      </c>
      <c r="D189" s="170">
        <v>215</v>
      </c>
      <c r="E189" s="271">
        <v>309808</v>
      </c>
      <c r="F189" s="271">
        <v>298328</v>
      </c>
      <c r="G189" s="327" t="s">
        <v>153</v>
      </c>
      <c r="H189" s="271">
        <v>11480</v>
      </c>
      <c r="I189" s="271">
        <v>224111</v>
      </c>
      <c r="J189" s="271">
        <v>224111</v>
      </c>
      <c r="K189" s="326">
        <v>0</v>
      </c>
      <c r="L189" s="271">
        <v>11480</v>
      </c>
      <c r="M189" s="52"/>
      <c r="N189" s="160"/>
      <c r="U189" s="52"/>
    </row>
    <row r="190" spans="1:21" ht="15" customHeight="1" x14ac:dyDescent="0.2">
      <c r="A190" s="24" t="s">
        <v>358</v>
      </c>
      <c r="B190" s="152" t="s">
        <v>337</v>
      </c>
      <c r="C190" s="23" t="s">
        <v>338</v>
      </c>
      <c r="D190" s="170">
        <v>279</v>
      </c>
      <c r="E190" s="271">
        <v>359305</v>
      </c>
      <c r="F190" s="271">
        <v>334797</v>
      </c>
      <c r="G190" s="327" t="s">
        <v>153</v>
      </c>
      <c r="H190" s="271">
        <v>24508</v>
      </c>
      <c r="I190" s="326">
        <v>0</v>
      </c>
      <c r="J190" s="326">
        <v>0</v>
      </c>
      <c r="K190" s="326">
        <v>0</v>
      </c>
      <c r="L190" s="271">
        <v>24508</v>
      </c>
      <c r="M190" s="52"/>
      <c r="N190" s="160"/>
      <c r="U190" s="52"/>
    </row>
    <row r="191" spans="1:21" ht="30" customHeight="1" x14ac:dyDescent="0.2">
      <c r="A191" s="24" t="s">
        <v>358</v>
      </c>
      <c r="B191" s="152" t="s">
        <v>351</v>
      </c>
      <c r="C191" s="23" t="s">
        <v>352</v>
      </c>
      <c r="D191" s="170">
        <v>18</v>
      </c>
      <c r="E191" s="271">
        <v>273468</v>
      </c>
      <c r="F191" s="271">
        <v>273084</v>
      </c>
      <c r="G191" s="327" t="s">
        <v>153</v>
      </c>
      <c r="H191" s="271">
        <v>384</v>
      </c>
      <c r="I191" s="271">
        <v>384</v>
      </c>
      <c r="J191" s="271">
        <v>384</v>
      </c>
      <c r="K191" s="326">
        <v>0</v>
      </c>
      <c r="L191" s="271">
        <v>384</v>
      </c>
      <c r="M191" s="52"/>
      <c r="N191" s="160"/>
      <c r="U191" s="52"/>
    </row>
    <row r="192" spans="1:21" ht="15.75" customHeight="1" x14ac:dyDescent="0.25">
      <c r="A192" s="158" t="s">
        <v>387</v>
      </c>
      <c r="B192" s="172" t="s">
        <v>153</v>
      </c>
      <c r="C192" s="118" t="s">
        <v>153</v>
      </c>
      <c r="D192" s="117" t="s">
        <v>153</v>
      </c>
      <c r="E192" s="329">
        <f>SUBTOTAL(109,local200607[Program
Costs])</f>
        <v>58821632</v>
      </c>
      <c r="F192" s="329">
        <f>SUBTOTAL(109,local200607[Less: Net 
Payments
 and Offsets 1])</f>
        <v>41833021</v>
      </c>
      <c r="G192" s="330" t="s">
        <v>153</v>
      </c>
      <c r="H192" s="329">
        <f>SUBTOTAL(109,local200607[Accounts Payable
Balance])</f>
        <v>16988611</v>
      </c>
      <c r="I192" s="329">
        <f>SUBTOTAL(109,local200607[Established
Accounts Receivable])</f>
        <v>19896474</v>
      </c>
      <c r="J192" s="329">
        <f>SUBTOTAL(109,local200607[Less: 
Recovered 
Amount])</f>
        <v>19083453</v>
      </c>
      <c r="K192" s="329">
        <f>SUBTOTAL(109,local200607[Accounts Receivable
Balance])</f>
        <v>813021</v>
      </c>
      <c r="L192" s="329">
        <f>SUBTOTAL(109,local200607[Net
Balance])</f>
        <v>16175590</v>
      </c>
      <c r="M192" s="52"/>
      <c r="N192" s="160"/>
      <c r="U192" s="52"/>
    </row>
    <row r="193" spans="1:21" ht="15.75" customHeight="1" x14ac:dyDescent="0.25">
      <c r="A193" s="146" t="s">
        <v>181</v>
      </c>
    </row>
    <row r="194" spans="1:21" ht="50.1" customHeight="1" x14ac:dyDescent="0.25">
      <c r="A194" s="28" t="s">
        <v>221</v>
      </c>
      <c r="B194" s="28" t="s">
        <v>268</v>
      </c>
      <c r="C194" s="28" t="s">
        <v>2</v>
      </c>
      <c r="D194" s="169" t="s">
        <v>280</v>
      </c>
      <c r="E194" s="155" t="s">
        <v>223</v>
      </c>
      <c r="F194" s="28" t="s">
        <v>281</v>
      </c>
      <c r="G194" s="154" t="s">
        <v>176</v>
      </c>
      <c r="H194" s="156" t="s">
        <v>270</v>
      </c>
      <c r="I194" s="156" t="s">
        <v>271</v>
      </c>
      <c r="J194" s="156" t="s">
        <v>282</v>
      </c>
      <c r="K194" s="156" t="s">
        <v>272</v>
      </c>
      <c r="L194" s="156" t="s">
        <v>273</v>
      </c>
      <c r="M194" s="52"/>
      <c r="N194" s="160"/>
      <c r="U194" s="52"/>
    </row>
    <row r="195" spans="1:21" ht="15.75" customHeight="1" x14ac:dyDescent="0.2">
      <c r="A195" s="24" t="s">
        <v>359</v>
      </c>
      <c r="B195" s="152" t="s">
        <v>309</v>
      </c>
      <c r="C195" s="23" t="s">
        <v>310</v>
      </c>
      <c r="D195" s="170">
        <v>213</v>
      </c>
      <c r="E195" s="271">
        <v>17225079</v>
      </c>
      <c r="F195" s="271">
        <v>17202021</v>
      </c>
      <c r="G195" s="327" t="s">
        <v>153</v>
      </c>
      <c r="H195" s="271">
        <v>23058</v>
      </c>
      <c r="I195" s="271">
        <v>4824796</v>
      </c>
      <c r="J195" s="271">
        <v>4136784</v>
      </c>
      <c r="K195" s="271">
        <v>688012</v>
      </c>
      <c r="L195" s="271">
        <v>-664954</v>
      </c>
      <c r="M195" s="52"/>
      <c r="N195" s="160"/>
      <c r="U195" s="52"/>
    </row>
    <row r="196" spans="1:21" ht="15.75" customHeight="1" x14ac:dyDescent="0.2">
      <c r="A196" s="24" t="s">
        <v>359</v>
      </c>
      <c r="B196" s="152" t="s">
        <v>301</v>
      </c>
      <c r="C196" s="23" t="s">
        <v>302</v>
      </c>
      <c r="D196" s="170">
        <v>353</v>
      </c>
      <c r="E196" s="271">
        <v>660948</v>
      </c>
      <c r="F196" s="271">
        <v>660948</v>
      </c>
      <c r="G196" s="327" t="s">
        <v>153</v>
      </c>
      <c r="H196" s="326">
        <v>0</v>
      </c>
      <c r="I196" s="271">
        <v>6766</v>
      </c>
      <c r="J196" s="326">
        <v>0</v>
      </c>
      <c r="K196" s="271">
        <v>6766</v>
      </c>
      <c r="L196" s="271">
        <v>-6766</v>
      </c>
      <c r="M196" s="52"/>
      <c r="N196" s="160"/>
      <c r="U196" s="52"/>
    </row>
    <row r="197" spans="1:21" ht="30" customHeight="1" x14ac:dyDescent="0.2">
      <c r="A197" s="24" t="s">
        <v>359</v>
      </c>
      <c r="B197" s="152" t="s">
        <v>319</v>
      </c>
      <c r="C197" s="23" t="s">
        <v>320</v>
      </c>
      <c r="D197" s="170">
        <v>300</v>
      </c>
      <c r="E197" s="271">
        <v>196139</v>
      </c>
      <c r="F197" s="271">
        <v>192604</v>
      </c>
      <c r="G197" s="327" t="s">
        <v>153</v>
      </c>
      <c r="H197" s="271">
        <v>3535</v>
      </c>
      <c r="I197" s="326">
        <v>0</v>
      </c>
      <c r="J197" s="326">
        <v>0</v>
      </c>
      <c r="K197" s="326">
        <v>0</v>
      </c>
      <c r="L197" s="271">
        <v>3535</v>
      </c>
      <c r="M197" s="52"/>
      <c r="N197" s="160"/>
      <c r="U197" s="52"/>
    </row>
    <row r="198" spans="1:21" ht="15" customHeight="1" x14ac:dyDescent="0.2">
      <c r="A198" s="24" t="s">
        <v>359</v>
      </c>
      <c r="B198" s="152" t="s">
        <v>293</v>
      </c>
      <c r="C198" s="23" t="s">
        <v>294</v>
      </c>
      <c r="D198" s="170">
        <v>219</v>
      </c>
      <c r="E198" s="271">
        <v>13579524</v>
      </c>
      <c r="F198" s="271">
        <v>400803</v>
      </c>
      <c r="G198" s="327" t="s">
        <v>153</v>
      </c>
      <c r="H198" s="271">
        <v>13178721</v>
      </c>
      <c r="I198" s="271">
        <v>187248</v>
      </c>
      <c r="J198" s="271">
        <v>179625</v>
      </c>
      <c r="K198" s="271">
        <v>7623</v>
      </c>
      <c r="L198" s="271">
        <v>13171098</v>
      </c>
      <c r="M198" s="52"/>
      <c r="N198" s="160"/>
      <c r="U198" s="52"/>
    </row>
    <row r="199" spans="1:21" ht="15" customHeight="1" x14ac:dyDescent="0.2">
      <c r="A199" s="24" t="s">
        <v>359</v>
      </c>
      <c r="B199" s="152" t="s">
        <v>275</v>
      </c>
      <c r="C199" s="23" t="s">
        <v>276</v>
      </c>
      <c r="D199" s="170">
        <v>187</v>
      </c>
      <c r="E199" s="271">
        <v>13310225</v>
      </c>
      <c r="F199" s="271">
        <v>11075800</v>
      </c>
      <c r="G199" s="327" t="s">
        <v>153</v>
      </c>
      <c r="H199" s="271">
        <v>2234425</v>
      </c>
      <c r="I199" s="271">
        <v>6047022</v>
      </c>
      <c r="J199" s="271">
        <v>6047022</v>
      </c>
      <c r="K199" s="326">
        <v>0</v>
      </c>
      <c r="L199" s="271">
        <v>2234425</v>
      </c>
      <c r="M199" s="52"/>
      <c r="N199" s="160"/>
      <c r="U199" s="52"/>
    </row>
    <row r="200" spans="1:21" ht="15" customHeight="1" x14ac:dyDescent="0.2">
      <c r="A200" s="24" t="s">
        <v>359</v>
      </c>
      <c r="B200" s="152" t="s">
        <v>337</v>
      </c>
      <c r="C200" s="23" t="s">
        <v>338</v>
      </c>
      <c r="D200" s="170">
        <v>279</v>
      </c>
      <c r="E200" s="271">
        <v>173372</v>
      </c>
      <c r="F200" s="271">
        <v>134566</v>
      </c>
      <c r="G200" s="327" t="s">
        <v>153</v>
      </c>
      <c r="H200" s="271">
        <v>38806</v>
      </c>
      <c r="I200" s="326">
        <v>0</v>
      </c>
      <c r="J200" s="326">
        <v>0</v>
      </c>
      <c r="K200" s="326">
        <v>0</v>
      </c>
      <c r="L200" s="271">
        <v>38806</v>
      </c>
      <c r="M200" s="52"/>
      <c r="N200" s="160"/>
      <c r="U200" s="52"/>
    </row>
    <row r="201" spans="1:21" ht="30" customHeight="1" x14ac:dyDescent="0.2">
      <c r="A201" s="24" t="s">
        <v>359</v>
      </c>
      <c r="B201" s="152" t="s">
        <v>351</v>
      </c>
      <c r="C201" s="23" t="s">
        <v>352</v>
      </c>
      <c r="D201" s="170">
        <v>18</v>
      </c>
      <c r="E201" s="271">
        <v>258165</v>
      </c>
      <c r="F201" s="271">
        <v>258032</v>
      </c>
      <c r="G201" s="327" t="s">
        <v>153</v>
      </c>
      <c r="H201" s="271">
        <v>133</v>
      </c>
      <c r="I201" s="271">
        <v>133</v>
      </c>
      <c r="J201" s="271">
        <v>133</v>
      </c>
      <c r="K201" s="326">
        <v>0</v>
      </c>
      <c r="L201" s="271">
        <v>133</v>
      </c>
      <c r="M201" s="52"/>
      <c r="N201" s="160"/>
      <c r="U201" s="52"/>
    </row>
    <row r="202" spans="1:21" ht="15.75" customHeight="1" x14ac:dyDescent="0.25">
      <c r="A202" s="158" t="s">
        <v>388</v>
      </c>
      <c r="B202" s="172" t="s">
        <v>153</v>
      </c>
      <c r="C202" s="118" t="s">
        <v>153</v>
      </c>
      <c r="D202" s="117" t="s">
        <v>153</v>
      </c>
      <c r="E202" s="329">
        <f>SUBTOTAL(109,local200506[Program
Costs])</f>
        <v>45403452</v>
      </c>
      <c r="F202" s="329">
        <f>SUBTOTAL(109,local200506[Less: Net 
Payments
 and Offsets 1])</f>
        <v>29924774</v>
      </c>
      <c r="G202" s="330" t="s">
        <v>153</v>
      </c>
      <c r="H202" s="329">
        <f>SUBTOTAL(109,local200506[Accounts Payable
Balance])</f>
        <v>15478678</v>
      </c>
      <c r="I202" s="329">
        <f>SUBTOTAL(109,local200506[Established
Accounts Receivable])</f>
        <v>11065965</v>
      </c>
      <c r="J202" s="329">
        <f>SUBTOTAL(109,local200506[Less: 
Recovered 
Amount])</f>
        <v>10363564</v>
      </c>
      <c r="K202" s="329">
        <f>SUBTOTAL(109,local200506[Accounts Receivable
Balance])</f>
        <v>702401</v>
      </c>
      <c r="L202" s="329">
        <f>SUBTOTAL(109,local200506[Net
Balance])</f>
        <v>14776277</v>
      </c>
      <c r="M202" s="52"/>
      <c r="N202" s="160"/>
      <c r="U202" s="52"/>
    </row>
    <row r="203" spans="1:21" ht="15.75" customHeight="1" x14ac:dyDescent="0.25">
      <c r="A203" s="146" t="s">
        <v>181</v>
      </c>
    </row>
    <row r="204" spans="1:21" ht="50.1" customHeight="1" x14ac:dyDescent="0.25">
      <c r="A204" s="28" t="s">
        <v>221</v>
      </c>
      <c r="B204" s="28" t="s">
        <v>268</v>
      </c>
      <c r="C204" s="28" t="s">
        <v>2</v>
      </c>
      <c r="D204" s="169" t="s">
        <v>280</v>
      </c>
      <c r="E204" s="155" t="s">
        <v>223</v>
      </c>
      <c r="F204" s="28" t="s">
        <v>281</v>
      </c>
      <c r="G204" s="154" t="s">
        <v>176</v>
      </c>
      <c r="H204" s="156" t="s">
        <v>270</v>
      </c>
      <c r="I204" s="156" t="s">
        <v>271</v>
      </c>
      <c r="J204" s="156" t="s">
        <v>282</v>
      </c>
      <c r="K204" s="156" t="s">
        <v>272</v>
      </c>
      <c r="L204" s="156" t="s">
        <v>273</v>
      </c>
      <c r="M204" s="52"/>
      <c r="N204" s="160"/>
      <c r="U204" s="52"/>
    </row>
    <row r="205" spans="1:21" ht="15.75" customHeight="1" x14ac:dyDescent="0.2">
      <c r="A205" s="24" t="s">
        <v>360</v>
      </c>
      <c r="B205" s="152" t="s">
        <v>297</v>
      </c>
      <c r="C205" s="23" t="s">
        <v>298</v>
      </c>
      <c r="D205" s="170">
        <v>2</v>
      </c>
      <c r="E205" s="271">
        <v>17563599</v>
      </c>
      <c r="F205" s="271">
        <v>17516451</v>
      </c>
      <c r="G205" s="327" t="s">
        <v>153</v>
      </c>
      <c r="H205" s="271">
        <v>47148</v>
      </c>
      <c r="I205" s="271">
        <v>2316857</v>
      </c>
      <c r="J205" s="271">
        <v>2316857</v>
      </c>
      <c r="K205" s="326">
        <v>0</v>
      </c>
      <c r="L205" s="271">
        <v>47148</v>
      </c>
      <c r="M205" s="52"/>
      <c r="N205" s="160"/>
      <c r="U205" s="52"/>
    </row>
    <row r="206" spans="1:21" ht="15.75" customHeight="1" x14ac:dyDescent="0.2">
      <c r="A206" s="24" t="s">
        <v>360</v>
      </c>
      <c r="B206" s="152" t="s">
        <v>309</v>
      </c>
      <c r="C206" s="23" t="s">
        <v>310</v>
      </c>
      <c r="D206" s="170">
        <v>213</v>
      </c>
      <c r="E206" s="271">
        <v>19847433</v>
      </c>
      <c r="F206" s="271">
        <v>19847433</v>
      </c>
      <c r="G206" s="327" t="s">
        <v>153</v>
      </c>
      <c r="H206" s="326">
        <v>0</v>
      </c>
      <c r="I206" s="271">
        <v>3917590</v>
      </c>
      <c r="J206" s="271">
        <v>3843233</v>
      </c>
      <c r="K206" s="271">
        <v>74357</v>
      </c>
      <c r="L206" s="271">
        <v>-74357</v>
      </c>
      <c r="M206" s="52"/>
      <c r="N206" s="160"/>
      <c r="U206" s="52"/>
    </row>
    <row r="207" spans="1:21" ht="15.75" customHeight="1" x14ac:dyDescent="0.2">
      <c r="A207" s="24" t="s">
        <v>360</v>
      </c>
      <c r="B207" s="152" t="s">
        <v>301</v>
      </c>
      <c r="C207" s="23" t="s">
        <v>302</v>
      </c>
      <c r="D207" s="170">
        <v>353</v>
      </c>
      <c r="E207" s="271">
        <v>515185</v>
      </c>
      <c r="F207" s="271">
        <v>515185</v>
      </c>
      <c r="G207" s="327" t="s">
        <v>153</v>
      </c>
      <c r="H207" s="326">
        <v>0</v>
      </c>
      <c r="I207" s="271">
        <v>5351</v>
      </c>
      <c r="J207" s="326">
        <v>0</v>
      </c>
      <c r="K207" s="271">
        <v>5351</v>
      </c>
      <c r="L207" s="271">
        <v>-5351</v>
      </c>
      <c r="M207" s="52"/>
      <c r="N207" s="160"/>
      <c r="U207" s="52"/>
    </row>
    <row r="208" spans="1:21" ht="15" customHeight="1" x14ac:dyDescent="0.2">
      <c r="A208" s="24" t="s">
        <v>360</v>
      </c>
      <c r="B208" s="152" t="s">
        <v>293</v>
      </c>
      <c r="C208" s="23" t="s">
        <v>294</v>
      </c>
      <c r="D208" s="170">
        <v>219</v>
      </c>
      <c r="E208" s="271">
        <v>14784873</v>
      </c>
      <c r="F208" s="271">
        <v>14433621</v>
      </c>
      <c r="G208" s="327" t="s">
        <v>153</v>
      </c>
      <c r="H208" s="271">
        <v>351252</v>
      </c>
      <c r="I208" s="271">
        <v>1695469</v>
      </c>
      <c r="J208" s="271">
        <v>1688569</v>
      </c>
      <c r="K208" s="271">
        <v>6900</v>
      </c>
      <c r="L208" s="271">
        <v>344352</v>
      </c>
      <c r="M208" s="52"/>
      <c r="N208" s="160"/>
      <c r="U208" s="52"/>
    </row>
    <row r="209" spans="1:21" ht="15" customHeight="1" x14ac:dyDescent="0.2">
      <c r="A209" s="24" t="s">
        <v>360</v>
      </c>
      <c r="B209" s="152" t="s">
        <v>275</v>
      </c>
      <c r="C209" s="23" t="s">
        <v>276</v>
      </c>
      <c r="D209" s="170">
        <v>187</v>
      </c>
      <c r="E209" s="271">
        <v>13187078</v>
      </c>
      <c r="F209" s="326">
        <v>0</v>
      </c>
      <c r="G209" s="327" t="s">
        <v>153</v>
      </c>
      <c r="H209" s="271">
        <v>13187078</v>
      </c>
      <c r="I209" s="326">
        <v>0</v>
      </c>
      <c r="J209" s="326">
        <v>0</v>
      </c>
      <c r="K209" s="326">
        <v>0</v>
      </c>
      <c r="L209" s="271">
        <v>13187078</v>
      </c>
      <c r="M209" s="52"/>
      <c r="N209" s="160"/>
      <c r="U209" s="52"/>
    </row>
    <row r="210" spans="1:21" ht="15" customHeight="1" x14ac:dyDescent="0.2">
      <c r="A210" s="24" t="s">
        <v>360</v>
      </c>
      <c r="B210" s="152" t="s">
        <v>337</v>
      </c>
      <c r="C210" s="23" t="s">
        <v>338</v>
      </c>
      <c r="D210" s="170">
        <v>279</v>
      </c>
      <c r="E210" s="271">
        <v>31183</v>
      </c>
      <c r="F210" s="271">
        <v>17053</v>
      </c>
      <c r="G210" s="327" t="s">
        <v>153</v>
      </c>
      <c r="H210" s="271">
        <v>14130</v>
      </c>
      <c r="I210" s="326">
        <v>0</v>
      </c>
      <c r="J210" s="326">
        <v>0</v>
      </c>
      <c r="K210" s="326">
        <v>0</v>
      </c>
      <c r="L210" s="271">
        <v>14130</v>
      </c>
      <c r="M210" s="52"/>
      <c r="N210" s="160"/>
      <c r="U210" s="52"/>
    </row>
    <row r="211" spans="1:21" ht="15.75" customHeight="1" x14ac:dyDescent="0.25">
      <c r="A211" s="158" t="s">
        <v>389</v>
      </c>
      <c r="B211" s="172" t="s">
        <v>153</v>
      </c>
      <c r="C211" s="118" t="s">
        <v>153</v>
      </c>
      <c r="D211" s="117" t="s">
        <v>153</v>
      </c>
      <c r="E211" s="329">
        <f>SUBTOTAL(109,local200405[Program
Costs])</f>
        <v>65929351</v>
      </c>
      <c r="F211" s="329">
        <f>SUBTOTAL(109,local200405[Less: Net 
Payments
 and Offsets 1])</f>
        <v>52329743</v>
      </c>
      <c r="G211" s="330" t="s">
        <v>153</v>
      </c>
      <c r="H211" s="329">
        <f>SUBTOTAL(109,local200405[Accounts Payable
Balance])</f>
        <v>13599608</v>
      </c>
      <c r="I211" s="329">
        <f>SUBTOTAL(109,local200405[Established
Accounts Receivable])</f>
        <v>7935267</v>
      </c>
      <c r="J211" s="329">
        <f>SUBTOTAL(109,local200405[Less: 
Recovered 
Amount])</f>
        <v>7848659</v>
      </c>
      <c r="K211" s="329">
        <f>SUBTOTAL(109,local200405[Accounts Receivable
Balance])</f>
        <v>86608</v>
      </c>
      <c r="L211" s="329">
        <f>SUBTOTAL(109,local200405[Net
Balance])</f>
        <v>13513000</v>
      </c>
      <c r="M211" s="52"/>
      <c r="N211" s="160"/>
      <c r="U211" s="52"/>
    </row>
    <row r="212" spans="1:21" ht="15.75" customHeight="1" x14ac:dyDescent="0.25">
      <c r="A212" s="146" t="s">
        <v>181</v>
      </c>
    </row>
    <row r="213" spans="1:21" ht="50.1" customHeight="1" x14ac:dyDescent="0.25">
      <c r="A213" s="28" t="s">
        <v>221</v>
      </c>
      <c r="B213" s="28" t="s">
        <v>268</v>
      </c>
      <c r="C213" s="28" t="s">
        <v>2</v>
      </c>
      <c r="D213" s="169" t="s">
        <v>280</v>
      </c>
      <c r="E213" s="155" t="s">
        <v>223</v>
      </c>
      <c r="F213" s="28" t="s">
        <v>281</v>
      </c>
      <c r="G213" s="154" t="s">
        <v>176</v>
      </c>
      <c r="H213" s="156" t="s">
        <v>270</v>
      </c>
      <c r="I213" s="156" t="s">
        <v>271</v>
      </c>
      <c r="J213" s="156" t="s">
        <v>282</v>
      </c>
      <c r="K213" s="156" t="s">
        <v>272</v>
      </c>
      <c r="L213" s="156" t="s">
        <v>273</v>
      </c>
      <c r="M213" s="52"/>
      <c r="N213" s="160"/>
      <c r="U213" s="52"/>
    </row>
    <row r="214" spans="1:21" ht="15.75" customHeight="1" x14ac:dyDescent="0.2">
      <c r="A214" s="24" t="s">
        <v>49</v>
      </c>
      <c r="B214" s="152" t="s">
        <v>303</v>
      </c>
      <c r="C214" s="23" t="s">
        <v>304</v>
      </c>
      <c r="D214" s="170">
        <v>289</v>
      </c>
      <c r="E214" s="271">
        <v>11904</v>
      </c>
      <c r="F214" s="326">
        <v>0</v>
      </c>
      <c r="G214" s="327" t="s">
        <v>153</v>
      </c>
      <c r="H214" s="271">
        <v>11904</v>
      </c>
      <c r="I214" s="326">
        <v>0</v>
      </c>
      <c r="J214" s="326">
        <v>0</v>
      </c>
      <c r="K214" s="326">
        <v>0</v>
      </c>
      <c r="L214" s="271">
        <v>11904</v>
      </c>
      <c r="M214" s="52"/>
      <c r="N214" s="160"/>
      <c r="U214" s="52"/>
    </row>
    <row r="215" spans="1:21" ht="15" customHeight="1" x14ac:dyDescent="0.2">
      <c r="A215" s="24" t="s">
        <v>49</v>
      </c>
      <c r="B215" s="152" t="s">
        <v>337</v>
      </c>
      <c r="C215" s="23" t="s">
        <v>338</v>
      </c>
      <c r="D215" s="170">
        <v>279</v>
      </c>
      <c r="E215" s="271">
        <v>148711</v>
      </c>
      <c r="F215" s="271">
        <v>124059</v>
      </c>
      <c r="G215" s="327" t="s">
        <v>153</v>
      </c>
      <c r="H215" s="271">
        <v>24652</v>
      </c>
      <c r="I215" s="326">
        <v>0</v>
      </c>
      <c r="J215" s="326">
        <v>0</v>
      </c>
      <c r="K215" s="326">
        <v>0</v>
      </c>
      <c r="L215" s="271">
        <v>24652</v>
      </c>
      <c r="M215" s="52"/>
      <c r="N215" s="160"/>
      <c r="U215" s="52"/>
    </row>
    <row r="216" spans="1:21" ht="15.75" customHeight="1" x14ac:dyDescent="0.25">
      <c r="A216" s="158" t="s">
        <v>390</v>
      </c>
      <c r="B216" s="172" t="s">
        <v>153</v>
      </c>
      <c r="C216" s="118" t="s">
        <v>153</v>
      </c>
      <c r="D216" s="117" t="s">
        <v>153</v>
      </c>
      <c r="E216" s="329">
        <f>SUBTOTAL(109,local200304[Program
Costs])</f>
        <v>160615</v>
      </c>
      <c r="F216" s="329">
        <f>SUBTOTAL(109,local200304[Less: Net 
Payments
 and Offsets 1])</f>
        <v>124059</v>
      </c>
      <c r="G216" s="330" t="s">
        <v>153</v>
      </c>
      <c r="H216" s="329">
        <f>SUBTOTAL(109,local200304[Accounts Payable
Balance])</f>
        <v>36556</v>
      </c>
      <c r="I216" s="331">
        <f>SUBTOTAL(109,local200304[Established
Accounts Receivable])</f>
        <v>0</v>
      </c>
      <c r="J216" s="331">
        <f>SUBTOTAL(109,local200304[Less: 
Recovered 
Amount])</f>
        <v>0</v>
      </c>
      <c r="K216" s="331">
        <f>SUBTOTAL(109,local200304[Accounts Receivable
Balance])</f>
        <v>0</v>
      </c>
      <c r="L216" s="329">
        <f>SUBTOTAL(109,local200304[Net
Balance])</f>
        <v>36556</v>
      </c>
      <c r="M216" s="52"/>
      <c r="N216" s="160"/>
      <c r="U216" s="52"/>
    </row>
    <row r="217" spans="1:21" ht="15.75" customHeight="1" x14ac:dyDescent="0.25">
      <c r="A217" s="146" t="s">
        <v>181</v>
      </c>
    </row>
    <row r="218" spans="1:21" ht="50.1" customHeight="1" x14ac:dyDescent="0.25">
      <c r="A218" s="28" t="s">
        <v>221</v>
      </c>
      <c r="B218" s="28" t="s">
        <v>268</v>
      </c>
      <c r="C218" s="28" t="s">
        <v>2</v>
      </c>
      <c r="D218" s="169" t="s">
        <v>280</v>
      </c>
      <c r="E218" s="155" t="s">
        <v>223</v>
      </c>
      <c r="F218" s="28" t="s">
        <v>281</v>
      </c>
      <c r="G218" s="154" t="s">
        <v>176</v>
      </c>
      <c r="H218" s="156" t="s">
        <v>270</v>
      </c>
      <c r="I218" s="156" t="s">
        <v>271</v>
      </c>
      <c r="J218" s="156" t="s">
        <v>282</v>
      </c>
      <c r="K218" s="156" t="s">
        <v>272</v>
      </c>
      <c r="L218" s="156" t="s">
        <v>273</v>
      </c>
      <c r="M218" s="52"/>
      <c r="N218" s="160"/>
      <c r="U218" s="52"/>
    </row>
    <row r="219" spans="1:21" ht="15.75" customHeight="1" x14ac:dyDescent="0.2">
      <c r="A219" s="24" t="s">
        <v>361</v>
      </c>
      <c r="B219" s="152" t="s">
        <v>303</v>
      </c>
      <c r="C219" s="23" t="s">
        <v>304</v>
      </c>
      <c r="D219" s="170">
        <v>289</v>
      </c>
      <c r="E219" s="271">
        <v>132994</v>
      </c>
      <c r="F219" s="326">
        <v>0</v>
      </c>
      <c r="G219" s="327" t="s">
        <v>153</v>
      </c>
      <c r="H219" s="271">
        <v>132994</v>
      </c>
      <c r="I219" s="326">
        <v>0</v>
      </c>
      <c r="J219" s="326">
        <v>0</v>
      </c>
      <c r="K219" s="326">
        <v>0</v>
      </c>
      <c r="L219" s="271">
        <v>132994</v>
      </c>
      <c r="M219" s="52"/>
      <c r="N219" s="160"/>
      <c r="U219" s="52"/>
    </row>
    <row r="220" spans="1:21" ht="15" customHeight="1" x14ac:dyDescent="0.2">
      <c r="A220" s="24" t="s">
        <v>361</v>
      </c>
      <c r="B220" s="152" t="s">
        <v>337</v>
      </c>
      <c r="C220" s="23" t="s">
        <v>338</v>
      </c>
      <c r="D220" s="170">
        <v>279</v>
      </c>
      <c r="E220" s="271">
        <v>135482</v>
      </c>
      <c r="F220" s="271">
        <v>112687</v>
      </c>
      <c r="G220" s="327" t="s">
        <v>153</v>
      </c>
      <c r="H220" s="271">
        <v>22795</v>
      </c>
      <c r="I220" s="326">
        <v>0</v>
      </c>
      <c r="J220" s="326">
        <v>0</v>
      </c>
      <c r="K220" s="326">
        <v>0</v>
      </c>
      <c r="L220" s="271">
        <v>22795</v>
      </c>
      <c r="M220" s="52"/>
      <c r="N220" s="160"/>
      <c r="U220" s="52"/>
    </row>
    <row r="221" spans="1:21" ht="15.75" customHeight="1" x14ac:dyDescent="0.25">
      <c r="A221" s="158" t="s">
        <v>391</v>
      </c>
      <c r="B221" s="172" t="s">
        <v>153</v>
      </c>
      <c r="C221" s="118" t="s">
        <v>153</v>
      </c>
      <c r="D221" s="117" t="s">
        <v>153</v>
      </c>
      <c r="E221" s="329">
        <f>SUBTOTAL(109,local200203[Program
Costs])</f>
        <v>268476</v>
      </c>
      <c r="F221" s="329">
        <f>SUBTOTAL(109,local200203[Less: Net 
Payments
 and Offsets 1])</f>
        <v>112687</v>
      </c>
      <c r="G221" s="330" t="s">
        <v>153</v>
      </c>
      <c r="H221" s="329">
        <f>SUBTOTAL(109,local200203[Accounts Payable
Balance])</f>
        <v>155789</v>
      </c>
      <c r="I221" s="331">
        <f>SUBTOTAL(109,local200203[Established
Accounts Receivable])</f>
        <v>0</v>
      </c>
      <c r="J221" s="331">
        <f>SUBTOTAL(109,local200203[Less: 
Recovered 
Amount])</f>
        <v>0</v>
      </c>
      <c r="K221" s="331">
        <f>SUBTOTAL(109,local200203[Accounts Receivable
Balance])</f>
        <v>0</v>
      </c>
      <c r="L221" s="329">
        <f>SUBTOTAL(109,local200203[Net
Balance])</f>
        <v>155789</v>
      </c>
      <c r="M221" s="52"/>
      <c r="N221" s="160"/>
      <c r="U221" s="52"/>
    </row>
    <row r="222" spans="1:21" ht="15.75" customHeight="1" x14ac:dyDescent="0.25">
      <c r="A222" s="146" t="s">
        <v>181</v>
      </c>
    </row>
    <row r="223" spans="1:21" ht="50.1" customHeight="1" x14ac:dyDescent="0.25">
      <c r="A223" s="28" t="s">
        <v>221</v>
      </c>
      <c r="B223" s="28" t="s">
        <v>268</v>
      </c>
      <c r="C223" s="28" t="s">
        <v>2</v>
      </c>
      <c r="D223" s="169" t="s">
        <v>280</v>
      </c>
      <c r="E223" s="155" t="s">
        <v>223</v>
      </c>
      <c r="F223" s="28" t="s">
        <v>281</v>
      </c>
      <c r="G223" s="154" t="s">
        <v>176</v>
      </c>
      <c r="H223" s="156" t="s">
        <v>270</v>
      </c>
      <c r="I223" s="156" t="s">
        <v>271</v>
      </c>
      <c r="J223" s="156" t="s">
        <v>282</v>
      </c>
      <c r="K223" s="156" t="s">
        <v>272</v>
      </c>
      <c r="L223" s="156" t="s">
        <v>273</v>
      </c>
      <c r="M223" s="52"/>
      <c r="N223" s="160"/>
      <c r="U223" s="52"/>
    </row>
    <row r="224" spans="1:21" ht="15.75" customHeight="1" x14ac:dyDescent="0.2">
      <c r="A224" s="24" t="s">
        <v>362</v>
      </c>
      <c r="B224" s="152" t="s">
        <v>309</v>
      </c>
      <c r="C224" s="23" t="s">
        <v>310</v>
      </c>
      <c r="D224" s="170">
        <v>213</v>
      </c>
      <c r="E224" s="271">
        <v>14577947</v>
      </c>
      <c r="F224" s="271">
        <v>14577947</v>
      </c>
      <c r="G224" s="327" t="s">
        <v>153</v>
      </c>
      <c r="H224" s="326">
        <v>0</v>
      </c>
      <c r="I224" s="271">
        <v>25647</v>
      </c>
      <c r="J224" s="271">
        <v>18475</v>
      </c>
      <c r="K224" s="271">
        <v>7172</v>
      </c>
      <c r="L224" s="271">
        <v>-7172</v>
      </c>
      <c r="M224" s="52"/>
      <c r="N224" s="160"/>
      <c r="U224" s="52"/>
    </row>
    <row r="225" spans="1:21" ht="15.75" customHeight="1" x14ac:dyDescent="0.2">
      <c r="A225" s="24" t="s">
        <v>362</v>
      </c>
      <c r="B225" s="152" t="s">
        <v>303</v>
      </c>
      <c r="C225" s="23" t="s">
        <v>304</v>
      </c>
      <c r="D225" s="170">
        <v>289</v>
      </c>
      <c r="E225" s="271">
        <v>116534</v>
      </c>
      <c r="F225" s="326">
        <v>0</v>
      </c>
      <c r="G225" s="327" t="s">
        <v>153</v>
      </c>
      <c r="H225" s="271">
        <v>116534</v>
      </c>
      <c r="I225" s="326">
        <v>0</v>
      </c>
      <c r="J225" s="326">
        <v>0</v>
      </c>
      <c r="K225" s="326">
        <v>0</v>
      </c>
      <c r="L225" s="271">
        <v>116534</v>
      </c>
      <c r="M225" s="52"/>
      <c r="N225" s="160"/>
      <c r="U225" s="52"/>
    </row>
    <row r="226" spans="1:21" ht="15.75" customHeight="1" x14ac:dyDescent="0.2">
      <c r="A226" s="24" t="s">
        <v>362</v>
      </c>
      <c r="B226" s="152" t="s">
        <v>363</v>
      </c>
      <c r="C226" s="23" t="s">
        <v>364</v>
      </c>
      <c r="D226" s="170">
        <v>161</v>
      </c>
      <c r="E226" s="271">
        <v>6083222</v>
      </c>
      <c r="F226" s="271">
        <v>6083222</v>
      </c>
      <c r="G226" s="327" t="s">
        <v>153</v>
      </c>
      <c r="H226" s="326">
        <v>0</v>
      </c>
      <c r="I226" s="271">
        <v>214181</v>
      </c>
      <c r="J226" s="271">
        <v>212019</v>
      </c>
      <c r="K226" s="271">
        <v>2162</v>
      </c>
      <c r="L226" s="271">
        <v>-2162</v>
      </c>
      <c r="M226" s="52"/>
      <c r="N226" s="160"/>
      <c r="U226" s="52"/>
    </row>
    <row r="227" spans="1:21" ht="15" customHeight="1" x14ac:dyDescent="0.2">
      <c r="A227" s="24" t="s">
        <v>362</v>
      </c>
      <c r="B227" s="152" t="s">
        <v>337</v>
      </c>
      <c r="C227" s="23" t="s">
        <v>338</v>
      </c>
      <c r="D227" s="170">
        <v>279</v>
      </c>
      <c r="E227" s="271">
        <v>73775</v>
      </c>
      <c r="F227" s="271">
        <v>62375</v>
      </c>
      <c r="G227" s="327" t="s">
        <v>153</v>
      </c>
      <c r="H227" s="271">
        <v>11400</v>
      </c>
      <c r="I227" s="326">
        <v>0</v>
      </c>
      <c r="J227" s="326">
        <v>0</v>
      </c>
      <c r="K227" s="326">
        <v>0</v>
      </c>
      <c r="L227" s="271">
        <v>11400</v>
      </c>
      <c r="M227" s="52"/>
      <c r="N227" s="160"/>
      <c r="U227" s="52"/>
    </row>
    <row r="228" spans="1:21" ht="15.75" customHeight="1" x14ac:dyDescent="0.25">
      <c r="A228" s="158" t="s">
        <v>392</v>
      </c>
      <c r="B228" s="172" t="s">
        <v>153</v>
      </c>
      <c r="C228" s="118" t="s">
        <v>153</v>
      </c>
      <c r="D228" s="117" t="s">
        <v>153</v>
      </c>
      <c r="E228" s="329">
        <f>SUBTOTAL(109,local200102[Program
Costs])</f>
        <v>20851478</v>
      </c>
      <c r="F228" s="329">
        <f>SUBTOTAL(109,local200102[Less: Net 
Payments
 and Offsets 1])</f>
        <v>20723544</v>
      </c>
      <c r="G228" s="330" t="s">
        <v>153</v>
      </c>
      <c r="H228" s="329">
        <f>SUBTOTAL(109,local200102[Accounts Payable
Balance])</f>
        <v>127934</v>
      </c>
      <c r="I228" s="329">
        <f>SUBTOTAL(109,local200102[Established
Accounts Receivable])</f>
        <v>239828</v>
      </c>
      <c r="J228" s="329">
        <f>SUBTOTAL(109,local200102[Less: 
Recovered 
Amount])</f>
        <v>230494</v>
      </c>
      <c r="K228" s="329">
        <f>SUBTOTAL(109,local200102[Accounts Receivable
Balance])</f>
        <v>9334</v>
      </c>
      <c r="L228" s="329">
        <f>SUBTOTAL(109,local200102[Net
Balance])</f>
        <v>118600</v>
      </c>
      <c r="M228" s="52"/>
      <c r="N228" s="160"/>
      <c r="U228" s="52"/>
    </row>
    <row r="229" spans="1:21" ht="15.75" customHeight="1" x14ac:dyDescent="0.25">
      <c r="A229" s="146" t="s">
        <v>181</v>
      </c>
    </row>
    <row r="230" spans="1:21" ht="50.1" customHeight="1" x14ac:dyDescent="0.25">
      <c r="A230" s="28" t="s">
        <v>221</v>
      </c>
      <c r="B230" s="28" t="s">
        <v>268</v>
      </c>
      <c r="C230" s="28" t="s">
        <v>2</v>
      </c>
      <c r="D230" s="169" t="s">
        <v>280</v>
      </c>
      <c r="E230" s="155" t="s">
        <v>223</v>
      </c>
      <c r="F230" s="28" t="s">
        <v>281</v>
      </c>
      <c r="G230" s="154" t="s">
        <v>176</v>
      </c>
      <c r="H230" s="156" t="s">
        <v>270</v>
      </c>
      <c r="I230" s="156" t="s">
        <v>271</v>
      </c>
      <c r="J230" s="156" t="s">
        <v>282</v>
      </c>
      <c r="K230" s="156" t="s">
        <v>272</v>
      </c>
      <c r="L230" s="156" t="s">
        <v>273</v>
      </c>
      <c r="M230" s="52"/>
      <c r="N230" s="160"/>
      <c r="U230" s="52"/>
    </row>
    <row r="231" spans="1:21" ht="15.75" customHeight="1" x14ac:dyDescent="0.2">
      <c r="A231" s="24" t="s">
        <v>365</v>
      </c>
      <c r="B231" s="152" t="s">
        <v>303</v>
      </c>
      <c r="C231" s="23" t="s">
        <v>304</v>
      </c>
      <c r="D231" s="170">
        <v>289</v>
      </c>
      <c r="E231" s="271">
        <v>112301</v>
      </c>
      <c r="F231" s="326">
        <v>0</v>
      </c>
      <c r="G231" s="327" t="s">
        <v>153</v>
      </c>
      <c r="H231" s="271">
        <v>112301</v>
      </c>
      <c r="I231" s="326">
        <v>0</v>
      </c>
      <c r="J231" s="326">
        <v>0</v>
      </c>
      <c r="K231" s="326">
        <v>0</v>
      </c>
      <c r="L231" s="271">
        <v>112301</v>
      </c>
      <c r="M231" s="52"/>
      <c r="N231" s="160"/>
      <c r="U231" s="52"/>
    </row>
    <row r="232" spans="1:21" ht="15.75" customHeight="1" x14ac:dyDescent="0.25">
      <c r="A232" s="158" t="s">
        <v>393</v>
      </c>
      <c r="B232" s="172" t="s">
        <v>153</v>
      </c>
      <c r="C232" s="118" t="s">
        <v>153</v>
      </c>
      <c r="D232" s="117" t="s">
        <v>153</v>
      </c>
      <c r="E232" s="329">
        <f>SUBTOTAL(109,local200001[Program
Costs])</f>
        <v>112301</v>
      </c>
      <c r="F232" s="331">
        <f>SUBTOTAL(109,local200001[Less: Net 
Payments
 and Offsets 1])</f>
        <v>0</v>
      </c>
      <c r="G232" s="330" t="s">
        <v>153</v>
      </c>
      <c r="H232" s="329">
        <f>SUBTOTAL(109,local200001[Accounts Payable
Balance])</f>
        <v>112301</v>
      </c>
      <c r="I232" s="331">
        <f>SUBTOTAL(109,local200001[Established
Accounts Receivable])</f>
        <v>0</v>
      </c>
      <c r="J232" s="331">
        <f>SUBTOTAL(109,local200001[Less: 
Recovered 
Amount])</f>
        <v>0</v>
      </c>
      <c r="K232" s="331">
        <f>SUBTOTAL(109,local200001[Accounts Receivable
Balance])</f>
        <v>0</v>
      </c>
      <c r="L232" s="329">
        <f>SUBTOTAL(109,local200001[Net
Balance])</f>
        <v>112301</v>
      </c>
      <c r="M232" s="52"/>
      <c r="N232" s="160"/>
      <c r="U232" s="52"/>
    </row>
    <row r="233" spans="1:21" ht="15.75" customHeight="1" x14ac:dyDescent="0.25">
      <c r="A233" s="146" t="s">
        <v>181</v>
      </c>
    </row>
    <row r="234" spans="1:21" ht="50.1" customHeight="1" x14ac:dyDescent="0.25">
      <c r="A234" s="28" t="s">
        <v>221</v>
      </c>
      <c r="B234" s="28" t="s">
        <v>268</v>
      </c>
      <c r="C234" s="28" t="s">
        <v>2</v>
      </c>
      <c r="D234" s="169" t="s">
        <v>280</v>
      </c>
      <c r="E234" s="155" t="s">
        <v>223</v>
      </c>
      <c r="F234" s="28" t="s">
        <v>281</v>
      </c>
      <c r="G234" s="154" t="s">
        <v>176</v>
      </c>
      <c r="H234" s="156" t="s">
        <v>270</v>
      </c>
      <c r="I234" s="156" t="s">
        <v>271</v>
      </c>
      <c r="J234" s="156" t="s">
        <v>282</v>
      </c>
      <c r="K234" s="156" t="s">
        <v>272</v>
      </c>
      <c r="L234" s="156" t="s">
        <v>273</v>
      </c>
      <c r="M234" s="52"/>
      <c r="N234" s="160"/>
      <c r="U234" s="52"/>
    </row>
    <row r="235" spans="1:21" ht="15.75" customHeight="1" x14ac:dyDescent="0.2">
      <c r="A235" s="24" t="s">
        <v>366</v>
      </c>
      <c r="B235" s="152" t="s">
        <v>309</v>
      </c>
      <c r="C235" s="23" t="s">
        <v>310</v>
      </c>
      <c r="D235" s="170">
        <v>213</v>
      </c>
      <c r="E235" s="271">
        <v>13692831</v>
      </c>
      <c r="F235" s="271">
        <v>13692379</v>
      </c>
      <c r="G235" s="327" t="s">
        <v>153</v>
      </c>
      <c r="H235" s="271">
        <v>452</v>
      </c>
      <c r="I235" s="271">
        <v>3459493</v>
      </c>
      <c r="J235" s="271">
        <v>3459493</v>
      </c>
      <c r="K235" s="326">
        <v>0</v>
      </c>
      <c r="L235" s="271">
        <v>452</v>
      </c>
      <c r="M235" s="52"/>
      <c r="N235" s="160"/>
      <c r="U235" s="52"/>
    </row>
    <row r="236" spans="1:21" ht="15.75" customHeight="1" x14ac:dyDescent="0.2">
      <c r="A236" s="24" t="s">
        <v>366</v>
      </c>
      <c r="B236" s="152" t="s">
        <v>303</v>
      </c>
      <c r="C236" s="23" t="s">
        <v>304</v>
      </c>
      <c r="D236" s="170">
        <v>289</v>
      </c>
      <c r="E236" s="271">
        <v>32985</v>
      </c>
      <c r="F236" s="326">
        <v>0</v>
      </c>
      <c r="G236" s="327" t="s">
        <v>153</v>
      </c>
      <c r="H236" s="271">
        <v>32985</v>
      </c>
      <c r="I236" s="326">
        <v>0</v>
      </c>
      <c r="J236" s="326">
        <v>0</v>
      </c>
      <c r="K236" s="326">
        <v>0</v>
      </c>
      <c r="L236" s="271">
        <v>32985</v>
      </c>
      <c r="M236" s="52"/>
      <c r="N236" s="160"/>
      <c r="U236" s="52"/>
    </row>
    <row r="237" spans="1:21" ht="15.75" customHeight="1" x14ac:dyDescent="0.2">
      <c r="A237" s="24" t="s">
        <v>366</v>
      </c>
      <c r="B237" s="152" t="s">
        <v>331</v>
      </c>
      <c r="C237" s="23" t="s">
        <v>332</v>
      </c>
      <c r="D237" s="170">
        <v>124</v>
      </c>
      <c r="E237" s="271">
        <v>811698</v>
      </c>
      <c r="F237" s="271">
        <v>811698</v>
      </c>
      <c r="G237" s="327" t="s">
        <v>153</v>
      </c>
      <c r="H237" s="326">
        <v>0</v>
      </c>
      <c r="I237" s="271">
        <v>1488386</v>
      </c>
      <c r="J237" s="271">
        <v>1402610</v>
      </c>
      <c r="K237" s="271">
        <v>85776</v>
      </c>
      <c r="L237" s="271">
        <v>-85776</v>
      </c>
      <c r="M237" s="52"/>
      <c r="N237" s="160"/>
      <c r="U237" s="52"/>
    </row>
    <row r="238" spans="1:21" ht="15.75" customHeight="1" x14ac:dyDescent="0.2">
      <c r="A238" s="24" t="s">
        <v>366</v>
      </c>
      <c r="B238" s="152" t="s">
        <v>367</v>
      </c>
      <c r="C238" s="23" t="s">
        <v>368</v>
      </c>
      <c r="D238" s="170">
        <v>180</v>
      </c>
      <c r="E238" s="271">
        <v>105659</v>
      </c>
      <c r="F238" s="271">
        <v>105659</v>
      </c>
      <c r="G238" s="327" t="s">
        <v>153</v>
      </c>
      <c r="H238" s="326">
        <v>0</v>
      </c>
      <c r="I238" s="271">
        <v>14707</v>
      </c>
      <c r="J238" s="271">
        <v>13726</v>
      </c>
      <c r="K238" s="271">
        <v>981</v>
      </c>
      <c r="L238" s="271">
        <v>-981</v>
      </c>
      <c r="M238" s="52"/>
      <c r="N238" s="160"/>
      <c r="U238" s="52"/>
    </row>
    <row r="239" spans="1:21" ht="15.75" customHeight="1" x14ac:dyDescent="0.25">
      <c r="A239" s="158" t="s">
        <v>394</v>
      </c>
      <c r="B239" s="172" t="s">
        <v>153</v>
      </c>
      <c r="C239" s="118" t="s">
        <v>153</v>
      </c>
      <c r="D239" s="117" t="s">
        <v>153</v>
      </c>
      <c r="E239" s="329">
        <f>SUBTOTAL(109,local199900[Program
Costs])</f>
        <v>14643173</v>
      </c>
      <c r="F239" s="329">
        <f>SUBTOTAL(109,local199900[Less: Net 
Payments
 and Offsets 1])</f>
        <v>14609736</v>
      </c>
      <c r="G239" s="330" t="s">
        <v>153</v>
      </c>
      <c r="H239" s="329">
        <f>SUBTOTAL(109,local199900[Accounts Payable
Balance])</f>
        <v>33437</v>
      </c>
      <c r="I239" s="329">
        <f>SUBTOTAL(109,local199900[Established
Accounts Receivable])</f>
        <v>4962586</v>
      </c>
      <c r="J239" s="329">
        <f>SUBTOTAL(109,local199900[Less: 
Recovered 
Amount])</f>
        <v>4875829</v>
      </c>
      <c r="K239" s="329">
        <f>SUBTOTAL(109,local199900[Accounts Receivable
Balance])</f>
        <v>86757</v>
      </c>
      <c r="L239" s="329">
        <f>SUBTOTAL(109,local199900[Net
Balance])</f>
        <v>-53320</v>
      </c>
      <c r="M239" s="52"/>
      <c r="N239" s="160"/>
      <c r="U239" s="52"/>
    </row>
    <row r="240" spans="1:21" ht="15.75" customHeight="1" x14ac:dyDescent="0.25">
      <c r="A240" s="146" t="s">
        <v>181</v>
      </c>
    </row>
    <row r="241" spans="1:21" ht="50.1" customHeight="1" x14ac:dyDescent="0.25">
      <c r="A241" s="28" t="s">
        <v>221</v>
      </c>
      <c r="B241" s="28" t="s">
        <v>268</v>
      </c>
      <c r="C241" s="28" t="s">
        <v>2</v>
      </c>
      <c r="D241" s="169" t="s">
        <v>280</v>
      </c>
      <c r="E241" s="155" t="s">
        <v>223</v>
      </c>
      <c r="F241" s="28" t="s">
        <v>281</v>
      </c>
      <c r="G241" s="154" t="s">
        <v>176</v>
      </c>
      <c r="H241" s="156" t="s">
        <v>270</v>
      </c>
      <c r="I241" s="156" t="s">
        <v>271</v>
      </c>
      <c r="J241" s="156" t="s">
        <v>282</v>
      </c>
      <c r="K241" s="156" t="s">
        <v>272</v>
      </c>
      <c r="L241" s="156" t="s">
        <v>273</v>
      </c>
      <c r="M241" s="52"/>
      <c r="N241" s="160"/>
      <c r="U241" s="52"/>
    </row>
    <row r="242" spans="1:21" ht="15.75" customHeight="1" x14ac:dyDescent="0.2">
      <c r="A242" s="24" t="s">
        <v>369</v>
      </c>
      <c r="B242" s="152" t="s">
        <v>309</v>
      </c>
      <c r="C242" s="23" t="s">
        <v>310</v>
      </c>
      <c r="D242" s="170">
        <v>213</v>
      </c>
      <c r="E242" s="271">
        <v>2654301</v>
      </c>
      <c r="F242" s="271">
        <v>2613916</v>
      </c>
      <c r="G242" s="327" t="s">
        <v>153</v>
      </c>
      <c r="H242" s="271">
        <v>40385</v>
      </c>
      <c r="I242" s="271">
        <v>1280135</v>
      </c>
      <c r="J242" s="271">
        <v>1280135</v>
      </c>
      <c r="K242" s="326">
        <v>0</v>
      </c>
      <c r="L242" s="271">
        <v>40385</v>
      </c>
      <c r="M242" s="52"/>
      <c r="N242" s="160"/>
      <c r="U242" s="52"/>
    </row>
    <row r="243" spans="1:21" ht="15.75" customHeight="1" x14ac:dyDescent="0.2">
      <c r="A243" s="24" t="s">
        <v>369</v>
      </c>
      <c r="B243" s="152" t="s">
        <v>370</v>
      </c>
      <c r="C243" s="23" t="s">
        <v>294</v>
      </c>
      <c r="D243" s="170">
        <v>49</v>
      </c>
      <c r="E243" s="271">
        <v>5316132</v>
      </c>
      <c r="F243" s="271">
        <v>5316132</v>
      </c>
      <c r="G243" s="327" t="s">
        <v>153</v>
      </c>
      <c r="H243" s="326">
        <v>0</v>
      </c>
      <c r="I243" s="271">
        <v>670665</v>
      </c>
      <c r="J243" s="271">
        <v>669938</v>
      </c>
      <c r="K243" s="271">
        <v>727</v>
      </c>
      <c r="L243" s="271">
        <v>-727</v>
      </c>
      <c r="M243" s="52"/>
      <c r="N243" s="160"/>
      <c r="U243" s="52"/>
    </row>
    <row r="244" spans="1:21" ht="15" customHeight="1" x14ac:dyDescent="0.2">
      <c r="A244" s="24" t="s">
        <v>369</v>
      </c>
      <c r="B244" s="152" t="s">
        <v>371</v>
      </c>
      <c r="C244" s="23" t="s">
        <v>372</v>
      </c>
      <c r="D244" s="170">
        <v>55</v>
      </c>
      <c r="E244" s="271">
        <v>1323819</v>
      </c>
      <c r="F244" s="271">
        <v>1323819</v>
      </c>
      <c r="G244" s="327" t="s">
        <v>153</v>
      </c>
      <c r="H244" s="326">
        <v>0</v>
      </c>
      <c r="I244" s="271">
        <v>647104</v>
      </c>
      <c r="J244" s="271">
        <v>481403</v>
      </c>
      <c r="K244" s="271">
        <v>165701</v>
      </c>
      <c r="L244" s="271">
        <v>-165701</v>
      </c>
      <c r="M244" s="52"/>
      <c r="N244" s="160"/>
      <c r="U244" s="52"/>
    </row>
    <row r="245" spans="1:21" ht="15.75" customHeight="1" x14ac:dyDescent="0.25">
      <c r="A245" s="158" t="s">
        <v>395</v>
      </c>
      <c r="B245" s="172" t="s">
        <v>153</v>
      </c>
      <c r="C245" s="118" t="s">
        <v>153</v>
      </c>
      <c r="D245" s="117" t="s">
        <v>153</v>
      </c>
      <c r="E245" s="329">
        <f>SUBTOTAL(109,local199899[Program
Costs])</f>
        <v>9294252</v>
      </c>
      <c r="F245" s="329">
        <f>SUBTOTAL(109,local199899[Less: Net 
Payments
 and Offsets 1])</f>
        <v>9253867</v>
      </c>
      <c r="G245" s="330" t="s">
        <v>153</v>
      </c>
      <c r="H245" s="329">
        <f>SUBTOTAL(109,local199899[Accounts Payable
Balance])</f>
        <v>40385</v>
      </c>
      <c r="I245" s="329">
        <f>SUBTOTAL(109,local199899[Established
Accounts Receivable])</f>
        <v>2597904</v>
      </c>
      <c r="J245" s="329">
        <f>SUBTOTAL(109,local199899[Less: 
Recovered 
Amount])</f>
        <v>2431476</v>
      </c>
      <c r="K245" s="329">
        <f>SUBTOTAL(109,local199899[Accounts Receivable
Balance])</f>
        <v>166428</v>
      </c>
      <c r="L245" s="329">
        <f>SUBTOTAL(109,local199899[Net
Balance])</f>
        <v>-126043</v>
      </c>
      <c r="M245" s="52"/>
      <c r="N245" s="160"/>
      <c r="U245" s="52"/>
    </row>
    <row r="246" spans="1:21" ht="15.75" customHeight="1" x14ac:dyDescent="0.25">
      <c r="A246" s="146" t="s">
        <v>181</v>
      </c>
    </row>
    <row r="247" spans="1:21" ht="50.1" customHeight="1" x14ac:dyDescent="0.25">
      <c r="A247" s="28" t="s">
        <v>221</v>
      </c>
      <c r="B247" s="28" t="s">
        <v>268</v>
      </c>
      <c r="C247" s="28" t="s">
        <v>2</v>
      </c>
      <c r="D247" s="169" t="s">
        <v>280</v>
      </c>
      <c r="E247" s="155" t="s">
        <v>223</v>
      </c>
      <c r="F247" s="28" t="s">
        <v>281</v>
      </c>
      <c r="G247" s="154" t="s">
        <v>176</v>
      </c>
      <c r="H247" s="156" t="s">
        <v>270</v>
      </c>
      <c r="I247" s="156" t="s">
        <v>271</v>
      </c>
      <c r="J247" s="156" t="s">
        <v>282</v>
      </c>
      <c r="K247" s="156" t="s">
        <v>272</v>
      </c>
      <c r="L247" s="156" t="s">
        <v>273</v>
      </c>
      <c r="M247" s="52"/>
      <c r="N247" s="160"/>
      <c r="U247" s="52"/>
    </row>
    <row r="248" spans="1:21" ht="15.75" customHeight="1" x14ac:dyDescent="0.2">
      <c r="A248" s="24" t="s">
        <v>373</v>
      </c>
      <c r="B248" s="152" t="s">
        <v>305</v>
      </c>
      <c r="C248" s="23" t="s">
        <v>306</v>
      </c>
      <c r="D248" s="170">
        <v>41</v>
      </c>
      <c r="E248" s="271">
        <v>3841394</v>
      </c>
      <c r="F248" s="271">
        <v>3841394</v>
      </c>
      <c r="G248" s="327" t="s">
        <v>153</v>
      </c>
      <c r="H248" s="326">
        <v>0</v>
      </c>
      <c r="I248" s="271">
        <v>230325</v>
      </c>
      <c r="J248" s="271">
        <v>229212</v>
      </c>
      <c r="K248" s="271">
        <v>1113</v>
      </c>
      <c r="L248" s="271">
        <v>-1113</v>
      </c>
      <c r="M248" s="52"/>
      <c r="N248" s="160"/>
      <c r="U248" s="52"/>
    </row>
    <row r="249" spans="1:21" ht="15.75" customHeight="1" x14ac:dyDescent="0.2">
      <c r="A249" s="24" t="s">
        <v>373</v>
      </c>
      <c r="B249" s="152" t="s">
        <v>370</v>
      </c>
      <c r="C249" s="23" t="s">
        <v>294</v>
      </c>
      <c r="D249" s="170">
        <v>49</v>
      </c>
      <c r="E249" s="271">
        <v>4707412</v>
      </c>
      <c r="F249" s="271">
        <v>4707412</v>
      </c>
      <c r="G249" s="327" t="s">
        <v>153</v>
      </c>
      <c r="H249" s="326">
        <v>0</v>
      </c>
      <c r="I249" s="271">
        <v>183902</v>
      </c>
      <c r="J249" s="271">
        <v>183169</v>
      </c>
      <c r="K249" s="271">
        <v>733</v>
      </c>
      <c r="L249" s="271">
        <v>-733</v>
      </c>
      <c r="M249" s="52"/>
      <c r="N249" s="160"/>
      <c r="U249" s="52"/>
    </row>
    <row r="250" spans="1:21" ht="15.75" customHeight="1" x14ac:dyDescent="0.25">
      <c r="A250" s="158" t="s">
        <v>396</v>
      </c>
      <c r="B250" s="172" t="s">
        <v>153</v>
      </c>
      <c r="C250" s="118" t="s">
        <v>153</v>
      </c>
      <c r="D250" s="117" t="s">
        <v>153</v>
      </c>
      <c r="E250" s="329">
        <f>SUBTOTAL(109,local199798[Program
Costs])</f>
        <v>8548806</v>
      </c>
      <c r="F250" s="329">
        <f>SUBTOTAL(109,local199798[Less: Net 
Payments
 and Offsets 1])</f>
        <v>8548806</v>
      </c>
      <c r="G250" s="330" t="s">
        <v>153</v>
      </c>
      <c r="H250" s="331">
        <f>SUBTOTAL(109,local199798[Accounts Payable
Balance])</f>
        <v>0</v>
      </c>
      <c r="I250" s="329">
        <f>SUBTOTAL(109,local199798[Established
Accounts Receivable])</f>
        <v>414227</v>
      </c>
      <c r="J250" s="329">
        <f>SUBTOTAL(109,local199798[Less: 
Recovered 
Amount])</f>
        <v>412381</v>
      </c>
      <c r="K250" s="329">
        <f>SUBTOTAL(109,local199798[Accounts Receivable
Balance])</f>
        <v>1846</v>
      </c>
      <c r="L250" s="329">
        <f>SUBTOTAL(109,local199798[Net
Balance])</f>
        <v>-1846</v>
      </c>
      <c r="M250" s="52"/>
      <c r="N250" s="160"/>
      <c r="U250" s="52"/>
    </row>
    <row r="251" spans="1:21" ht="15.75" customHeight="1" x14ac:dyDescent="0.25">
      <c r="A251" s="146" t="s">
        <v>181</v>
      </c>
    </row>
    <row r="252" spans="1:21" ht="50.1" customHeight="1" x14ac:dyDescent="0.25">
      <c r="A252" s="28" t="s">
        <v>221</v>
      </c>
      <c r="B252" s="28" t="s">
        <v>268</v>
      </c>
      <c r="C252" s="28" t="s">
        <v>2</v>
      </c>
      <c r="D252" s="169" t="s">
        <v>280</v>
      </c>
      <c r="E252" s="155" t="s">
        <v>223</v>
      </c>
      <c r="F252" s="28" t="s">
        <v>281</v>
      </c>
      <c r="G252" s="154" t="s">
        <v>176</v>
      </c>
      <c r="H252" s="156" t="s">
        <v>270</v>
      </c>
      <c r="I252" s="156" t="s">
        <v>271</v>
      </c>
      <c r="J252" s="156" t="s">
        <v>282</v>
      </c>
      <c r="K252" s="156" t="s">
        <v>272</v>
      </c>
      <c r="L252" s="156" t="s">
        <v>273</v>
      </c>
      <c r="M252" s="52"/>
      <c r="N252" s="160"/>
      <c r="U252" s="52"/>
    </row>
    <row r="253" spans="1:21" ht="15.75" customHeight="1" x14ac:dyDescent="0.2">
      <c r="A253" s="24" t="s">
        <v>374</v>
      </c>
      <c r="B253" s="152" t="s">
        <v>305</v>
      </c>
      <c r="C253" s="23" t="s">
        <v>306</v>
      </c>
      <c r="D253" s="170">
        <v>41</v>
      </c>
      <c r="E253" s="271">
        <v>3560480</v>
      </c>
      <c r="F253" s="271">
        <v>3560480</v>
      </c>
      <c r="G253" s="327" t="s">
        <v>153</v>
      </c>
      <c r="H253" s="326">
        <v>0</v>
      </c>
      <c r="I253" s="271">
        <v>319940</v>
      </c>
      <c r="J253" s="271">
        <v>319763</v>
      </c>
      <c r="K253" s="271">
        <v>177</v>
      </c>
      <c r="L253" s="271">
        <v>-177</v>
      </c>
      <c r="M253" s="52"/>
      <c r="N253" s="160"/>
      <c r="U253" s="52"/>
    </row>
    <row r="254" spans="1:21" ht="15.75" customHeight="1" x14ac:dyDescent="0.25">
      <c r="A254" s="158" t="s">
        <v>397</v>
      </c>
      <c r="B254" s="172" t="s">
        <v>153</v>
      </c>
      <c r="C254" s="118" t="s">
        <v>153</v>
      </c>
      <c r="D254" s="117" t="s">
        <v>153</v>
      </c>
      <c r="E254" s="329">
        <f>SUBTOTAL(109,local199697[Program
Costs])</f>
        <v>3560480</v>
      </c>
      <c r="F254" s="329">
        <f>SUBTOTAL(109,local199697[Less: Net 
Payments
 and Offsets 1])</f>
        <v>3560480</v>
      </c>
      <c r="G254" s="330" t="s">
        <v>153</v>
      </c>
      <c r="H254" s="331">
        <f>SUBTOTAL(109,local199697[Accounts Payable
Balance])</f>
        <v>0</v>
      </c>
      <c r="I254" s="329">
        <f>SUBTOTAL(109,local199697[Established
Accounts Receivable])</f>
        <v>319940</v>
      </c>
      <c r="J254" s="329">
        <f>SUBTOTAL(109,local199697[Less: 
Recovered 
Amount])</f>
        <v>319763</v>
      </c>
      <c r="K254" s="329">
        <f>SUBTOTAL(109,local199697[Accounts Receivable
Balance])</f>
        <v>177</v>
      </c>
      <c r="L254" s="329">
        <f>SUBTOTAL(109,local199697[Net
Balance])</f>
        <v>-177</v>
      </c>
      <c r="M254" s="52"/>
      <c r="N254" s="160"/>
      <c r="U254" s="52"/>
    </row>
    <row r="255" spans="1:21" ht="15.75" customHeight="1" x14ac:dyDescent="0.25">
      <c r="A255" s="146" t="s">
        <v>181</v>
      </c>
    </row>
    <row r="256" spans="1:21" ht="50.1" customHeight="1" x14ac:dyDescent="0.25">
      <c r="A256" s="28" t="s">
        <v>221</v>
      </c>
      <c r="B256" s="28" t="s">
        <v>268</v>
      </c>
      <c r="C256" s="28" t="s">
        <v>2</v>
      </c>
      <c r="D256" s="169" t="s">
        <v>280</v>
      </c>
      <c r="E256" s="155" t="s">
        <v>223</v>
      </c>
      <c r="F256" s="28" t="s">
        <v>281</v>
      </c>
      <c r="G256" s="154" t="s">
        <v>176</v>
      </c>
      <c r="H256" s="156" t="s">
        <v>270</v>
      </c>
      <c r="I256" s="156" t="s">
        <v>271</v>
      </c>
      <c r="J256" s="156" t="s">
        <v>282</v>
      </c>
      <c r="K256" s="156" t="s">
        <v>272</v>
      </c>
      <c r="L256" s="156" t="s">
        <v>273</v>
      </c>
      <c r="M256" s="52"/>
      <c r="N256" s="160"/>
      <c r="U256" s="52"/>
    </row>
    <row r="257" spans="1:21" ht="15.75" customHeight="1" x14ac:dyDescent="0.2">
      <c r="A257" s="24" t="s">
        <v>375</v>
      </c>
      <c r="B257" s="152" t="s">
        <v>305</v>
      </c>
      <c r="C257" s="23" t="s">
        <v>306</v>
      </c>
      <c r="D257" s="170">
        <v>41</v>
      </c>
      <c r="E257" s="271">
        <v>2968144</v>
      </c>
      <c r="F257" s="271">
        <v>2968144</v>
      </c>
      <c r="G257" s="327" t="s">
        <v>153</v>
      </c>
      <c r="H257" s="326">
        <v>0</v>
      </c>
      <c r="I257" s="271">
        <v>661263</v>
      </c>
      <c r="J257" s="271">
        <v>657646</v>
      </c>
      <c r="K257" s="271">
        <v>3617</v>
      </c>
      <c r="L257" s="271">
        <v>-3617</v>
      </c>
      <c r="M257" s="52"/>
      <c r="N257" s="160"/>
      <c r="U257" s="52"/>
    </row>
    <row r="258" spans="1:21" ht="15.75" customHeight="1" x14ac:dyDescent="0.2">
      <c r="A258" s="24" t="s">
        <v>375</v>
      </c>
      <c r="B258" s="152" t="s">
        <v>370</v>
      </c>
      <c r="C258" s="23" t="s">
        <v>294</v>
      </c>
      <c r="D258" s="170">
        <v>49</v>
      </c>
      <c r="E258" s="271">
        <v>3690222</v>
      </c>
      <c r="F258" s="271">
        <v>3690222</v>
      </c>
      <c r="G258" s="327" t="s">
        <v>153</v>
      </c>
      <c r="H258" s="326">
        <v>0</v>
      </c>
      <c r="I258" s="271">
        <v>870559</v>
      </c>
      <c r="J258" s="271">
        <v>867771</v>
      </c>
      <c r="K258" s="271">
        <v>2788</v>
      </c>
      <c r="L258" s="271">
        <v>-2788</v>
      </c>
      <c r="M258" s="52"/>
      <c r="N258" s="160"/>
      <c r="U258" s="52"/>
    </row>
    <row r="259" spans="1:21" ht="15.75" customHeight="1" x14ac:dyDescent="0.25">
      <c r="A259" s="158" t="s">
        <v>398</v>
      </c>
      <c r="B259" s="172" t="s">
        <v>153</v>
      </c>
      <c r="C259" s="118" t="s">
        <v>153</v>
      </c>
      <c r="D259" s="117" t="s">
        <v>153</v>
      </c>
      <c r="E259" s="329">
        <f>SUBTOTAL(109,local199596[Program
Costs])</f>
        <v>6658366</v>
      </c>
      <c r="F259" s="329">
        <f>SUBTOTAL(109,local199596[Less: Net 
Payments
 and Offsets 1])</f>
        <v>6658366</v>
      </c>
      <c r="G259" s="330" t="s">
        <v>153</v>
      </c>
      <c r="H259" s="331">
        <f>SUBTOTAL(109,local199596[Accounts Payable
Balance])</f>
        <v>0</v>
      </c>
      <c r="I259" s="329">
        <f>SUBTOTAL(109,local199596[Established
Accounts Receivable])</f>
        <v>1531822</v>
      </c>
      <c r="J259" s="329">
        <f>SUBTOTAL(109,local199596[Less: 
Recovered 
Amount])</f>
        <v>1525417</v>
      </c>
      <c r="K259" s="329">
        <f>SUBTOTAL(109,local199596[Accounts Receivable
Balance])</f>
        <v>6405</v>
      </c>
      <c r="L259" s="329">
        <f>SUBTOTAL(109,local199596[Net
Balance])</f>
        <v>-6405</v>
      </c>
      <c r="M259" s="52"/>
      <c r="N259" s="160"/>
      <c r="U259" s="52"/>
    </row>
    <row r="260" spans="1:21" ht="15.75" customHeight="1" x14ac:dyDescent="0.25">
      <c r="A260" s="146" t="s">
        <v>181</v>
      </c>
    </row>
    <row r="261" spans="1:21" ht="50.1" customHeight="1" x14ac:dyDescent="0.25">
      <c r="A261" s="28" t="s">
        <v>221</v>
      </c>
      <c r="B261" s="28" t="s">
        <v>268</v>
      </c>
      <c r="C261" s="28" t="s">
        <v>2</v>
      </c>
      <c r="D261" s="169" t="s">
        <v>280</v>
      </c>
      <c r="E261" s="155" t="s">
        <v>223</v>
      </c>
      <c r="F261" s="28" t="s">
        <v>281</v>
      </c>
      <c r="G261" s="154" t="s">
        <v>176</v>
      </c>
      <c r="H261" s="156" t="s">
        <v>270</v>
      </c>
      <c r="I261" s="156" t="s">
        <v>271</v>
      </c>
      <c r="J261" s="156" t="s">
        <v>282</v>
      </c>
      <c r="K261" s="156" t="s">
        <v>272</v>
      </c>
      <c r="L261" s="156" t="s">
        <v>273</v>
      </c>
      <c r="M261" s="52"/>
      <c r="N261" s="160"/>
      <c r="U261" s="52"/>
    </row>
    <row r="262" spans="1:21" ht="15.75" customHeight="1" x14ac:dyDescent="0.2">
      <c r="A262" s="24" t="s">
        <v>376</v>
      </c>
      <c r="B262" s="152" t="s">
        <v>305</v>
      </c>
      <c r="C262" s="23" t="s">
        <v>306</v>
      </c>
      <c r="D262" s="170">
        <v>41</v>
      </c>
      <c r="E262" s="271">
        <v>3097183</v>
      </c>
      <c r="F262" s="271">
        <v>3097183</v>
      </c>
      <c r="G262" s="327" t="s">
        <v>153</v>
      </c>
      <c r="H262" s="326">
        <v>0</v>
      </c>
      <c r="I262" s="271">
        <v>201105</v>
      </c>
      <c r="J262" s="271">
        <v>200520</v>
      </c>
      <c r="K262" s="271">
        <v>585</v>
      </c>
      <c r="L262" s="271">
        <v>-585</v>
      </c>
      <c r="M262" s="52"/>
      <c r="N262" s="160"/>
      <c r="U262" s="52"/>
    </row>
    <row r="263" spans="1:21" ht="15.75" customHeight="1" x14ac:dyDescent="0.25">
      <c r="A263" s="158" t="s">
        <v>399</v>
      </c>
      <c r="B263" s="172" t="s">
        <v>153</v>
      </c>
      <c r="C263" s="118" t="s">
        <v>153</v>
      </c>
      <c r="D263" s="117" t="s">
        <v>153</v>
      </c>
      <c r="E263" s="329">
        <f>SUBTOTAL(109,local199495[Program
Costs])</f>
        <v>3097183</v>
      </c>
      <c r="F263" s="329">
        <f>SUBTOTAL(109,local199495[Less: Net 
Payments
 and Offsets 1])</f>
        <v>3097183</v>
      </c>
      <c r="G263" s="330" t="s">
        <v>153</v>
      </c>
      <c r="H263" s="331">
        <f>SUBTOTAL(109,local199495[Accounts Payable
Balance])</f>
        <v>0</v>
      </c>
      <c r="I263" s="329">
        <f>SUBTOTAL(109,local199495[Established
Accounts Receivable])</f>
        <v>201105</v>
      </c>
      <c r="J263" s="329">
        <f>SUBTOTAL(109,local199495[Less: 
Recovered 
Amount])</f>
        <v>200520</v>
      </c>
      <c r="K263" s="329">
        <f>SUBTOTAL(109,local199495[Accounts Receivable
Balance])</f>
        <v>585</v>
      </c>
      <c r="L263" s="329">
        <f>SUBTOTAL(109,local199495[Net
Balance])</f>
        <v>-585</v>
      </c>
      <c r="M263" s="52"/>
      <c r="N263" s="160"/>
      <c r="U263" s="52"/>
    </row>
    <row r="264" spans="1:21" ht="15.75" customHeight="1" x14ac:dyDescent="0.25">
      <c r="A264" s="146" t="s">
        <v>181</v>
      </c>
    </row>
    <row r="265" spans="1:21" ht="50.1" customHeight="1" x14ac:dyDescent="0.25">
      <c r="A265" s="28" t="s">
        <v>221</v>
      </c>
      <c r="B265" s="28" t="s">
        <v>268</v>
      </c>
      <c r="C265" s="28" t="s">
        <v>2</v>
      </c>
      <c r="D265" s="169" t="s">
        <v>280</v>
      </c>
      <c r="E265" s="155" t="s">
        <v>223</v>
      </c>
      <c r="F265" s="28" t="s">
        <v>281</v>
      </c>
      <c r="G265" s="154" t="s">
        <v>176</v>
      </c>
      <c r="H265" s="156" t="s">
        <v>270</v>
      </c>
      <c r="I265" s="156" t="s">
        <v>271</v>
      </c>
      <c r="J265" s="156" t="s">
        <v>282</v>
      </c>
      <c r="K265" s="156" t="s">
        <v>272</v>
      </c>
      <c r="L265" s="156" t="s">
        <v>273</v>
      </c>
      <c r="M265" s="52"/>
      <c r="N265" s="160"/>
      <c r="U265" s="52"/>
    </row>
    <row r="266" spans="1:21" ht="15.75" customHeight="1" x14ac:dyDescent="0.2">
      <c r="A266" s="24" t="s">
        <v>377</v>
      </c>
      <c r="B266" s="152" t="s">
        <v>370</v>
      </c>
      <c r="C266" s="23" t="s">
        <v>294</v>
      </c>
      <c r="D266" s="170">
        <v>49</v>
      </c>
      <c r="E266" s="271">
        <v>4970992</v>
      </c>
      <c r="F266" s="271">
        <v>4970992</v>
      </c>
      <c r="G266" s="327" t="s">
        <v>153</v>
      </c>
      <c r="H266" s="326">
        <v>0</v>
      </c>
      <c r="I266" s="271">
        <v>713</v>
      </c>
      <c r="J266" s="326">
        <v>0</v>
      </c>
      <c r="K266" s="271">
        <v>713</v>
      </c>
      <c r="L266" s="271">
        <v>-713</v>
      </c>
      <c r="M266" s="52"/>
      <c r="N266" s="160"/>
      <c r="U266" s="52"/>
    </row>
    <row r="267" spans="1:21" ht="15.75" customHeight="1" x14ac:dyDescent="0.2">
      <c r="A267" s="24" t="s">
        <v>377</v>
      </c>
      <c r="B267" s="152" t="s">
        <v>378</v>
      </c>
      <c r="C267" s="23" t="s">
        <v>379</v>
      </c>
      <c r="D267" s="170">
        <v>24</v>
      </c>
      <c r="E267" s="271">
        <v>722127</v>
      </c>
      <c r="F267" s="271">
        <v>722127</v>
      </c>
      <c r="G267" s="327" t="s">
        <v>153</v>
      </c>
      <c r="H267" s="326">
        <v>0</v>
      </c>
      <c r="I267" s="271">
        <v>2253</v>
      </c>
      <c r="J267" s="326">
        <v>0</v>
      </c>
      <c r="K267" s="271">
        <v>2253</v>
      </c>
      <c r="L267" s="271">
        <v>-2253</v>
      </c>
      <c r="M267" s="52"/>
      <c r="N267" s="160"/>
      <c r="U267" s="52"/>
    </row>
    <row r="268" spans="1:21" ht="15.75" customHeight="1" x14ac:dyDescent="0.25">
      <c r="A268" s="158" t="s">
        <v>400</v>
      </c>
      <c r="B268" s="172" t="s">
        <v>153</v>
      </c>
      <c r="C268" s="118" t="s">
        <v>153</v>
      </c>
      <c r="D268" s="117" t="s">
        <v>153</v>
      </c>
      <c r="E268" s="329">
        <f>SUBTOTAL(109,local199293[Program
Costs])</f>
        <v>5693119</v>
      </c>
      <c r="F268" s="329">
        <f>SUBTOTAL(109,local199293[Less: Net 
Payments
 and Offsets 1])</f>
        <v>5693119</v>
      </c>
      <c r="G268" s="330" t="s">
        <v>153</v>
      </c>
      <c r="H268" s="331">
        <f>SUBTOTAL(109,local199293[Accounts Payable
Balance])</f>
        <v>0</v>
      </c>
      <c r="I268" s="329">
        <f>SUBTOTAL(109,local199293[Established
Accounts Receivable])</f>
        <v>2966</v>
      </c>
      <c r="J268" s="331">
        <f>SUBTOTAL(109,local199293[Less: 
Recovered 
Amount])</f>
        <v>0</v>
      </c>
      <c r="K268" s="329">
        <f>SUBTOTAL(109,local199293[Accounts Receivable
Balance])</f>
        <v>2966</v>
      </c>
      <c r="L268" s="329">
        <f>SUBTOTAL(109,local199293[Net
Balance])</f>
        <v>-2966</v>
      </c>
      <c r="M268" s="52"/>
      <c r="N268" s="160"/>
      <c r="U268" s="52"/>
    </row>
    <row r="269" spans="1:21" ht="15.75" customHeight="1" x14ac:dyDescent="0.25">
      <c r="A269" s="146" t="s">
        <v>181</v>
      </c>
    </row>
    <row r="270" spans="1:21" ht="50.1" customHeight="1" x14ac:dyDescent="0.25">
      <c r="A270" s="28" t="s">
        <v>221</v>
      </c>
      <c r="B270" s="28" t="s">
        <v>268</v>
      </c>
      <c r="C270" s="28" t="s">
        <v>2</v>
      </c>
      <c r="D270" s="169" t="s">
        <v>280</v>
      </c>
      <c r="E270" s="155" t="s">
        <v>223</v>
      </c>
      <c r="F270" s="28" t="s">
        <v>281</v>
      </c>
      <c r="G270" s="154" t="s">
        <v>176</v>
      </c>
      <c r="H270" s="156" t="s">
        <v>270</v>
      </c>
      <c r="I270" s="156" t="s">
        <v>271</v>
      </c>
      <c r="J270" s="156" t="s">
        <v>282</v>
      </c>
      <c r="K270" s="156" t="s">
        <v>272</v>
      </c>
      <c r="L270" s="156" t="s">
        <v>273</v>
      </c>
      <c r="M270" s="52"/>
      <c r="N270" s="160"/>
      <c r="U270" s="52"/>
    </row>
    <row r="271" spans="1:21" ht="15.75" customHeight="1" x14ac:dyDescent="0.2">
      <c r="A271" s="24" t="s">
        <v>380</v>
      </c>
      <c r="B271" s="152" t="s">
        <v>305</v>
      </c>
      <c r="C271" s="23" t="s">
        <v>306</v>
      </c>
      <c r="D271" s="170">
        <v>41</v>
      </c>
      <c r="E271" s="271">
        <v>2102143</v>
      </c>
      <c r="F271" s="271">
        <v>2102143</v>
      </c>
      <c r="G271" s="327" t="s">
        <v>153</v>
      </c>
      <c r="H271" s="326">
        <v>0</v>
      </c>
      <c r="I271" s="271">
        <v>153432</v>
      </c>
      <c r="J271" s="271">
        <v>114504</v>
      </c>
      <c r="K271" s="271">
        <v>38928</v>
      </c>
      <c r="L271" s="271">
        <v>-38928</v>
      </c>
      <c r="M271" s="52"/>
      <c r="N271" s="160"/>
      <c r="U271" s="52"/>
    </row>
    <row r="272" spans="1:21" ht="15.75" customHeight="1" x14ac:dyDescent="0.2">
      <c r="A272" s="24" t="s">
        <v>380</v>
      </c>
      <c r="B272" s="152" t="s">
        <v>370</v>
      </c>
      <c r="C272" s="23" t="s">
        <v>294</v>
      </c>
      <c r="D272" s="170">
        <v>49</v>
      </c>
      <c r="E272" s="271">
        <v>5350067</v>
      </c>
      <c r="F272" s="271">
        <v>5350067</v>
      </c>
      <c r="G272" s="327" t="s">
        <v>153</v>
      </c>
      <c r="H272" s="326">
        <v>0</v>
      </c>
      <c r="I272" s="271">
        <v>48328</v>
      </c>
      <c r="J272" s="271">
        <v>47747</v>
      </c>
      <c r="K272" s="271">
        <v>581</v>
      </c>
      <c r="L272" s="271">
        <v>-581</v>
      </c>
      <c r="M272" s="52"/>
      <c r="N272" s="160"/>
      <c r="U272" s="52"/>
    </row>
    <row r="273" spans="1:29" ht="30" customHeight="1" x14ac:dyDescent="0.2">
      <c r="A273" s="24" t="s">
        <v>380</v>
      </c>
      <c r="B273" s="152" t="s">
        <v>381</v>
      </c>
      <c r="C273" s="23" t="s">
        <v>382</v>
      </c>
      <c r="D273" s="170">
        <v>64</v>
      </c>
      <c r="E273" s="271">
        <v>7349099</v>
      </c>
      <c r="F273" s="271">
        <v>7349099</v>
      </c>
      <c r="G273" s="327" t="s">
        <v>153</v>
      </c>
      <c r="H273" s="326">
        <v>0</v>
      </c>
      <c r="I273" s="271">
        <v>293279</v>
      </c>
      <c r="J273" s="271">
        <v>284557</v>
      </c>
      <c r="K273" s="271">
        <v>8722</v>
      </c>
      <c r="L273" s="271">
        <v>-8722</v>
      </c>
      <c r="M273" s="52"/>
      <c r="N273" s="160"/>
      <c r="U273" s="52"/>
    </row>
    <row r="274" spans="1:29" ht="15.75" customHeight="1" x14ac:dyDescent="0.25">
      <c r="A274" s="158" t="s">
        <v>401</v>
      </c>
      <c r="B274" s="172" t="s">
        <v>153</v>
      </c>
      <c r="C274" s="118" t="s">
        <v>153</v>
      </c>
      <c r="D274" s="117" t="s">
        <v>153</v>
      </c>
      <c r="E274" s="329">
        <f>SUBTOTAL(109,local199192[Program
Costs])</f>
        <v>14801309</v>
      </c>
      <c r="F274" s="329">
        <f>SUBTOTAL(109,local199192[Less: Net 
Payments
 and Offsets 1])</f>
        <v>14801309</v>
      </c>
      <c r="G274" s="330" t="s">
        <v>153</v>
      </c>
      <c r="H274" s="331">
        <f>SUBTOTAL(109,local199192[Accounts Payable
Balance])</f>
        <v>0</v>
      </c>
      <c r="I274" s="329">
        <f>SUBTOTAL(109,local199192[Established
Accounts Receivable])</f>
        <v>495039</v>
      </c>
      <c r="J274" s="329">
        <f>SUBTOTAL(109,local199192[Less: 
Recovered 
Amount])</f>
        <v>446808</v>
      </c>
      <c r="K274" s="329">
        <f>SUBTOTAL(109,local199192[Accounts Receivable
Balance])</f>
        <v>48231</v>
      </c>
      <c r="L274" s="329">
        <f>SUBTOTAL(109,local199192[Net
Balance])</f>
        <v>-48231</v>
      </c>
      <c r="M274" s="52"/>
      <c r="N274" s="160"/>
      <c r="U274" s="52"/>
    </row>
    <row r="275" spans="1:29" ht="15.75" customHeight="1" x14ac:dyDescent="0.25">
      <c r="A275" s="146" t="s">
        <v>181</v>
      </c>
    </row>
    <row r="276" spans="1:29" ht="50.1" customHeight="1" x14ac:dyDescent="0.25">
      <c r="A276" s="28" t="s">
        <v>221</v>
      </c>
      <c r="B276" s="28" t="s">
        <v>268</v>
      </c>
      <c r="C276" s="28" t="s">
        <v>2</v>
      </c>
      <c r="D276" s="169" t="s">
        <v>280</v>
      </c>
      <c r="E276" s="155" t="s">
        <v>223</v>
      </c>
      <c r="F276" s="28" t="s">
        <v>281</v>
      </c>
      <c r="G276" s="154" t="s">
        <v>176</v>
      </c>
      <c r="H276" s="156" t="s">
        <v>270</v>
      </c>
      <c r="I276" s="156" t="s">
        <v>271</v>
      </c>
      <c r="J276" s="156" t="s">
        <v>282</v>
      </c>
      <c r="K276" s="156" t="s">
        <v>272</v>
      </c>
      <c r="L276" s="156" t="s">
        <v>273</v>
      </c>
      <c r="M276" s="52"/>
      <c r="N276" s="160"/>
      <c r="U276" s="52"/>
    </row>
    <row r="277" spans="1:29" ht="15.75" customHeight="1" x14ac:dyDescent="0.2">
      <c r="A277" s="24" t="s">
        <v>274</v>
      </c>
      <c r="B277" s="173" t="s">
        <v>153</v>
      </c>
      <c r="C277" s="25" t="s">
        <v>153</v>
      </c>
      <c r="D277" s="125" t="s">
        <v>153</v>
      </c>
      <c r="E277" s="271">
        <f>local201920[[#Totals],[Program
Costs]]</f>
        <v>57878398</v>
      </c>
      <c r="F277" s="326">
        <f>local201920[[#Totals],[Less: Net 
Payments
 and Offsets 1]]</f>
        <v>0</v>
      </c>
      <c r="G277" s="327" t="s">
        <v>153</v>
      </c>
      <c r="H277" s="271">
        <f>local201920[[#Totals],[Accounts Payable
Balance]]</f>
        <v>57878398</v>
      </c>
      <c r="I277" s="326">
        <f>local201920[[#Totals],[Established
Accounts Receivable]]</f>
        <v>0</v>
      </c>
      <c r="J277" s="326">
        <f>local201920[[#Totals],[Less: 
Recovered 
Amount]]</f>
        <v>0</v>
      </c>
      <c r="K277" s="326">
        <f>local201920[[#Totals],[Accounts Receivable
Balance]]</f>
        <v>0</v>
      </c>
      <c r="L277" s="271">
        <f>local201920[[#Totals],[Net
Balance]]</f>
        <v>57878398</v>
      </c>
      <c r="M277" s="52"/>
      <c r="N277" s="160"/>
      <c r="U277" s="52"/>
      <c r="V277" s="161"/>
      <c r="W277" s="161"/>
      <c r="X277" s="161"/>
      <c r="Y277" s="161"/>
      <c r="Z277" s="161"/>
      <c r="AA277" s="161"/>
      <c r="AB277" s="161"/>
      <c r="AC277" s="161"/>
    </row>
    <row r="278" spans="1:29" ht="15.75" customHeight="1" x14ac:dyDescent="0.2">
      <c r="A278" s="24" t="s">
        <v>43</v>
      </c>
      <c r="B278" s="173" t="s">
        <v>153</v>
      </c>
      <c r="C278" s="25" t="s">
        <v>153</v>
      </c>
      <c r="D278" s="125" t="s">
        <v>153</v>
      </c>
      <c r="E278" s="271">
        <f>local201819[[#Totals],[Program
Costs]]</f>
        <v>57030914</v>
      </c>
      <c r="F278" s="271">
        <f>local201819[[#Totals],[Less: Net 
Payments
 and Offsets 1]]</f>
        <v>39026145</v>
      </c>
      <c r="G278" s="327" t="s">
        <v>153</v>
      </c>
      <c r="H278" s="271">
        <f>local201819[[#Totals],[Accounts Payable
Balance]]</f>
        <v>18004769</v>
      </c>
      <c r="I278" s="271">
        <f>local201819[[#Totals],[Established
Accounts Receivable]]</f>
        <v>20338</v>
      </c>
      <c r="J278" s="326">
        <f>local201819[[#Totals],[Less: 
Recovered 
Amount]]</f>
        <v>0</v>
      </c>
      <c r="K278" s="271">
        <f>local201819[[#Totals],[Accounts Receivable
Balance]]</f>
        <v>20338</v>
      </c>
      <c r="L278" s="271">
        <f>local201819[[#Totals],[Net
Balance]]</f>
        <v>17984431</v>
      </c>
      <c r="M278" s="52"/>
      <c r="N278" s="160"/>
      <c r="U278" s="52"/>
      <c r="V278" s="161"/>
      <c r="W278" s="161"/>
      <c r="X278" s="161"/>
      <c r="Y278" s="161"/>
      <c r="Z278" s="161"/>
      <c r="AA278" s="161"/>
      <c r="AB278" s="161"/>
    </row>
    <row r="279" spans="1:29" ht="15.75" customHeight="1" x14ac:dyDescent="0.2">
      <c r="A279" s="24" t="s">
        <v>44</v>
      </c>
      <c r="B279" s="173" t="s">
        <v>153</v>
      </c>
      <c r="C279" s="25" t="s">
        <v>153</v>
      </c>
      <c r="D279" s="125" t="s">
        <v>153</v>
      </c>
      <c r="E279" s="271">
        <f>local201718[[#Totals],[Program
Costs]]</f>
        <v>21073618</v>
      </c>
      <c r="F279" s="271">
        <f>local201718[[#Totals],[Less: Net 
Payments
 and Offsets 1]]</f>
        <v>13725428</v>
      </c>
      <c r="G279" s="327" t="s">
        <v>153</v>
      </c>
      <c r="H279" s="271">
        <f>local201718[[#Totals],[Accounts Payable
Balance]]</f>
        <v>7348190</v>
      </c>
      <c r="I279" s="271">
        <f>local201718[[#Totals],[Established
Accounts Receivable]]</f>
        <v>34893</v>
      </c>
      <c r="J279" s="271">
        <f>local201718[[#Totals],[Less: 
Recovered 
Amount]]</f>
        <v>32185</v>
      </c>
      <c r="K279" s="271">
        <f>local201718[[#Totals],[Accounts Receivable
Balance]]</f>
        <v>2708</v>
      </c>
      <c r="L279" s="271">
        <f>local201718[[#Totals],[Net
Balance]]</f>
        <v>7345482</v>
      </c>
      <c r="M279" s="52"/>
      <c r="N279" s="160"/>
      <c r="U279" s="52"/>
      <c r="V279" s="161"/>
      <c r="W279" s="161"/>
      <c r="X279" s="161"/>
      <c r="Y279" s="161"/>
      <c r="Z279" s="161"/>
      <c r="AA279" s="161"/>
      <c r="AB279" s="161"/>
    </row>
    <row r="280" spans="1:29" ht="15.75" customHeight="1" x14ac:dyDescent="0.2">
      <c r="A280" s="24" t="s">
        <v>45</v>
      </c>
      <c r="B280" s="173" t="s">
        <v>153</v>
      </c>
      <c r="C280" s="25" t="s">
        <v>153</v>
      </c>
      <c r="D280" s="125" t="s">
        <v>153</v>
      </c>
      <c r="E280" s="271">
        <f>local201617[[#Totals],[Program
Costs]]</f>
        <v>9622181</v>
      </c>
      <c r="F280" s="271">
        <f>local201617[[#Totals],[Less: Net 
Payments
 and Offsets 1]]</f>
        <v>3390131</v>
      </c>
      <c r="G280" s="327" t="s">
        <v>153</v>
      </c>
      <c r="H280" s="271">
        <f>local201617[[#Totals],[Accounts Payable
Balance]]</f>
        <v>6232050</v>
      </c>
      <c r="I280" s="271">
        <f>local201617[[#Totals],[Established
Accounts Receivable]]</f>
        <v>1211</v>
      </c>
      <c r="J280" s="271">
        <f>local201617[[#Totals],[Less: 
Recovered 
Amount]]</f>
        <v>711</v>
      </c>
      <c r="K280" s="271">
        <f>local201617[[#Totals],[Accounts Receivable
Balance]]</f>
        <v>500</v>
      </c>
      <c r="L280" s="271">
        <f>local201617[[#Totals],[Net
Balance]]</f>
        <v>6231550</v>
      </c>
      <c r="M280" s="52"/>
      <c r="N280" s="160"/>
      <c r="U280" s="52"/>
      <c r="V280" s="161"/>
      <c r="W280" s="161"/>
      <c r="X280" s="161"/>
      <c r="Y280" s="161"/>
      <c r="Z280" s="161"/>
      <c r="AA280" s="161"/>
      <c r="AB280" s="161"/>
    </row>
    <row r="281" spans="1:29" ht="15.75" customHeight="1" x14ac:dyDescent="0.2">
      <c r="A281" s="24" t="s">
        <v>46</v>
      </c>
      <c r="B281" s="173" t="s">
        <v>153</v>
      </c>
      <c r="C281" s="25" t="s">
        <v>153</v>
      </c>
      <c r="D281" s="125" t="s">
        <v>153</v>
      </c>
      <c r="E281" s="271">
        <f>local201516[[#Totals],[Program
Costs]]</f>
        <v>7080395</v>
      </c>
      <c r="F281" s="271">
        <f>local201516[[#Totals],[Less: Net 
Payments
 and Offsets 1]]</f>
        <v>298477</v>
      </c>
      <c r="G281" s="327" t="s">
        <v>153</v>
      </c>
      <c r="H281" s="271">
        <f>local201516[[#Totals],[Accounts Payable
Balance]]</f>
        <v>6781918</v>
      </c>
      <c r="I281" s="271">
        <f>local201516[[#Totals],[Established
Accounts Receivable]]</f>
        <v>233747</v>
      </c>
      <c r="J281" s="326">
        <f>local201516[[#Totals],[Less: 
Recovered 
Amount]]</f>
        <v>0</v>
      </c>
      <c r="K281" s="271">
        <f>local201516[[#Totals],[Accounts Receivable
Balance]]</f>
        <v>233747</v>
      </c>
      <c r="L281" s="271">
        <f>local201516[[#Totals],[Net
Balance]]</f>
        <v>6548171</v>
      </c>
      <c r="M281" s="52"/>
      <c r="N281" s="160"/>
      <c r="U281" s="52"/>
      <c r="V281" s="161"/>
      <c r="W281" s="161"/>
      <c r="X281" s="161"/>
      <c r="Y281" s="161"/>
      <c r="Z281" s="161"/>
      <c r="AA281" s="161"/>
      <c r="AB281" s="161"/>
    </row>
    <row r="282" spans="1:29" ht="15.75" customHeight="1" x14ac:dyDescent="0.2">
      <c r="A282" s="24" t="s">
        <v>47</v>
      </c>
      <c r="B282" s="173" t="s">
        <v>153</v>
      </c>
      <c r="C282" s="25" t="s">
        <v>153</v>
      </c>
      <c r="D282" s="125" t="s">
        <v>153</v>
      </c>
      <c r="E282" s="271">
        <f>local201415[[#Totals],[Program
Costs]]</f>
        <v>6118565</v>
      </c>
      <c r="F282" s="326">
        <f>local201415[[#Totals],[Less: Net 
Payments
 and Offsets 1]]</f>
        <v>0</v>
      </c>
      <c r="G282" s="327" t="s">
        <v>153</v>
      </c>
      <c r="H282" s="271">
        <f>local201415[[#Totals],[Accounts Payable
Balance]]</f>
        <v>6118565</v>
      </c>
      <c r="I282" s="326">
        <f>local201415[[#Totals],[Established
Accounts Receivable]]</f>
        <v>0</v>
      </c>
      <c r="J282" s="326">
        <f>local201415[[#Totals],[Less: 
Recovered 
Amount]]</f>
        <v>0</v>
      </c>
      <c r="K282" s="326">
        <f>local201415[[#Totals],[Accounts Receivable
Balance]]</f>
        <v>0</v>
      </c>
      <c r="L282" s="271">
        <f>local201415[[#Totals],[Net
Balance]]</f>
        <v>6118565</v>
      </c>
      <c r="M282" s="52"/>
      <c r="N282" s="160"/>
      <c r="U282" s="52"/>
      <c r="V282" s="161"/>
      <c r="W282" s="161"/>
      <c r="X282" s="161"/>
      <c r="Y282" s="161"/>
      <c r="Z282" s="161"/>
      <c r="AA282" s="161"/>
      <c r="AB282" s="161"/>
    </row>
    <row r="283" spans="1:29" ht="15.75" customHeight="1" x14ac:dyDescent="0.2">
      <c r="A283" s="24" t="s">
        <v>288</v>
      </c>
      <c r="B283" s="173" t="s">
        <v>153</v>
      </c>
      <c r="C283" s="25" t="s">
        <v>153</v>
      </c>
      <c r="D283" s="125" t="s">
        <v>153</v>
      </c>
      <c r="E283" s="271">
        <f>local201314[[#Totals],[Program
Costs]]</f>
        <v>13840547</v>
      </c>
      <c r="F283" s="271">
        <f>local201314[[#Totals],[Less: Net 
Payments
 and Offsets 1]]</f>
        <v>7825991</v>
      </c>
      <c r="G283" s="327" t="s">
        <v>153</v>
      </c>
      <c r="H283" s="271">
        <f>local201314[[#Totals],[Accounts Payable
Balance]]</f>
        <v>6014556</v>
      </c>
      <c r="I283" s="271">
        <f>local201314[[#Totals],[Established
Accounts Receivable]]</f>
        <v>132637</v>
      </c>
      <c r="J283" s="271">
        <f>local201314[[#Totals],[Less: 
Recovered 
Amount]]</f>
        <v>98973</v>
      </c>
      <c r="K283" s="271">
        <f>local201314[[#Totals],[Accounts Receivable
Balance]]</f>
        <v>33664</v>
      </c>
      <c r="L283" s="271">
        <f>local201314[[#Totals],[Net
Balance]]</f>
        <v>5980892</v>
      </c>
      <c r="M283" s="52"/>
      <c r="N283" s="160"/>
      <c r="U283" s="52"/>
      <c r="V283" s="161"/>
      <c r="W283" s="161"/>
      <c r="X283" s="161"/>
      <c r="Y283" s="161"/>
      <c r="Z283" s="161"/>
      <c r="AA283" s="161"/>
      <c r="AB283" s="161"/>
    </row>
    <row r="284" spans="1:29" ht="15.75" customHeight="1" x14ac:dyDescent="0.2">
      <c r="A284" s="24" t="s">
        <v>290</v>
      </c>
      <c r="B284" s="173" t="s">
        <v>153</v>
      </c>
      <c r="C284" s="25" t="s">
        <v>153</v>
      </c>
      <c r="D284" s="125" t="s">
        <v>153</v>
      </c>
      <c r="E284" s="271">
        <f>local201213[[#Totals],[Program
Costs]]</f>
        <v>5461966</v>
      </c>
      <c r="F284" s="326">
        <f>local201213[[#Totals],[Less: Net 
Payments
 and Offsets 1]]</f>
        <v>0</v>
      </c>
      <c r="G284" s="327" t="s">
        <v>153</v>
      </c>
      <c r="H284" s="271">
        <f>local201213[[#Totals],[Accounts Payable
Balance]]</f>
        <v>5461966</v>
      </c>
      <c r="I284" s="326">
        <f>local201213[[#Totals],[Established
Accounts Receivable]]</f>
        <v>0</v>
      </c>
      <c r="J284" s="326">
        <f>local201213[[#Totals],[Less: 
Recovered 
Amount]]</f>
        <v>0</v>
      </c>
      <c r="K284" s="326">
        <f>local201213[[#Totals],[Accounts Receivable
Balance]]</f>
        <v>0</v>
      </c>
      <c r="L284" s="271">
        <f>local201213[[#Totals],[Net
Balance]]</f>
        <v>5461966</v>
      </c>
      <c r="M284" s="52"/>
      <c r="N284" s="160"/>
      <c r="U284" s="52"/>
      <c r="V284" s="161"/>
      <c r="W284" s="161"/>
      <c r="X284" s="161"/>
      <c r="Y284" s="161"/>
      <c r="Z284" s="161"/>
      <c r="AA284" s="161"/>
      <c r="AB284" s="161"/>
    </row>
    <row r="285" spans="1:29" ht="15.75" customHeight="1" x14ac:dyDescent="0.2">
      <c r="A285" s="24" t="s">
        <v>292</v>
      </c>
      <c r="B285" s="173" t="s">
        <v>153</v>
      </c>
      <c r="C285" s="25" t="s">
        <v>153</v>
      </c>
      <c r="D285" s="125" t="s">
        <v>153</v>
      </c>
      <c r="E285" s="271">
        <f>local201112[[#Totals],[Program
Costs]]</f>
        <v>19870604</v>
      </c>
      <c r="F285" s="326">
        <f>local201112[[#Totals],[Less: Net 
Payments
 and Offsets 1]]</f>
        <v>0</v>
      </c>
      <c r="G285" s="327" t="s">
        <v>153</v>
      </c>
      <c r="H285" s="271">
        <f>local201112[[#Totals],[Accounts Payable
Balance]]</f>
        <v>19870604</v>
      </c>
      <c r="I285" s="326">
        <f>local201112[[#Totals],[Established
Accounts Receivable]]</f>
        <v>0</v>
      </c>
      <c r="J285" s="326">
        <f>local201112[[#Totals],[Less: 
Recovered 
Amount]]</f>
        <v>0</v>
      </c>
      <c r="K285" s="326">
        <f>local201112[[#Totals],[Accounts Receivable
Balance]]</f>
        <v>0</v>
      </c>
      <c r="L285" s="271">
        <f>local201112[[#Totals],[Net
Balance]]</f>
        <v>19870604</v>
      </c>
      <c r="M285" s="52"/>
      <c r="N285" s="160"/>
      <c r="U285" s="52"/>
      <c r="V285" s="161"/>
      <c r="W285" s="161"/>
      <c r="X285" s="161"/>
      <c r="Y285" s="161"/>
      <c r="Z285" s="161"/>
      <c r="AA285" s="161"/>
      <c r="AB285" s="161"/>
    </row>
    <row r="286" spans="1:29" ht="15.75" customHeight="1" x14ac:dyDescent="0.2">
      <c r="A286" s="24" t="s">
        <v>296</v>
      </c>
      <c r="B286" s="173" t="s">
        <v>153</v>
      </c>
      <c r="C286" s="25" t="s">
        <v>153</v>
      </c>
      <c r="D286" s="125" t="s">
        <v>153</v>
      </c>
      <c r="E286" s="271">
        <f>local201011[[#Totals],[Program
Costs]]</f>
        <v>50332607</v>
      </c>
      <c r="F286" s="271">
        <f>local201011[[#Totals],[Less: Net 
Payments
 and Offsets 1]]</f>
        <v>2060812</v>
      </c>
      <c r="G286" s="327" t="s">
        <v>153</v>
      </c>
      <c r="H286" s="271">
        <f>local201011[[#Totals],[Accounts Payable
Balance]]</f>
        <v>48271795</v>
      </c>
      <c r="I286" s="271">
        <f>local201011[[#Totals],[Established
Accounts Receivable]]</f>
        <v>11046</v>
      </c>
      <c r="J286" s="326">
        <f>local201011[[#Totals],[Less: 
Recovered 
Amount]]</f>
        <v>0</v>
      </c>
      <c r="K286" s="271">
        <f>local201011[[#Totals],[Accounts Receivable
Balance]]</f>
        <v>11046</v>
      </c>
      <c r="L286" s="271">
        <f>local201011[[#Totals],[Net
Balance]]</f>
        <v>48260749</v>
      </c>
      <c r="M286" s="52"/>
      <c r="N286" s="160"/>
      <c r="U286" s="52"/>
      <c r="V286" s="161"/>
      <c r="W286" s="161"/>
      <c r="X286" s="161"/>
      <c r="Y286" s="161"/>
      <c r="Z286" s="161"/>
      <c r="AA286" s="161"/>
      <c r="AB286" s="161"/>
    </row>
    <row r="287" spans="1:29" ht="15.75" customHeight="1" x14ac:dyDescent="0.2">
      <c r="A287" s="24" t="s">
        <v>1</v>
      </c>
      <c r="B287" s="173" t="s">
        <v>153</v>
      </c>
      <c r="C287" s="25" t="s">
        <v>153</v>
      </c>
      <c r="D287" s="125" t="s">
        <v>153</v>
      </c>
      <c r="E287" s="271">
        <f>local200910[[#Totals],[Program
Costs]]</f>
        <v>58435264</v>
      </c>
      <c r="F287" s="271">
        <f>local200910[[#Totals],[Less: Net 
Payments
 and Offsets 1]]</f>
        <v>1640194</v>
      </c>
      <c r="G287" s="327" t="s">
        <v>153</v>
      </c>
      <c r="H287" s="271">
        <f>local200910[[#Totals],[Accounts Payable
Balance]]</f>
        <v>56795070</v>
      </c>
      <c r="I287" s="271">
        <f>local200910[[#Totals],[Established
Accounts Receivable]]</f>
        <v>9444</v>
      </c>
      <c r="J287" s="326">
        <f>local200910[[#Totals],[Less: 
Recovered 
Amount]]</f>
        <v>0</v>
      </c>
      <c r="K287" s="271">
        <f>local200910[[#Totals],[Accounts Receivable
Balance]]</f>
        <v>9444</v>
      </c>
      <c r="L287" s="271">
        <f>local200910[[#Totals],[Net
Balance]]</f>
        <v>56785626</v>
      </c>
      <c r="M287" s="52"/>
      <c r="N287" s="160"/>
      <c r="U287" s="52"/>
      <c r="V287" s="161"/>
      <c r="W287" s="161"/>
      <c r="X287" s="161"/>
      <c r="Y287" s="161"/>
      <c r="Z287" s="161"/>
      <c r="AA287" s="161"/>
      <c r="AB287" s="161"/>
    </row>
    <row r="288" spans="1:29" ht="15.75" customHeight="1" x14ac:dyDescent="0.2">
      <c r="A288" s="24" t="s">
        <v>48</v>
      </c>
      <c r="B288" s="173" t="s">
        <v>153</v>
      </c>
      <c r="C288" s="25" t="s">
        <v>153</v>
      </c>
      <c r="D288" s="125" t="s">
        <v>153</v>
      </c>
      <c r="E288" s="271">
        <f>local200809[[#Totals],[Program
Costs]]</f>
        <v>54423390</v>
      </c>
      <c r="F288" s="271">
        <f>local200809[[#Totals],[Less: Net 
Payments
 and Offsets 1]]</f>
        <v>1558731</v>
      </c>
      <c r="G288" s="327" t="s">
        <v>153</v>
      </c>
      <c r="H288" s="271">
        <f>local200809[[#Totals],[Accounts Payable
Balance]]</f>
        <v>52864659</v>
      </c>
      <c r="I288" s="271">
        <f>local200809[[#Totals],[Established
Accounts Receivable]]</f>
        <v>7837</v>
      </c>
      <c r="J288" s="326">
        <f>local200809[[#Totals],[Less: 
Recovered 
Amount]]</f>
        <v>0</v>
      </c>
      <c r="K288" s="271">
        <f>local200809[[#Totals],[Accounts Receivable
Balance]]</f>
        <v>7837</v>
      </c>
      <c r="L288" s="271">
        <f>local200809[[#Totals],[Net
Balance]]</f>
        <v>52856822</v>
      </c>
      <c r="M288" s="52"/>
      <c r="N288" s="160"/>
      <c r="U288" s="52"/>
      <c r="V288" s="161"/>
      <c r="W288" s="161"/>
      <c r="X288" s="161"/>
      <c r="Y288" s="161"/>
      <c r="Z288" s="161"/>
      <c r="AA288" s="161"/>
      <c r="AB288" s="161"/>
    </row>
    <row r="289" spans="1:28" ht="15.75" customHeight="1" x14ac:dyDescent="0.2">
      <c r="A289" s="24" t="s">
        <v>353</v>
      </c>
      <c r="B289" s="173" t="s">
        <v>153</v>
      </c>
      <c r="C289" s="25" t="s">
        <v>153</v>
      </c>
      <c r="D289" s="125" t="s">
        <v>153</v>
      </c>
      <c r="E289" s="271">
        <f>local200708[[#Totals],[Program
Costs]]</f>
        <v>65748598</v>
      </c>
      <c r="F289" s="271">
        <f>local200708[[#Totals],[Less: Net 
Payments
 and Offsets 1]]</f>
        <v>1234722</v>
      </c>
      <c r="G289" s="327" t="s">
        <v>153</v>
      </c>
      <c r="H289" s="271">
        <f>local200708[[#Totals],[Accounts Payable
Balance]]</f>
        <v>64513876</v>
      </c>
      <c r="I289" s="271">
        <f>local200708[[#Totals],[Established
Accounts Receivable]]</f>
        <v>6821</v>
      </c>
      <c r="J289" s="326">
        <f>local200708[[#Totals],[Less: 
Recovered 
Amount]]</f>
        <v>0</v>
      </c>
      <c r="K289" s="271">
        <f>local200708[[#Totals],[Accounts Receivable
Balance]]</f>
        <v>6821</v>
      </c>
      <c r="L289" s="271">
        <f>local200708[[#Totals],[Net
Balance]]</f>
        <v>64507055</v>
      </c>
      <c r="M289" s="52"/>
      <c r="N289" s="160"/>
      <c r="U289" s="52"/>
      <c r="V289" s="161"/>
      <c r="W289" s="161"/>
      <c r="X289" s="161"/>
      <c r="Y289" s="161"/>
      <c r="Z289" s="161"/>
      <c r="AA289" s="161"/>
      <c r="AB289" s="161"/>
    </row>
    <row r="290" spans="1:28" ht="15.75" customHeight="1" x14ac:dyDescent="0.2">
      <c r="A290" s="24" t="s">
        <v>358</v>
      </c>
      <c r="B290" s="173" t="s">
        <v>153</v>
      </c>
      <c r="C290" s="25" t="s">
        <v>153</v>
      </c>
      <c r="D290" s="125" t="s">
        <v>153</v>
      </c>
      <c r="E290" s="271">
        <f>local200607[[#Totals],[Program
Costs]]</f>
        <v>58821632</v>
      </c>
      <c r="F290" s="271">
        <f>local200607[[#Totals],[Less: Net 
Payments
 and Offsets 1]]</f>
        <v>41833021</v>
      </c>
      <c r="G290" s="327" t="s">
        <v>153</v>
      </c>
      <c r="H290" s="271">
        <f>local200607[[#Totals],[Accounts Payable
Balance]]</f>
        <v>16988611</v>
      </c>
      <c r="I290" s="271">
        <f>local200607[[#Totals],[Established
Accounts Receivable]]</f>
        <v>19896474</v>
      </c>
      <c r="J290" s="271">
        <f>local200607[[#Totals],[Less: 
Recovered 
Amount]]</f>
        <v>19083453</v>
      </c>
      <c r="K290" s="271">
        <f>local200607[[#Totals],[Accounts Receivable
Balance]]</f>
        <v>813021</v>
      </c>
      <c r="L290" s="271">
        <f>local200607[[#Totals],[Net
Balance]]</f>
        <v>16175590</v>
      </c>
      <c r="M290" s="52"/>
      <c r="N290" s="160"/>
      <c r="U290" s="52"/>
      <c r="V290" s="161"/>
      <c r="W290" s="161"/>
      <c r="X290" s="161"/>
      <c r="Y290" s="161"/>
      <c r="Z290" s="161"/>
      <c r="AA290" s="161"/>
      <c r="AB290" s="161"/>
    </row>
    <row r="291" spans="1:28" ht="15.75" customHeight="1" x14ac:dyDescent="0.2">
      <c r="A291" s="24" t="s">
        <v>359</v>
      </c>
      <c r="B291" s="173" t="s">
        <v>153</v>
      </c>
      <c r="C291" s="25" t="s">
        <v>153</v>
      </c>
      <c r="D291" s="125" t="s">
        <v>153</v>
      </c>
      <c r="E291" s="271">
        <f>local200506[[#Totals],[Program
Costs]]</f>
        <v>45403452</v>
      </c>
      <c r="F291" s="271">
        <f>local200506[[#Totals],[Less: Net 
Payments
 and Offsets 1]]</f>
        <v>29924774</v>
      </c>
      <c r="G291" s="327" t="s">
        <v>153</v>
      </c>
      <c r="H291" s="271">
        <f>local200506[[#Totals],[Accounts Payable
Balance]]</f>
        <v>15478678</v>
      </c>
      <c r="I291" s="271">
        <f>local200506[[#Totals],[Established
Accounts Receivable]]</f>
        <v>11065965</v>
      </c>
      <c r="J291" s="271">
        <f>local200506[[#Totals],[Less: 
Recovered 
Amount]]</f>
        <v>10363564</v>
      </c>
      <c r="K291" s="271">
        <f>local200506[[#Totals],[Accounts Receivable
Balance]]</f>
        <v>702401</v>
      </c>
      <c r="L291" s="271">
        <f>local200506[[#Totals],[Net
Balance]]</f>
        <v>14776277</v>
      </c>
      <c r="M291" s="52"/>
      <c r="N291" s="160"/>
      <c r="U291" s="52"/>
      <c r="V291" s="161"/>
      <c r="W291" s="161"/>
      <c r="X291" s="161"/>
      <c r="Y291" s="161"/>
      <c r="Z291" s="161"/>
      <c r="AA291" s="161"/>
      <c r="AB291" s="161"/>
    </row>
    <row r="292" spans="1:28" ht="15.75" customHeight="1" x14ac:dyDescent="0.2">
      <c r="A292" s="24" t="s">
        <v>360</v>
      </c>
      <c r="B292" s="173" t="s">
        <v>153</v>
      </c>
      <c r="C292" s="25" t="s">
        <v>153</v>
      </c>
      <c r="D292" s="125" t="s">
        <v>153</v>
      </c>
      <c r="E292" s="271">
        <f>local200405[[#Totals],[Program
Costs]]</f>
        <v>65929351</v>
      </c>
      <c r="F292" s="271">
        <f>local200405[[#Totals],[Less: Net 
Payments
 and Offsets 1]]</f>
        <v>52329743</v>
      </c>
      <c r="G292" s="327" t="s">
        <v>153</v>
      </c>
      <c r="H292" s="271">
        <f>local200405[[#Totals],[Accounts Payable
Balance]]</f>
        <v>13599608</v>
      </c>
      <c r="I292" s="271">
        <f>local200405[[#Totals],[Established
Accounts Receivable]]</f>
        <v>7935267</v>
      </c>
      <c r="J292" s="271">
        <f>local200405[[#Totals],[Less: 
Recovered 
Amount]]</f>
        <v>7848659</v>
      </c>
      <c r="K292" s="271">
        <f>local200405[[#Totals],[Accounts Receivable
Balance]]</f>
        <v>86608</v>
      </c>
      <c r="L292" s="271">
        <f>local200405[[#Totals],[Net
Balance]]</f>
        <v>13513000</v>
      </c>
      <c r="M292" s="52"/>
      <c r="N292" s="160"/>
      <c r="U292" s="52"/>
      <c r="V292" s="161"/>
      <c r="W292" s="161"/>
      <c r="X292" s="161"/>
      <c r="Y292" s="161"/>
      <c r="Z292" s="161"/>
      <c r="AA292" s="161"/>
      <c r="AB292" s="161"/>
    </row>
    <row r="293" spans="1:28" ht="15.75" customHeight="1" x14ac:dyDescent="0.2">
      <c r="A293" s="24" t="s">
        <v>49</v>
      </c>
      <c r="B293" s="173" t="s">
        <v>153</v>
      </c>
      <c r="C293" s="25" t="s">
        <v>153</v>
      </c>
      <c r="D293" s="125" t="s">
        <v>153</v>
      </c>
      <c r="E293" s="271">
        <f>local200304[[#Totals],[Program
Costs]]</f>
        <v>160615</v>
      </c>
      <c r="F293" s="271">
        <f>local200304[[#Totals],[Less: Net 
Payments
 and Offsets 1]]</f>
        <v>124059</v>
      </c>
      <c r="G293" s="327" t="s">
        <v>153</v>
      </c>
      <c r="H293" s="271">
        <f>local200304[[#Totals],[Accounts Payable
Balance]]</f>
        <v>36556</v>
      </c>
      <c r="I293" s="326">
        <f>local200304[[#Totals],[Established
Accounts Receivable]]</f>
        <v>0</v>
      </c>
      <c r="J293" s="326">
        <f>local200304[[#Totals],[Less: 
Recovered 
Amount]]</f>
        <v>0</v>
      </c>
      <c r="K293" s="326">
        <f>local200304[[#Totals],[Accounts Receivable
Balance]]</f>
        <v>0</v>
      </c>
      <c r="L293" s="271">
        <f>local200304[[#Totals],[Net
Balance]]</f>
        <v>36556</v>
      </c>
      <c r="M293" s="52"/>
      <c r="N293" s="160"/>
      <c r="U293" s="52"/>
      <c r="V293" s="161"/>
      <c r="W293" s="161"/>
      <c r="X293" s="161"/>
      <c r="Y293" s="161"/>
      <c r="Z293" s="161"/>
      <c r="AA293" s="161"/>
      <c r="AB293" s="161"/>
    </row>
    <row r="294" spans="1:28" ht="15.75" customHeight="1" x14ac:dyDescent="0.2">
      <c r="A294" s="24" t="s">
        <v>361</v>
      </c>
      <c r="B294" s="173" t="s">
        <v>153</v>
      </c>
      <c r="C294" s="25" t="s">
        <v>153</v>
      </c>
      <c r="D294" s="125" t="s">
        <v>153</v>
      </c>
      <c r="E294" s="271">
        <f>local200203[[#Totals],[Program
Costs]]</f>
        <v>268476</v>
      </c>
      <c r="F294" s="271">
        <f>local200203[[#Totals],[Less: Net 
Payments
 and Offsets 1]]</f>
        <v>112687</v>
      </c>
      <c r="G294" s="327" t="s">
        <v>153</v>
      </c>
      <c r="H294" s="271">
        <f>local200203[[#Totals],[Accounts Payable
Balance]]</f>
        <v>155789</v>
      </c>
      <c r="I294" s="326">
        <f>local200203[[#Totals],[Established
Accounts Receivable]]</f>
        <v>0</v>
      </c>
      <c r="J294" s="326">
        <f>local200203[[#Totals],[Less: 
Recovered 
Amount]]</f>
        <v>0</v>
      </c>
      <c r="K294" s="326">
        <f>local200203[[#Totals],[Accounts Receivable
Balance]]</f>
        <v>0</v>
      </c>
      <c r="L294" s="271">
        <f>local200203[[#Totals],[Net
Balance]]</f>
        <v>155789</v>
      </c>
      <c r="M294" s="52"/>
      <c r="N294" s="160"/>
      <c r="U294" s="52"/>
      <c r="V294" s="161"/>
      <c r="W294" s="161"/>
      <c r="X294" s="161"/>
      <c r="Y294" s="161"/>
      <c r="Z294" s="161"/>
      <c r="AA294" s="161"/>
      <c r="AB294" s="161"/>
    </row>
    <row r="295" spans="1:28" ht="15.75" customHeight="1" x14ac:dyDescent="0.2">
      <c r="A295" s="24" t="s">
        <v>362</v>
      </c>
      <c r="B295" s="173" t="s">
        <v>153</v>
      </c>
      <c r="C295" s="25" t="s">
        <v>153</v>
      </c>
      <c r="D295" s="125" t="s">
        <v>153</v>
      </c>
      <c r="E295" s="271">
        <f>local200102[[#Totals],[Program
Costs]]</f>
        <v>20851478</v>
      </c>
      <c r="F295" s="271">
        <f>local200102[[#Totals],[Less: Net 
Payments
 and Offsets 1]]</f>
        <v>20723544</v>
      </c>
      <c r="G295" s="327" t="s">
        <v>153</v>
      </c>
      <c r="H295" s="271">
        <f>local200102[[#Totals],[Accounts Payable
Balance]]</f>
        <v>127934</v>
      </c>
      <c r="I295" s="271">
        <f>local200102[[#Totals],[Established
Accounts Receivable]]</f>
        <v>239828</v>
      </c>
      <c r="J295" s="271">
        <f>local200102[[#Totals],[Less: 
Recovered 
Amount]]</f>
        <v>230494</v>
      </c>
      <c r="K295" s="271">
        <f>local200102[[#Totals],[Accounts Receivable
Balance]]</f>
        <v>9334</v>
      </c>
      <c r="L295" s="271">
        <f>local200102[[#Totals],[Net
Balance]]</f>
        <v>118600</v>
      </c>
      <c r="M295" s="52"/>
      <c r="N295" s="160"/>
      <c r="U295" s="52"/>
      <c r="V295" s="161"/>
      <c r="W295" s="161"/>
      <c r="X295" s="161"/>
      <c r="Y295" s="161"/>
      <c r="Z295" s="161"/>
      <c r="AA295" s="161"/>
      <c r="AB295" s="161"/>
    </row>
    <row r="296" spans="1:28" ht="15.75" customHeight="1" x14ac:dyDescent="0.2">
      <c r="A296" s="24" t="s">
        <v>365</v>
      </c>
      <c r="B296" s="173" t="s">
        <v>153</v>
      </c>
      <c r="C296" s="25" t="s">
        <v>153</v>
      </c>
      <c r="D296" s="125" t="s">
        <v>153</v>
      </c>
      <c r="E296" s="271">
        <f>local200001[[#Totals],[Program
Costs]]</f>
        <v>112301</v>
      </c>
      <c r="F296" s="326">
        <f>local200001[[#Totals],[Less: Net 
Payments
 and Offsets 1]]</f>
        <v>0</v>
      </c>
      <c r="G296" s="327" t="s">
        <v>153</v>
      </c>
      <c r="H296" s="271">
        <f>local200001[[#Totals],[Accounts Payable
Balance]]</f>
        <v>112301</v>
      </c>
      <c r="I296" s="326">
        <f>local200001[[#Totals],[Established
Accounts Receivable]]</f>
        <v>0</v>
      </c>
      <c r="J296" s="326">
        <f>local200001[[#Totals],[Less: 
Recovered 
Amount]]</f>
        <v>0</v>
      </c>
      <c r="K296" s="326">
        <f>local200001[[#Totals],[Accounts Receivable
Balance]]</f>
        <v>0</v>
      </c>
      <c r="L296" s="271">
        <f>local200001[[#Totals],[Net
Balance]]</f>
        <v>112301</v>
      </c>
      <c r="M296" s="52"/>
      <c r="N296" s="160"/>
      <c r="U296" s="52"/>
      <c r="V296" s="161"/>
      <c r="W296" s="161"/>
      <c r="X296" s="161"/>
      <c r="Y296" s="161"/>
      <c r="Z296" s="161"/>
      <c r="AA296" s="161"/>
      <c r="AB296" s="161"/>
    </row>
    <row r="297" spans="1:28" ht="15.75" customHeight="1" x14ac:dyDescent="0.2">
      <c r="A297" s="24" t="s">
        <v>366</v>
      </c>
      <c r="B297" s="173" t="s">
        <v>153</v>
      </c>
      <c r="C297" s="25" t="s">
        <v>153</v>
      </c>
      <c r="D297" s="125" t="s">
        <v>153</v>
      </c>
      <c r="E297" s="271">
        <f>local199900[[#Totals],[Program
Costs]]</f>
        <v>14643173</v>
      </c>
      <c r="F297" s="271">
        <f>local199900[[#Totals],[Less: Net 
Payments
 and Offsets 1]]</f>
        <v>14609736</v>
      </c>
      <c r="G297" s="327" t="s">
        <v>153</v>
      </c>
      <c r="H297" s="271">
        <f>local199900[[#Totals],[Accounts Payable
Balance]]</f>
        <v>33437</v>
      </c>
      <c r="I297" s="271">
        <f>local199900[[#Totals],[Established
Accounts Receivable]]</f>
        <v>4962586</v>
      </c>
      <c r="J297" s="271">
        <f>local199900[[#Totals],[Less: 
Recovered 
Amount]]</f>
        <v>4875829</v>
      </c>
      <c r="K297" s="271">
        <f>local199900[[#Totals],[Accounts Receivable
Balance]]</f>
        <v>86757</v>
      </c>
      <c r="L297" s="271">
        <f>local199900[[#Totals],[Net
Balance]]</f>
        <v>-53320</v>
      </c>
      <c r="M297" s="52"/>
      <c r="N297" s="160"/>
      <c r="U297" s="52"/>
      <c r="V297" s="161"/>
      <c r="W297" s="161"/>
      <c r="X297" s="161"/>
      <c r="Y297" s="161"/>
      <c r="Z297" s="161"/>
      <c r="AA297" s="161"/>
      <c r="AB297" s="161"/>
    </row>
    <row r="298" spans="1:28" ht="15.75" customHeight="1" x14ac:dyDescent="0.2">
      <c r="A298" s="24" t="s">
        <v>369</v>
      </c>
      <c r="B298" s="173" t="s">
        <v>153</v>
      </c>
      <c r="C298" s="25" t="s">
        <v>153</v>
      </c>
      <c r="D298" s="125" t="s">
        <v>153</v>
      </c>
      <c r="E298" s="271">
        <f>local199899[[#Totals],[Program
Costs]]</f>
        <v>9294252</v>
      </c>
      <c r="F298" s="271">
        <f>local199899[[#Totals],[Less: Net 
Payments
 and Offsets 1]]</f>
        <v>9253867</v>
      </c>
      <c r="G298" s="327" t="s">
        <v>153</v>
      </c>
      <c r="H298" s="271">
        <f>local199899[[#Totals],[Accounts Payable
Balance]]</f>
        <v>40385</v>
      </c>
      <c r="I298" s="271">
        <f>local199899[[#Totals],[Established
Accounts Receivable]]</f>
        <v>2597904</v>
      </c>
      <c r="J298" s="271">
        <f>local199899[[#Totals],[Less: 
Recovered 
Amount]]</f>
        <v>2431476</v>
      </c>
      <c r="K298" s="271">
        <f>local199899[[#Totals],[Accounts Receivable
Balance]]</f>
        <v>166428</v>
      </c>
      <c r="L298" s="271">
        <f>local199899[[#Totals],[Net
Balance]]</f>
        <v>-126043</v>
      </c>
      <c r="M298" s="52"/>
      <c r="N298" s="160"/>
      <c r="U298" s="52"/>
      <c r="V298" s="161"/>
      <c r="W298" s="161"/>
      <c r="X298" s="161"/>
      <c r="Y298" s="161"/>
      <c r="Z298" s="161"/>
      <c r="AA298" s="161"/>
      <c r="AB298" s="161"/>
    </row>
    <row r="299" spans="1:28" ht="15.75" customHeight="1" x14ac:dyDescent="0.2">
      <c r="A299" s="24" t="s">
        <v>373</v>
      </c>
      <c r="B299" s="173" t="s">
        <v>153</v>
      </c>
      <c r="C299" s="25" t="s">
        <v>153</v>
      </c>
      <c r="D299" s="125" t="s">
        <v>153</v>
      </c>
      <c r="E299" s="271">
        <f>local199798[[#Totals],[Program
Costs]]</f>
        <v>8548806</v>
      </c>
      <c r="F299" s="271">
        <f>local199798[[#Totals],[Less: Net 
Payments
 and Offsets 1]]</f>
        <v>8548806</v>
      </c>
      <c r="G299" s="327" t="s">
        <v>153</v>
      </c>
      <c r="H299" s="326">
        <f>local199798[[#Totals],[Accounts Payable
Balance]]</f>
        <v>0</v>
      </c>
      <c r="I299" s="271">
        <f>local199798[[#Totals],[Established
Accounts Receivable]]</f>
        <v>414227</v>
      </c>
      <c r="J299" s="271">
        <f>local199798[[#Totals],[Less: 
Recovered 
Amount]]</f>
        <v>412381</v>
      </c>
      <c r="K299" s="271">
        <f>local199798[[#Totals],[Accounts Receivable
Balance]]</f>
        <v>1846</v>
      </c>
      <c r="L299" s="271">
        <f>local199798[[#Totals],[Net
Balance]]</f>
        <v>-1846</v>
      </c>
      <c r="M299" s="52"/>
      <c r="N299" s="160"/>
      <c r="U299" s="52"/>
      <c r="V299" s="161"/>
      <c r="W299" s="161"/>
      <c r="X299" s="161"/>
      <c r="Y299" s="161"/>
      <c r="Z299" s="161"/>
      <c r="AA299" s="161"/>
      <c r="AB299" s="161"/>
    </row>
    <row r="300" spans="1:28" ht="15.75" customHeight="1" x14ac:dyDescent="0.2">
      <c r="A300" s="24" t="s">
        <v>374</v>
      </c>
      <c r="B300" s="173" t="s">
        <v>153</v>
      </c>
      <c r="C300" s="25" t="s">
        <v>153</v>
      </c>
      <c r="D300" s="125" t="s">
        <v>153</v>
      </c>
      <c r="E300" s="271">
        <f>local199697[[#Totals],[Program
Costs]]</f>
        <v>3560480</v>
      </c>
      <c r="F300" s="271">
        <f>local199697[[#Totals],[Less: Net 
Payments
 and Offsets 1]]</f>
        <v>3560480</v>
      </c>
      <c r="G300" s="327" t="s">
        <v>153</v>
      </c>
      <c r="H300" s="326">
        <f>local199697[[#Totals],[Accounts Payable
Balance]]</f>
        <v>0</v>
      </c>
      <c r="I300" s="271">
        <f>local199697[[#Totals],[Established
Accounts Receivable]]</f>
        <v>319940</v>
      </c>
      <c r="J300" s="271">
        <f>local199697[[#Totals],[Less: 
Recovered 
Amount]]</f>
        <v>319763</v>
      </c>
      <c r="K300" s="271">
        <f>local199697[[#Totals],[Accounts Receivable
Balance]]</f>
        <v>177</v>
      </c>
      <c r="L300" s="271">
        <f>local199697[[#Totals],[Net
Balance]]</f>
        <v>-177</v>
      </c>
      <c r="M300" s="52"/>
      <c r="N300" s="160"/>
      <c r="U300" s="52"/>
      <c r="V300" s="161"/>
      <c r="W300" s="161"/>
      <c r="X300" s="161"/>
      <c r="Y300" s="161"/>
      <c r="Z300" s="161"/>
      <c r="AA300" s="161"/>
      <c r="AB300" s="161"/>
    </row>
    <row r="301" spans="1:28" ht="15.75" customHeight="1" x14ac:dyDescent="0.2">
      <c r="A301" s="24" t="s">
        <v>375</v>
      </c>
      <c r="B301" s="173" t="s">
        <v>153</v>
      </c>
      <c r="C301" s="25" t="s">
        <v>153</v>
      </c>
      <c r="D301" s="125" t="s">
        <v>153</v>
      </c>
      <c r="E301" s="271">
        <f>local199596[[#Totals],[Program
Costs]]</f>
        <v>6658366</v>
      </c>
      <c r="F301" s="271">
        <f>local199596[[#Totals],[Less: Net 
Payments
 and Offsets 1]]</f>
        <v>6658366</v>
      </c>
      <c r="G301" s="327" t="s">
        <v>153</v>
      </c>
      <c r="H301" s="326">
        <f>local199596[[#Totals],[Accounts Payable
Balance]]</f>
        <v>0</v>
      </c>
      <c r="I301" s="271">
        <f>local199596[[#Totals],[Established
Accounts Receivable]]</f>
        <v>1531822</v>
      </c>
      <c r="J301" s="271">
        <f>local199596[[#Totals],[Less: 
Recovered 
Amount]]</f>
        <v>1525417</v>
      </c>
      <c r="K301" s="271">
        <f>local199596[[#Totals],[Accounts Receivable
Balance]]</f>
        <v>6405</v>
      </c>
      <c r="L301" s="271">
        <f>local199596[[#Totals],[Net
Balance]]</f>
        <v>-6405</v>
      </c>
      <c r="M301" s="52"/>
      <c r="N301" s="160"/>
      <c r="U301" s="52"/>
      <c r="V301" s="161"/>
      <c r="W301" s="161"/>
      <c r="X301" s="161"/>
      <c r="Y301" s="161"/>
      <c r="Z301" s="161"/>
      <c r="AA301" s="161"/>
      <c r="AB301" s="161"/>
    </row>
    <row r="302" spans="1:28" ht="15.75" customHeight="1" x14ac:dyDescent="0.2">
      <c r="A302" s="24" t="s">
        <v>376</v>
      </c>
      <c r="B302" s="173" t="s">
        <v>153</v>
      </c>
      <c r="C302" s="25" t="s">
        <v>153</v>
      </c>
      <c r="D302" s="125" t="s">
        <v>153</v>
      </c>
      <c r="E302" s="271">
        <f>local199495[[#Totals],[Program
Costs]]</f>
        <v>3097183</v>
      </c>
      <c r="F302" s="271">
        <f>local199495[[#Totals],[Less: Net 
Payments
 and Offsets 1]]</f>
        <v>3097183</v>
      </c>
      <c r="G302" s="327" t="s">
        <v>153</v>
      </c>
      <c r="H302" s="326">
        <f>local199495[[#Totals],[Accounts Payable
Balance]]</f>
        <v>0</v>
      </c>
      <c r="I302" s="271">
        <f>local199495[[#Totals],[Established
Accounts Receivable]]</f>
        <v>201105</v>
      </c>
      <c r="J302" s="271">
        <f>local199495[[#Totals],[Less: 
Recovered 
Amount]]</f>
        <v>200520</v>
      </c>
      <c r="K302" s="271">
        <f>local199495[[#Totals],[Accounts Receivable
Balance]]</f>
        <v>585</v>
      </c>
      <c r="L302" s="271">
        <f>local199495[[#Totals],[Net
Balance]]</f>
        <v>-585</v>
      </c>
      <c r="M302" s="52"/>
      <c r="N302" s="160"/>
      <c r="U302" s="52"/>
      <c r="V302" s="161"/>
      <c r="W302" s="161"/>
      <c r="X302" s="161"/>
      <c r="Y302" s="161"/>
      <c r="Z302" s="161"/>
      <c r="AA302" s="161"/>
      <c r="AB302" s="161"/>
    </row>
    <row r="303" spans="1:28" ht="15.75" customHeight="1" x14ac:dyDescent="0.2">
      <c r="A303" s="24" t="s">
        <v>377</v>
      </c>
      <c r="B303" s="173" t="s">
        <v>153</v>
      </c>
      <c r="C303" s="25" t="s">
        <v>153</v>
      </c>
      <c r="D303" s="125" t="s">
        <v>153</v>
      </c>
      <c r="E303" s="271">
        <f>local199293[[#Totals],[Program
Costs]]</f>
        <v>5693119</v>
      </c>
      <c r="F303" s="271">
        <f>local199293[[#Totals],[Less: Net 
Payments
 and Offsets 1]]</f>
        <v>5693119</v>
      </c>
      <c r="G303" s="327" t="s">
        <v>153</v>
      </c>
      <c r="H303" s="326">
        <f>local199293[[#Totals],[Accounts Payable
Balance]]</f>
        <v>0</v>
      </c>
      <c r="I303" s="271">
        <f>local199293[[#Totals],[Established
Accounts Receivable]]</f>
        <v>2966</v>
      </c>
      <c r="J303" s="326">
        <f>local199293[[#Totals],[Less: 
Recovered 
Amount]]</f>
        <v>0</v>
      </c>
      <c r="K303" s="271">
        <f>local199293[[#Totals],[Accounts Receivable
Balance]]</f>
        <v>2966</v>
      </c>
      <c r="L303" s="271">
        <f>local199293[[#Totals],[Net
Balance]]</f>
        <v>-2966</v>
      </c>
      <c r="M303" s="52"/>
      <c r="N303" s="160"/>
      <c r="U303" s="52"/>
      <c r="V303" s="161"/>
      <c r="W303" s="161"/>
      <c r="X303" s="161"/>
      <c r="Y303" s="161"/>
      <c r="Z303" s="161"/>
      <c r="AA303" s="161"/>
      <c r="AB303" s="161"/>
    </row>
    <row r="304" spans="1:28" ht="15.75" customHeight="1" x14ac:dyDescent="0.2">
      <c r="A304" s="24" t="s">
        <v>380</v>
      </c>
      <c r="B304" s="173" t="s">
        <v>153</v>
      </c>
      <c r="C304" s="25" t="s">
        <v>153</v>
      </c>
      <c r="D304" s="125" t="s">
        <v>153</v>
      </c>
      <c r="E304" s="271">
        <f>local199192[[#Totals],[Program
Costs]]</f>
        <v>14801309</v>
      </c>
      <c r="F304" s="271">
        <f>local199192[[#Totals],[Less: Net 
Payments
 and Offsets 1]]</f>
        <v>14801309</v>
      </c>
      <c r="G304" s="327" t="s">
        <v>153</v>
      </c>
      <c r="H304" s="326">
        <f>local199192[[#Totals],[Accounts Payable
Balance]]</f>
        <v>0</v>
      </c>
      <c r="I304" s="271">
        <f>local199192[[#Totals],[Established
Accounts Receivable]]</f>
        <v>495039</v>
      </c>
      <c r="J304" s="271">
        <f>local199192[[#Totals],[Less: 
Recovered 
Amount]]</f>
        <v>446808</v>
      </c>
      <c r="K304" s="271">
        <f>local199192[[#Totals],[Accounts Receivable
Balance]]</f>
        <v>48231</v>
      </c>
      <c r="L304" s="271">
        <f>local199192[[#Totals],[Net
Balance]]</f>
        <v>-48231</v>
      </c>
      <c r="M304" s="52"/>
      <c r="N304" s="160"/>
      <c r="U304" s="52"/>
      <c r="V304" s="161"/>
      <c r="W304" s="161"/>
      <c r="X304" s="161"/>
      <c r="Y304" s="161"/>
      <c r="Z304" s="161"/>
      <c r="AA304" s="161"/>
      <c r="AB304" s="161"/>
    </row>
    <row r="305" spans="1:21" ht="18.75" customHeight="1" x14ac:dyDescent="0.25">
      <c r="A305" s="162" t="s">
        <v>236</v>
      </c>
      <c r="B305" s="171" t="s">
        <v>153</v>
      </c>
      <c r="C305" s="167" t="s">
        <v>153</v>
      </c>
      <c r="D305" s="167" t="s">
        <v>153</v>
      </c>
      <c r="E305" s="277">
        <f>SUBTOTAL(109,localgrandtotal[Program
Costs])</f>
        <v>684761040</v>
      </c>
      <c r="F305" s="277">
        <f>SUBTOTAL(109,localgrandtotal[Less: Net 
Payments
 and Offsets 1])</f>
        <v>282031325</v>
      </c>
      <c r="G305" s="328" t="s">
        <v>153</v>
      </c>
      <c r="H305" s="277">
        <f>SUBTOTAL(109,localgrandtotal[Accounts Payable
Balance])</f>
        <v>402729715</v>
      </c>
      <c r="I305" s="277">
        <f>SUBTOTAL(109,localgrandtotal[Established
Accounts Receivable])</f>
        <v>50121097</v>
      </c>
      <c r="J305" s="277">
        <f>SUBTOTAL(109,localgrandtotal[Less: 
Recovered 
Amount])</f>
        <v>47870233</v>
      </c>
      <c r="K305" s="277">
        <f>SUBTOTAL(109,localgrandtotal[Accounts Receivable
Balance])</f>
        <v>2250864</v>
      </c>
      <c r="L305" s="277">
        <f>SUBTOTAL(109,localgrandtotal[Net
Balance])</f>
        <v>400478851</v>
      </c>
      <c r="M305" s="52"/>
      <c r="N305" s="160"/>
      <c r="U305" s="52"/>
    </row>
    <row r="306" spans="1:21" ht="15.75" customHeight="1" x14ac:dyDescent="0.2">
      <c r="A306" s="164" t="s">
        <v>402</v>
      </c>
    </row>
    <row r="307" spans="1:21" ht="18.75" customHeight="1" x14ac:dyDescent="0.2">
      <c r="A307" s="115" t="s">
        <v>253</v>
      </c>
      <c r="H307" s="334"/>
      <c r="I307" s="334"/>
      <c r="J307" s="335"/>
    </row>
    <row r="309" spans="1:21" x14ac:dyDescent="0.2">
      <c r="G309" s="336"/>
    </row>
  </sheetData>
  <hyperlinks>
    <hyperlink ref="F2" location="'Schedule B1-Local Agencies'!A306" tooltip="This hyperlink will take you to the referenced footnote-footnote 1." display="'Schedule B1-Local Agencies'!A306"/>
  </hyperlinks>
  <printOptions horizontalCentered="1" gridLines="1"/>
  <pageMargins left="0.3" right="0.3" top="1.1000000000000001" bottom="0.75" header="0.3" footer="0.1"/>
  <pageSetup scale="59" orientation="landscape" r:id="rId1"/>
  <headerFooter>
    <oddHeader>&amp;C&amp;"Arial,Bold"&amp;12State Controller's Office
Schedule B1: Detail of Funded State-Mandated Programs by Fiscal Year
As of April 1, 2021</oddHeader>
    <oddFooter>&amp;LSchedule B1: Detail of Funded State-Mandated Programs by Fiscal Year
Local Agencies&amp;RPage &amp;P of &amp;N</oddFooter>
  </headerFooter>
  <rowBreaks count="8" manualBreakCount="8">
    <brk id="37" max="11" man="1"/>
    <brk id="70" max="11" man="1"/>
    <brk id="106" max="11" man="1"/>
    <brk id="145" max="11" man="1"/>
    <brk id="179" max="11" man="1"/>
    <brk id="217" max="11" man="1"/>
    <brk id="255" max="11" man="1"/>
    <brk id="296" max="11" man="1"/>
  </rowBreaks>
  <legacyDrawing r:id="rId2"/>
  <tableParts count="29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</tablePar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C937"/>
  <sheetViews>
    <sheetView view="pageLayout" zoomScale="80" zoomScaleNormal="80" zoomScaleSheetLayoutView="70" zoomScalePageLayoutView="80" workbookViewId="0">
      <selection activeCell="E5" sqref="E5"/>
    </sheetView>
  </sheetViews>
  <sheetFormatPr defaultColWidth="9.140625" defaultRowHeight="15" x14ac:dyDescent="0.25"/>
  <cols>
    <col min="1" max="1" width="23.85546875" style="177" customWidth="1"/>
    <col min="2" max="2" width="44.140625" style="178" customWidth="1"/>
    <col min="3" max="3" width="12.5703125" style="179" customWidth="1"/>
    <col min="4" max="4" width="14.5703125" style="177" customWidth="1"/>
    <col min="5" max="5" width="18.5703125" style="180" customWidth="1"/>
    <col min="6" max="6" width="18.5703125" style="181" customWidth="1"/>
    <col min="7" max="7" width="2.5703125" style="181" customWidth="1"/>
    <col min="8" max="12" width="16.5703125" style="180" customWidth="1"/>
    <col min="13" max="14" width="9.140625" style="175"/>
    <col min="15" max="15" width="12" style="175" bestFit="1" customWidth="1"/>
    <col min="16" max="26" width="9.140625" style="175"/>
    <col min="27" max="27" width="10.85546875" style="175" bestFit="1" customWidth="1"/>
    <col min="28" max="16384" width="9.140625" style="175"/>
  </cols>
  <sheetData>
    <row r="1" spans="1:12" ht="54" customHeight="1" x14ac:dyDescent="0.25">
      <c r="A1" s="183" t="s">
        <v>267</v>
      </c>
      <c r="B1" s="184"/>
      <c r="C1" s="185"/>
      <c r="D1" s="185"/>
      <c r="E1" s="186"/>
      <c r="F1" s="186"/>
      <c r="G1" s="186"/>
      <c r="H1" s="186"/>
      <c r="I1" s="186"/>
      <c r="J1" s="186"/>
      <c r="K1" s="186"/>
      <c r="L1" s="186"/>
    </row>
    <row r="2" spans="1:12" s="182" customFormat="1" ht="50.1" customHeight="1" x14ac:dyDescent="0.25">
      <c r="A2" s="211" t="s">
        <v>221</v>
      </c>
      <c r="B2" s="211" t="s">
        <v>268</v>
      </c>
      <c r="C2" s="21" t="s">
        <v>2</v>
      </c>
      <c r="D2" s="211" t="s">
        <v>280</v>
      </c>
      <c r="E2" s="212" t="s">
        <v>223</v>
      </c>
      <c r="F2" s="253" t="s">
        <v>520</v>
      </c>
      <c r="G2" s="252" t="s">
        <v>244</v>
      </c>
      <c r="H2" s="214" t="s">
        <v>270</v>
      </c>
      <c r="I2" s="151" t="s">
        <v>271</v>
      </c>
      <c r="J2" s="212" t="s">
        <v>282</v>
      </c>
      <c r="K2" s="214" t="s">
        <v>272</v>
      </c>
      <c r="L2" s="212" t="s">
        <v>273</v>
      </c>
    </row>
    <row r="3" spans="1:12" ht="30.75" customHeight="1" x14ac:dyDescent="0.25">
      <c r="A3" s="187" t="s">
        <v>274</v>
      </c>
      <c r="B3" s="188" t="s">
        <v>53</v>
      </c>
      <c r="C3" s="189" t="s">
        <v>54</v>
      </c>
      <c r="D3" s="187">
        <v>250</v>
      </c>
      <c r="E3" s="190">
        <v>7166</v>
      </c>
      <c r="F3" s="193">
        <v>0</v>
      </c>
      <c r="G3" s="255" t="s">
        <v>153</v>
      </c>
      <c r="H3" s="190">
        <v>7166</v>
      </c>
      <c r="I3" s="192">
        <v>0</v>
      </c>
      <c r="J3" s="192">
        <v>0</v>
      </c>
      <c r="K3" s="192">
        <v>0</v>
      </c>
      <c r="L3" s="190">
        <v>7166</v>
      </c>
    </row>
    <row r="4" spans="1:12" ht="30.75" x14ac:dyDescent="0.25">
      <c r="A4" s="187" t="s">
        <v>274</v>
      </c>
      <c r="B4" s="188" t="s">
        <v>55</v>
      </c>
      <c r="C4" s="189" t="s">
        <v>56</v>
      </c>
      <c r="D4" s="187">
        <v>369</v>
      </c>
      <c r="E4" s="190">
        <v>8376</v>
      </c>
      <c r="F4" s="193">
        <v>0</v>
      </c>
      <c r="G4" s="255" t="s">
        <v>153</v>
      </c>
      <c r="H4" s="190">
        <v>8376</v>
      </c>
      <c r="I4" s="192">
        <v>0</v>
      </c>
      <c r="J4" s="192">
        <v>0</v>
      </c>
      <c r="K4" s="192">
        <v>0</v>
      </c>
      <c r="L4" s="190">
        <v>8376</v>
      </c>
    </row>
    <row r="5" spans="1:12" ht="30.75" x14ac:dyDescent="0.25">
      <c r="A5" s="187" t="s">
        <v>274</v>
      </c>
      <c r="B5" s="188" t="s">
        <v>57</v>
      </c>
      <c r="C5" s="189" t="s">
        <v>58</v>
      </c>
      <c r="D5" s="187">
        <v>172</v>
      </c>
      <c r="E5" s="190">
        <v>1202</v>
      </c>
      <c r="F5" s="193">
        <v>0</v>
      </c>
      <c r="G5" s="255" t="s">
        <v>153</v>
      </c>
      <c r="H5" s="190">
        <v>1202</v>
      </c>
      <c r="I5" s="192">
        <v>0</v>
      </c>
      <c r="J5" s="192">
        <v>0</v>
      </c>
      <c r="K5" s="192">
        <v>0</v>
      </c>
      <c r="L5" s="190">
        <v>1202</v>
      </c>
    </row>
    <row r="6" spans="1:12" ht="30.75" x14ac:dyDescent="0.25">
      <c r="A6" s="187" t="s">
        <v>274</v>
      </c>
      <c r="B6" s="188" t="s">
        <v>50</v>
      </c>
      <c r="C6" s="189" t="s">
        <v>51</v>
      </c>
      <c r="D6" s="187">
        <v>11</v>
      </c>
      <c r="E6" s="190">
        <v>27854</v>
      </c>
      <c r="F6" s="193">
        <v>0</v>
      </c>
      <c r="G6" s="255" t="s">
        <v>153</v>
      </c>
      <c r="H6" s="190">
        <v>27854</v>
      </c>
      <c r="I6" s="192">
        <v>0</v>
      </c>
      <c r="J6" s="192">
        <v>0</v>
      </c>
      <c r="K6" s="192">
        <v>0</v>
      </c>
      <c r="L6" s="190">
        <v>27854</v>
      </c>
    </row>
    <row r="7" spans="1:12" ht="15" customHeight="1" x14ac:dyDescent="0.25">
      <c r="A7" s="187" t="s">
        <v>274</v>
      </c>
      <c r="B7" s="188" t="s">
        <v>59</v>
      </c>
      <c r="C7" s="189" t="s">
        <v>60</v>
      </c>
      <c r="D7" s="187">
        <v>313</v>
      </c>
      <c r="E7" s="190">
        <v>14450</v>
      </c>
      <c r="F7" s="193">
        <v>0</v>
      </c>
      <c r="G7" s="255" t="s">
        <v>153</v>
      </c>
      <c r="H7" s="190">
        <v>14450</v>
      </c>
      <c r="I7" s="192">
        <v>0</v>
      </c>
      <c r="J7" s="192">
        <v>0</v>
      </c>
      <c r="K7" s="192">
        <v>0</v>
      </c>
      <c r="L7" s="190">
        <v>14450</v>
      </c>
    </row>
    <row r="8" spans="1:12" ht="30.75" x14ac:dyDescent="0.25">
      <c r="A8" s="187" t="s">
        <v>274</v>
      </c>
      <c r="B8" s="188" t="s">
        <v>61</v>
      </c>
      <c r="C8" s="189" t="s">
        <v>62</v>
      </c>
      <c r="D8" s="187">
        <v>330</v>
      </c>
      <c r="E8" s="190">
        <v>21004</v>
      </c>
      <c r="F8" s="193">
        <v>0</v>
      </c>
      <c r="G8" s="255" t="s">
        <v>153</v>
      </c>
      <c r="H8" s="190">
        <v>21004</v>
      </c>
      <c r="I8" s="192">
        <v>0</v>
      </c>
      <c r="J8" s="192">
        <v>0</v>
      </c>
      <c r="K8" s="192">
        <v>0</v>
      </c>
      <c r="L8" s="190">
        <v>21004</v>
      </c>
    </row>
    <row r="9" spans="1:12" ht="45.75" x14ac:dyDescent="0.25">
      <c r="A9" s="187" t="s">
        <v>274</v>
      </c>
      <c r="B9" s="188" t="s">
        <v>63</v>
      </c>
      <c r="C9" s="189" t="s">
        <v>64</v>
      </c>
      <c r="D9" s="187">
        <v>272</v>
      </c>
      <c r="E9" s="190">
        <v>25757</v>
      </c>
      <c r="F9" s="193">
        <v>0</v>
      </c>
      <c r="G9" s="255" t="s">
        <v>153</v>
      </c>
      <c r="H9" s="190">
        <v>25757</v>
      </c>
      <c r="I9" s="192">
        <v>0</v>
      </c>
      <c r="J9" s="192">
        <v>0</v>
      </c>
      <c r="K9" s="192">
        <v>0</v>
      </c>
      <c r="L9" s="190">
        <v>25757</v>
      </c>
    </row>
    <row r="10" spans="1:12" ht="45.75" x14ac:dyDescent="0.25">
      <c r="A10" s="187" t="s">
        <v>274</v>
      </c>
      <c r="B10" s="188" t="s">
        <v>65</v>
      </c>
      <c r="C10" s="189" t="s">
        <v>66</v>
      </c>
      <c r="D10" s="187">
        <v>276</v>
      </c>
      <c r="E10" s="190">
        <v>7997</v>
      </c>
      <c r="F10" s="193">
        <v>0</v>
      </c>
      <c r="G10" s="255" t="s">
        <v>153</v>
      </c>
      <c r="H10" s="190">
        <v>7997</v>
      </c>
      <c r="I10" s="192">
        <v>0</v>
      </c>
      <c r="J10" s="192">
        <v>0</v>
      </c>
      <c r="K10" s="192">
        <v>0</v>
      </c>
      <c r="L10" s="190">
        <v>7997</v>
      </c>
    </row>
    <row r="11" spans="1:12" ht="75" customHeight="1" x14ac:dyDescent="0.25">
      <c r="A11" s="187" t="s">
        <v>274</v>
      </c>
      <c r="B11" s="188" t="s">
        <v>67</v>
      </c>
      <c r="C11" s="189" t="s">
        <v>68</v>
      </c>
      <c r="D11" s="187">
        <v>292</v>
      </c>
      <c r="E11" s="190">
        <v>33163</v>
      </c>
      <c r="F11" s="193">
        <v>0</v>
      </c>
      <c r="G11" s="255" t="s">
        <v>153</v>
      </c>
      <c r="H11" s="190">
        <v>33163</v>
      </c>
      <c r="I11" s="192">
        <v>0</v>
      </c>
      <c r="J11" s="192">
        <v>0</v>
      </c>
      <c r="K11" s="192">
        <v>0</v>
      </c>
      <c r="L11" s="190">
        <v>33163</v>
      </c>
    </row>
    <row r="12" spans="1:12" ht="30.75" x14ac:dyDescent="0.25">
      <c r="A12" s="187" t="s">
        <v>274</v>
      </c>
      <c r="B12" s="188" t="s">
        <v>69</v>
      </c>
      <c r="C12" s="189" t="s">
        <v>70</v>
      </c>
      <c r="D12" s="187">
        <v>209</v>
      </c>
      <c r="E12" s="190">
        <v>35550</v>
      </c>
      <c r="F12" s="193">
        <v>0</v>
      </c>
      <c r="G12" s="255" t="s">
        <v>153</v>
      </c>
      <c r="H12" s="190">
        <v>35550</v>
      </c>
      <c r="I12" s="192">
        <v>0</v>
      </c>
      <c r="J12" s="192">
        <v>0</v>
      </c>
      <c r="K12" s="192">
        <v>0</v>
      </c>
      <c r="L12" s="190">
        <v>35550</v>
      </c>
    </row>
    <row r="13" spans="1:12" ht="15.75" x14ac:dyDescent="0.25">
      <c r="A13" s="187" t="s">
        <v>274</v>
      </c>
      <c r="B13" s="188" t="s">
        <v>71</v>
      </c>
      <c r="C13" s="189" t="s">
        <v>72</v>
      </c>
      <c r="D13" s="187">
        <v>183</v>
      </c>
      <c r="E13" s="190">
        <v>3443</v>
      </c>
      <c r="F13" s="193">
        <v>0</v>
      </c>
      <c r="G13" s="255" t="s">
        <v>153</v>
      </c>
      <c r="H13" s="190">
        <v>3443</v>
      </c>
      <c r="I13" s="192">
        <v>0</v>
      </c>
      <c r="J13" s="192">
        <v>0</v>
      </c>
      <c r="K13" s="192">
        <v>0</v>
      </c>
      <c r="L13" s="190">
        <v>3443</v>
      </c>
    </row>
    <row r="14" spans="1:12" ht="15.75" x14ac:dyDescent="0.25">
      <c r="A14" s="187" t="s">
        <v>274</v>
      </c>
      <c r="B14" s="188" t="s">
        <v>73</v>
      </c>
      <c r="C14" s="189" t="s">
        <v>52</v>
      </c>
      <c r="D14" s="187">
        <v>192</v>
      </c>
      <c r="E14" s="190">
        <v>4921</v>
      </c>
      <c r="F14" s="193">
        <v>0</v>
      </c>
      <c r="G14" s="255" t="s">
        <v>153</v>
      </c>
      <c r="H14" s="190">
        <v>4921</v>
      </c>
      <c r="I14" s="192">
        <v>0</v>
      </c>
      <c r="J14" s="192">
        <v>0</v>
      </c>
      <c r="K14" s="192">
        <v>0</v>
      </c>
      <c r="L14" s="190">
        <v>4921</v>
      </c>
    </row>
    <row r="15" spans="1:12" ht="30.75" x14ac:dyDescent="0.25">
      <c r="A15" s="187" t="s">
        <v>274</v>
      </c>
      <c r="B15" s="188" t="s">
        <v>74</v>
      </c>
      <c r="C15" s="189" t="s">
        <v>75</v>
      </c>
      <c r="D15" s="187">
        <v>297</v>
      </c>
      <c r="E15" s="190">
        <v>3221224</v>
      </c>
      <c r="F15" s="193">
        <v>0</v>
      </c>
      <c r="G15" s="255" t="s">
        <v>153</v>
      </c>
      <c r="H15" s="190">
        <v>3221224</v>
      </c>
      <c r="I15" s="192">
        <v>0</v>
      </c>
      <c r="J15" s="192">
        <v>0</v>
      </c>
      <c r="K15" s="192">
        <v>0</v>
      </c>
      <c r="L15" s="190">
        <v>3221224</v>
      </c>
    </row>
    <row r="16" spans="1:12" ht="15.75" x14ac:dyDescent="0.25">
      <c r="A16" s="187" t="s">
        <v>274</v>
      </c>
      <c r="B16" s="188" t="s">
        <v>76</v>
      </c>
      <c r="C16" s="189" t="s">
        <v>77</v>
      </c>
      <c r="D16" s="187">
        <v>166</v>
      </c>
      <c r="E16" s="190">
        <v>47272</v>
      </c>
      <c r="F16" s="193">
        <v>0</v>
      </c>
      <c r="G16" s="255" t="s">
        <v>153</v>
      </c>
      <c r="H16" s="190">
        <v>47272</v>
      </c>
      <c r="I16" s="192">
        <v>0</v>
      </c>
      <c r="J16" s="192">
        <v>0</v>
      </c>
      <c r="K16" s="192">
        <v>0</v>
      </c>
      <c r="L16" s="190">
        <v>47272</v>
      </c>
    </row>
    <row r="17" spans="1:12" ht="15.75" x14ac:dyDescent="0.25">
      <c r="A17" s="187" t="s">
        <v>274</v>
      </c>
      <c r="B17" s="188" t="s">
        <v>78</v>
      </c>
      <c r="C17" s="189" t="s">
        <v>79</v>
      </c>
      <c r="D17" s="187">
        <v>32</v>
      </c>
      <c r="E17" s="190">
        <v>7722</v>
      </c>
      <c r="F17" s="193">
        <v>0</v>
      </c>
      <c r="G17" s="255" t="s">
        <v>153</v>
      </c>
      <c r="H17" s="190">
        <v>7722</v>
      </c>
      <c r="I17" s="192">
        <v>0</v>
      </c>
      <c r="J17" s="192">
        <v>0</v>
      </c>
      <c r="K17" s="192">
        <v>0</v>
      </c>
      <c r="L17" s="190">
        <v>7722</v>
      </c>
    </row>
    <row r="18" spans="1:12" ht="30.75" x14ac:dyDescent="0.25">
      <c r="A18" s="187" t="s">
        <v>274</v>
      </c>
      <c r="B18" s="188" t="s">
        <v>80</v>
      </c>
      <c r="C18" s="189" t="s">
        <v>81</v>
      </c>
      <c r="D18" s="187">
        <v>368</v>
      </c>
      <c r="E18" s="190">
        <v>11813</v>
      </c>
      <c r="F18" s="193">
        <v>0</v>
      </c>
      <c r="G18" s="255" t="s">
        <v>153</v>
      </c>
      <c r="H18" s="190">
        <v>11813</v>
      </c>
      <c r="I18" s="192">
        <v>0</v>
      </c>
      <c r="J18" s="192">
        <v>0</v>
      </c>
      <c r="K18" s="192">
        <v>0</v>
      </c>
      <c r="L18" s="190">
        <v>11813</v>
      </c>
    </row>
    <row r="19" spans="1:12" ht="15.75" x14ac:dyDescent="0.25">
      <c r="A19" s="187" t="s">
        <v>274</v>
      </c>
      <c r="B19" s="188" t="s">
        <v>82</v>
      </c>
      <c r="C19" s="189" t="s">
        <v>83</v>
      </c>
      <c r="D19" s="187">
        <v>357</v>
      </c>
      <c r="E19" s="190">
        <v>6108</v>
      </c>
      <c r="F19" s="193">
        <v>0</v>
      </c>
      <c r="G19" s="255" t="s">
        <v>153</v>
      </c>
      <c r="H19" s="190">
        <v>6108</v>
      </c>
      <c r="I19" s="192">
        <v>0</v>
      </c>
      <c r="J19" s="192">
        <v>0</v>
      </c>
      <c r="K19" s="192">
        <v>0</v>
      </c>
      <c r="L19" s="190">
        <v>6108</v>
      </c>
    </row>
    <row r="20" spans="1:12" ht="15.75" x14ac:dyDescent="0.25">
      <c r="A20" s="187" t="s">
        <v>274</v>
      </c>
      <c r="B20" s="188" t="s">
        <v>84</v>
      </c>
      <c r="C20" s="189" t="s">
        <v>85</v>
      </c>
      <c r="D20" s="187">
        <v>153</v>
      </c>
      <c r="E20" s="190">
        <v>8974</v>
      </c>
      <c r="F20" s="193">
        <v>0</v>
      </c>
      <c r="G20" s="255" t="s">
        <v>153</v>
      </c>
      <c r="H20" s="190">
        <v>8974</v>
      </c>
      <c r="I20" s="192">
        <v>0</v>
      </c>
      <c r="J20" s="192">
        <v>0</v>
      </c>
      <c r="K20" s="192">
        <v>0</v>
      </c>
      <c r="L20" s="190">
        <v>8974</v>
      </c>
    </row>
    <row r="21" spans="1:12" ht="15.75" x14ac:dyDescent="0.25">
      <c r="A21" s="187" t="s">
        <v>274</v>
      </c>
      <c r="B21" s="188" t="s">
        <v>86</v>
      </c>
      <c r="C21" s="189" t="s">
        <v>75</v>
      </c>
      <c r="D21" s="187">
        <v>48</v>
      </c>
      <c r="E21" s="190">
        <v>74680</v>
      </c>
      <c r="F21" s="193">
        <v>0</v>
      </c>
      <c r="G21" s="255" t="s">
        <v>153</v>
      </c>
      <c r="H21" s="190">
        <v>74680</v>
      </c>
      <c r="I21" s="192">
        <v>0</v>
      </c>
      <c r="J21" s="192">
        <v>0</v>
      </c>
      <c r="K21" s="192">
        <v>0</v>
      </c>
      <c r="L21" s="190">
        <v>74680</v>
      </c>
    </row>
    <row r="22" spans="1:12" ht="15.75" x14ac:dyDescent="0.25">
      <c r="A22" s="187" t="s">
        <v>274</v>
      </c>
      <c r="B22" s="188" t="s">
        <v>87</v>
      </c>
      <c r="C22" s="189" t="s">
        <v>88</v>
      </c>
      <c r="D22" s="187">
        <v>350</v>
      </c>
      <c r="E22" s="190">
        <v>2007</v>
      </c>
      <c r="F22" s="193">
        <v>0</v>
      </c>
      <c r="G22" s="255" t="s">
        <v>153</v>
      </c>
      <c r="H22" s="190">
        <v>2007</v>
      </c>
      <c r="I22" s="192">
        <v>0</v>
      </c>
      <c r="J22" s="192">
        <v>0</v>
      </c>
      <c r="K22" s="192">
        <v>0</v>
      </c>
      <c r="L22" s="190">
        <v>2007</v>
      </c>
    </row>
    <row r="23" spans="1:12" ht="15.75" x14ac:dyDescent="0.25">
      <c r="A23" s="187" t="s">
        <v>274</v>
      </c>
      <c r="B23" s="188" t="s">
        <v>89</v>
      </c>
      <c r="C23" s="189" t="s">
        <v>90</v>
      </c>
      <c r="D23" s="187">
        <v>171</v>
      </c>
      <c r="E23" s="190">
        <v>11486</v>
      </c>
      <c r="F23" s="193">
        <v>0</v>
      </c>
      <c r="G23" s="255" t="s">
        <v>153</v>
      </c>
      <c r="H23" s="190">
        <v>11486</v>
      </c>
      <c r="I23" s="192">
        <v>0</v>
      </c>
      <c r="J23" s="192">
        <v>0</v>
      </c>
      <c r="K23" s="192">
        <v>0</v>
      </c>
      <c r="L23" s="190">
        <v>11486</v>
      </c>
    </row>
    <row r="24" spans="1:12" ht="30" customHeight="1" x14ac:dyDescent="0.25">
      <c r="A24" s="187" t="s">
        <v>274</v>
      </c>
      <c r="B24" s="188" t="s">
        <v>91</v>
      </c>
      <c r="C24" s="189" t="s">
        <v>92</v>
      </c>
      <c r="D24" s="187">
        <v>258</v>
      </c>
      <c r="E24" s="190">
        <v>27399</v>
      </c>
      <c r="F24" s="193">
        <v>0</v>
      </c>
      <c r="G24" s="255" t="s">
        <v>153</v>
      </c>
      <c r="H24" s="190">
        <v>27399</v>
      </c>
      <c r="I24" s="192">
        <v>0</v>
      </c>
      <c r="J24" s="192">
        <v>0</v>
      </c>
      <c r="K24" s="192">
        <v>0</v>
      </c>
      <c r="L24" s="190">
        <v>27399</v>
      </c>
    </row>
    <row r="25" spans="1:12" ht="15.75" x14ac:dyDescent="0.25">
      <c r="A25" s="187" t="s">
        <v>274</v>
      </c>
      <c r="B25" s="188" t="s">
        <v>93</v>
      </c>
      <c r="C25" s="189" t="s">
        <v>75</v>
      </c>
      <c r="D25" s="187">
        <v>260</v>
      </c>
      <c r="E25" s="190">
        <v>78666</v>
      </c>
      <c r="F25" s="193">
        <v>0</v>
      </c>
      <c r="G25" s="255" t="s">
        <v>153</v>
      </c>
      <c r="H25" s="190">
        <v>78666</v>
      </c>
      <c r="I25" s="192">
        <v>0</v>
      </c>
      <c r="J25" s="192">
        <v>0</v>
      </c>
      <c r="K25" s="192">
        <v>0</v>
      </c>
      <c r="L25" s="190">
        <v>78666</v>
      </c>
    </row>
    <row r="26" spans="1:12" ht="30.75" x14ac:dyDescent="0.25">
      <c r="A26" s="187" t="s">
        <v>274</v>
      </c>
      <c r="B26" s="188" t="s">
        <v>94</v>
      </c>
      <c r="C26" s="189" t="s">
        <v>95</v>
      </c>
      <c r="D26" s="187">
        <v>367</v>
      </c>
      <c r="E26" s="190">
        <v>114612</v>
      </c>
      <c r="F26" s="193">
        <v>0</v>
      </c>
      <c r="G26" s="255" t="s">
        <v>153</v>
      </c>
      <c r="H26" s="190">
        <v>114612</v>
      </c>
      <c r="I26" s="192">
        <v>0</v>
      </c>
      <c r="J26" s="192">
        <v>0</v>
      </c>
      <c r="K26" s="192">
        <v>0</v>
      </c>
      <c r="L26" s="190">
        <v>114612</v>
      </c>
    </row>
    <row r="27" spans="1:12" ht="15" customHeight="1" x14ac:dyDescent="0.25">
      <c r="A27" s="187" t="s">
        <v>274</v>
      </c>
      <c r="B27" s="188" t="s">
        <v>96</v>
      </c>
      <c r="C27" s="189" t="s">
        <v>97</v>
      </c>
      <c r="D27" s="187">
        <v>351</v>
      </c>
      <c r="E27" s="190">
        <v>1447</v>
      </c>
      <c r="F27" s="193">
        <v>0</v>
      </c>
      <c r="G27" s="255" t="s">
        <v>153</v>
      </c>
      <c r="H27" s="190">
        <v>1447</v>
      </c>
      <c r="I27" s="192">
        <v>0</v>
      </c>
      <c r="J27" s="192">
        <v>0</v>
      </c>
      <c r="K27" s="192">
        <v>0</v>
      </c>
      <c r="L27" s="190">
        <v>1447</v>
      </c>
    </row>
    <row r="28" spans="1:12" ht="15" customHeight="1" x14ac:dyDescent="0.25">
      <c r="A28" s="206" t="s">
        <v>279</v>
      </c>
      <c r="B28" s="258" t="s">
        <v>153</v>
      </c>
      <c r="C28" s="258" t="s">
        <v>153</v>
      </c>
      <c r="D28" s="258" t="s">
        <v>153</v>
      </c>
      <c r="E28" s="207">
        <f>SUBTOTAL(109,school201920[Program
Costs])</f>
        <v>3804293</v>
      </c>
      <c r="F28" s="208">
        <f>SUBTOTAL(109,school201920[Less: Net
 Payments and 
Offsets 2])</f>
        <v>0</v>
      </c>
      <c r="G28" s="256" t="s">
        <v>153</v>
      </c>
      <c r="H28" s="207">
        <f>SUBTOTAL(109,school201920[Accounts Payable
Balance])</f>
        <v>3804293</v>
      </c>
      <c r="I28" s="209">
        <f>SUBTOTAL(109,school201920[Established
Accounts Receivable])</f>
        <v>0</v>
      </c>
      <c r="J28" s="209">
        <f>SUBTOTAL(109,school201920[Less: 
Recovered 
Amount])</f>
        <v>0</v>
      </c>
      <c r="K28" s="209">
        <f>SUBTOTAL(109,school201920[Accounts Receivable
Balance])</f>
        <v>0</v>
      </c>
      <c r="L28" s="207">
        <f>SUBTOTAL(109,school201920[Net
Balance])</f>
        <v>3804293</v>
      </c>
    </row>
    <row r="29" spans="1:12" ht="15" customHeight="1" x14ac:dyDescent="0.25">
      <c r="A29" s="146" t="s">
        <v>181</v>
      </c>
      <c r="B29" s="188"/>
      <c r="C29" s="189"/>
      <c r="D29" s="187"/>
      <c r="E29" s="190"/>
      <c r="F29" s="193"/>
      <c r="G29" s="191"/>
      <c r="H29" s="190"/>
      <c r="I29" s="192"/>
      <c r="J29" s="192"/>
      <c r="K29" s="192"/>
      <c r="L29" s="190"/>
    </row>
    <row r="30" spans="1:12" ht="50.1" customHeight="1" x14ac:dyDescent="0.25">
      <c r="A30" s="211" t="s">
        <v>221</v>
      </c>
      <c r="B30" s="211" t="s">
        <v>268</v>
      </c>
      <c r="C30" s="21" t="s">
        <v>2</v>
      </c>
      <c r="D30" s="211" t="s">
        <v>280</v>
      </c>
      <c r="E30" s="212" t="s">
        <v>223</v>
      </c>
      <c r="F30" s="213" t="s">
        <v>509</v>
      </c>
      <c r="G30" s="254" t="s">
        <v>176</v>
      </c>
      <c r="H30" s="214" t="s">
        <v>270</v>
      </c>
      <c r="I30" s="151" t="s">
        <v>271</v>
      </c>
      <c r="J30" s="212" t="s">
        <v>282</v>
      </c>
      <c r="K30" s="214" t="s">
        <v>272</v>
      </c>
      <c r="L30" s="212" t="s">
        <v>273</v>
      </c>
    </row>
    <row r="31" spans="1:12" ht="30.75" customHeight="1" x14ac:dyDescent="0.25">
      <c r="A31" s="187" t="s">
        <v>43</v>
      </c>
      <c r="B31" s="219" t="s">
        <v>53</v>
      </c>
      <c r="C31" s="210" t="s">
        <v>54</v>
      </c>
      <c r="D31" s="187">
        <v>250</v>
      </c>
      <c r="E31" s="190">
        <v>15908</v>
      </c>
      <c r="F31" s="191">
        <v>1000</v>
      </c>
      <c r="G31" s="255" t="s">
        <v>153</v>
      </c>
      <c r="H31" s="190">
        <v>14908</v>
      </c>
      <c r="I31" s="192">
        <v>0</v>
      </c>
      <c r="J31" s="192">
        <v>0</v>
      </c>
      <c r="K31" s="192">
        <v>0</v>
      </c>
      <c r="L31" s="190">
        <v>14908</v>
      </c>
    </row>
    <row r="32" spans="1:12" ht="30.75" x14ac:dyDescent="0.25">
      <c r="A32" s="187" t="s">
        <v>43</v>
      </c>
      <c r="B32" s="188" t="s">
        <v>98</v>
      </c>
      <c r="C32" s="189" t="s">
        <v>99</v>
      </c>
      <c r="D32" s="187">
        <v>370</v>
      </c>
      <c r="E32" s="190">
        <v>49754</v>
      </c>
      <c r="F32" s="191">
        <v>1000</v>
      </c>
      <c r="G32" s="255" t="s">
        <v>153</v>
      </c>
      <c r="H32" s="190">
        <v>48754</v>
      </c>
      <c r="I32" s="192">
        <v>0</v>
      </c>
      <c r="J32" s="192">
        <v>0</v>
      </c>
      <c r="K32" s="192">
        <v>0</v>
      </c>
      <c r="L32" s="190">
        <v>48754</v>
      </c>
    </row>
    <row r="33" spans="1:13" ht="30.75" x14ac:dyDescent="0.25">
      <c r="A33" s="187" t="s">
        <v>43</v>
      </c>
      <c r="B33" s="188" t="s">
        <v>55</v>
      </c>
      <c r="C33" s="189" t="s">
        <v>56</v>
      </c>
      <c r="D33" s="187">
        <v>369</v>
      </c>
      <c r="E33" s="190">
        <v>73358</v>
      </c>
      <c r="F33" s="191">
        <v>1000</v>
      </c>
      <c r="G33" s="255" t="s">
        <v>153</v>
      </c>
      <c r="H33" s="190">
        <v>72358</v>
      </c>
      <c r="I33" s="192">
        <v>0</v>
      </c>
      <c r="J33" s="192">
        <v>0</v>
      </c>
      <c r="K33" s="192">
        <v>0</v>
      </c>
      <c r="L33" s="190">
        <v>72358</v>
      </c>
    </row>
    <row r="34" spans="1:13" ht="30.75" x14ac:dyDescent="0.25">
      <c r="A34" s="187" t="s">
        <v>43</v>
      </c>
      <c r="B34" s="188" t="s">
        <v>57</v>
      </c>
      <c r="C34" s="189" t="s">
        <v>58</v>
      </c>
      <c r="D34" s="187">
        <v>172</v>
      </c>
      <c r="E34" s="190">
        <v>2715</v>
      </c>
      <c r="F34" s="191">
        <v>1000</v>
      </c>
      <c r="G34" s="255" t="s">
        <v>153</v>
      </c>
      <c r="H34" s="190">
        <v>1715</v>
      </c>
      <c r="I34" s="192">
        <v>0</v>
      </c>
      <c r="J34" s="192">
        <v>0</v>
      </c>
      <c r="K34" s="192">
        <v>0</v>
      </c>
      <c r="L34" s="190">
        <v>1715</v>
      </c>
    </row>
    <row r="35" spans="1:13" ht="15" customHeight="1" x14ac:dyDescent="0.25">
      <c r="A35" s="187" t="s">
        <v>43</v>
      </c>
      <c r="B35" s="188" t="s">
        <v>50</v>
      </c>
      <c r="C35" s="189" t="s">
        <v>51</v>
      </c>
      <c r="D35" s="187">
        <v>11</v>
      </c>
      <c r="E35" s="190">
        <v>136002</v>
      </c>
      <c r="F35" s="191">
        <v>1000</v>
      </c>
      <c r="G35" s="255" t="s">
        <v>153</v>
      </c>
      <c r="H35" s="190">
        <v>135002</v>
      </c>
      <c r="I35" s="192">
        <v>0</v>
      </c>
      <c r="J35" s="192">
        <v>0</v>
      </c>
      <c r="K35" s="192">
        <v>0</v>
      </c>
      <c r="L35" s="190">
        <v>135002</v>
      </c>
    </row>
    <row r="36" spans="1:13" ht="30.75" x14ac:dyDescent="0.25">
      <c r="A36" s="187" t="s">
        <v>43</v>
      </c>
      <c r="B36" s="188" t="s">
        <v>59</v>
      </c>
      <c r="C36" s="189" t="s">
        <v>60</v>
      </c>
      <c r="D36" s="187">
        <v>313</v>
      </c>
      <c r="E36" s="190">
        <v>27892</v>
      </c>
      <c r="F36" s="191">
        <v>1000</v>
      </c>
      <c r="G36" s="255" t="s">
        <v>153</v>
      </c>
      <c r="H36" s="190">
        <v>26892</v>
      </c>
      <c r="I36" s="192">
        <v>0</v>
      </c>
      <c r="J36" s="192">
        <v>0</v>
      </c>
      <c r="K36" s="192">
        <v>0</v>
      </c>
      <c r="L36" s="190">
        <v>26892</v>
      </c>
    </row>
    <row r="37" spans="1:13" ht="30.75" x14ac:dyDescent="0.25">
      <c r="A37" s="187" t="s">
        <v>43</v>
      </c>
      <c r="B37" s="188" t="s">
        <v>61</v>
      </c>
      <c r="C37" s="189" t="s">
        <v>62</v>
      </c>
      <c r="D37" s="187">
        <v>330</v>
      </c>
      <c r="E37" s="190">
        <v>36306</v>
      </c>
      <c r="F37" s="191">
        <v>1000</v>
      </c>
      <c r="G37" s="255" t="s">
        <v>153</v>
      </c>
      <c r="H37" s="190">
        <v>35306</v>
      </c>
      <c r="I37" s="192">
        <v>0</v>
      </c>
      <c r="J37" s="192">
        <v>0</v>
      </c>
      <c r="K37" s="192">
        <v>0</v>
      </c>
      <c r="L37" s="190">
        <v>35306</v>
      </c>
    </row>
    <row r="38" spans="1:13" ht="45.75" x14ac:dyDescent="0.25">
      <c r="A38" s="187" t="s">
        <v>43</v>
      </c>
      <c r="B38" s="188" t="s">
        <v>63</v>
      </c>
      <c r="C38" s="189" t="s">
        <v>64</v>
      </c>
      <c r="D38" s="187">
        <v>272</v>
      </c>
      <c r="E38" s="190">
        <v>24722</v>
      </c>
      <c r="F38" s="191">
        <v>1000</v>
      </c>
      <c r="G38" s="255" t="s">
        <v>153</v>
      </c>
      <c r="H38" s="190">
        <v>23722</v>
      </c>
      <c r="I38" s="192">
        <v>0</v>
      </c>
      <c r="J38" s="192">
        <v>0</v>
      </c>
      <c r="K38" s="192">
        <v>0</v>
      </c>
      <c r="L38" s="190">
        <v>23722</v>
      </c>
    </row>
    <row r="39" spans="1:13" ht="45.75" customHeight="1" x14ac:dyDescent="0.25">
      <c r="A39" s="187" t="s">
        <v>43</v>
      </c>
      <c r="B39" s="188" t="s">
        <v>65</v>
      </c>
      <c r="C39" s="189" t="s">
        <v>66</v>
      </c>
      <c r="D39" s="187">
        <v>276</v>
      </c>
      <c r="E39" s="190">
        <v>3169</v>
      </c>
      <c r="F39" s="191">
        <v>1000</v>
      </c>
      <c r="G39" s="255" t="s">
        <v>153</v>
      </c>
      <c r="H39" s="190">
        <v>2169</v>
      </c>
      <c r="I39" s="192">
        <v>0</v>
      </c>
      <c r="J39" s="192">
        <v>0</v>
      </c>
      <c r="K39" s="192">
        <v>0</v>
      </c>
      <c r="L39" s="190">
        <v>2169</v>
      </c>
    </row>
    <row r="40" spans="1:13" ht="75.75" x14ac:dyDescent="0.25">
      <c r="A40" s="187" t="s">
        <v>43</v>
      </c>
      <c r="B40" s="188" t="s">
        <v>67</v>
      </c>
      <c r="C40" s="189" t="s">
        <v>68</v>
      </c>
      <c r="D40" s="187">
        <v>292</v>
      </c>
      <c r="E40" s="190">
        <v>27368</v>
      </c>
      <c r="F40" s="191">
        <v>1000</v>
      </c>
      <c r="G40" s="255" t="s">
        <v>153</v>
      </c>
      <c r="H40" s="190">
        <v>26368</v>
      </c>
      <c r="I40" s="192">
        <v>0</v>
      </c>
      <c r="J40" s="192">
        <v>0</v>
      </c>
      <c r="K40" s="192">
        <v>0</v>
      </c>
      <c r="L40" s="190">
        <v>26368</v>
      </c>
    </row>
    <row r="41" spans="1:13" ht="30.75" x14ac:dyDescent="0.25">
      <c r="A41" s="187" t="s">
        <v>43</v>
      </c>
      <c r="B41" s="188" t="s">
        <v>69</v>
      </c>
      <c r="C41" s="189" t="s">
        <v>70</v>
      </c>
      <c r="D41" s="187">
        <v>209</v>
      </c>
      <c r="E41" s="190">
        <v>31923</v>
      </c>
      <c r="F41" s="191">
        <v>1000</v>
      </c>
      <c r="G41" s="255" t="s">
        <v>153</v>
      </c>
      <c r="H41" s="190">
        <v>30923</v>
      </c>
      <c r="I41" s="192">
        <v>0</v>
      </c>
      <c r="J41" s="192">
        <v>0</v>
      </c>
      <c r="K41" s="192">
        <v>0</v>
      </c>
      <c r="L41" s="190">
        <v>30923</v>
      </c>
    </row>
    <row r="42" spans="1:13" ht="15.75" x14ac:dyDescent="0.25">
      <c r="A42" s="187" t="s">
        <v>43</v>
      </c>
      <c r="B42" s="188" t="s">
        <v>71</v>
      </c>
      <c r="C42" s="189" t="s">
        <v>72</v>
      </c>
      <c r="D42" s="187">
        <v>183</v>
      </c>
      <c r="E42" s="190">
        <v>7067</v>
      </c>
      <c r="F42" s="191">
        <v>1000</v>
      </c>
      <c r="G42" s="255" t="s">
        <v>153</v>
      </c>
      <c r="H42" s="190">
        <v>6067</v>
      </c>
      <c r="I42" s="192">
        <v>0</v>
      </c>
      <c r="J42" s="192">
        <v>0</v>
      </c>
      <c r="K42" s="192">
        <v>0</v>
      </c>
      <c r="L42" s="190">
        <v>6067</v>
      </c>
    </row>
    <row r="43" spans="1:13" ht="15.75" x14ac:dyDescent="0.25">
      <c r="A43" s="187" t="s">
        <v>43</v>
      </c>
      <c r="B43" s="188" t="s">
        <v>100</v>
      </c>
      <c r="C43" s="189" t="s">
        <v>101</v>
      </c>
      <c r="D43" s="187">
        <v>251</v>
      </c>
      <c r="E43" s="190">
        <v>2048</v>
      </c>
      <c r="F43" s="191">
        <v>1000</v>
      </c>
      <c r="G43" s="255" t="s">
        <v>153</v>
      </c>
      <c r="H43" s="190">
        <v>1048</v>
      </c>
      <c r="I43" s="192">
        <v>0</v>
      </c>
      <c r="J43" s="192">
        <v>0</v>
      </c>
      <c r="K43" s="192">
        <v>0</v>
      </c>
      <c r="L43" s="190">
        <v>1048</v>
      </c>
    </row>
    <row r="44" spans="1:13" ht="15.75" x14ac:dyDescent="0.25">
      <c r="A44" s="187" t="s">
        <v>43</v>
      </c>
      <c r="B44" s="188" t="s">
        <v>73</v>
      </c>
      <c r="C44" s="189" t="s">
        <v>52</v>
      </c>
      <c r="D44" s="187">
        <v>192</v>
      </c>
      <c r="E44" s="190">
        <v>5791</v>
      </c>
      <c r="F44" s="191">
        <v>1000</v>
      </c>
      <c r="G44" s="255" t="s">
        <v>153</v>
      </c>
      <c r="H44" s="190">
        <v>4791</v>
      </c>
      <c r="I44" s="192">
        <v>0</v>
      </c>
      <c r="J44" s="192">
        <v>0</v>
      </c>
      <c r="K44" s="192">
        <v>0</v>
      </c>
      <c r="L44" s="190">
        <v>4791</v>
      </c>
    </row>
    <row r="45" spans="1:13" ht="30.75" x14ac:dyDescent="0.25">
      <c r="A45" s="187" t="s">
        <v>43</v>
      </c>
      <c r="B45" s="188" t="s">
        <v>74</v>
      </c>
      <c r="C45" s="189" t="s">
        <v>75</v>
      </c>
      <c r="D45" s="187">
        <v>297</v>
      </c>
      <c r="E45" s="190">
        <v>3196917</v>
      </c>
      <c r="F45" s="191">
        <v>1000</v>
      </c>
      <c r="G45" s="255" t="s">
        <v>153</v>
      </c>
      <c r="H45" s="190">
        <v>3195917</v>
      </c>
      <c r="I45" s="192">
        <v>0</v>
      </c>
      <c r="J45" s="192">
        <v>0</v>
      </c>
      <c r="K45" s="192">
        <v>0</v>
      </c>
      <c r="L45" s="190">
        <v>3195917</v>
      </c>
    </row>
    <row r="46" spans="1:13" ht="15.75" x14ac:dyDescent="0.25">
      <c r="A46" s="187" t="s">
        <v>43</v>
      </c>
      <c r="B46" s="188" t="s">
        <v>76</v>
      </c>
      <c r="C46" s="189" t="s">
        <v>77</v>
      </c>
      <c r="D46" s="187">
        <v>166</v>
      </c>
      <c r="E46" s="190">
        <v>44363</v>
      </c>
      <c r="F46" s="191">
        <v>1000</v>
      </c>
      <c r="G46" s="255" t="s">
        <v>153</v>
      </c>
      <c r="H46" s="190">
        <v>43363</v>
      </c>
      <c r="I46" s="192">
        <v>0</v>
      </c>
      <c r="J46" s="192">
        <v>0</v>
      </c>
      <c r="K46" s="192">
        <v>0</v>
      </c>
      <c r="L46" s="190">
        <v>43363</v>
      </c>
      <c r="M46" s="229"/>
    </row>
    <row r="47" spans="1:13" ht="15.75" x14ac:dyDescent="0.25">
      <c r="A47" s="187" t="s">
        <v>43</v>
      </c>
      <c r="B47" s="188" t="s">
        <v>78</v>
      </c>
      <c r="C47" s="189" t="s">
        <v>79</v>
      </c>
      <c r="D47" s="187">
        <v>32</v>
      </c>
      <c r="E47" s="190">
        <v>9295</v>
      </c>
      <c r="F47" s="191">
        <v>1000</v>
      </c>
      <c r="G47" s="255" t="s">
        <v>153</v>
      </c>
      <c r="H47" s="190">
        <v>8295</v>
      </c>
      <c r="I47" s="192">
        <v>0</v>
      </c>
      <c r="J47" s="192">
        <v>0</v>
      </c>
      <c r="K47" s="192">
        <v>0</v>
      </c>
      <c r="L47" s="190">
        <v>8295</v>
      </c>
    </row>
    <row r="48" spans="1:13" ht="30.75" x14ac:dyDescent="0.25">
      <c r="A48" s="187" t="s">
        <v>43</v>
      </c>
      <c r="B48" s="188" t="s">
        <v>80</v>
      </c>
      <c r="C48" s="189" t="s">
        <v>81</v>
      </c>
      <c r="D48" s="187">
        <v>368</v>
      </c>
      <c r="E48" s="190">
        <v>13387</v>
      </c>
      <c r="F48" s="191">
        <v>1000</v>
      </c>
      <c r="G48" s="255" t="s">
        <v>153</v>
      </c>
      <c r="H48" s="190">
        <v>12387</v>
      </c>
      <c r="I48" s="192">
        <v>0</v>
      </c>
      <c r="J48" s="192">
        <v>0</v>
      </c>
      <c r="K48" s="192">
        <v>0</v>
      </c>
      <c r="L48" s="190">
        <v>12387</v>
      </c>
    </row>
    <row r="49" spans="1:12" ht="15.75" x14ac:dyDescent="0.25">
      <c r="A49" s="187" t="s">
        <v>43</v>
      </c>
      <c r="B49" s="188" t="s">
        <v>82</v>
      </c>
      <c r="C49" s="189" t="s">
        <v>83</v>
      </c>
      <c r="D49" s="187">
        <v>357</v>
      </c>
      <c r="E49" s="190">
        <v>4676</v>
      </c>
      <c r="F49" s="191">
        <v>1000</v>
      </c>
      <c r="G49" s="255" t="s">
        <v>153</v>
      </c>
      <c r="H49" s="190">
        <v>3676</v>
      </c>
      <c r="I49" s="192">
        <v>0</v>
      </c>
      <c r="J49" s="192">
        <v>0</v>
      </c>
      <c r="K49" s="192">
        <v>0</v>
      </c>
      <c r="L49" s="190">
        <v>3676</v>
      </c>
    </row>
    <row r="50" spans="1:12" ht="15.75" x14ac:dyDescent="0.25">
      <c r="A50" s="187" t="s">
        <v>43</v>
      </c>
      <c r="B50" s="188" t="s">
        <v>84</v>
      </c>
      <c r="C50" s="189" t="s">
        <v>85</v>
      </c>
      <c r="D50" s="187">
        <v>153</v>
      </c>
      <c r="E50" s="190">
        <v>8800</v>
      </c>
      <c r="F50" s="191">
        <v>1000</v>
      </c>
      <c r="G50" s="255" t="s">
        <v>153</v>
      </c>
      <c r="H50" s="190">
        <v>7800</v>
      </c>
      <c r="I50" s="192">
        <v>0</v>
      </c>
      <c r="J50" s="192">
        <v>0</v>
      </c>
      <c r="K50" s="192">
        <v>0</v>
      </c>
      <c r="L50" s="190">
        <v>7800</v>
      </c>
    </row>
    <row r="51" spans="1:12" ht="15.75" x14ac:dyDescent="0.25">
      <c r="A51" s="187" t="s">
        <v>43</v>
      </c>
      <c r="B51" s="188" t="s">
        <v>102</v>
      </c>
      <c r="C51" s="189" t="s">
        <v>103</v>
      </c>
      <c r="D51" s="187">
        <v>155</v>
      </c>
      <c r="E51" s="190">
        <v>2350</v>
      </c>
      <c r="F51" s="191">
        <v>1000</v>
      </c>
      <c r="G51" s="255" t="s">
        <v>153</v>
      </c>
      <c r="H51" s="190">
        <v>1350</v>
      </c>
      <c r="I51" s="192">
        <v>0</v>
      </c>
      <c r="J51" s="192">
        <v>0</v>
      </c>
      <c r="K51" s="192">
        <v>0</v>
      </c>
      <c r="L51" s="190">
        <v>1350</v>
      </c>
    </row>
    <row r="52" spans="1:12" ht="15.75" x14ac:dyDescent="0.25">
      <c r="A52" s="187" t="s">
        <v>43</v>
      </c>
      <c r="B52" s="188" t="s">
        <v>86</v>
      </c>
      <c r="C52" s="189" t="s">
        <v>75</v>
      </c>
      <c r="D52" s="187">
        <v>48</v>
      </c>
      <c r="E52" s="190">
        <v>114153</v>
      </c>
      <c r="F52" s="191">
        <v>1000</v>
      </c>
      <c r="G52" s="255" t="s">
        <v>153</v>
      </c>
      <c r="H52" s="190">
        <v>113153</v>
      </c>
      <c r="I52" s="192">
        <v>0</v>
      </c>
      <c r="J52" s="192">
        <v>0</v>
      </c>
      <c r="K52" s="192">
        <v>0</v>
      </c>
      <c r="L52" s="190">
        <v>113153</v>
      </c>
    </row>
    <row r="53" spans="1:12" ht="15.75" x14ac:dyDescent="0.25">
      <c r="A53" s="187" t="s">
        <v>43</v>
      </c>
      <c r="B53" s="188" t="s">
        <v>87</v>
      </c>
      <c r="C53" s="189" t="s">
        <v>88</v>
      </c>
      <c r="D53" s="187">
        <v>350</v>
      </c>
      <c r="E53" s="190">
        <v>3858</v>
      </c>
      <c r="F53" s="191">
        <v>1000</v>
      </c>
      <c r="G53" s="255" t="s">
        <v>153</v>
      </c>
      <c r="H53" s="190">
        <v>2858</v>
      </c>
      <c r="I53" s="192">
        <v>0</v>
      </c>
      <c r="J53" s="192">
        <v>0</v>
      </c>
      <c r="K53" s="192">
        <v>0</v>
      </c>
      <c r="L53" s="190">
        <v>2858</v>
      </c>
    </row>
    <row r="54" spans="1:12" ht="15.75" x14ac:dyDescent="0.25">
      <c r="A54" s="187" t="s">
        <v>43</v>
      </c>
      <c r="B54" s="188" t="s">
        <v>104</v>
      </c>
      <c r="C54" s="189" t="s">
        <v>105</v>
      </c>
      <c r="D54" s="187">
        <v>173</v>
      </c>
      <c r="E54" s="190">
        <v>7912</v>
      </c>
      <c r="F54" s="191">
        <v>1000</v>
      </c>
      <c r="G54" s="255" t="s">
        <v>153</v>
      </c>
      <c r="H54" s="190">
        <v>6912</v>
      </c>
      <c r="I54" s="192">
        <v>0</v>
      </c>
      <c r="J54" s="192">
        <v>0</v>
      </c>
      <c r="K54" s="192">
        <v>0</v>
      </c>
      <c r="L54" s="190">
        <v>6912</v>
      </c>
    </row>
    <row r="55" spans="1:12" ht="15.75" x14ac:dyDescent="0.25">
      <c r="A55" s="187" t="s">
        <v>43</v>
      </c>
      <c r="B55" s="188" t="s">
        <v>106</v>
      </c>
      <c r="C55" s="189" t="s">
        <v>92</v>
      </c>
      <c r="D55" s="187">
        <v>244</v>
      </c>
      <c r="E55" s="190">
        <v>3097</v>
      </c>
      <c r="F55" s="191">
        <v>1000</v>
      </c>
      <c r="G55" s="255" t="s">
        <v>153</v>
      </c>
      <c r="H55" s="190">
        <v>2097</v>
      </c>
      <c r="I55" s="192">
        <v>0</v>
      </c>
      <c r="J55" s="192">
        <v>0</v>
      </c>
      <c r="K55" s="192">
        <v>0</v>
      </c>
      <c r="L55" s="190">
        <v>2097</v>
      </c>
    </row>
    <row r="56" spans="1:12" ht="15.75" customHeight="1" x14ac:dyDescent="0.25">
      <c r="A56" s="187" t="s">
        <v>43</v>
      </c>
      <c r="B56" s="188" t="s">
        <v>89</v>
      </c>
      <c r="C56" s="189" t="s">
        <v>90</v>
      </c>
      <c r="D56" s="187">
        <v>171</v>
      </c>
      <c r="E56" s="190">
        <v>15251</v>
      </c>
      <c r="F56" s="191">
        <v>1000</v>
      </c>
      <c r="G56" s="255" t="s">
        <v>153</v>
      </c>
      <c r="H56" s="190">
        <v>14251</v>
      </c>
      <c r="I56" s="192">
        <v>0</v>
      </c>
      <c r="J56" s="192">
        <v>0</v>
      </c>
      <c r="K56" s="192">
        <v>0</v>
      </c>
      <c r="L56" s="190">
        <v>14251</v>
      </c>
    </row>
    <row r="57" spans="1:12" ht="45.75" x14ac:dyDescent="0.25">
      <c r="A57" s="187" t="s">
        <v>43</v>
      </c>
      <c r="B57" s="188" t="s">
        <v>91</v>
      </c>
      <c r="C57" s="189" t="s">
        <v>92</v>
      </c>
      <c r="D57" s="187">
        <v>258</v>
      </c>
      <c r="E57" s="190">
        <v>53492</v>
      </c>
      <c r="F57" s="191">
        <v>1000</v>
      </c>
      <c r="G57" s="255" t="s">
        <v>153</v>
      </c>
      <c r="H57" s="190">
        <v>52492</v>
      </c>
      <c r="I57" s="192">
        <v>0</v>
      </c>
      <c r="J57" s="192">
        <v>0</v>
      </c>
      <c r="K57" s="192">
        <v>0</v>
      </c>
      <c r="L57" s="190">
        <v>52492</v>
      </c>
    </row>
    <row r="58" spans="1:12" ht="15.75" x14ac:dyDescent="0.25">
      <c r="A58" s="187" t="s">
        <v>43</v>
      </c>
      <c r="B58" s="188" t="s">
        <v>93</v>
      </c>
      <c r="C58" s="189" t="s">
        <v>75</v>
      </c>
      <c r="D58" s="187">
        <v>260</v>
      </c>
      <c r="E58" s="190">
        <v>105162</v>
      </c>
      <c r="F58" s="191">
        <v>1000</v>
      </c>
      <c r="G58" s="255" t="s">
        <v>153</v>
      </c>
      <c r="H58" s="190">
        <v>104162</v>
      </c>
      <c r="I58" s="192">
        <v>0</v>
      </c>
      <c r="J58" s="192">
        <v>0</v>
      </c>
      <c r="K58" s="192">
        <v>0</v>
      </c>
      <c r="L58" s="190">
        <v>104162</v>
      </c>
    </row>
    <row r="59" spans="1:12" ht="30.75" x14ac:dyDescent="0.25">
      <c r="A59" s="187" t="s">
        <v>43</v>
      </c>
      <c r="B59" s="188" t="s">
        <v>94</v>
      </c>
      <c r="C59" s="189" t="s">
        <v>95</v>
      </c>
      <c r="D59" s="187">
        <v>367</v>
      </c>
      <c r="E59" s="190">
        <v>92147</v>
      </c>
      <c r="F59" s="191">
        <v>1000</v>
      </c>
      <c r="G59" s="255" t="s">
        <v>153</v>
      </c>
      <c r="H59" s="190">
        <v>91147</v>
      </c>
      <c r="I59" s="192">
        <v>0</v>
      </c>
      <c r="J59" s="192">
        <v>0</v>
      </c>
      <c r="K59" s="192">
        <v>0</v>
      </c>
      <c r="L59" s="190">
        <v>91147</v>
      </c>
    </row>
    <row r="60" spans="1:12" ht="15" customHeight="1" x14ac:dyDescent="0.25">
      <c r="A60" s="187" t="s">
        <v>43</v>
      </c>
      <c r="B60" s="188" t="s">
        <v>107</v>
      </c>
      <c r="C60" s="189" t="s">
        <v>108</v>
      </c>
      <c r="D60" s="187">
        <v>346</v>
      </c>
      <c r="E60" s="190">
        <v>1195</v>
      </c>
      <c r="F60" s="191">
        <v>1000</v>
      </c>
      <c r="G60" s="255" t="s">
        <v>153</v>
      </c>
      <c r="H60" s="190">
        <v>195</v>
      </c>
      <c r="I60" s="192">
        <v>0</v>
      </c>
      <c r="J60" s="192">
        <v>0</v>
      </c>
      <c r="K60" s="192">
        <v>0</v>
      </c>
      <c r="L60" s="190">
        <v>195</v>
      </c>
    </row>
    <row r="61" spans="1:12" ht="15.75" x14ac:dyDescent="0.25">
      <c r="A61" s="187" t="s">
        <v>43</v>
      </c>
      <c r="B61" s="188" t="s">
        <v>96</v>
      </c>
      <c r="C61" s="189" t="s">
        <v>97</v>
      </c>
      <c r="D61" s="187">
        <v>351</v>
      </c>
      <c r="E61" s="190">
        <v>10813</v>
      </c>
      <c r="F61" s="191">
        <v>1000</v>
      </c>
      <c r="G61" s="255" t="s">
        <v>153</v>
      </c>
      <c r="H61" s="190">
        <v>9813</v>
      </c>
      <c r="I61" s="192">
        <v>0</v>
      </c>
      <c r="J61" s="192">
        <v>0</v>
      </c>
      <c r="K61" s="192">
        <v>0</v>
      </c>
      <c r="L61" s="190">
        <v>9813</v>
      </c>
    </row>
    <row r="62" spans="1:12" ht="15.75" x14ac:dyDescent="0.25">
      <c r="A62" s="206" t="s">
        <v>283</v>
      </c>
      <c r="B62" s="258" t="s">
        <v>153</v>
      </c>
      <c r="C62" s="258" t="s">
        <v>153</v>
      </c>
      <c r="D62" s="258" t="s">
        <v>153</v>
      </c>
      <c r="E62" s="207">
        <f>SUBTOTAL(109,school201819[Program
Costs])</f>
        <v>4130891</v>
      </c>
      <c r="F62" s="216">
        <f>SUBTOTAL(109,school201819[Less: Net
 Payments and 
Offsets 2])</f>
        <v>31000</v>
      </c>
      <c r="G62" s="256" t="s">
        <v>153</v>
      </c>
      <c r="H62" s="207">
        <f>SUBTOTAL(109,school201819[Accounts Payable
Balance])</f>
        <v>4099891</v>
      </c>
      <c r="I62" s="209">
        <f>SUBTOTAL(107,school201819[Established
Accounts Receivable])</f>
        <v>0</v>
      </c>
      <c r="J62" s="209">
        <f>SUBTOTAL(109,school201819[Less: 
Recovered 
Amount])</f>
        <v>0</v>
      </c>
      <c r="K62" s="209">
        <f>SUBTOTAL(109,school201819[Accounts Receivable
Balance])</f>
        <v>0</v>
      </c>
      <c r="L62" s="207">
        <f>SUBTOTAL(109,school201819[Net
Balance])</f>
        <v>4099891</v>
      </c>
    </row>
    <row r="63" spans="1:12" ht="15.75" x14ac:dyDescent="0.25">
      <c r="A63" s="146" t="s">
        <v>181</v>
      </c>
      <c r="B63" s="188"/>
      <c r="C63" s="189"/>
      <c r="D63" s="187"/>
      <c r="E63" s="190"/>
      <c r="F63" s="191"/>
      <c r="G63" s="191"/>
      <c r="H63" s="190"/>
      <c r="I63" s="192"/>
      <c r="J63" s="192"/>
      <c r="K63" s="192"/>
      <c r="L63" s="190"/>
    </row>
    <row r="64" spans="1:12" ht="50.1" customHeight="1" x14ac:dyDescent="0.25">
      <c r="A64" s="34" t="s">
        <v>221</v>
      </c>
      <c r="B64" s="34" t="s">
        <v>268</v>
      </c>
      <c r="C64" s="28" t="s">
        <v>2</v>
      </c>
      <c r="D64" s="34" t="s">
        <v>280</v>
      </c>
      <c r="E64" s="194" t="s">
        <v>223</v>
      </c>
      <c r="F64" s="195" t="s">
        <v>509</v>
      </c>
      <c r="G64" s="252" t="s">
        <v>176</v>
      </c>
      <c r="H64" s="196" t="s">
        <v>270</v>
      </c>
      <c r="I64" s="156" t="s">
        <v>271</v>
      </c>
      <c r="J64" s="194" t="s">
        <v>282</v>
      </c>
      <c r="K64" s="196" t="s">
        <v>272</v>
      </c>
      <c r="L64" s="194" t="s">
        <v>273</v>
      </c>
    </row>
    <row r="65" spans="1:12" ht="30.75" customHeight="1" x14ac:dyDescent="0.25">
      <c r="A65" s="187" t="s">
        <v>44</v>
      </c>
      <c r="B65" s="218" t="s">
        <v>53</v>
      </c>
      <c r="C65" s="210" t="s">
        <v>54</v>
      </c>
      <c r="D65" s="187">
        <v>250</v>
      </c>
      <c r="E65" s="190">
        <v>18960</v>
      </c>
      <c r="F65" s="191">
        <v>1000</v>
      </c>
      <c r="G65" s="255" t="s">
        <v>153</v>
      </c>
      <c r="H65" s="190">
        <v>17960</v>
      </c>
      <c r="I65" s="192">
        <v>0</v>
      </c>
      <c r="J65" s="192">
        <v>0</v>
      </c>
      <c r="K65" s="192">
        <v>0</v>
      </c>
      <c r="L65" s="190">
        <v>17960</v>
      </c>
    </row>
    <row r="66" spans="1:12" ht="30.75" x14ac:dyDescent="0.25">
      <c r="A66" s="187" t="s">
        <v>44</v>
      </c>
      <c r="B66" s="188" t="s">
        <v>98</v>
      </c>
      <c r="C66" s="189" t="s">
        <v>99</v>
      </c>
      <c r="D66" s="187">
        <v>370</v>
      </c>
      <c r="E66" s="190">
        <v>206525</v>
      </c>
      <c r="F66" s="191">
        <v>12444</v>
      </c>
      <c r="G66" s="255" t="s">
        <v>153</v>
      </c>
      <c r="H66" s="190">
        <v>194081</v>
      </c>
      <c r="I66" s="192">
        <v>0</v>
      </c>
      <c r="J66" s="192">
        <v>0</v>
      </c>
      <c r="K66" s="192">
        <v>0</v>
      </c>
      <c r="L66" s="190">
        <v>194081</v>
      </c>
    </row>
    <row r="67" spans="1:12" ht="30.75" x14ac:dyDescent="0.25">
      <c r="A67" s="187" t="s">
        <v>44</v>
      </c>
      <c r="B67" s="188" t="s">
        <v>55</v>
      </c>
      <c r="C67" s="189" t="s">
        <v>56</v>
      </c>
      <c r="D67" s="187">
        <v>369</v>
      </c>
      <c r="E67" s="190">
        <v>92251</v>
      </c>
      <c r="F67" s="191">
        <v>1000</v>
      </c>
      <c r="G67" s="255" t="s">
        <v>153</v>
      </c>
      <c r="H67" s="190">
        <v>91251</v>
      </c>
      <c r="I67" s="192">
        <v>0</v>
      </c>
      <c r="J67" s="192">
        <v>0</v>
      </c>
      <c r="K67" s="192">
        <v>0</v>
      </c>
      <c r="L67" s="190">
        <v>91251</v>
      </c>
    </row>
    <row r="68" spans="1:12" ht="30.75" x14ac:dyDescent="0.25">
      <c r="A68" s="187" t="s">
        <v>44</v>
      </c>
      <c r="B68" s="188" t="s">
        <v>57</v>
      </c>
      <c r="C68" s="189" t="s">
        <v>58</v>
      </c>
      <c r="D68" s="187">
        <v>172</v>
      </c>
      <c r="E68" s="190">
        <v>2572</v>
      </c>
      <c r="F68" s="191">
        <v>1000</v>
      </c>
      <c r="G68" s="255" t="s">
        <v>153</v>
      </c>
      <c r="H68" s="190">
        <v>1572</v>
      </c>
      <c r="I68" s="192">
        <v>0</v>
      </c>
      <c r="J68" s="192">
        <v>0</v>
      </c>
      <c r="K68" s="192">
        <v>0</v>
      </c>
      <c r="L68" s="190">
        <v>1572</v>
      </c>
    </row>
    <row r="69" spans="1:12" ht="15" customHeight="1" x14ac:dyDescent="0.25">
      <c r="A69" s="187" t="s">
        <v>44</v>
      </c>
      <c r="B69" s="188" t="s">
        <v>403</v>
      </c>
      <c r="C69" s="189" t="s">
        <v>404</v>
      </c>
      <c r="D69" s="187">
        <v>278</v>
      </c>
      <c r="E69" s="190">
        <v>7603</v>
      </c>
      <c r="F69" s="191">
        <v>1000</v>
      </c>
      <c r="G69" s="255" t="s">
        <v>153</v>
      </c>
      <c r="H69" s="190">
        <v>6603</v>
      </c>
      <c r="I69" s="192">
        <v>0</v>
      </c>
      <c r="J69" s="192">
        <v>0</v>
      </c>
      <c r="K69" s="192">
        <v>0</v>
      </c>
      <c r="L69" s="190">
        <v>6603</v>
      </c>
    </row>
    <row r="70" spans="1:12" ht="30.75" x14ac:dyDescent="0.25">
      <c r="A70" s="187" t="s">
        <v>44</v>
      </c>
      <c r="B70" s="188" t="s">
        <v>50</v>
      </c>
      <c r="C70" s="189" t="s">
        <v>51</v>
      </c>
      <c r="D70" s="187">
        <v>11</v>
      </c>
      <c r="E70" s="190">
        <v>185663</v>
      </c>
      <c r="F70" s="191">
        <v>1000</v>
      </c>
      <c r="G70" s="255" t="s">
        <v>153</v>
      </c>
      <c r="H70" s="190">
        <v>184663</v>
      </c>
      <c r="I70" s="192">
        <v>0</v>
      </c>
      <c r="J70" s="192">
        <v>0</v>
      </c>
      <c r="K70" s="192">
        <v>0</v>
      </c>
      <c r="L70" s="190">
        <v>184663</v>
      </c>
    </row>
    <row r="71" spans="1:12" ht="30.75" x14ac:dyDescent="0.25">
      <c r="A71" s="187" t="s">
        <v>44</v>
      </c>
      <c r="B71" s="188" t="s">
        <v>59</v>
      </c>
      <c r="C71" s="189" t="s">
        <v>60</v>
      </c>
      <c r="D71" s="187">
        <v>313</v>
      </c>
      <c r="E71" s="190">
        <v>52448</v>
      </c>
      <c r="F71" s="191">
        <v>1000</v>
      </c>
      <c r="G71" s="255" t="s">
        <v>153</v>
      </c>
      <c r="H71" s="190">
        <v>51448</v>
      </c>
      <c r="I71" s="192">
        <v>0</v>
      </c>
      <c r="J71" s="192">
        <v>0</v>
      </c>
      <c r="K71" s="192">
        <v>0</v>
      </c>
      <c r="L71" s="190">
        <v>51448</v>
      </c>
    </row>
    <row r="72" spans="1:12" ht="30.75" x14ac:dyDescent="0.25">
      <c r="A72" s="187" t="s">
        <v>44</v>
      </c>
      <c r="B72" s="188" t="s">
        <v>61</v>
      </c>
      <c r="C72" s="189" t="s">
        <v>62</v>
      </c>
      <c r="D72" s="187">
        <v>330</v>
      </c>
      <c r="E72" s="190">
        <v>50776</v>
      </c>
      <c r="F72" s="191">
        <v>1000</v>
      </c>
      <c r="G72" s="255" t="s">
        <v>153</v>
      </c>
      <c r="H72" s="190">
        <v>49776</v>
      </c>
      <c r="I72" s="192">
        <v>0</v>
      </c>
      <c r="J72" s="192">
        <v>0</v>
      </c>
      <c r="K72" s="192">
        <v>0</v>
      </c>
      <c r="L72" s="190">
        <v>49776</v>
      </c>
    </row>
    <row r="73" spans="1:12" ht="45.75" customHeight="1" x14ac:dyDescent="0.25">
      <c r="A73" s="187" t="s">
        <v>44</v>
      </c>
      <c r="B73" s="188" t="s">
        <v>63</v>
      </c>
      <c r="C73" s="189" t="s">
        <v>64</v>
      </c>
      <c r="D73" s="187">
        <v>272</v>
      </c>
      <c r="E73" s="190">
        <v>37266</v>
      </c>
      <c r="F73" s="191">
        <v>1000</v>
      </c>
      <c r="G73" s="255" t="s">
        <v>153</v>
      </c>
      <c r="H73" s="190">
        <v>36266</v>
      </c>
      <c r="I73" s="192">
        <v>0</v>
      </c>
      <c r="J73" s="192">
        <v>0</v>
      </c>
      <c r="K73" s="192">
        <v>0</v>
      </c>
      <c r="L73" s="190">
        <v>36266</v>
      </c>
    </row>
    <row r="74" spans="1:12" ht="45.75" x14ac:dyDescent="0.25">
      <c r="A74" s="187" t="s">
        <v>44</v>
      </c>
      <c r="B74" s="188" t="s">
        <v>65</v>
      </c>
      <c r="C74" s="189" t="s">
        <v>66</v>
      </c>
      <c r="D74" s="187">
        <v>276</v>
      </c>
      <c r="E74" s="190">
        <v>5401</v>
      </c>
      <c r="F74" s="191">
        <v>1000</v>
      </c>
      <c r="G74" s="255" t="s">
        <v>153</v>
      </c>
      <c r="H74" s="190">
        <v>4401</v>
      </c>
      <c r="I74" s="192">
        <v>0</v>
      </c>
      <c r="J74" s="192">
        <v>0</v>
      </c>
      <c r="K74" s="192">
        <v>0</v>
      </c>
      <c r="L74" s="190">
        <v>4401</v>
      </c>
    </row>
    <row r="75" spans="1:12" ht="75.75" x14ac:dyDescent="0.25">
      <c r="A75" s="187" t="s">
        <v>44</v>
      </c>
      <c r="B75" s="188" t="s">
        <v>67</v>
      </c>
      <c r="C75" s="189" t="s">
        <v>68</v>
      </c>
      <c r="D75" s="187">
        <v>292</v>
      </c>
      <c r="E75" s="190">
        <v>68320</v>
      </c>
      <c r="F75" s="191">
        <v>1000</v>
      </c>
      <c r="G75" s="255" t="s">
        <v>153</v>
      </c>
      <c r="H75" s="190">
        <v>67320</v>
      </c>
      <c r="I75" s="192">
        <v>0</v>
      </c>
      <c r="J75" s="192">
        <v>0</v>
      </c>
      <c r="K75" s="192">
        <v>0</v>
      </c>
      <c r="L75" s="190">
        <v>67320</v>
      </c>
    </row>
    <row r="76" spans="1:12" ht="30.75" x14ac:dyDescent="0.25">
      <c r="A76" s="187" t="s">
        <v>44</v>
      </c>
      <c r="B76" s="188" t="s">
        <v>69</v>
      </c>
      <c r="C76" s="189" t="s">
        <v>70</v>
      </c>
      <c r="D76" s="187">
        <v>209</v>
      </c>
      <c r="E76" s="190">
        <v>52760</v>
      </c>
      <c r="F76" s="191">
        <v>1000</v>
      </c>
      <c r="G76" s="255" t="s">
        <v>153</v>
      </c>
      <c r="H76" s="190">
        <v>51760</v>
      </c>
      <c r="I76" s="192">
        <v>0</v>
      </c>
      <c r="J76" s="192">
        <v>0</v>
      </c>
      <c r="K76" s="192">
        <v>0</v>
      </c>
      <c r="L76" s="190">
        <v>51760</v>
      </c>
    </row>
    <row r="77" spans="1:12" ht="15.75" x14ac:dyDescent="0.25">
      <c r="A77" s="187" t="s">
        <v>44</v>
      </c>
      <c r="B77" s="188" t="s">
        <v>71</v>
      </c>
      <c r="C77" s="189" t="s">
        <v>72</v>
      </c>
      <c r="D77" s="187">
        <v>183</v>
      </c>
      <c r="E77" s="190">
        <v>16550</v>
      </c>
      <c r="F77" s="191">
        <v>1000</v>
      </c>
      <c r="G77" s="255" t="s">
        <v>153</v>
      </c>
      <c r="H77" s="190">
        <v>15550</v>
      </c>
      <c r="I77" s="192">
        <v>0</v>
      </c>
      <c r="J77" s="192">
        <v>0</v>
      </c>
      <c r="K77" s="192">
        <v>0</v>
      </c>
      <c r="L77" s="190">
        <v>15550</v>
      </c>
    </row>
    <row r="78" spans="1:12" ht="15.75" x14ac:dyDescent="0.25">
      <c r="A78" s="187" t="s">
        <v>44</v>
      </c>
      <c r="B78" s="188" t="s">
        <v>100</v>
      </c>
      <c r="C78" s="189" t="s">
        <v>101</v>
      </c>
      <c r="D78" s="187">
        <v>251</v>
      </c>
      <c r="E78" s="190">
        <v>3144</v>
      </c>
      <c r="F78" s="191">
        <v>1000</v>
      </c>
      <c r="G78" s="255" t="s">
        <v>153</v>
      </c>
      <c r="H78" s="190">
        <v>2144</v>
      </c>
      <c r="I78" s="192">
        <v>0</v>
      </c>
      <c r="J78" s="192">
        <v>0</v>
      </c>
      <c r="K78" s="192">
        <v>0</v>
      </c>
      <c r="L78" s="190">
        <v>2144</v>
      </c>
    </row>
    <row r="79" spans="1:12" ht="15.75" x14ac:dyDescent="0.25">
      <c r="A79" s="187" t="s">
        <v>44</v>
      </c>
      <c r="B79" s="188" t="s">
        <v>73</v>
      </c>
      <c r="C79" s="189" t="s">
        <v>52</v>
      </c>
      <c r="D79" s="187">
        <v>192</v>
      </c>
      <c r="E79" s="190">
        <v>13420</v>
      </c>
      <c r="F79" s="191">
        <v>1000</v>
      </c>
      <c r="G79" s="255" t="s">
        <v>153</v>
      </c>
      <c r="H79" s="190">
        <v>12420</v>
      </c>
      <c r="I79" s="192">
        <v>0</v>
      </c>
      <c r="J79" s="192">
        <v>0</v>
      </c>
      <c r="K79" s="192">
        <v>0</v>
      </c>
      <c r="L79" s="190">
        <v>12420</v>
      </c>
    </row>
    <row r="80" spans="1:12" ht="30.75" x14ac:dyDescent="0.25">
      <c r="A80" s="187" t="s">
        <v>44</v>
      </c>
      <c r="B80" s="188" t="s">
        <v>74</v>
      </c>
      <c r="C80" s="189" t="s">
        <v>75</v>
      </c>
      <c r="D80" s="187">
        <v>297</v>
      </c>
      <c r="E80" s="190">
        <v>3674720</v>
      </c>
      <c r="F80" s="191">
        <v>1000</v>
      </c>
      <c r="G80" s="255" t="s">
        <v>153</v>
      </c>
      <c r="H80" s="190">
        <v>3673720</v>
      </c>
      <c r="I80" s="192">
        <v>0</v>
      </c>
      <c r="J80" s="192">
        <v>0</v>
      </c>
      <c r="K80" s="192">
        <v>0</v>
      </c>
      <c r="L80" s="190">
        <v>3673720</v>
      </c>
    </row>
    <row r="81" spans="1:12" ht="15.75" x14ac:dyDescent="0.25">
      <c r="A81" s="187" t="s">
        <v>44</v>
      </c>
      <c r="B81" s="188" t="s">
        <v>76</v>
      </c>
      <c r="C81" s="189" t="s">
        <v>77</v>
      </c>
      <c r="D81" s="187">
        <v>166</v>
      </c>
      <c r="E81" s="190">
        <v>138292</v>
      </c>
      <c r="F81" s="191">
        <v>1000</v>
      </c>
      <c r="G81" s="255" t="s">
        <v>153</v>
      </c>
      <c r="H81" s="190">
        <v>137292</v>
      </c>
      <c r="I81" s="192">
        <v>0</v>
      </c>
      <c r="J81" s="192">
        <v>0</v>
      </c>
      <c r="K81" s="192">
        <v>0</v>
      </c>
      <c r="L81" s="190">
        <v>137292</v>
      </c>
    </row>
    <row r="82" spans="1:12" ht="15.75" x14ac:dyDescent="0.25">
      <c r="A82" s="187" t="s">
        <v>44</v>
      </c>
      <c r="B82" s="188" t="s">
        <v>78</v>
      </c>
      <c r="C82" s="189" t="s">
        <v>79</v>
      </c>
      <c r="D82" s="187">
        <v>32</v>
      </c>
      <c r="E82" s="190">
        <v>18488</v>
      </c>
      <c r="F82" s="191">
        <v>1000</v>
      </c>
      <c r="G82" s="255" t="s">
        <v>153</v>
      </c>
      <c r="H82" s="190">
        <v>17488</v>
      </c>
      <c r="I82" s="192">
        <v>0</v>
      </c>
      <c r="J82" s="192">
        <v>0</v>
      </c>
      <c r="K82" s="192">
        <v>0</v>
      </c>
      <c r="L82" s="190">
        <v>17488</v>
      </c>
    </row>
    <row r="83" spans="1:12" ht="30.75" x14ac:dyDescent="0.25">
      <c r="A83" s="187" t="s">
        <v>44</v>
      </c>
      <c r="B83" s="188" t="s">
        <v>80</v>
      </c>
      <c r="C83" s="189" t="s">
        <v>81</v>
      </c>
      <c r="D83" s="187">
        <v>368</v>
      </c>
      <c r="E83" s="190">
        <v>21734</v>
      </c>
      <c r="F83" s="191">
        <v>1000</v>
      </c>
      <c r="G83" s="255" t="s">
        <v>153</v>
      </c>
      <c r="H83" s="190">
        <v>20734</v>
      </c>
      <c r="I83" s="192">
        <v>0</v>
      </c>
      <c r="J83" s="192">
        <v>0</v>
      </c>
      <c r="K83" s="192">
        <v>0</v>
      </c>
      <c r="L83" s="190">
        <v>20734</v>
      </c>
    </row>
    <row r="84" spans="1:12" ht="15.75" x14ac:dyDescent="0.25">
      <c r="A84" s="187" t="s">
        <v>44</v>
      </c>
      <c r="B84" s="188" t="s">
        <v>82</v>
      </c>
      <c r="C84" s="189" t="s">
        <v>83</v>
      </c>
      <c r="D84" s="187">
        <v>357</v>
      </c>
      <c r="E84" s="190">
        <v>15235</v>
      </c>
      <c r="F84" s="191">
        <v>1000</v>
      </c>
      <c r="G84" s="255" t="s">
        <v>153</v>
      </c>
      <c r="H84" s="190">
        <v>14235</v>
      </c>
      <c r="I84" s="192">
        <v>0</v>
      </c>
      <c r="J84" s="192">
        <v>0</v>
      </c>
      <c r="K84" s="192">
        <v>0</v>
      </c>
      <c r="L84" s="190">
        <v>14235</v>
      </c>
    </row>
    <row r="85" spans="1:12" ht="15.75" x14ac:dyDescent="0.25">
      <c r="A85" s="187" t="s">
        <v>44</v>
      </c>
      <c r="B85" s="188" t="s">
        <v>84</v>
      </c>
      <c r="C85" s="189" t="s">
        <v>85</v>
      </c>
      <c r="D85" s="187">
        <v>153</v>
      </c>
      <c r="E85" s="190">
        <v>7120</v>
      </c>
      <c r="F85" s="191">
        <v>1000</v>
      </c>
      <c r="G85" s="255" t="s">
        <v>153</v>
      </c>
      <c r="H85" s="190">
        <v>6120</v>
      </c>
      <c r="I85" s="192">
        <v>0</v>
      </c>
      <c r="J85" s="192">
        <v>0</v>
      </c>
      <c r="K85" s="192">
        <v>0</v>
      </c>
      <c r="L85" s="190">
        <v>6120</v>
      </c>
    </row>
    <row r="86" spans="1:12" ht="15.75" x14ac:dyDescent="0.25">
      <c r="A86" s="187" t="s">
        <v>44</v>
      </c>
      <c r="B86" s="188" t="s">
        <v>102</v>
      </c>
      <c r="C86" s="189" t="s">
        <v>103</v>
      </c>
      <c r="D86" s="187">
        <v>155</v>
      </c>
      <c r="E86" s="190">
        <v>3677</v>
      </c>
      <c r="F86" s="191">
        <v>1000</v>
      </c>
      <c r="G86" s="255" t="s">
        <v>153</v>
      </c>
      <c r="H86" s="190">
        <v>2677</v>
      </c>
      <c r="I86" s="192">
        <v>0</v>
      </c>
      <c r="J86" s="192">
        <v>0</v>
      </c>
      <c r="K86" s="192">
        <v>0</v>
      </c>
      <c r="L86" s="190">
        <v>2677</v>
      </c>
    </row>
    <row r="87" spans="1:12" ht="15.75" x14ac:dyDescent="0.25">
      <c r="A87" s="187" t="s">
        <v>44</v>
      </c>
      <c r="B87" s="188" t="s">
        <v>86</v>
      </c>
      <c r="C87" s="189" t="s">
        <v>75</v>
      </c>
      <c r="D87" s="187">
        <v>48</v>
      </c>
      <c r="E87" s="190">
        <v>161660</v>
      </c>
      <c r="F87" s="191">
        <v>1000</v>
      </c>
      <c r="G87" s="255" t="s">
        <v>153</v>
      </c>
      <c r="H87" s="190">
        <v>160660</v>
      </c>
      <c r="I87" s="192">
        <v>0</v>
      </c>
      <c r="J87" s="192">
        <v>0</v>
      </c>
      <c r="K87" s="192">
        <v>0</v>
      </c>
      <c r="L87" s="190">
        <v>160660</v>
      </c>
    </row>
    <row r="88" spans="1:12" ht="15.75" x14ac:dyDescent="0.25">
      <c r="A88" s="187" t="s">
        <v>44</v>
      </c>
      <c r="B88" s="188" t="s">
        <v>87</v>
      </c>
      <c r="C88" s="189" t="s">
        <v>88</v>
      </c>
      <c r="D88" s="187">
        <v>350</v>
      </c>
      <c r="E88" s="190">
        <v>5051</v>
      </c>
      <c r="F88" s="191">
        <v>1000</v>
      </c>
      <c r="G88" s="255" t="s">
        <v>153</v>
      </c>
      <c r="H88" s="190">
        <v>4051</v>
      </c>
      <c r="I88" s="192">
        <v>0</v>
      </c>
      <c r="J88" s="192">
        <v>0</v>
      </c>
      <c r="K88" s="192">
        <v>0</v>
      </c>
      <c r="L88" s="190">
        <v>4051</v>
      </c>
    </row>
    <row r="89" spans="1:12" ht="15.75" x14ac:dyDescent="0.25">
      <c r="A89" s="187" t="s">
        <v>44</v>
      </c>
      <c r="B89" s="188" t="s">
        <v>104</v>
      </c>
      <c r="C89" s="189" t="s">
        <v>105</v>
      </c>
      <c r="D89" s="187">
        <v>173</v>
      </c>
      <c r="E89" s="190">
        <v>19997</v>
      </c>
      <c r="F89" s="191">
        <v>1000</v>
      </c>
      <c r="G89" s="255" t="s">
        <v>153</v>
      </c>
      <c r="H89" s="190">
        <v>18997</v>
      </c>
      <c r="I89" s="192">
        <v>0</v>
      </c>
      <c r="J89" s="192">
        <v>0</v>
      </c>
      <c r="K89" s="192">
        <v>0</v>
      </c>
      <c r="L89" s="190">
        <v>18997</v>
      </c>
    </row>
    <row r="90" spans="1:12" ht="30.75" x14ac:dyDescent="0.25">
      <c r="A90" s="187" t="s">
        <v>44</v>
      </c>
      <c r="B90" s="188" t="s">
        <v>405</v>
      </c>
      <c r="C90" s="189" t="s">
        <v>406</v>
      </c>
      <c r="D90" s="187">
        <v>261</v>
      </c>
      <c r="E90" s="190">
        <v>4052</v>
      </c>
      <c r="F90" s="191">
        <v>1000</v>
      </c>
      <c r="G90" s="255" t="s">
        <v>153</v>
      </c>
      <c r="H90" s="190">
        <v>3052</v>
      </c>
      <c r="I90" s="192">
        <v>0</v>
      </c>
      <c r="J90" s="192">
        <v>0</v>
      </c>
      <c r="K90" s="192">
        <v>0</v>
      </c>
      <c r="L90" s="190">
        <v>3052</v>
      </c>
    </row>
    <row r="91" spans="1:12" ht="15.75" customHeight="1" x14ac:dyDescent="0.25">
      <c r="A91" s="187" t="s">
        <v>44</v>
      </c>
      <c r="B91" s="188" t="s">
        <v>106</v>
      </c>
      <c r="C91" s="189" t="s">
        <v>92</v>
      </c>
      <c r="D91" s="187">
        <v>244</v>
      </c>
      <c r="E91" s="190">
        <v>16313</v>
      </c>
      <c r="F91" s="191">
        <v>1000</v>
      </c>
      <c r="G91" s="255" t="s">
        <v>153</v>
      </c>
      <c r="H91" s="190">
        <v>15313</v>
      </c>
      <c r="I91" s="192">
        <v>0</v>
      </c>
      <c r="J91" s="192">
        <v>0</v>
      </c>
      <c r="K91" s="192">
        <v>0</v>
      </c>
      <c r="L91" s="190">
        <v>15313</v>
      </c>
    </row>
    <row r="92" spans="1:12" ht="15.75" x14ac:dyDescent="0.25">
      <c r="A92" s="187" t="s">
        <v>44</v>
      </c>
      <c r="B92" s="188" t="s">
        <v>89</v>
      </c>
      <c r="C92" s="189" t="s">
        <v>90</v>
      </c>
      <c r="D92" s="187">
        <v>171</v>
      </c>
      <c r="E92" s="190">
        <v>18422</v>
      </c>
      <c r="F92" s="191">
        <v>1000</v>
      </c>
      <c r="G92" s="255" t="s">
        <v>153</v>
      </c>
      <c r="H92" s="190">
        <v>17422</v>
      </c>
      <c r="I92" s="192">
        <v>0</v>
      </c>
      <c r="J92" s="192">
        <v>0</v>
      </c>
      <c r="K92" s="192">
        <v>0</v>
      </c>
      <c r="L92" s="190">
        <v>17422</v>
      </c>
    </row>
    <row r="93" spans="1:12" ht="45.75" x14ac:dyDescent="0.25">
      <c r="A93" s="187" t="s">
        <v>44</v>
      </c>
      <c r="B93" s="188" t="s">
        <v>91</v>
      </c>
      <c r="C93" s="189" t="s">
        <v>92</v>
      </c>
      <c r="D93" s="187">
        <v>258</v>
      </c>
      <c r="E93" s="190">
        <v>68578</v>
      </c>
      <c r="F93" s="191">
        <v>1000</v>
      </c>
      <c r="G93" s="255" t="s">
        <v>153</v>
      </c>
      <c r="H93" s="190">
        <v>67578</v>
      </c>
      <c r="I93" s="192">
        <v>0</v>
      </c>
      <c r="J93" s="192">
        <v>0</v>
      </c>
      <c r="K93" s="192">
        <v>0</v>
      </c>
      <c r="L93" s="190">
        <v>67578</v>
      </c>
    </row>
    <row r="94" spans="1:12" ht="15" customHeight="1" x14ac:dyDescent="0.25">
      <c r="A94" s="187" t="s">
        <v>44</v>
      </c>
      <c r="B94" s="188" t="s">
        <v>93</v>
      </c>
      <c r="C94" s="189" t="s">
        <v>75</v>
      </c>
      <c r="D94" s="187">
        <v>260</v>
      </c>
      <c r="E94" s="190">
        <v>192758</v>
      </c>
      <c r="F94" s="191">
        <v>1000</v>
      </c>
      <c r="G94" s="255" t="s">
        <v>153</v>
      </c>
      <c r="H94" s="190">
        <v>191758</v>
      </c>
      <c r="I94" s="192">
        <v>0</v>
      </c>
      <c r="J94" s="192">
        <v>0</v>
      </c>
      <c r="K94" s="192">
        <v>0</v>
      </c>
      <c r="L94" s="190">
        <v>191758</v>
      </c>
    </row>
    <row r="95" spans="1:12" ht="30.75" x14ac:dyDescent="0.25">
      <c r="A95" s="187" t="s">
        <v>44</v>
      </c>
      <c r="B95" s="188" t="s">
        <v>94</v>
      </c>
      <c r="C95" s="189" t="s">
        <v>95</v>
      </c>
      <c r="D95" s="187">
        <v>367</v>
      </c>
      <c r="E95" s="190">
        <v>163922</v>
      </c>
      <c r="F95" s="191">
        <v>1000</v>
      </c>
      <c r="G95" s="255" t="s">
        <v>153</v>
      </c>
      <c r="H95" s="190">
        <v>162922</v>
      </c>
      <c r="I95" s="192">
        <v>0</v>
      </c>
      <c r="J95" s="192">
        <v>0</v>
      </c>
      <c r="K95" s="192">
        <v>0</v>
      </c>
      <c r="L95" s="190">
        <v>162922</v>
      </c>
    </row>
    <row r="96" spans="1:12" ht="15.75" x14ac:dyDescent="0.25">
      <c r="A96" s="187" t="s">
        <v>44</v>
      </c>
      <c r="B96" s="188" t="s">
        <v>96</v>
      </c>
      <c r="C96" s="189" t="s">
        <v>97</v>
      </c>
      <c r="D96" s="187">
        <v>351</v>
      </c>
      <c r="E96" s="190">
        <v>14783</v>
      </c>
      <c r="F96" s="191">
        <v>1000</v>
      </c>
      <c r="G96" s="255" t="s">
        <v>153</v>
      </c>
      <c r="H96" s="190">
        <v>13783</v>
      </c>
      <c r="I96" s="192">
        <v>0</v>
      </c>
      <c r="J96" s="192">
        <v>0</v>
      </c>
      <c r="K96" s="192">
        <v>0</v>
      </c>
      <c r="L96" s="190">
        <v>13783</v>
      </c>
    </row>
    <row r="97" spans="1:12" ht="15.75" x14ac:dyDescent="0.25">
      <c r="A97" s="206" t="s">
        <v>284</v>
      </c>
      <c r="B97" s="258" t="s">
        <v>153</v>
      </c>
      <c r="C97" s="258" t="s">
        <v>153</v>
      </c>
      <c r="D97" s="258" t="s">
        <v>153</v>
      </c>
      <c r="E97" s="207">
        <f>SUBTOTAL(109,school201718[Program
Costs])</f>
        <v>5358461</v>
      </c>
      <c r="F97" s="216">
        <f>SUBTOTAL(109,school201718[Less: Net
 Payments and 
Offsets 2])</f>
        <v>43444</v>
      </c>
      <c r="G97" s="256" t="s">
        <v>153</v>
      </c>
      <c r="H97" s="207">
        <f>SUBTOTAL(109,school201718[Accounts Payable
Balance])</f>
        <v>5315017</v>
      </c>
      <c r="I97" s="209">
        <f>SUBTOTAL(109,school201718[Established
Accounts Receivable])</f>
        <v>0</v>
      </c>
      <c r="J97" s="209">
        <f>SUBTOTAL(109,school201718[Less: 
Recovered 
Amount])</f>
        <v>0</v>
      </c>
      <c r="K97" s="209">
        <f>SUBTOTAL(109,school201718[Accounts Receivable
Balance])</f>
        <v>0</v>
      </c>
      <c r="L97" s="207">
        <f>SUBTOTAL(109,school201718[Net
Balance])</f>
        <v>5315017</v>
      </c>
    </row>
    <row r="98" spans="1:12" ht="15.75" x14ac:dyDescent="0.25">
      <c r="A98" s="146" t="s">
        <v>181</v>
      </c>
      <c r="B98" s="188"/>
      <c r="C98" s="189"/>
      <c r="D98" s="187"/>
      <c r="E98" s="190"/>
      <c r="F98" s="191"/>
      <c r="G98" s="191"/>
      <c r="H98" s="190"/>
      <c r="I98" s="192"/>
      <c r="J98" s="192"/>
      <c r="K98" s="192"/>
      <c r="L98" s="190"/>
    </row>
    <row r="99" spans="1:12" ht="50.1" customHeight="1" x14ac:dyDescent="0.25">
      <c r="A99" s="211" t="s">
        <v>221</v>
      </c>
      <c r="B99" s="211" t="s">
        <v>268</v>
      </c>
      <c r="C99" s="21" t="s">
        <v>2</v>
      </c>
      <c r="D99" s="211" t="s">
        <v>280</v>
      </c>
      <c r="E99" s="212" t="s">
        <v>223</v>
      </c>
      <c r="F99" s="213" t="s">
        <v>509</v>
      </c>
      <c r="G99" s="252" t="s">
        <v>176</v>
      </c>
      <c r="H99" s="214" t="s">
        <v>270</v>
      </c>
      <c r="I99" s="151" t="s">
        <v>271</v>
      </c>
      <c r="J99" s="212" t="s">
        <v>282</v>
      </c>
      <c r="K99" s="214" t="s">
        <v>272</v>
      </c>
      <c r="L99" s="212" t="s">
        <v>273</v>
      </c>
    </row>
    <row r="100" spans="1:12" ht="15.75" x14ac:dyDescent="0.25">
      <c r="A100" s="187" t="s">
        <v>45</v>
      </c>
      <c r="B100" s="188" t="s">
        <v>407</v>
      </c>
      <c r="C100" s="210" t="s">
        <v>408</v>
      </c>
      <c r="D100" s="187">
        <v>305</v>
      </c>
      <c r="E100" s="190">
        <v>1203</v>
      </c>
      <c r="F100" s="191">
        <v>1000</v>
      </c>
      <c r="G100" s="255" t="s">
        <v>153</v>
      </c>
      <c r="H100" s="190">
        <v>203</v>
      </c>
      <c r="I100" s="192">
        <v>0</v>
      </c>
      <c r="J100" s="192">
        <v>0</v>
      </c>
      <c r="K100" s="192">
        <v>0</v>
      </c>
      <c r="L100" s="190">
        <v>203</v>
      </c>
    </row>
    <row r="101" spans="1:12" ht="30.75" x14ac:dyDescent="0.25">
      <c r="A101" s="187" t="s">
        <v>45</v>
      </c>
      <c r="B101" s="188" t="s">
        <v>53</v>
      </c>
      <c r="C101" s="189" t="s">
        <v>54</v>
      </c>
      <c r="D101" s="187">
        <v>250</v>
      </c>
      <c r="E101" s="190">
        <v>45017</v>
      </c>
      <c r="F101" s="191">
        <v>1000</v>
      </c>
      <c r="G101" s="255" t="s">
        <v>153</v>
      </c>
      <c r="H101" s="190">
        <v>44017</v>
      </c>
      <c r="I101" s="192">
        <v>0</v>
      </c>
      <c r="J101" s="192">
        <v>0</v>
      </c>
      <c r="K101" s="192">
        <v>0</v>
      </c>
      <c r="L101" s="190">
        <v>44017</v>
      </c>
    </row>
    <row r="102" spans="1:12" ht="30.75" x14ac:dyDescent="0.25">
      <c r="A102" s="187" t="s">
        <v>45</v>
      </c>
      <c r="B102" s="188" t="s">
        <v>98</v>
      </c>
      <c r="C102" s="189" t="s">
        <v>99</v>
      </c>
      <c r="D102" s="187">
        <v>370</v>
      </c>
      <c r="E102" s="190">
        <v>227908</v>
      </c>
      <c r="F102" s="191">
        <v>14748</v>
      </c>
      <c r="G102" s="255" t="s">
        <v>153</v>
      </c>
      <c r="H102" s="190">
        <v>213160</v>
      </c>
      <c r="I102" s="192">
        <v>0</v>
      </c>
      <c r="J102" s="192">
        <v>0</v>
      </c>
      <c r="K102" s="192">
        <v>0</v>
      </c>
      <c r="L102" s="190">
        <v>213160</v>
      </c>
    </row>
    <row r="103" spans="1:12" ht="30.75" x14ac:dyDescent="0.25">
      <c r="A103" s="187" t="s">
        <v>45</v>
      </c>
      <c r="B103" s="188" t="s">
        <v>55</v>
      </c>
      <c r="C103" s="189" t="s">
        <v>56</v>
      </c>
      <c r="D103" s="187">
        <v>369</v>
      </c>
      <c r="E103" s="190">
        <v>7835023</v>
      </c>
      <c r="F103" s="191">
        <v>5761209</v>
      </c>
      <c r="G103" s="255" t="s">
        <v>153</v>
      </c>
      <c r="H103" s="190">
        <v>2073814</v>
      </c>
      <c r="I103" s="192">
        <v>0</v>
      </c>
      <c r="J103" s="192">
        <v>0</v>
      </c>
      <c r="K103" s="192">
        <v>0</v>
      </c>
      <c r="L103" s="190">
        <v>2073814</v>
      </c>
    </row>
    <row r="104" spans="1:12" ht="15" customHeight="1" x14ac:dyDescent="0.25">
      <c r="A104" s="187" t="s">
        <v>45</v>
      </c>
      <c r="B104" s="188" t="s">
        <v>57</v>
      </c>
      <c r="C104" s="189" t="s">
        <v>58</v>
      </c>
      <c r="D104" s="187">
        <v>172</v>
      </c>
      <c r="E104" s="190">
        <v>3190</v>
      </c>
      <c r="F104" s="191">
        <v>1000</v>
      </c>
      <c r="G104" s="255" t="s">
        <v>153</v>
      </c>
      <c r="H104" s="190">
        <v>2190</v>
      </c>
      <c r="I104" s="192">
        <v>0</v>
      </c>
      <c r="J104" s="192">
        <v>0</v>
      </c>
      <c r="K104" s="192">
        <v>0</v>
      </c>
      <c r="L104" s="190">
        <v>2190</v>
      </c>
    </row>
    <row r="105" spans="1:12" ht="15.75" x14ac:dyDescent="0.25">
      <c r="A105" s="187" t="s">
        <v>45</v>
      </c>
      <c r="B105" s="188" t="s">
        <v>403</v>
      </c>
      <c r="C105" s="189" t="s">
        <v>404</v>
      </c>
      <c r="D105" s="187">
        <v>278</v>
      </c>
      <c r="E105" s="190">
        <v>14543</v>
      </c>
      <c r="F105" s="191">
        <v>1039</v>
      </c>
      <c r="G105" s="255" t="s">
        <v>153</v>
      </c>
      <c r="H105" s="190">
        <v>13504</v>
      </c>
      <c r="I105" s="192">
        <v>0</v>
      </c>
      <c r="J105" s="192">
        <v>0</v>
      </c>
      <c r="K105" s="192">
        <v>0</v>
      </c>
      <c r="L105" s="190">
        <v>13504</v>
      </c>
    </row>
    <row r="106" spans="1:12" ht="30.75" x14ac:dyDescent="0.25">
      <c r="A106" s="187" t="s">
        <v>45</v>
      </c>
      <c r="B106" s="188" t="s">
        <v>50</v>
      </c>
      <c r="C106" s="189" t="s">
        <v>51</v>
      </c>
      <c r="D106" s="187">
        <v>11</v>
      </c>
      <c r="E106" s="190">
        <v>204485</v>
      </c>
      <c r="F106" s="191">
        <v>22063</v>
      </c>
      <c r="G106" s="255" t="s">
        <v>153</v>
      </c>
      <c r="H106" s="190">
        <v>182422</v>
      </c>
      <c r="I106" s="192">
        <v>0</v>
      </c>
      <c r="J106" s="192">
        <v>0</v>
      </c>
      <c r="K106" s="192">
        <v>0</v>
      </c>
      <c r="L106" s="190">
        <v>182422</v>
      </c>
    </row>
    <row r="107" spans="1:12" ht="30.75" x14ac:dyDescent="0.25">
      <c r="A107" s="187" t="s">
        <v>45</v>
      </c>
      <c r="B107" s="188" t="s">
        <v>59</v>
      </c>
      <c r="C107" s="189" t="s">
        <v>60</v>
      </c>
      <c r="D107" s="187">
        <v>313</v>
      </c>
      <c r="E107" s="190">
        <v>35671</v>
      </c>
      <c r="F107" s="191">
        <v>1285</v>
      </c>
      <c r="G107" s="255" t="s">
        <v>153</v>
      </c>
      <c r="H107" s="190">
        <v>34386</v>
      </c>
      <c r="I107" s="192">
        <v>0</v>
      </c>
      <c r="J107" s="192">
        <v>0</v>
      </c>
      <c r="K107" s="192">
        <v>0</v>
      </c>
      <c r="L107" s="190">
        <v>34386</v>
      </c>
    </row>
    <row r="108" spans="1:12" ht="30.75" customHeight="1" x14ac:dyDescent="0.25">
      <c r="A108" s="187" t="s">
        <v>45</v>
      </c>
      <c r="B108" s="188" t="s">
        <v>61</v>
      </c>
      <c r="C108" s="189" t="s">
        <v>62</v>
      </c>
      <c r="D108" s="187">
        <v>330</v>
      </c>
      <c r="E108" s="190">
        <v>44856</v>
      </c>
      <c r="F108" s="191">
        <v>1000</v>
      </c>
      <c r="G108" s="255" t="s">
        <v>153</v>
      </c>
      <c r="H108" s="190">
        <v>43856</v>
      </c>
      <c r="I108" s="192">
        <v>0</v>
      </c>
      <c r="J108" s="192">
        <v>0</v>
      </c>
      <c r="K108" s="192">
        <v>0</v>
      </c>
      <c r="L108" s="190">
        <v>43856</v>
      </c>
    </row>
    <row r="109" spans="1:12" ht="45.75" x14ac:dyDescent="0.25">
      <c r="A109" s="187" t="s">
        <v>45</v>
      </c>
      <c r="B109" s="188" t="s">
        <v>63</v>
      </c>
      <c r="C109" s="189" t="s">
        <v>64</v>
      </c>
      <c r="D109" s="187">
        <v>272</v>
      </c>
      <c r="E109" s="190">
        <v>31110</v>
      </c>
      <c r="F109" s="191">
        <v>1000</v>
      </c>
      <c r="G109" s="255" t="s">
        <v>153</v>
      </c>
      <c r="H109" s="190">
        <v>30110</v>
      </c>
      <c r="I109" s="192">
        <v>0</v>
      </c>
      <c r="J109" s="192">
        <v>0</v>
      </c>
      <c r="K109" s="192">
        <v>0</v>
      </c>
      <c r="L109" s="190">
        <v>30110</v>
      </c>
    </row>
    <row r="110" spans="1:12" ht="45.75" x14ac:dyDescent="0.25">
      <c r="A110" s="187" t="s">
        <v>45</v>
      </c>
      <c r="B110" s="188" t="s">
        <v>65</v>
      </c>
      <c r="C110" s="189" t="s">
        <v>66</v>
      </c>
      <c r="D110" s="187">
        <v>276</v>
      </c>
      <c r="E110" s="190">
        <v>1065</v>
      </c>
      <c r="F110" s="191">
        <v>1000</v>
      </c>
      <c r="G110" s="255" t="s">
        <v>153</v>
      </c>
      <c r="H110" s="190">
        <v>65</v>
      </c>
      <c r="I110" s="192">
        <v>0</v>
      </c>
      <c r="J110" s="192">
        <v>0</v>
      </c>
      <c r="K110" s="192">
        <v>0</v>
      </c>
      <c r="L110" s="190">
        <v>65</v>
      </c>
    </row>
    <row r="111" spans="1:12" ht="75.75" x14ac:dyDescent="0.25">
      <c r="A111" s="187" t="s">
        <v>45</v>
      </c>
      <c r="B111" s="188" t="s">
        <v>67</v>
      </c>
      <c r="C111" s="189" t="s">
        <v>68</v>
      </c>
      <c r="D111" s="187">
        <v>292</v>
      </c>
      <c r="E111" s="190">
        <v>55727</v>
      </c>
      <c r="F111" s="191">
        <v>10004</v>
      </c>
      <c r="G111" s="255" t="s">
        <v>153</v>
      </c>
      <c r="H111" s="190">
        <v>45723</v>
      </c>
      <c r="I111" s="192">
        <v>0</v>
      </c>
      <c r="J111" s="192">
        <v>0</v>
      </c>
      <c r="K111" s="192">
        <v>0</v>
      </c>
      <c r="L111" s="190">
        <v>45723</v>
      </c>
    </row>
    <row r="112" spans="1:12" ht="30.75" x14ac:dyDescent="0.25">
      <c r="A112" s="187" t="s">
        <v>45</v>
      </c>
      <c r="B112" s="188" t="s">
        <v>69</v>
      </c>
      <c r="C112" s="189" t="s">
        <v>70</v>
      </c>
      <c r="D112" s="187">
        <v>209</v>
      </c>
      <c r="E112" s="190">
        <v>65899</v>
      </c>
      <c r="F112" s="191">
        <v>1000</v>
      </c>
      <c r="G112" s="255" t="s">
        <v>153</v>
      </c>
      <c r="H112" s="190">
        <v>64899</v>
      </c>
      <c r="I112" s="192">
        <v>0</v>
      </c>
      <c r="J112" s="192">
        <v>0</v>
      </c>
      <c r="K112" s="192">
        <v>0</v>
      </c>
      <c r="L112" s="190">
        <v>64899</v>
      </c>
    </row>
    <row r="113" spans="1:12" ht="15.75" x14ac:dyDescent="0.25">
      <c r="A113" s="187" t="s">
        <v>45</v>
      </c>
      <c r="B113" s="188" t="s">
        <v>71</v>
      </c>
      <c r="C113" s="189" t="s">
        <v>72</v>
      </c>
      <c r="D113" s="187">
        <v>183</v>
      </c>
      <c r="E113" s="190">
        <v>6458</v>
      </c>
      <c r="F113" s="191">
        <v>1000</v>
      </c>
      <c r="G113" s="255" t="s">
        <v>153</v>
      </c>
      <c r="H113" s="190">
        <v>5458</v>
      </c>
      <c r="I113" s="192">
        <v>0</v>
      </c>
      <c r="J113" s="192">
        <v>0</v>
      </c>
      <c r="K113" s="192">
        <v>0</v>
      </c>
      <c r="L113" s="190">
        <v>5458</v>
      </c>
    </row>
    <row r="114" spans="1:12" ht="15.75" x14ac:dyDescent="0.25">
      <c r="A114" s="187" t="s">
        <v>45</v>
      </c>
      <c r="B114" s="188" t="s">
        <v>100</v>
      </c>
      <c r="C114" s="189" t="s">
        <v>101</v>
      </c>
      <c r="D114" s="187">
        <v>251</v>
      </c>
      <c r="E114" s="190">
        <v>3050</v>
      </c>
      <c r="F114" s="191">
        <v>1000</v>
      </c>
      <c r="G114" s="255" t="s">
        <v>153</v>
      </c>
      <c r="H114" s="190">
        <v>2050</v>
      </c>
      <c r="I114" s="192">
        <v>0</v>
      </c>
      <c r="J114" s="192">
        <v>0</v>
      </c>
      <c r="K114" s="192">
        <v>0</v>
      </c>
      <c r="L114" s="190">
        <v>2050</v>
      </c>
    </row>
    <row r="115" spans="1:12" ht="15.75" x14ac:dyDescent="0.25">
      <c r="A115" s="187" t="s">
        <v>45</v>
      </c>
      <c r="B115" s="188" t="s">
        <v>73</v>
      </c>
      <c r="C115" s="189" t="s">
        <v>52</v>
      </c>
      <c r="D115" s="187">
        <v>192</v>
      </c>
      <c r="E115" s="190">
        <v>15289</v>
      </c>
      <c r="F115" s="191">
        <v>1000</v>
      </c>
      <c r="G115" s="255" t="s">
        <v>153</v>
      </c>
      <c r="H115" s="190">
        <v>14289</v>
      </c>
      <c r="I115" s="192">
        <v>0</v>
      </c>
      <c r="J115" s="192">
        <v>0</v>
      </c>
      <c r="K115" s="192">
        <v>0</v>
      </c>
      <c r="L115" s="190">
        <v>14289</v>
      </c>
    </row>
    <row r="116" spans="1:12" ht="30.75" x14ac:dyDescent="0.25">
      <c r="A116" s="187" t="s">
        <v>45</v>
      </c>
      <c r="B116" s="188" t="s">
        <v>74</v>
      </c>
      <c r="C116" s="189" t="s">
        <v>75</v>
      </c>
      <c r="D116" s="187">
        <v>297</v>
      </c>
      <c r="E116" s="190">
        <v>3576360</v>
      </c>
      <c r="F116" s="191">
        <v>208220</v>
      </c>
      <c r="G116" s="255" t="s">
        <v>153</v>
      </c>
      <c r="H116" s="190">
        <v>3368140</v>
      </c>
      <c r="I116" s="192">
        <v>0</v>
      </c>
      <c r="J116" s="192">
        <v>0</v>
      </c>
      <c r="K116" s="192">
        <v>0</v>
      </c>
      <c r="L116" s="190">
        <v>3368140</v>
      </c>
    </row>
    <row r="117" spans="1:12" ht="15.75" x14ac:dyDescent="0.25">
      <c r="A117" s="187" t="s">
        <v>45</v>
      </c>
      <c r="B117" s="188" t="s">
        <v>76</v>
      </c>
      <c r="C117" s="189" t="s">
        <v>77</v>
      </c>
      <c r="D117" s="187">
        <v>166</v>
      </c>
      <c r="E117" s="190">
        <v>136467</v>
      </c>
      <c r="F117" s="191">
        <v>26708</v>
      </c>
      <c r="G117" s="255" t="s">
        <v>153</v>
      </c>
      <c r="H117" s="190">
        <v>109759</v>
      </c>
      <c r="I117" s="192">
        <v>0</v>
      </c>
      <c r="J117" s="192">
        <v>0</v>
      </c>
      <c r="K117" s="192">
        <v>0</v>
      </c>
      <c r="L117" s="190">
        <v>109759</v>
      </c>
    </row>
    <row r="118" spans="1:12" ht="15.75" x14ac:dyDescent="0.25">
      <c r="A118" s="187" t="s">
        <v>45</v>
      </c>
      <c r="B118" s="188" t="s">
        <v>78</v>
      </c>
      <c r="C118" s="189" t="s">
        <v>79</v>
      </c>
      <c r="D118" s="187">
        <v>32</v>
      </c>
      <c r="E118" s="190">
        <v>23524</v>
      </c>
      <c r="F118" s="191">
        <v>5404</v>
      </c>
      <c r="G118" s="255" t="s">
        <v>153</v>
      </c>
      <c r="H118" s="190">
        <v>18120</v>
      </c>
      <c r="I118" s="192">
        <v>0</v>
      </c>
      <c r="J118" s="192">
        <v>0</v>
      </c>
      <c r="K118" s="192">
        <v>0</v>
      </c>
      <c r="L118" s="190">
        <v>18120</v>
      </c>
    </row>
    <row r="119" spans="1:12" ht="30.75" x14ac:dyDescent="0.25">
      <c r="A119" s="187" t="s">
        <v>45</v>
      </c>
      <c r="B119" s="188" t="s">
        <v>80</v>
      </c>
      <c r="C119" s="189" t="s">
        <v>81</v>
      </c>
      <c r="D119" s="187">
        <v>368</v>
      </c>
      <c r="E119" s="190">
        <v>21279</v>
      </c>
      <c r="F119" s="191">
        <v>2085</v>
      </c>
      <c r="G119" s="255" t="s">
        <v>153</v>
      </c>
      <c r="H119" s="190">
        <v>19194</v>
      </c>
      <c r="I119" s="192">
        <v>0</v>
      </c>
      <c r="J119" s="192">
        <v>0</v>
      </c>
      <c r="K119" s="192">
        <v>0</v>
      </c>
      <c r="L119" s="190">
        <v>19194</v>
      </c>
    </row>
    <row r="120" spans="1:12" ht="15.75" x14ac:dyDescent="0.25">
      <c r="A120" s="187" t="s">
        <v>45</v>
      </c>
      <c r="B120" s="188" t="s">
        <v>82</v>
      </c>
      <c r="C120" s="189" t="s">
        <v>83</v>
      </c>
      <c r="D120" s="187">
        <v>357</v>
      </c>
      <c r="E120" s="190">
        <v>16772</v>
      </c>
      <c r="F120" s="191">
        <v>1000</v>
      </c>
      <c r="G120" s="255" t="s">
        <v>153</v>
      </c>
      <c r="H120" s="190">
        <v>15772</v>
      </c>
      <c r="I120" s="192">
        <v>0</v>
      </c>
      <c r="J120" s="192">
        <v>0</v>
      </c>
      <c r="K120" s="192">
        <v>0</v>
      </c>
      <c r="L120" s="190">
        <v>15772</v>
      </c>
    </row>
    <row r="121" spans="1:12" ht="15.75" x14ac:dyDescent="0.25">
      <c r="A121" s="187" t="s">
        <v>45</v>
      </c>
      <c r="B121" s="188" t="s">
        <v>84</v>
      </c>
      <c r="C121" s="189" t="s">
        <v>85</v>
      </c>
      <c r="D121" s="187">
        <v>153</v>
      </c>
      <c r="E121" s="190">
        <v>3284</v>
      </c>
      <c r="F121" s="191">
        <v>1000</v>
      </c>
      <c r="G121" s="255" t="s">
        <v>153</v>
      </c>
      <c r="H121" s="190">
        <v>2284</v>
      </c>
      <c r="I121" s="192">
        <v>0</v>
      </c>
      <c r="J121" s="192">
        <v>0</v>
      </c>
      <c r="K121" s="192">
        <v>0</v>
      </c>
      <c r="L121" s="190">
        <v>2284</v>
      </c>
    </row>
    <row r="122" spans="1:12" ht="15.75" x14ac:dyDescent="0.25">
      <c r="A122" s="187" t="s">
        <v>45</v>
      </c>
      <c r="B122" s="188" t="s">
        <v>86</v>
      </c>
      <c r="C122" s="189" t="s">
        <v>75</v>
      </c>
      <c r="D122" s="187">
        <v>48</v>
      </c>
      <c r="E122" s="190">
        <v>168734</v>
      </c>
      <c r="F122" s="191">
        <v>46317</v>
      </c>
      <c r="G122" s="255" t="s">
        <v>153</v>
      </c>
      <c r="H122" s="190">
        <v>122417</v>
      </c>
      <c r="I122" s="192">
        <v>0</v>
      </c>
      <c r="J122" s="192">
        <v>0</v>
      </c>
      <c r="K122" s="192">
        <v>0</v>
      </c>
      <c r="L122" s="190">
        <v>122417</v>
      </c>
    </row>
    <row r="123" spans="1:12" ht="15.75" x14ac:dyDescent="0.25">
      <c r="A123" s="187" t="s">
        <v>45</v>
      </c>
      <c r="B123" s="188" t="s">
        <v>87</v>
      </c>
      <c r="C123" s="189" t="s">
        <v>88</v>
      </c>
      <c r="D123" s="187">
        <v>350</v>
      </c>
      <c r="E123" s="190">
        <v>5687</v>
      </c>
      <c r="F123" s="191">
        <v>2260</v>
      </c>
      <c r="G123" s="255" t="s">
        <v>153</v>
      </c>
      <c r="H123" s="190">
        <v>3427</v>
      </c>
      <c r="I123" s="192">
        <v>0</v>
      </c>
      <c r="J123" s="192">
        <v>0</v>
      </c>
      <c r="K123" s="192">
        <v>0</v>
      </c>
      <c r="L123" s="190">
        <v>3427</v>
      </c>
    </row>
    <row r="124" spans="1:12" ht="15.75" x14ac:dyDescent="0.25">
      <c r="A124" s="187" t="s">
        <v>45</v>
      </c>
      <c r="B124" s="188" t="s">
        <v>104</v>
      </c>
      <c r="C124" s="189" t="s">
        <v>105</v>
      </c>
      <c r="D124" s="187">
        <v>173</v>
      </c>
      <c r="E124" s="190">
        <v>21944</v>
      </c>
      <c r="F124" s="191">
        <v>5333</v>
      </c>
      <c r="G124" s="255" t="s">
        <v>153</v>
      </c>
      <c r="H124" s="190">
        <v>16611</v>
      </c>
      <c r="I124" s="192">
        <v>0</v>
      </c>
      <c r="J124" s="192">
        <v>0</v>
      </c>
      <c r="K124" s="192">
        <v>0</v>
      </c>
      <c r="L124" s="190">
        <v>16611</v>
      </c>
    </row>
    <row r="125" spans="1:12" ht="30" customHeight="1" x14ac:dyDescent="0.25">
      <c r="A125" s="187" t="s">
        <v>45</v>
      </c>
      <c r="B125" s="188" t="s">
        <v>405</v>
      </c>
      <c r="C125" s="189" t="s">
        <v>406</v>
      </c>
      <c r="D125" s="187">
        <v>261</v>
      </c>
      <c r="E125" s="190">
        <v>2385</v>
      </c>
      <c r="F125" s="191">
        <v>1000</v>
      </c>
      <c r="G125" s="255" t="s">
        <v>153</v>
      </c>
      <c r="H125" s="190">
        <v>1385</v>
      </c>
      <c r="I125" s="192">
        <v>0</v>
      </c>
      <c r="J125" s="192">
        <v>0</v>
      </c>
      <c r="K125" s="192">
        <v>0</v>
      </c>
      <c r="L125" s="190">
        <v>1385</v>
      </c>
    </row>
    <row r="126" spans="1:12" ht="15.75" x14ac:dyDescent="0.25">
      <c r="A126" s="187" t="s">
        <v>45</v>
      </c>
      <c r="B126" s="188" t="s">
        <v>106</v>
      </c>
      <c r="C126" s="189" t="s">
        <v>92</v>
      </c>
      <c r="D126" s="187">
        <v>244</v>
      </c>
      <c r="E126" s="190">
        <v>18055</v>
      </c>
      <c r="F126" s="191">
        <v>2017</v>
      </c>
      <c r="G126" s="255" t="s">
        <v>153</v>
      </c>
      <c r="H126" s="190">
        <v>16038</v>
      </c>
      <c r="I126" s="192">
        <v>0</v>
      </c>
      <c r="J126" s="192">
        <v>0</v>
      </c>
      <c r="K126" s="192">
        <v>0</v>
      </c>
      <c r="L126" s="190">
        <v>16038</v>
      </c>
    </row>
    <row r="127" spans="1:12" ht="15.75" x14ac:dyDescent="0.25">
      <c r="A127" s="187" t="s">
        <v>45</v>
      </c>
      <c r="B127" s="188" t="s">
        <v>89</v>
      </c>
      <c r="C127" s="189" t="s">
        <v>90</v>
      </c>
      <c r="D127" s="187">
        <v>171</v>
      </c>
      <c r="E127" s="190">
        <v>18873</v>
      </c>
      <c r="F127" s="191">
        <v>3510</v>
      </c>
      <c r="G127" s="255" t="s">
        <v>153</v>
      </c>
      <c r="H127" s="190">
        <v>15363</v>
      </c>
      <c r="I127" s="192">
        <v>0</v>
      </c>
      <c r="J127" s="192">
        <v>0</v>
      </c>
      <c r="K127" s="192">
        <v>0</v>
      </c>
      <c r="L127" s="190">
        <v>15363</v>
      </c>
    </row>
    <row r="128" spans="1:12" ht="45.75" x14ac:dyDescent="0.25">
      <c r="A128" s="187" t="s">
        <v>45</v>
      </c>
      <c r="B128" s="188" t="s">
        <v>91</v>
      </c>
      <c r="C128" s="189" t="s">
        <v>92</v>
      </c>
      <c r="D128" s="187">
        <v>258</v>
      </c>
      <c r="E128" s="190">
        <v>62743</v>
      </c>
      <c r="F128" s="191">
        <v>4325</v>
      </c>
      <c r="G128" s="255" t="s">
        <v>153</v>
      </c>
      <c r="H128" s="190">
        <v>58418</v>
      </c>
      <c r="I128" s="192">
        <v>0</v>
      </c>
      <c r="J128" s="192">
        <v>0</v>
      </c>
      <c r="K128" s="192">
        <v>0</v>
      </c>
      <c r="L128" s="190">
        <v>58418</v>
      </c>
    </row>
    <row r="129" spans="1:12" ht="15" customHeight="1" x14ac:dyDescent="0.25">
      <c r="A129" s="187" t="s">
        <v>45</v>
      </c>
      <c r="B129" s="188" t="s">
        <v>93</v>
      </c>
      <c r="C129" s="189" t="s">
        <v>75</v>
      </c>
      <c r="D129" s="187">
        <v>260</v>
      </c>
      <c r="E129" s="190">
        <v>220329</v>
      </c>
      <c r="F129" s="191">
        <v>38220</v>
      </c>
      <c r="G129" s="255" t="s">
        <v>153</v>
      </c>
      <c r="H129" s="190">
        <v>182109</v>
      </c>
      <c r="I129" s="192">
        <v>0</v>
      </c>
      <c r="J129" s="192">
        <v>0</v>
      </c>
      <c r="K129" s="192">
        <v>0</v>
      </c>
      <c r="L129" s="190">
        <v>182109</v>
      </c>
    </row>
    <row r="130" spans="1:12" ht="30.75" x14ac:dyDescent="0.25">
      <c r="A130" s="187" t="s">
        <v>45</v>
      </c>
      <c r="B130" s="188" t="s">
        <v>94</v>
      </c>
      <c r="C130" s="189" t="s">
        <v>95</v>
      </c>
      <c r="D130" s="187">
        <v>367</v>
      </c>
      <c r="E130" s="190">
        <v>7856933</v>
      </c>
      <c r="F130" s="191">
        <v>4951823</v>
      </c>
      <c r="G130" s="255" t="s">
        <v>153</v>
      </c>
      <c r="H130" s="190">
        <v>2905110</v>
      </c>
      <c r="I130" s="192">
        <v>0</v>
      </c>
      <c r="J130" s="192">
        <v>0</v>
      </c>
      <c r="K130" s="192">
        <v>0</v>
      </c>
      <c r="L130" s="190">
        <v>2905110</v>
      </c>
    </row>
    <row r="131" spans="1:12" ht="15.75" x14ac:dyDescent="0.25">
      <c r="A131" s="187" t="s">
        <v>45</v>
      </c>
      <c r="B131" s="188" t="s">
        <v>107</v>
      </c>
      <c r="C131" s="189" t="s">
        <v>108</v>
      </c>
      <c r="D131" s="187">
        <v>346</v>
      </c>
      <c r="E131" s="190">
        <v>17010</v>
      </c>
      <c r="F131" s="191">
        <v>1000</v>
      </c>
      <c r="G131" s="255" t="s">
        <v>153</v>
      </c>
      <c r="H131" s="190">
        <v>16010</v>
      </c>
      <c r="I131" s="192">
        <v>0</v>
      </c>
      <c r="J131" s="192">
        <v>0</v>
      </c>
      <c r="K131" s="192">
        <v>0</v>
      </c>
      <c r="L131" s="190">
        <v>16010</v>
      </c>
    </row>
    <row r="132" spans="1:12" ht="15.75" x14ac:dyDescent="0.25">
      <c r="A132" s="187" t="s">
        <v>45</v>
      </c>
      <c r="B132" s="188" t="s">
        <v>96</v>
      </c>
      <c r="C132" s="189" t="s">
        <v>97</v>
      </c>
      <c r="D132" s="187">
        <v>351</v>
      </c>
      <c r="E132" s="190">
        <v>11236</v>
      </c>
      <c r="F132" s="191">
        <v>1000</v>
      </c>
      <c r="G132" s="255" t="s">
        <v>153</v>
      </c>
      <c r="H132" s="190">
        <v>10236</v>
      </c>
      <c r="I132" s="192">
        <v>0</v>
      </c>
      <c r="J132" s="192">
        <v>0</v>
      </c>
      <c r="K132" s="192">
        <v>0</v>
      </c>
      <c r="L132" s="190">
        <v>10236</v>
      </c>
    </row>
    <row r="133" spans="1:12" ht="15.75" x14ac:dyDescent="0.25">
      <c r="A133" s="206" t="s">
        <v>285</v>
      </c>
      <c r="B133" s="258" t="s">
        <v>153</v>
      </c>
      <c r="C133" s="258" t="s">
        <v>153</v>
      </c>
      <c r="D133" s="258" t="s">
        <v>153</v>
      </c>
      <c r="E133" s="207">
        <f>SUBTOTAL(109,school201617[Program
Costs])</f>
        <v>20772109</v>
      </c>
      <c r="F133" s="216">
        <f>SUBTOTAL(109,school201617[Less: Net
 Payments and 
Offsets 2])</f>
        <v>11121570</v>
      </c>
      <c r="G133" s="256" t="s">
        <v>153</v>
      </c>
      <c r="H133" s="207">
        <f>SUBTOTAL(109,school201617[Accounts Payable
Balance])</f>
        <v>9650539</v>
      </c>
      <c r="I133" s="209">
        <f>SUBTOTAL(109,school201617[Established
Accounts Receivable])</f>
        <v>0</v>
      </c>
      <c r="J133" s="209">
        <f>SUBTOTAL(109,school201617[Less: 
Recovered 
Amount])</f>
        <v>0</v>
      </c>
      <c r="K133" s="209">
        <f>SUBTOTAL(109,school201617[Accounts Receivable
Balance])</f>
        <v>0</v>
      </c>
      <c r="L133" s="207">
        <f>SUBTOTAL(109,school201617[Net
Balance])</f>
        <v>9650539</v>
      </c>
    </row>
    <row r="134" spans="1:12" ht="15.75" x14ac:dyDescent="0.25">
      <c r="A134" s="146" t="s">
        <v>181</v>
      </c>
      <c r="B134" s="188"/>
      <c r="C134" s="189"/>
      <c r="D134" s="187"/>
      <c r="E134" s="197"/>
      <c r="F134" s="198"/>
      <c r="G134" s="198"/>
      <c r="H134" s="197"/>
      <c r="I134" s="197"/>
      <c r="J134" s="197"/>
      <c r="K134" s="197"/>
      <c r="L134" s="199"/>
    </row>
    <row r="135" spans="1:12" ht="50.1" customHeight="1" x14ac:dyDescent="0.25">
      <c r="A135" s="211" t="s">
        <v>221</v>
      </c>
      <c r="B135" s="211" t="s">
        <v>268</v>
      </c>
      <c r="C135" s="21" t="s">
        <v>2</v>
      </c>
      <c r="D135" s="211" t="s">
        <v>280</v>
      </c>
      <c r="E135" s="212" t="s">
        <v>223</v>
      </c>
      <c r="F135" s="213" t="s">
        <v>509</v>
      </c>
      <c r="G135" s="252" t="s">
        <v>176</v>
      </c>
      <c r="H135" s="214" t="s">
        <v>270</v>
      </c>
      <c r="I135" s="151" t="s">
        <v>271</v>
      </c>
      <c r="J135" s="212" t="s">
        <v>282</v>
      </c>
      <c r="K135" s="214" t="s">
        <v>272</v>
      </c>
      <c r="L135" s="212" t="s">
        <v>273</v>
      </c>
    </row>
    <row r="136" spans="1:12" ht="15.75" x14ac:dyDescent="0.25">
      <c r="A136" s="187" t="s">
        <v>46</v>
      </c>
      <c r="B136" s="188" t="s">
        <v>407</v>
      </c>
      <c r="C136" s="210" t="s">
        <v>408</v>
      </c>
      <c r="D136" s="187">
        <v>305</v>
      </c>
      <c r="E136" s="190">
        <v>1090</v>
      </c>
      <c r="F136" s="191">
        <v>1000</v>
      </c>
      <c r="G136" s="255" t="s">
        <v>153</v>
      </c>
      <c r="H136" s="190">
        <v>90</v>
      </c>
      <c r="I136" s="192">
        <v>0</v>
      </c>
      <c r="J136" s="192">
        <v>0</v>
      </c>
      <c r="K136" s="192">
        <v>0</v>
      </c>
      <c r="L136" s="190">
        <v>90</v>
      </c>
    </row>
    <row r="137" spans="1:12" ht="30.75" x14ac:dyDescent="0.25">
      <c r="A137" s="187" t="s">
        <v>46</v>
      </c>
      <c r="B137" s="188" t="s">
        <v>53</v>
      </c>
      <c r="C137" s="189" t="s">
        <v>54</v>
      </c>
      <c r="D137" s="187">
        <v>250</v>
      </c>
      <c r="E137" s="190">
        <v>77440</v>
      </c>
      <c r="F137" s="191">
        <v>1000</v>
      </c>
      <c r="G137" s="255" t="s">
        <v>153</v>
      </c>
      <c r="H137" s="190">
        <v>76440</v>
      </c>
      <c r="I137" s="192">
        <v>0</v>
      </c>
      <c r="J137" s="192">
        <v>0</v>
      </c>
      <c r="K137" s="192">
        <v>0</v>
      </c>
      <c r="L137" s="190">
        <v>76440</v>
      </c>
    </row>
    <row r="138" spans="1:12" ht="30.75" x14ac:dyDescent="0.25">
      <c r="A138" s="187" t="s">
        <v>46</v>
      </c>
      <c r="B138" s="188" t="s">
        <v>98</v>
      </c>
      <c r="C138" s="189" t="s">
        <v>99</v>
      </c>
      <c r="D138" s="187">
        <v>370</v>
      </c>
      <c r="E138" s="190">
        <v>182254</v>
      </c>
      <c r="F138" s="191">
        <v>9975</v>
      </c>
      <c r="G138" s="255" t="s">
        <v>153</v>
      </c>
      <c r="H138" s="190">
        <v>172279</v>
      </c>
      <c r="I138" s="192">
        <v>0</v>
      </c>
      <c r="J138" s="192">
        <v>0</v>
      </c>
      <c r="K138" s="192">
        <v>0</v>
      </c>
      <c r="L138" s="190">
        <v>172279</v>
      </c>
    </row>
    <row r="139" spans="1:12" ht="15" customHeight="1" x14ac:dyDescent="0.25">
      <c r="A139" s="187" t="s">
        <v>46</v>
      </c>
      <c r="B139" s="188" t="s">
        <v>55</v>
      </c>
      <c r="C139" s="189" t="s">
        <v>56</v>
      </c>
      <c r="D139" s="187">
        <v>369</v>
      </c>
      <c r="E139" s="190">
        <v>22357235</v>
      </c>
      <c r="F139" s="191">
        <v>19716701</v>
      </c>
      <c r="G139" s="255" t="s">
        <v>153</v>
      </c>
      <c r="H139" s="190">
        <v>2640534</v>
      </c>
      <c r="I139" s="190">
        <v>1000</v>
      </c>
      <c r="J139" s="192">
        <v>0</v>
      </c>
      <c r="K139" s="190">
        <v>1000</v>
      </c>
      <c r="L139" s="190">
        <v>2639534</v>
      </c>
    </row>
    <row r="140" spans="1:12" ht="30.75" x14ac:dyDescent="0.25">
      <c r="A140" s="187" t="s">
        <v>46</v>
      </c>
      <c r="B140" s="188" t="s">
        <v>57</v>
      </c>
      <c r="C140" s="189" t="s">
        <v>58</v>
      </c>
      <c r="D140" s="187">
        <v>172</v>
      </c>
      <c r="E140" s="190">
        <v>8527</v>
      </c>
      <c r="F140" s="191">
        <v>1000</v>
      </c>
      <c r="G140" s="255" t="s">
        <v>153</v>
      </c>
      <c r="H140" s="190">
        <v>7527</v>
      </c>
      <c r="I140" s="192">
        <v>0</v>
      </c>
      <c r="J140" s="192">
        <v>0</v>
      </c>
      <c r="K140" s="192">
        <v>0</v>
      </c>
      <c r="L140" s="190">
        <v>7527</v>
      </c>
    </row>
    <row r="141" spans="1:12" ht="15.75" x14ac:dyDescent="0.25">
      <c r="A141" s="187" t="s">
        <v>46</v>
      </c>
      <c r="B141" s="188" t="s">
        <v>409</v>
      </c>
      <c r="C141" s="189" t="s">
        <v>410</v>
      </c>
      <c r="D141" s="187">
        <v>309</v>
      </c>
      <c r="E141" s="190">
        <v>1289</v>
      </c>
      <c r="F141" s="191">
        <v>1000</v>
      </c>
      <c r="G141" s="255" t="s">
        <v>153</v>
      </c>
      <c r="H141" s="190">
        <v>289</v>
      </c>
      <c r="I141" s="192">
        <v>0</v>
      </c>
      <c r="J141" s="192">
        <v>0</v>
      </c>
      <c r="K141" s="192">
        <v>0</v>
      </c>
      <c r="L141" s="190">
        <v>289</v>
      </c>
    </row>
    <row r="142" spans="1:12" ht="30.75" x14ac:dyDescent="0.25">
      <c r="A142" s="187" t="s">
        <v>46</v>
      </c>
      <c r="B142" s="188" t="s">
        <v>50</v>
      </c>
      <c r="C142" s="189" t="s">
        <v>51</v>
      </c>
      <c r="D142" s="187">
        <v>11</v>
      </c>
      <c r="E142" s="190">
        <v>327239</v>
      </c>
      <c r="F142" s="191">
        <v>76959</v>
      </c>
      <c r="G142" s="255" t="s">
        <v>153</v>
      </c>
      <c r="H142" s="190">
        <v>250280</v>
      </c>
      <c r="I142" s="192">
        <v>0</v>
      </c>
      <c r="J142" s="192">
        <v>0</v>
      </c>
      <c r="K142" s="192">
        <v>0</v>
      </c>
      <c r="L142" s="190">
        <v>250280</v>
      </c>
    </row>
    <row r="143" spans="1:12" ht="15.75" customHeight="1" x14ac:dyDescent="0.25">
      <c r="A143" s="187" t="s">
        <v>46</v>
      </c>
      <c r="B143" s="219" t="s">
        <v>59</v>
      </c>
      <c r="C143" s="189" t="s">
        <v>60</v>
      </c>
      <c r="D143" s="187">
        <v>313</v>
      </c>
      <c r="E143" s="190">
        <v>39319</v>
      </c>
      <c r="F143" s="191">
        <v>7612</v>
      </c>
      <c r="G143" s="255" t="s">
        <v>153</v>
      </c>
      <c r="H143" s="190">
        <v>31707</v>
      </c>
      <c r="I143" s="192">
        <v>0</v>
      </c>
      <c r="J143" s="192">
        <v>0</v>
      </c>
      <c r="K143" s="192">
        <v>0</v>
      </c>
      <c r="L143" s="190">
        <v>31707</v>
      </c>
    </row>
    <row r="144" spans="1:12" ht="30.75" x14ac:dyDescent="0.25">
      <c r="A144" s="187" t="s">
        <v>46</v>
      </c>
      <c r="B144" s="188" t="s">
        <v>61</v>
      </c>
      <c r="C144" s="189" t="s">
        <v>62</v>
      </c>
      <c r="D144" s="187">
        <v>330</v>
      </c>
      <c r="E144" s="190">
        <v>69675</v>
      </c>
      <c r="F144" s="191">
        <v>9406</v>
      </c>
      <c r="G144" s="255" t="s">
        <v>153</v>
      </c>
      <c r="H144" s="190">
        <v>60269</v>
      </c>
      <c r="I144" s="192">
        <v>0</v>
      </c>
      <c r="J144" s="192">
        <v>0</v>
      </c>
      <c r="K144" s="192">
        <v>0</v>
      </c>
      <c r="L144" s="190">
        <v>60269</v>
      </c>
    </row>
    <row r="145" spans="1:12" ht="45.75" x14ac:dyDescent="0.25">
      <c r="A145" s="187" t="s">
        <v>46</v>
      </c>
      <c r="B145" s="188" t="s">
        <v>63</v>
      </c>
      <c r="C145" s="189" t="s">
        <v>64</v>
      </c>
      <c r="D145" s="187">
        <v>272</v>
      </c>
      <c r="E145" s="190">
        <v>39610</v>
      </c>
      <c r="F145" s="191">
        <v>2379</v>
      </c>
      <c r="G145" s="255" t="s">
        <v>153</v>
      </c>
      <c r="H145" s="190">
        <v>37231</v>
      </c>
      <c r="I145" s="192">
        <v>0</v>
      </c>
      <c r="J145" s="192">
        <v>0</v>
      </c>
      <c r="K145" s="192">
        <v>0</v>
      </c>
      <c r="L145" s="190">
        <v>37231</v>
      </c>
    </row>
    <row r="146" spans="1:12" ht="45.75" x14ac:dyDescent="0.25">
      <c r="A146" s="187" t="s">
        <v>46</v>
      </c>
      <c r="B146" s="188" t="s">
        <v>65</v>
      </c>
      <c r="C146" s="189" t="s">
        <v>66</v>
      </c>
      <c r="D146" s="187">
        <v>276</v>
      </c>
      <c r="E146" s="190">
        <v>8772</v>
      </c>
      <c r="F146" s="191">
        <v>2009</v>
      </c>
      <c r="G146" s="255" t="s">
        <v>153</v>
      </c>
      <c r="H146" s="190">
        <v>6763</v>
      </c>
      <c r="I146" s="192">
        <v>0</v>
      </c>
      <c r="J146" s="192">
        <v>0</v>
      </c>
      <c r="K146" s="192">
        <v>0</v>
      </c>
      <c r="L146" s="190">
        <v>6763</v>
      </c>
    </row>
    <row r="147" spans="1:12" ht="75.75" x14ac:dyDescent="0.25">
      <c r="A147" s="187" t="s">
        <v>46</v>
      </c>
      <c r="B147" s="188" t="s">
        <v>67</v>
      </c>
      <c r="C147" s="189" t="s">
        <v>68</v>
      </c>
      <c r="D147" s="187">
        <v>292</v>
      </c>
      <c r="E147" s="190">
        <v>84568</v>
      </c>
      <c r="F147" s="191">
        <v>18907</v>
      </c>
      <c r="G147" s="255" t="s">
        <v>153</v>
      </c>
      <c r="H147" s="190">
        <v>65661</v>
      </c>
      <c r="I147" s="192">
        <v>0</v>
      </c>
      <c r="J147" s="192">
        <v>0</v>
      </c>
      <c r="K147" s="192">
        <v>0</v>
      </c>
      <c r="L147" s="190">
        <v>65661</v>
      </c>
    </row>
    <row r="148" spans="1:12" ht="30.75" x14ac:dyDescent="0.25">
      <c r="A148" s="187" t="s">
        <v>46</v>
      </c>
      <c r="B148" s="188" t="s">
        <v>69</v>
      </c>
      <c r="C148" s="189" t="s">
        <v>70</v>
      </c>
      <c r="D148" s="187">
        <v>209</v>
      </c>
      <c r="E148" s="190">
        <v>46239</v>
      </c>
      <c r="F148" s="191">
        <v>1000</v>
      </c>
      <c r="G148" s="255" t="s">
        <v>153</v>
      </c>
      <c r="H148" s="190">
        <v>45239</v>
      </c>
      <c r="I148" s="192">
        <v>0</v>
      </c>
      <c r="J148" s="192">
        <v>0</v>
      </c>
      <c r="K148" s="192">
        <v>0</v>
      </c>
      <c r="L148" s="190">
        <v>45239</v>
      </c>
    </row>
    <row r="149" spans="1:12" ht="15.75" x14ac:dyDescent="0.25">
      <c r="A149" s="187" t="s">
        <v>46</v>
      </c>
      <c r="B149" s="188" t="s">
        <v>71</v>
      </c>
      <c r="C149" s="189" t="s">
        <v>72</v>
      </c>
      <c r="D149" s="187">
        <v>183</v>
      </c>
      <c r="E149" s="190">
        <v>8422</v>
      </c>
      <c r="F149" s="191">
        <v>1000</v>
      </c>
      <c r="G149" s="255" t="s">
        <v>153</v>
      </c>
      <c r="H149" s="190">
        <v>7422</v>
      </c>
      <c r="I149" s="192">
        <v>0</v>
      </c>
      <c r="J149" s="192">
        <v>0</v>
      </c>
      <c r="K149" s="192">
        <v>0</v>
      </c>
      <c r="L149" s="190">
        <v>7422</v>
      </c>
    </row>
    <row r="150" spans="1:12" ht="15.75" x14ac:dyDescent="0.25">
      <c r="A150" s="187" t="s">
        <v>46</v>
      </c>
      <c r="B150" s="188" t="s">
        <v>100</v>
      </c>
      <c r="C150" s="189" t="s">
        <v>101</v>
      </c>
      <c r="D150" s="187">
        <v>251</v>
      </c>
      <c r="E150" s="190">
        <v>4049</v>
      </c>
      <c r="F150" s="191">
        <v>2448</v>
      </c>
      <c r="G150" s="255" t="s">
        <v>153</v>
      </c>
      <c r="H150" s="190">
        <v>1601</v>
      </c>
      <c r="I150" s="192">
        <v>0</v>
      </c>
      <c r="J150" s="192">
        <v>0</v>
      </c>
      <c r="K150" s="192">
        <v>0</v>
      </c>
      <c r="L150" s="190">
        <v>1601</v>
      </c>
    </row>
    <row r="151" spans="1:12" ht="15.75" x14ac:dyDescent="0.25">
      <c r="A151" s="187" t="s">
        <v>46</v>
      </c>
      <c r="B151" s="188" t="s">
        <v>73</v>
      </c>
      <c r="C151" s="189" t="s">
        <v>52</v>
      </c>
      <c r="D151" s="187">
        <v>192</v>
      </c>
      <c r="E151" s="190">
        <v>13092</v>
      </c>
      <c r="F151" s="191">
        <v>1000</v>
      </c>
      <c r="G151" s="255" t="s">
        <v>153</v>
      </c>
      <c r="H151" s="190">
        <v>12092</v>
      </c>
      <c r="I151" s="192">
        <v>0</v>
      </c>
      <c r="J151" s="192">
        <v>0</v>
      </c>
      <c r="K151" s="192">
        <v>0</v>
      </c>
      <c r="L151" s="190">
        <v>12092</v>
      </c>
    </row>
    <row r="152" spans="1:12" ht="30.75" x14ac:dyDescent="0.25">
      <c r="A152" s="187" t="s">
        <v>46</v>
      </c>
      <c r="B152" s="188" t="s">
        <v>74</v>
      </c>
      <c r="C152" s="189" t="s">
        <v>75</v>
      </c>
      <c r="D152" s="187">
        <v>297</v>
      </c>
      <c r="E152" s="190">
        <v>6628149</v>
      </c>
      <c r="F152" s="191">
        <v>434927</v>
      </c>
      <c r="G152" s="255" t="s">
        <v>153</v>
      </c>
      <c r="H152" s="190">
        <v>6193222</v>
      </c>
      <c r="I152" s="192">
        <v>0</v>
      </c>
      <c r="J152" s="192">
        <v>0</v>
      </c>
      <c r="K152" s="192">
        <v>0</v>
      </c>
      <c r="L152" s="190">
        <v>6193222</v>
      </c>
    </row>
    <row r="153" spans="1:12" ht="15.75" x14ac:dyDescent="0.25">
      <c r="A153" s="187" t="s">
        <v>46</v>
      </c>
      <c r="B153" s="188" t="s">
        <v>76</v>
      </c>
      <c r="C153" s="189" t="s">
        <v>77</v>
      </c>
      <c r="D153" s="187">
        <v>166</v>
      </c>
      <c r="E153" s="190">
        <v>174115</v>
      </c>
      <c r="F153" s="191">
        <v>26866</v>
      </c>
      <c r="G153" s="255" t="s">
        <v>153</v>
      </c>
      <c r="H153" s="190">
        <v>147249</v>
      </c>
      <c r="I153" s="192">
        <v>0</v>
      </c>
      <c r="J153" s="192">
        <v>0</v>
      </c>
      <c r="K153" s="192">
        <v>0</v>
      </c>
      <c r="L153" s="190">
        <v>147249</v>
      </c>
    </row>
    <row r="154" spans="1:12" ht="15.75" x14ac:dyDescent="0.25">
      <c r="A154" s="187" t="s">
        <v>46</v>
      </c>
      <c r="B154" s="188" t="s">
        <v>78</v>
      </c>
      <c r="C154" s="189" t="s">
        <v>79</v>
      </c>
      <c r="D154" s="187">
        <v>32</v>
      </c>
      <c r="E154" s="190">
        <v>33423</v>
      </c>
      <c r="F154" s="191">
        <v>6448</v>
      </c>
      <c r="G154" s="255" t="s">
        <v>153</v>
      </c>
      <c r="H154" s="190">
        <v>26975</v>
      </c>
      <c r="I154" s="192">
        <v>0</v>
      </c>
      <c r="J154" s="192">
        <v>0</v>
      </c>
      <c r="K154" s="192">
        <v>0</v>
      </c>
      <c r="L154" s="190">
        <v>26975</v>
      </c>
    </row>
    <row r="155" spans="1:12" ht="30.75" x14ac:dyDescent="0.25">
      <c r="A155" s="187" t="s">
        <v>46</v>
      </c>
      <c r="B155" s="188" t="s">
        <v>80</v>
      </c>
      <c r="C155" s="189" t="s">
        <v>81</v>
      </c>
      <c r="D155" s="187">
        <v>368</v>
      </c>
      <c r="E155" s="190">
        <v>27847</v>
      </c>
      <c r="F155" s="191">
        <v>9502</v>
      </c>
      <c r="G155" s="255" t="s">
        <v>153</v>
      </c>
      <c r="H155" s="190">
        <v>18345</v>
      </c>
      <c r="I155" s="192">
        <v>0</v>
      </c>
      <c r="J155" s="192">
        <v>0</v>
      </c>
      <c r="K155" s="192">
        <v>0</v>
      </c>
      <c r="L155" s="190">
        <v>18345</v>
      </c>
    </row>
    <row r="156" spans="1:12" ht="15.75" x14ac:dyDescent="0.25">
      <c r="A156" s="187" t="s">
        <v>46</v>
      </c>
      <c r="B156" s="188" t="s">
        <v>82</v>
      </c>
      <c r="C156" s="189" t="s">
        <v>83</v>
      </c>
      <c r="D156" s="187">
        <v>357</v>
      </c>
      <c r="E156" s="190">
        <v>16167</v>
      </c>
      <c r="F156" s="191">
        <v>7325</v>
      </c>
      <c r="G156" s="255" t="s">
        <v>153</v>
      </c>
      <c r="H156" s="190">
        <v>8842</v>
      </c>
      <c r="I156" s="192">
        <v>0</v>
      </c>
      <c r="J156" s="192">
        <v>0</v>
      </c>
      <c r="K156" s="192">
        <v>0</v>
      </c>
      <c r="L156" s="190">
        <v>8842</v>
      </c>
    </row>
    <row r="157" spans="1:12" ht="15.75" x14ac:dyDescent="0.25">
      <c r="A157" s="187" t="s">
        <v>46</v>
      </c>
      <c r="B157" s="188" t="s">
        <v>84</v>
      </c>
      <c r="C157" s="189" t="s">
        <v>85</v>
      </c>
      <c r="D157" s="187">
        <v>153</v>
      </c>
      <c r="E157" s="190">
        <v>13759</v>
      </c>
      <c r="F157" s="191">
        <v>1000</v>
      </c>
      <c r="G157" s="255" t="s">
        <v>153</v>
      </c>
      <c r="H157" s="190">
        <v>12759</v>
      </c>
      <c r="I157" s="192">
        <v>0</v>
      </c>
      <c r="J157" s="192">
        <v>0</v>
      </c>
      <c r="K157" s="192">
        <v>0</v>
      </c>
      <c r="L157" s="190">
        <v>12759</v>
      </c>
    </row>
    <row r="158" spans="1:12" ht="15.75" x14ac:dyDescent="0.25">
      <c r="A158" s="187" t="s">
        <v>46</v>
      </c>
      <c r="B158" s="188" t="s">
        <v>102</v>
      </c>
      <c r="C158" s="189" t="s">
        <v>103</v>
      </c>
      <c r="D158" s="187">
        <v>155</v>
      </c>
      <c r="E158" s="190">
        <v>3353</v>
      </c>
      <c r="F158" s="191">
        <v>1000</v>
      </c>
      <c r="G158" s="255" t="s">
        <v>153</v>
      </c>
      <c r="H158" s="190">
        <v>2353</v>
      </c>
      <c r="I158" s="192">
        <v>0</v>
      </c>
      <c r="J158" s="192">
        <v>0</v>
      </c>
      <c r="K158" s="192">
        <v>0</v>
      </c>
      <c r="L158" s="190">
        <v>2353</v>
      </c>
    </row>
    <row r="159" spans="1:12" ht="15.75" x14ac:dyDescent="0.25">
      <c r="A159" s="187" t="s">
        <v>46</v>
      </c>
      <c r="B159" s="188" t="s">
        <v>86</v>
      </c>
      <c r="C159" s="189" t="s">
        <v>75</v>
      </c>
      <c r="D159" s="187">
        <v>48</v>
      </c>
      <c r="E159" s="190">
        <v>231284</v>
      </c>
      <c r="F159" s="191">
        <v>38472</v>
      </c>
      <c r="G159" s="255" t="s">
        <v>153</v>
      </c>
      <c r="H159" s="190">
        <v>192812</v>
      </c>
      <c r="I159" s="192">
        <v>0</v>
      </c>
      <c r="J159" s="192">
        <v>0</v>
      </c>
      <c r="K159" s="192">
        <v>0</v>
      </c>
      <c r="L159" s="190">
        <v>192812</v>
      </c>
    </row>
    <row r="160" spans="1:12" ht="15.75" x14ac:dyDescent="0.25">
      <c r="A160" s="187" t="s">
        <v>46</v>
      </c>
      <c r="B160" s="188" t="s">
        <v>87</v>
      </c>
      <c r="C160" s="189" t="s">
        <v>88</v>
      </c>
      <c r="D160" s="187">
        <v>350</v>
      </c>
      <c r="E160" s="190">
        <v>1371</v>
      </c>
      <c r="F160" s="191">
        <v>1000</v>
      </c>
      <c r="G160" s="255" t="s">
        <v>153</v>
      </c>
      <c r="H160" s="190">
        <v>371</v>
      </c>
      <c r="I160" s="192">
        <v>0</v>
      </c>
      <c r="J160" s="192">
        <v>0</v>
      </c>
      <c r="K160" s="192">
        <v>0</v>
      </c>
      <c r="L160" s="190">
        <v>371</v>
      </c>
    </row>
    <row r="161" spans="1:12" ht="15.75" customHeight="1" x14ac:dyDescent="0.25">
      <c r="A161" s="187" t="s">
        <v>46</v>
      </c>
      <c r="B161" s="188" t="s">
        <v>104</v>
      </c>
      <c r="C161" s="189" t="s">
        <v>105</v>
      </c>
      <c r="D161" s="187">
        <v>173</v>
      </c>
      <c r="E161" s="190">
        <v>28430</v>
      </c>
      <c r="F161" s="191">
        <v>6232</v>
      </c>
      <c r="G161" s="255" t="s">
        <v>153</v>
      </c>
      <c r="H161" s="190">
        <v>22198</v>
      </c>
      <c r="I161" s="192">
        <v>0</v>
      </c>
      <c r="J161" s="192">
        <v>0</v>
      </c>
      <c r="K161" s="192">
        <v>0</v>
      </c>
      <c r="L161" s="190">
        <v>22198</v>
      </c>
    </row>
    <row r="162" spans="1:12" ht="30.75" x14ac:dyDescent="0.25">
      <c r="A162" s="187" t="s">
        <v>46</v>
      </c>
      <c r="B162" s="188" t="s">
        <v>405</v>
      </c>
      <c r="C162" s="189" t="s">
        <v>406</v>
      </c>
      <c r="D162" s="187">
        <v>261</v>
      </c>
      <c r="E162" s="190">
        <v>3728</v>
      </c>
      <c r="F162" s="191">
        <v>2385</v>
      </c>
      <c r="G162" s="255" t="s">
        <v>153</v>
      </c>
      <c r="H162" s="190">
        <v>1343</v>
      </c>
      <c r="I162" s="192">
        <v>0</v>
      </c>
      <c r="J162" s="192">
        <v>0</v>
      </c>
      <c r="K162" s="192">
        <v>0</v>
      </c>
      <c r="L162" s="190">
        <v>1343</v>
      </c>
    </row>
    <row r="163" spans="1:12" ht="15.75" x14ac:dyDescent="0.25">
      <c r="A163" s="187" t="s">
        <v>46</v>
      </c>
      <c r="B163" s="188" t="s">
        <v>106</v>
      </c>
      <c r="C163" s="189" t="s">
        <v>92</v>
      </c>
      <c r="D163" s="187">
        <v>244</v>
      </c>
      <c r="E163" s="190">
        <v>21352</v>
      </c>
      <c r="F163" s="191">
        <v>2021</v>
      </c>
      <c r="G163" s="255" t="s">
        <v>153</v>
      </c>
      <c r="H163" s="190">
        <v>19331</v>
      </c>
      <c r="I163" s="192">
        <v>0</v>
      </c>
      <c r="J163" s="192">
        <v>0</v>
      </c>
      <c r="K163" s="192">
        <v>0</v>
      </c>
      <c r="L163" s="190">
        <v>19331</v>
      </c>
    </row>
    <row r="164" spans="1:12" ht="15" customHeight="1" x14ac:dyDescent="0.25">
      <c r="A164" s="187" t="s">
        <v>46</v>
      </c>
      <c r="B164" s="188" t="s">
        <v>89</v>
      </c>
      <c r="C164" s="189" t="s">
        <v>90</v>
      </c>
      <c r="D164" s="187">
        <v>171</v>
      </c>
      <c r="E164" s="190">
        <v>32325</v>
      </c>
      <c r="F164" s="191">
        <v>7778</v>
      </c>
      <c r="G164" s="255" t="s">
        <v>153</v>
      </c>
      <c r="H164" s="190">
        <v>24547</v>
      </c>
      <c r="I164" s="192">
        <v>0</v>
      </c>
      <c r="J164" s="192">
        <v>0</v>
      </c>
      <c r="K164" s="192">
        <v>0</v>
      </c>
      <c r="L164" s="190">
        <v>24547</v>
      </c>
    </row>
    <row r="165" spans="1:12" ht="45.75" x14ac:dyDescent="0.25">
      <c r="A165" s="187" t="s">
        <v>46</v>
      </c>
      <c r="B165" s="188" t="s">
        <v>91</v>
      </c>
      <c r="C165" s="189" t="s">
        <v>92</v>
      </c>
      <c r="D165" s="187">
        <v>258</v>
      </c>
      <c r="E165" s="190">
        <v>67141</v>
      </c>
      <c r="F165" s="191">
        <v>7407</v>
      </c>
      <c r="G165" s="255" t="s">
        <v>153</v>
      </c>
      <c r="H165" s="190">
        <v>59734</v>
      </c>
      <c r="I165" s="192">
        <v>0</v>
      </c>
      <c r="J165" s="192">
        <v>0</v>
      </c>
      <c r="K165" s="192">
        <v>0</v>
      </c>
      <c r="L165" s="190">
        <v>59734</v>
      </c>
    </row>
    <row r="166" spans="1:12" ht="15.75" x14ac:dyDescent="0.25">
      <c r="A166" s="187" t="s">
        <v>46</v>
      </c>
      <c r="B166" s="188" t="s">
        <v>93</v>
      </c>
      <c r="C166" s="189" t="s">
        <v>75</v>
      </c>
      <c r="D166" s="187">
        <v>260</v>
      </c>
      <c r="E166" s="190">
        <v>256675</v>
      </c>
      <c r="F166" s="191">
        <v>39867</v>
      </c>
      <c r="G166" s="255" t="s">
        <v>153</v>
      </c>
      <c r="H166" s="190">
        <v>216808</v>
      </c>
      <c r="I166" s="192">
        <v>0</v>
      </c>
      <c r="J166" s="192">
        <v>0</v>
      </c>
      <c r="K166" s="192">
        <v>0</v>
      </c>
      <c r="L166" s="190">
        <v>216808</v>
      </c>
    </row>
    <row r="167" spans="1:12" ht="30.75" x14ac:dyDescent="0.25">
      <c r="A167" s="187" t="s">
        <v>46</v>
      </c>
      <c r="B167" s="188" t="s">
        <v>94</v>
      </c>
      <c r="C167" s="189" t="s">
        <v>95</v>
      </c>
      <c r="D167" s="187">
        <v>367</v>
      </c>
      <c r="E167" s="190">
        <v>10538915</v>
      </c>
      <c r="F167" s="191">
        <v>7537292</v>
      </c>
      <c r="G167" s="255" t="s">
        <v>153</v>
      </c>
      <c r="H167" s="190">
        <v>3001623</v>
      </c>
      <c r="I167" s="192">
        <v>0</v>
      </c>
      <c r="J167" s="192">
        <v>0</v>
      </c>
      <c r="K167" s="192">
        <v>0</v>
      </c>
      <c r="L167" s="190">
        <v>3001623</v>
      </c>
    </row>
    <row r="168" spans="1:12" ht="15.75" x14ac:dyDescent="0.25">
      <c r="A168" s="187" t="s">
        <v>46</v>
      </c>
      <c r="B168" s="188" t="s">
        <v>96</v>
      </c>
      <c r="C168" s="189" t="s">
        <v>97</v>
      </c>
      <c r="D168" s="187">
        <v>351</v>
      </c>
      <c r="E168" s="190">
        <v>18910</v>
      </c>
      <c r="F168" s="191">
        <v>8205</v>
      </c>
      <c r="G168" s="255" t="s">
        <v>153</v>
      </c>
      <c r="H168" s="190">
        <v>10705</v>
      </c>
      <c r="I168" s="192">
        <v>0</v>
      </c>
      <c r="J168" s="192">
        <v>0</v>
      </c>
      <c r="K168" s="192">
        <v>0</v>
      </c>
      <c r="L168" s="190">
        <v>10705</v>
      </c>
    </row>
    <row r="169" spans="1:12" ht="15.75" x14ac:dyDescent="0.25">
      <c r="A169" s="206" t="s">
        <v>287</v>
      </c>
      <c r="B169" s="258" t="s">
        <v>153</v>
      </c>
      <c r="C169" s="258" t="s">
        <v>153</v>
      </c>
      <c r="D169" s="258" t="s">
        <v>153</v>
      </c>
      <c r="E169" s="207">
        <f>SUBTOTAL(109,school201516[Program
Costs])</f>
        <v>41365764</v>
      </c>
      <c r="F169" s="216">
        <f>SUBTOTAL(109,school201516[Less: Net
 Payments and 
Offsets 2])</f>
        <v>27991123</v>
      </c>
      <c r="G169" s="256" t="s">
        <v>153</v>
      </c>
      <c r="H169" s="207">
        <f>SUBTOTAL(109,school201516[Accounts Payable
Balance])</f>
        <v>13374641</v>
      </c>
      <c r="I169" s="207">
        <f>SUBTOTAL(109,school201516[Established
Accounts Receivable])</f>
        <v>1000</v>
      </c>
      <c r="J169" s="209">
        <f>SUBTOTAL(109,school201516[Less: 
Recovered 
Amount])</f>
        <v>0</v>
      </c>
      <c r="K169" s="207">
        <f>SUBTOTAL(109,school201516[Accounts Receivable
Balance])</f>
        <v>1000</v>
      </c>
      <c r="L169" s="207">
        <f>SUBTOTAL(109,school201516[Net
Balance])</f>
        <v>13373641</v>
      </c>
    </row>
    <row r="170" spans="1:12" ht="15.75" x14ac:dyDescent="0.25">
      <c r="A170" s="146" t="s">
        <v>181</v>
      </c>
      <c r="B170" s="188"/>
      <c r="C170" s="189"/>
      <c r="D170" s="187"/>
      <c r="E170" s="199"/>
      <c r="F170" s="215"/>
      <c r="G170" s="198"/>
      <c r="H170" s="199"/>
      <c r="I170" s="200"/>
      <c r="J170" s="200"/>
      <c r="K170" s="199"/>
      <c r="L170" s="199"/>
    </row>
    <row r="171" spans="1:12" ht="50.1" customHeight="1" x14ac:dyDescent="0.25">
      <c r="A171" s="211" t="s">
        <v>221</v>
      </c>
      <c r="B171" s="211" t="s">
        <v>268</v>
      </c>
      <c r="C171" s="21" t="s">
        <v>2</v>
      </c>
      <c r="D171" s="211" t="s">
        <v>280</v>
      </c>
      <c r="E171" s="212" t="s">
        <v>223</v>
      </c>
      <c r="F171" s="213" t="s">
        <v>509</v>
      </c>
      <c r="G171" s="252" t="s">
        <v>176</v>
      </c>
      <c r="H171" s="214" t="s">
        <v>270</v>
      </c>
      <c r="I171" s="151" t="s">
        <v>271</v>
      </c>
      <c r="J171" s="212" t="s">
        <v>282</v>
      </c>
      <c r="K171" s="214" t="s">
        <v>272</v>
      </c>
      <c r="L171" s="212" t="s">
        <v>273</v>
      </c>
    </row>
    <row r="172" spans="1:12" ht="15.75" x14ac:dyDescent="0.25">
      <c r="A172" s="187" t="s">
        <v>47</v>
      </c>
      <c r="B172" s="188" t="s">
        <v>407</v>
      </c>
      <c r="C172" s="210" t="s">
        <v>408</v>
      </c>
      <c r="D172" s="187">
        <v>305</v>
      </c>
      <c r="E172" s="190">
        <v>1182</v>
      </c>
      <c r="F172" s="191">
        <v>1000</v>
      </c>
      <c r="G172" s="255" t="s">
        <v>153</v>
      </c>
      <c r="H172" s="190">
        <v>182</v>
      </c>
      <c r="I172" s="192">
        <v>0</v>
      </c>
      <c r="J172" s="192">
        <v>0</v>
      </c>
      <c r="K172" s="192">
        <v>0</v>
      </c>
      <c r="L172" s="190">
        <v>182</v>
      </c>
    </row>
    <row r="173" spans="1:12" ht="30.75" x14ac:dyDescent="0.25">
      <c r="A173" s="187" t="s">
        <v>47</v>
      </c>
      <c r="B173" s="188" t="s">
        <v>53</v>
      </c>
      <c r="C173" s="189" t="s">
        <v>54</v>
      </c>
      <c r="D173" s="187">
        <v>250</v>
      </c>
      <c r="E173" s="190">
        <v>70758</v>
      </c>
      <c r="F173" s="191">
        <v>4554</v>
      </c>
      <c r="G173" s="255" t="s">
        <v>153</v>
      </c>
      <c r="H173" s="190">
        <v>66204</v>
      </c>
      <c r="I173" s="192">
        <v>0</v>
      </c>
      <c r="J173" s="192">
        <v>0</v>
      </c>
      <c r="K173" s="192">
        <v>0</v>
      </c>
      <c r="L173" s="190">
        <v>66204</v>
      </c>
    </row>
    <row r="174" spans="1:12" ht="15" customHeight="1" x14ac:dyDescent="0.25">
      <c r="A174" s="187" t="s">
        <v>47</v>
      </c>
      <c r="B174" s="188" t="s">
        <v>55</v>
      </c>
      <c r="C174" s="189" t="s">
        <v>56</v>
      </c>
      <c r="D174" s="187">
        <v>369</v>
      </c>
      <c r="E174" s="190">
        <v>46734836</v>
      </c>
      <c r="F174" s="191">
        <v>43690705</v>
      </c>
      <c r="G174" s="255" t="s">
        <v>153</v>
      </c>
      <c r="H174" s="190">
        <v>3044131</v>
      </c>
      <c r="I174" s="190">
        <v>416801</v>
      </c>
      <c r="J174" s="190">
        <v>416801</v>
      </c>
      <c r="K174" s="192">
        <v>0</v>
      </c>
      <c r="L174" s="190">
        <v>3044131</v>
      </c>
    </row>
    <row r="175" spans="1:12" ht="30.75" x14ac:dyDescent="0.25">
      <c r="A175" s="187" t="s">
        <v>47</v>
      </c>
      <c r="B175" s="188" t="s">
        <v>57</v>
      </c>
      <c r="C175" s="189" t="s">
        <v>58</v>
      </c>
      <c r="D175" s="187">
        <v>172</v>
      </c>
      <c r="E175" s="190">
        <v>51776</v>
      </c>
      <c r="F175" s="191">
        <v>21615</v>
      </c>
      <c r="G175" s="255" t="s">
        <v>153</v>
      </c>
      <c r="H175" s="190">
        <v>30161</v>
      </c>
      <c r="I175" s="192">
        <v>0</v>
      </c>
      <c r="J175" s="192">
        <v>0</v>
      </c>
      <c r="K175" s="192">
        <v>0</v>
      </c>
      <c r="L175" s="190">
        <v>30161</v>
      </c>
    </row>
    <row r="176" spans="1:12" ht="15.75" x14ac:dyDescent="0.25">
      <c r="A176" s="187" t="s">
        <v>47</v>
      </c>
      <c r="B176" s="188" t="s">
        <v>403</v>
      </c>
      <c r="C176" s="189" t="s">
        <v>404</v>
      </c>
      <c r="D176" s="187">
        <v>278</v>
      </c>
      <c r="E176" s="190">
        <v>80581</v>
      </c>
      <c r="F176" s="191">
        <v>1000</v>
      </c>
      <c r="G176" s="255" t="s">
        <v>153</v>
      </c>
      <c r="H176" s="190">
        <v>79581</v>
      </c>
      <c r="I176" s="192">
        <v>0</v>
      </c>
      <c r="J176" s="192">
        <v>0</v>
      </c>
      <c r="K176" s="192">
        <v>0</v>
      </c>
      <c r="L176" s="190">
        <v>79581</v>
      </c>
    </row>
    <row r="177" spans="1:12" ht="15.75" x14ac:dyDescent="0.25">
      <c r="A177" s="187" t="s">
        <v>47</v>
      </c>
      <c r="B177" s="188" t="s">
        <v>409</v>
      </c>
      <c r="C177" s="189" t="s">
        <v>410</v>
      </c>
      <c r="D177" s="187">
        <v>309</v>
      </c>
      <c r="E177" s="190">
        <v>1367</v>
      </c>
      <c r="F177" s="191">
        <v>1000</v>
      </c>
      <c r="G177" s="255" t="s">
        <v>153</v>
      </c>
      <c r="H177" s="190">
        <v>367</v>
      </c>
      <c r="I177" s="192">
        <v>0</v>
      </c>
      <c r="J177" s="192">
        <v>0</v>
      </c>
      <c r="K177" s="192">
        <v>0</v>
      </c>
      <c r="L177" s="190">
        <v>367</v>
      </c>
    </row>
    <row r="178" spans="1:12" ht="30.75" customHeight="1" x14ac:dyDescent="0.25">
      <c r="A178" s="187" t="s">
        <v>47</v>
      </c>
      <c r="B178" s="188" t="s">
        <v>50</v>
      </c>
      <c r="C178" s="189" t="s">
        <v>51</v>
      </c>
      <c r="D178" s="187">
        <v>11</v>
      </c>
      <c r="E178" s="190">
        <v>1012760</v>
      </c>
      <c r="F178" s="191">
        <v>356650</v>
      </c>
      <c r="G178" s="255" t="s">
        <v>153</v>
      </c>
      <c r="H178" s="190">
        <v>656110</v>
      </c>
      <c r="I178" s="192">
        <v>0</v>
      </c>
      <c r="J178" s="192">
        <v>0</v>
      </c>
      <c r="K178" s="192">
        <v>0</v>
      </c>
      <c r="L178" s="190">
        <v>656110</v>
      </c>
    </row>
    <row r="179" spans="1:12" ht="30.75" x14ac:dyDescent="0.25">
      <c r="A179" s="187" t="s">
        <v>47</v>
      </c>
      <c r="B179" s="188" t="s">
        <v>59</v>
      </c>
      <c r="C179" s="189" t="s">
        <v>60</v>
      </c>
      <c r="D179" s="187">
        <v>313</v>
      </c>
      <c r="E179" s="190">
        <v>192966</v>
      </c>
      <c r="F179" s="191">
        <v>38911</v>
      </c>
      <c r="G179" s="255" t="s">
        <v>153</v>
      </c>
      <c r="H179" s="190">
        <v>154055</v>
      </c>
      <c r="I179" s="192">
        <v>0</v>
      </c>
      <c r="J179" s="192">
        <v>0</v>
      </c>
      <c r="K179" s="192">
        <v>0</v>
      </c>
      <c r="L179" s="190">
        <v>154055</v>
      </c>
    </row>
    <row r="180" spans="1:12" ht="30.75" x14ac:dyDescent="0.25">
      <c r="A180" s="187" t="s">
        <v>47</v>
      </c>
      <c r="B180" s="188" t="s">
        <v>61</v>
      </c>
      <c r="C180" s="189" t="s">
        <v>62</v>
      </c>
      <c r="D180" s="187">
        <v>330</v>
      </c>
      <c r="E180" s="190">
        <v>163009</v>
      </c>
      <c r="F180" s="191">
        <v>36297</v>
      </c>
      <c r="G180" s="255" t="s">
        <v>153</v>
      </c>
      <c r="H180" s="190">
        <v>126712</v>
      </c>
      <c r="I180" s="192">
        <v>0</v>
      </c>
      <c r="J180" s="192">
        <v>0</v>
      </c>
      <c r="K180" s="192">
        <v>0</v>
      </c>
      <c r="L180" s="190">
        <v>126712</v>
      </c>
    </row>
    <row r="181" spans="1:12" ht="45.75" x14ac:dyDescent="0.25">
      <c r="A181" s="187" t="s">
        <v>47</v>
      </c>
      <c r="B181" s="188" t="s">
        <v>63</v>
      </c>
      <c r="C181" s="189" t="s">
        <v>64</v>
      </c>
      <c r="D181" s="187">
        <v>272</v>
      </c>
      <c r="E181" s="190">
        <v>219338</v>
      </c>
      <c r="F181" s="191">
        <v>34030</v>
      </c>
      <c r="G181" s="255" t="s">
        <v>153</v>
      </c>
      <c r="H181" s="190">
        <v>185308</v>
      </c>
      <c r="I181" s="192">
        <v>0</v>
      </c>
      <c r="J181" s="192">
        <v>0</v>
      </c>
      <c r="K181" s="192">
        <v>0</v>
      </c>
      <c r="L181" s="190">
        <v>185308</v>
      </c>
    </row>
    <row r="182" spans="1:12" ht="45.75" x14ac:dyDescent="0.25">
      <c r="A182" s="187" t="s">
        <v>47</v>
      </c>
      <c r="B182" s="188" t="s">
        <v>65</v>
      </c>
      <c r="C182" s="189" t="s">
        <v>66</v>
      </c>
      <c r="D182" s="187">
        <v>276</v>
      </c>
      <c r="E182" s="190">
        <v>84258</v>
      </c>
      <c r="F182" s="191">
        <v>2880</v>
      </c>
      <c r="G182" s="255" t="s">
        <v>153</v>
      </c>
      <c r="H182" s="190">
        <v>81378</v>
      </c>
      <c r="I182" s="192">
        <v>0</v>
      </c>
      <c r="J182" s="192">
        <v>0</v>
      </c>
      <c r="K182" s="192">
        <v>0</v>
      </c>
      <c r="L182" s="190">
        <v>81378</v>
      </c>
    </row>
    <row r="183" spans="1:12" ht="75.75" x14ac:dyDescent="0.25">
      <c r="A183" s="187" t="s">
        <v>47</v>
      </c>
      <c r="B183" s="188" t="s">
        <v>67</v>
      </c>
      <c r="C183" s="189" t="s">
        <v>68</v>
      </c>
      <c r="D183" s="187">
        <v>292</v>
      </c>
      <c r="E183" s="190">
        <v>571714</v>
      </c>
      <c r="F183" s="191">
        <v>49899</v>
      </c>
      <c r="G183" s="255" t="s">
        <v>153</v>
      </c>
      <c r="H183" s="190">
        <v>521815</v>
      </c>
      <c r="I183" s="192">
        <v>0</v>
      </c>
      <c r="J183" s="192">
        <v>0</v>
      </c>
      <c r="K183" s="192">
        <v>0</v>
      </c>
      <c r="L183" s="190">
        <v>521815</v>
      </c>
    </row>
    <row r="184" spans="1:12" ht="30.75" x14ac:dyDescent="0.25">
      <c r="A184" s="187" t="s">
        <v>47</v>
      </c>
      <c r="B184" s="188" t="s">
        <v>69</v>
      </c>
      <c r="C184" s="189" t="s">
        <v>70</v>
      </c>
      <c r="D184" s="187">
        <v>209</v>
      </c>
      <c r="E184" s="190">
        <v>93729</v>
      </c>
      <c r="F184" s="191">
        <v>1000</v>
      </c>
      <c r="G184" s="255" t="s">
        <v>153</v>
      </c>
      <c r="H184" s="190">
        <v>92729</v>
      </c>
      <c r="I184" s="192">
        <v>0</v>
      </c>
      <c r="J184" s="192">
        <v>0</v>
      </c>
      <c r="K184" s="192">
        <v>0</v>
      </c>
      <c r="L184" s="190">
        <v>92729</v>
      </c>
    </row>
    <row r="185" spans="1:12" ht="15.75" x14ac:dyDescent="0.25">
      <c r="A185" s="187" t="s">
        <v>47</v>
      </c>
      <c r="B185" s="188" t="s">
        <v>71</v>
      </c>
      <c r="C185" s="189" t="s">
        <v>72</v>
      </c>
      <c r="D185" s="187">
        <v>183</v>
      </c>
      <c r="E185" s="190">
        <v>53366</v>
      </c>
      <c r="F185" s="191">
        <v>15888</v>
      </c>
      <c r="G185" s="255" t="s">
        <v>153</v>
      </c>
      <c r="H185" s="190">
        <v>37478</v>
      </c>
      <c r="I185" s="192">
        <v>0</v>
      </c>
      <c r="J185" s="192">
        <v>0</v>
      </c>
      <c r="K185" s="192">
        <v>0</v>
      </c>
      <c r="L185" s="190">
        <v>37478</v>
      </c>
    </row>
    <row r="186" spans="1:12" ht="15.75" x14ac:dyDescent="0.25">
      <c r="A186" s="187" t="s">
        <v>47</v>
      </c>
      <c r="B186" s="188" t="s">
        <v>100</v>
      </c>
      <c r="C186" s="189" t="s">
        <v>101</v>
      </c>
      <c r="D186" s="187">
        <v>251</v>
      </c>
      <c r="E186" s="190">
        <v>12287</v>
      </c>
      <c r="F186" s="191">
        <v>5287</v>
      </c>
      <c r="G186" s="255" t="s">
        <v>153</v>
      </c>
      <c r="H186" s="190">
        <v>7000</v>
      </c>
      <c r="I186" s="192">
        <v>0</v>
      </c>
      <c r="J186" s="192">
        <v>0</v>
      </c>
      <c r="K186" s="192">
        <v>0</v>
      </c>
      <c r="L186" s="190">
        <v>7000</v>
      </c>
    </row>
    <row r="187" spans="1:12" ht="30.75" x14ac:dyDescent="0.25">
      <c r="A187" s="187" t="s">
        <v>47</v>
      </c>
      <c r="B187" s="188" t="s">
        <v>411</v>
      </c>
      <c r="C187" s="189" t="s">
        <v>62</v>
      </c>
      <c r="D187" s="187">
        <v>91</v>
      </c>
      <c r="E187" s="190">
        <v>2373</v>
      </c>
      <c r="F187" s="191">
        <v>1321</v>
      </c>
      <c r="G187" s="255" t="s">
        <v>153</v>
      </c>
      <c r="H187" s="190">
        <v>1052</v>
      </c>
      <c r="I187" s="192">
        <v>0</v>
      </c>
      <c r="J187" s="192">
        <v>0</v>
      </c>
      <c r="K187" s="192">
        <v>0</v>
      </c>
      <c r="L187" s="190">
        <v>1052</v>
      </c>
    </row>
    <row r="188" spans="1:12" ht="15.75" x14ac:dyDescent="0.25">
      <c r="A188" s="187" t="s">
        <v>47</v>
      </c>
      <c r="B188" s="188" t="s">
        <v>73</v>
      </c>
      <c r="C188" s="189" t="s">
        <v>52</v>
      </c>
      <c r="D188" s="187">
        <v>192</v>
      </c>
      <c r="E188" s="190">
        <v>30144</v>
      </c>
      <c r="F188" s="191">
        <v>9017</v>
      </c>
      <c r="G188" s="255" t="s">
        <v>153</v>
      </c>
      <c r="H188" s="190">
        <v>21127</v>
      </c>
      <c r="I188" s="192">
        <v>0</v>
      </c>
      <c r="J188" s="192">
        <v>0</v>
      </c>
      <c r="K188" s="192">
        <v>0</v>
      </c>
      <c r="L188" s="190">
        <v>21127</v>
      </c>
    </row>
    <row r="189" spans="1:12" ht="30.75" x14ac:dyDescent="0.25">
      <c r="A189" s="187" t="s">
        <v>47</v>
      </c>
      <c r="B189" s="188" t="s">
        <v>74</v>
      </c>
      <c r="C189" s="189" t="s">
        <v>75</v>
      </c>
      <c r="D189" s="187">
        <v>297</v>
      </c>
      <c r="E189" s="190">
        <v>16676742</v>
      </c>
      <c r="F189" s="191">
        <v>3216044</v>
      </c>
      <c r="G189" s="255" t="s">
        <v>153</v>
      </c>
      <c r="H189" s="190">
        <v>13460698</v>
      </c>
      <c r="I189" s="192">
        <v>0</v>
      </c>
      <c r="J189" s="192">
        <v>0</v>
      </c>
      <c r="K189" s="192">
        <v>0</v>
      </c>
      <c r="L189" s="190">
        <v>13460698</v>
      </c>
    </row>
    <row r="190" spans="1:12" ht="15.75" x14ac:dyDescent="0.25">
      <c r="A190" s="187" t="s">
        <v>47</v>
      </c>
      <c r="B190" s="188" t="s">
        <v>76</v>
      </c>
      <c r="C190" s="189" t="s">
        <v>77</v>
      </c>
      <c r="D190" s="187">
        <v>166</v>
      </c>
      <c r="E190" s="190">
        <v>1058395</v>
      </c>
      <c r="F190" s="191">
        <v>447482</v>
      </c>
      <c r="G190" s="255" t="s">
        <v>153</v>
      </c>
      <c r="H190" s="190">
        <v>610913</v>
      </c>
      <c r="I190" s="192">
        <v>0</v>
      </c>
      <c r="J190" s="192">
        <v>0</v>
      </c>
      <c r="K190" s="192">
        <v>0</v>
      </c>
      <c r="L190" s="190">
        <v>610913</v>
      </c>
    </row>
    <row r="191" spans="1:12" ht="15.75" x14ac:dyDescent="0.25">
      <c r="A191" s="187" t="s">
        <v>47</v>
      </c>
      <c r="B191" s="188" t="s">
        <v>412</v>
      </c>
      <c r="C191" s="189" t="s">
        <v>413</v>
      </c>
      <c r="D191" s="187">
        <v>268</v>
      </c>
      <c r="E191" s="190">
        <v>621912</v>
      </c>
      <c r="F191" s="191">
        <v>14822</v>
      </c>
      <c r="G191" s="255" t="s">
        <v>153</v>
      </c>
      <c r="H191" s="190">
        <v>607090</v>
      </c>
      <c r="I191" s="192">
        <v>0</v>
      </c>
      <c r="J191" s="192">
        <v>0</v>
      </c>
      <c r="K191" s="192">
        <v>0</v>
      </c>
      <c r="L191" s="190">
        <v>607090</v>
      </c>
    </row>
    <row r="192" spans="1:12" ht="15.75" x14ac:dyDescent="0.25">
      <c r="A192" s="187" t="s">
        <v>47</v>
      </c>
      <c r="B192" s="188" t="s">
        <v>78</v>
      </c>
      <c r="C192" s="189" t="s">
        <v>79</v>
      </c>
      <c r="D192" s="187">
        <v>32</v>
      </c>
      <c r="E192" s="190">
        <v>227731</v>
      </c>
      <c r="F192" s="191">
        <v>87827</v>
      </c>
      <c r="G192" s="255" t="s">
        <v>153</v>
      </c>
      <c r="H192" s="190">
        <v>139904</v>
      </c>
      <c r="I192" s="192">
        <v>0</v>
      </c>
      <c r="J192" s="192">
        <v>0</v>
      </c>
      <c r="K192" s="192">
        <v>0</v>
      </c>
      <c r="L192" s="190">
        <v>139904</v>
      </c>
    </row>
    <row r="193" spans="1:12" ht="30.75" x14ac:dyDescent="0.25">
      <c r="A193" s="187" t="s">
        <v>47</v>
      </c>
      <c r="B193" s="188" t="s">
        <v>80</v>
      </c>
      <c r="C193" s="189" t="s">
        <v>81</v>
      </c>
      <c r="D193" s="187">
        <v>368</v>
      </c>
      <c r="E193" s="190">
        <v>203466</v>
      </c>
      <c r="F193" s="191">
        <v>95748</v>
      </c>
      <c r="G193" s="255" t="s">
        <v>153</v>
      </c>
      <c r="H193" s="190">
        <v>107718</v>
      </c>
      <c r="I193" s="192">
        <v>0</v>
      </c>
      <c r="J193" s="192">
        <v>0</v>
      </c>
      <c r="K193" s="192">
        <v>0</v>
      </c>
      <c r="L193" s="190">
        <v>107718</v>
      </c>
    </row>
    <row r="194" spans="1:12" ht="15.75" x14ac:dyDescent="0.25">
      <c r="A194" s="187" t="s">
        <v>47</v>
      </c>
      <c r="B194" s="188" t="s">
        <v>82</v>
      </c>
      <c r="C194" s="189" t="s">
        <v>83</v>
      </c>
      <c r="D194" s="187">
        <v>357</v>
      </c>
      <c r="E194" s="190">
        <v>2663014</v>
      </c>
      <c r="F194" s="191">
        <v>2175080</v>
      </c>
      <c r="G194" s="255" t="s">
        <v>153</v>
      </c>
      <c r="H194" s="190">
        <v>487934</v>
      </c>
      <c r="I194" s="192">
        <v>0</v>
      </c>
      <c r="J194" s="192">
        <v>0</v>
      </c>
      <c r="K194" s="192">
        <v>0</v>
      </c>
      <c r="L194" s="190">
        <v>487934</v>
      </c>
    </row>
    <row r="195" spans="1:12" ht="15.75" x14ac:dyDescent="0.25">
      <c r="A195" s="187" t="s">
        <v>47</v>
      </c>
      <c r="B195" s="188" t="s">
        <v>414</v>
      </c>
      <c r="C195" s="189" t="s">
        <v>415</v>
      </c>
      <c r="D195" s="187">
        <v>148</v>
      </c>
      <c r="E195" s="190">
        <v>8713</v>
      </c>
      <c r="F195" s="191">
        <v>1000</v>
      </c>
      <c r="G195" s="255" t="s">
        <v>153</v>
      </c>
      <c r="H195" s="190">
        <v>7713</v>
      </c>
      <c r="I195" s="192">
        <v>0</v>
      </c>
      <c r="J195" s="192">
        <v>0</v>
      </c>
      <c r="K195" s="192">
        <v>0</v>
      </c>
      <c r="L195" s="190">
        <v>7713</v>
      </c>
    </row>
    <row r="196" spans="1:12" ht="15.75" x14ac:dyDescent="0.25">
      <c r="A196" s="187" t="s">
        <v>47</v>
      </c>
      <c r="B196" s="188" t="s">
        <v>84</v>
      </c>
      <c r="C196" s="189" t="s">
        <v>85</v>
      </c>
      <c r="D196" s="187">
        <v>153</v>
      </c>
      <c r="E196" s="190">
        <v>137810</v>
      </c>
      <c r="F196" s="191">
        <v>36419</v>
      </c>
      <c r="G196" s="255" t="s">
        <v>153</v>
      </c>
      <c r="H196" s="190">
        <v>101391</v>
      </c>
      <c r="I196" s="192">
        <v>0</v>
      </c>
      <c r="J196" s="192">
        <v>0</v>
      </c>
      <c r="K196" s="192">
        <v>0</v>
      </c>
      <c r="L196" s="190">
        <v>101391</v>
      </c>
    </row>
    <row r="197" spans="1:12" ht="15.75" x14ac:dyDescent="0.25">
      <c r="A197" s="187" t="s">
        <v>47</v>
      </c>
      <c r="B197" s="188" t="s">
        <v>102</v>
      </c>
      <c r="C197" s="189" t="s">
        <v>103</v>
      </c>
      <c r="D197" s="187">
        <v>155</v>
      </c>
      <c r="E197" s="190">
        <v>222555</v>
      </c>
      <c r="F197" s="191">
        <v>2931</v>
      </c>
      <c r="G197" s="255" t="s">
        <v>153</v>
      </c>
      <c r="H197" s="190">
        <v>219624</v>
      </c>
      <c r="I197" s="192">
        <v>0</v>
      </c>
      <c r="J197" s="192">
        <v>0</v>
      </c>
      <c r="K197" s="192">
        <v>0</v>
      </c>
      <c r="L197" s="190">
        <v>219624</v>
      </c>
    </row>
    <row r="198" spans="1:12" ht="15.75" x14ac:dyDescent="0.25">
      <c r="A198" s="187" t="s">
        <v>47</v>
      </c>
      <c r="B198" s="188" t="s">
        <v>86</v>
      </c>
      <c r="C198" s="189" t="s">
        <v>75</v>
      </c>
      <c r="D198" s="187">
        <v>48</v>
      </c>
      <c r="E198" s="190">
        <v>1623854</v>
      </c>
      <c r="F198" s="191">
        <v>835468</v>
      </c>
      <c r="G198" s="255" t="s">
        <v>153</v>
      </c>
      <c r="H198" s="190">
        <v>788386</v>
      </c>
      <c r="I198" s="192">
        <v>0</v>
      </c>
      <c r="J198" s="192">
        <v>0</v>
      </c>
      <c r="K198" s="192">
        <v>0</v>
      </c>
      <c r="L198" s="190">
        <v>788386</v>
      </c>
    </row>
    <row r="199" spans="1:12" ht="15.75" x14ac:dyDescent="0.25">
      <c r="A199" s="187" t="s">
        <v>47</v>
      </c>
      <c r="B199" s="188" t="s">
        <v>87</v>
      </c>
      <c r="C199" s="189" t="s">
        <v>88</v>
      </c>
      <c r="D199" s="187">
        <v>350</v>
      </c>
      <c r="E199" s="190">
        <v>34239</v>
      </c>
      <c r="F199" s="191">
        <v>9495</v>
      </c>
      <c r="G199" s="255" t="s">
        <v>153</v>
      </c>
      <c r="H199" s="190">
        <v>24744</v>
      </c>
      <c r="I199" s="192">
        <v>0</v>
      </c>
      <c r="J199" s="192">
        <v>0</v>
      </c>
      <c r="K199" s="192">
        <v>0</v>
      </c>
      <c r="L199" s="190">
        <v>24744</v>
      </c>
    </row>
    <row r="200" spans="1:12" ht="15.75" customHeight="1" x14ac:dyDescent="0.25">
      <c r="A200" s="187" t="s">
        <v>47</v>
      </c>
      <c r="B200" s="188" t="s">
        <v>104</v>
      </c>
      <c r="C200" s="189" t="s">
        <v>105</v>
      </c>
      <c r="D200" s="187">
        <v>173</v>
      </c>
      <c r="E200" s="190">
        <v>63225</v>
      </c>
      <c r="F200" s="191">
        <v>18060</v>
      </c>
      <c r="G200" s="255" t="s">
        <v>153</v>
      </c>
      <c r="H200" s="190">
        <v>45165</v>
      </c>
      <c r="I200" s="192">
        <v>0</v>
      </c>
      <c r="J200" s="192">
        <v>0</v>
      </c>
      <c r="K200" s="192">
        <v>0</v>
      </c>
      <c r="L200" s="190">
        <v>45165</v>
      </c>
    </row>
    <row r="201" spans="1:12" ht="30.75" x14ac:dyDescent="0.25">
      <c r="A201" s="187" t="s">
        <v>47</v>
      </c>
      <c r="B201" s="188" t="s">
        <v>405</v>
      </c>
      <c r="C201" s="189" t="s">
        <v>406</v>
      </c>
      <c r="D201" s="187">
        <v>261</v>
      </c>
      <c r="E201" s="190">
        <v>42331</v>
      </c>
      <c r="F201" s="191">
        <v>15186</v>
      </c>
      <c r="G201" s="255" t="s">
        <v>153</v>
      </c>
      <c r="H201" s="190">
        <v>27145</v>
      </c>
      <c r="I201" s="192">
        <v>0</v>
      </c>
      <c r="J201" s="192">
        <v>0</v>
      </c>
      <c r="K201" s="192">
        <v>0</v>
      </c>
      <c r="L201" s="190">
        <v>27145</v>
      </c>
    </row>
    <row r="202" spans="1:12" ht="15.75" x14ac:dyDescent="0.25">
      <c r="A202" s="187" t="s">
        <v>47</v>
      </c>
      <c r="B202" s="188" t="s">
        <v>106</v>
      </c>
      <c r="C202" s="189" t="s">
        <v>92</v>
      </c>
      <c r="D202" s="187">
        <v>244</v>
      </c>
      <c r="E202" s="190">
        <v>99722</v>
      </c>
      <c r="F202" s="191">
        <v>34676</v>
      </c>
      <c r="G202" s="255" t="s">
        <v>153</v>
      </c>
      <c r="H202" s="190">
        <v>65046</v>
      </c>
      <c r="I202" s="192">
        <v>0</v>
      </c>
      <c r="J202" s="192">
        <v>0</v>
      </c>
      <c r="K202" s="192">
        <v>0</v>
      </c>
      <c r="L202" s="190">
        <v>65046</v>
      </c>
    </row>
    <row r="203" spans="1:12" ht="15.75" x14ac:dyDescent="0.25">
      <c r="A203" s="187" t="s">
        <v>47</v>
      </c>
      <c r="B203" s="188" t="s">
        <v>416</v>
      </c>
      <c r="C203" s="189" t="s">
        <v>75</v>
      </c>
      <c r="D203" s="187">
        <v>280</v>
      </c>
      <c r="E203" s="190">
        <v>6219</v>
      </c>
      <c r="F203" s="191">
        <v>1000</v>
      </c>
      <c r="G203" s="255" t="s">
        <v>153</v>
      </c>
      <c r="H203" s="190">
        <v>5219</v>
      </c>
      <c r="I203" s="192">
        <v>0</v>
      </c>
      <c r="J203" s="192">
        <v>0</v>
      </c>
      <c r="K203" s="192">
        <v>0</v>
      </c>
      <c r="L203" s="190">
        <v>5219</v>
      </c>
    </row>
    <row r="204" spans="1:12" ht="15.75" x14ac:dyDescent="0.25">
      <c r="A204" s="187" t="s">
        <v>47</v>
      </c>
      <c r="B204" s="188" t="s">
        <v>89</v>
      </c>
      <c r="C204" s="189" t="s">
        <v>90</v>
      </c>
      <c r="D204" s="187">
        <v>171</v>
      </c>
      <c r="E204" s="190">
        <v>109844</v>
      </c>
      <c r="F204" s="191">
        <v>28148</v>
      </c>
      <c r="G204" s="255" t="s">
        <v>153</v>
      </c>
      <c r="H204" s="190">
        <v>81696</v>
      </c>
      <c r="I204" s="192">
        <v>0</v>
      </c>
      <c r="J204" s="192">
        <v>0</v>
      </c>
      <c r="K204" s="192">
        <v>0</v>
      </c>
      <c r="L204" s="190">
        <v>81696</v>
      </c>
    </row>
    <row r="205" spans="1:12" ht="45.75" x14ac:dyDescent="0.25">
      <c r="A205" s="187" t="s">
        <v>47</v>
      </c>
      <c r="B205" s="188" t="s">
        <v>91</v>
      </c>
      <c r="C205" s="189" t="s">
        <v>92</v>
      </c>
      <c r="D205" s="187">
        <v>258</v>
      </c>
      <c r="E205" s="190">
        <v>396513</v>
      </c>
      <c r="F205" s="191">
        <v>31957</v>
      </c>
      <c r="G205" s="255" t="s">
        <v>153</v>
      </c>
      <c r="H205" s="190">
        <v>364556</v>
      </c>
      <c r="I205" s="192">
        <v>0</v>
      </c>
      <c r="J205" s="192">
        <v>0</v>
      </c>
      <c r="K205" s="192">
        <v>0</v>
      </c>
      <c r="L205" s="190">
        <v>364556</v>
      </c>
    </row>
    <row r="206" spans="1:12" ht="15" customHeight="1" x14ac:dyDescent="0.25">
      <c r="A206" s="187" t="s">
        <v>47</v>
      </c>
      <c r="B206" s="188" t="s">
        <v>417</v>
      </c>
      <c r="C206" s="189" t="s">
        <v>418</v>
      </c>
      <c r="D206" s="187">
        <v>228</v>
      </c>
      <c r="E206" s="190">
        <v>17098</v>
      </c>
      <c r="F206" s="191">
        <v>1000</v>
      </c>
      <c r="G206" s="255" t="s">
        <v>153</v>
      </c>
      <c r="H206" s="190">
        <v>16098</v>
      </c>
      <c r="I206" s="192">
        <v>0</v>
      </c>
      <c r="J206" s="192">
        <v>0</v>
      </c>
      <c r="K206" s="192">
        <v>0</v>
      </c>
      <c r="L206" s="190">
        <v>16098</v>
      </c>
    </row>
    <row r="207" spans="1:12" ht="15.75" x14ac:dyDescent="0.25">
      <c r="A207" s="187" t="s">
        <v>47</v>
      </c>
      <c r="B207" s="188" t="s">
        <v>419</v>
      </c>
      <c r="C207" s="189" t="s">
        <v>420</v>
      </c>
      <c r="D207" s="187">
        <v>308</v>
      </c>
      <c r="E207" s="190">
        <v>2805</v>
      </c>
      <c r="F207" s="191">
        <v>1000</v>
      </c>
      <c r="G207" s="255" t="s">
        <v>153</v>
      </c>
      <c r="H207" s="190">
        <v>1805</v>
      </c>
      <c r="I207" s="192">
        <v>0</v>
      </c>
      <c r="J207" s="192">
        <v>0</v>
      </c>
      <c r="K207" s="192">
        <v>0</v>
      </c>
      <c r="L207" s="190">
        <v>1805</v>
      </c>
    </row>
    <row r="208" spans="1:12" ht="15.75" x14ac:dyDescent="0.25">
      <c r="A208" s="187" t="s">
        <v>47</v>
      </c>
      <c r="B208" s="188" t="s">
        <v>93</v>
      </c>
      <c r="C208" s="189" t="s">
        <v>75</v>
      </c>
      <c r="D208" s="187">
        <v>260</v>
      </c>
      <c r="E208" s="190">
        <v>1316339</v>
      </c>
      <c r="F208" s="191">
        <v>736708</v>
      </c>
      <c r="G208" s="255" t="s">
        <v>153</v>
      </c>
      <c r="H208" s="190">
        <v>579631</v>
      </c>
      <c r="I208" s="192">
        <v>0</v>
      </c>
      <c r="J208" s="192">
        <v>0</v>
      </c>
      <c r="K208" s="192">
        <v>0</v>
      </c>
      <c r="L208" s="190">
        <v>579631</v>
      </c>
    </row>
    <row r="209" spans="1:12" ht="30.75" x14ac:dyDescent="0.25">
      <c r="A209" s="187" t="s">
        <v>47</v>
      </c>
      <c r="B209" s="188" t="s">
        <v>94</v>
      </c>
      <c r="C209" s="189" t="s">
        <v>95</v>
      </c>
      <c r="D209" s="187">
        <v>367</v>
      </c>
      <c r="E209" s="190">
        <v>147181</v>
      </c>
      <c r="F209" s="191">
        <v>133599</v>
      </c>
      <c r="G209" s="255" t="s">
        <v>153</v>
      </c>
      <c r="H209" s="190">
        <v>13582</v>
      </c>
      <c r="I209" s="192">
        <v>0</v>
      </c>
      <c r="J209" s="192">
        <v>0</v>
      </c>
      <c r="K209" s="192">
        <v>0</v>
      </c>
      <c r="L209" s="190">
        <v>13582</v>
      </c>
    </row>
    <row r="210" spans="1:12" ht="15.75" x14ac:dyDescent="0.25">
      <c r="A210" s="187" t="s">
        <v>47</v>
      </c>
      <c r="B210" s="188" t="s">
        <v>107</v>
      </c>
      <c r="C210" s="189" t="s">
        <v>108</v>
      </c>
      <c r="D210" s="187">
        <v>346</v>
      </c>
      <c r="E210" s="190">
        <v>5540</v>
      </c>
      <c r="F210" s="191">
        <v>1000</v>
      </c>
      <c r="G210" s="255" t="s">
        <v>153</v>
      </c>
      <c r="H210" s="190">
        <v>4540</v>
      </c>
      <c r="I210" s="192">
        <v>0</v>
      </c>
      <c r="J210" s="192">
        <v>0</v>
      </c>
      <c r="K210" s="192">
        <v>0</v>
      </c>
      <c r="L210" s="190">
        <v>4540</v>
      </c>
    </row>
    <row r="211" spans="1:12" ht="15.75" x14ac:dyDescent="0.25">
      <c r="A211" s="187" t="s">
        <v>47</v>
      </c>
      <c r="B211" s="188" t="s">
        <v>96</v>
      </c>
      <c r="C211" s="189" t="s">
        <v>97</v>
      </c>
      <c r="D211" s="187">
        <v>351</v>
      </c>
      <c r="E211" s="190">
        <v>31192</v>
      </c>
      <c r="F211" s="191">
        <v>6108</v>
      </c>
      <c r="G211" s="255" t="s">
        <v>153</v>
      </c>
      <c r="H211" s="190">
        <v>25084</v>
      </c>
      <c r="I211" s="192">
        <v>0</v>
      </c>
      <c r="J211" s="192">
        <v>0</v>
      </c>
      <c r="K211" s="192">
        <v>0</v>
      </c>
      <c r="L211" s="190">
        <v>25084</v>
      </c>
    </row>
    <row r="212" spans="1:12" ht="15.75" x14ac:dyDescent="0.25">
      <c r="A212" s="206" t="s">
        <v>287</v>
      </c>
      <c r="B212" s="258" t="s">
        <v>153</v>
      </c>
      <c r="C212" s="258" t="s">
        <v>153</v>
      </c>
      <c r="D212" s="258" t="s">
        <v>153</v>
      </c>
      <c r="E212" s="207">
        <f>SUBTOTAL(109,school201415[Program
Costs])</f>
        <v>75092884</v>
      </c>
      <c r="F212" s="216">
        <f>SUBTOTAL(109,school201415[Less: Net
 Payments and 
Offsets 2])</f>
        <v>52201812</v>
      </c>
      <c r="G212" s="256" t="s">
        <v>153</v>
      </c>
      <c r="H212" s="207">
        <f>SUBTOTAL(109,school201415[Accounts Payable
Balance])</f>
        <v>22891072</v>
      </c>
      <c r="I212" s="207">
        <f>SUBTOTAL(109,school201415[Established
Accounts Receivable])</f>
        <v>416801</v>
      </c>
      <c r="J212" s="207">
        <f>SUBTOTAL(109,school201415[Less: 
Recovered 
Amount])</f>
        <v>416801</v>
      </c>
      <c r="K212" s="209">
        <f>SUBTOTAL(109,school201415[Accounts Receivable
Balance])</f>
        <v>0</v>
      </c>
      <c r="L212" s="207">
        <f>SUBTOTAL(109,school201415[Net
Balance])</f>
        <v>22891072</v>
      </c>
    </row>
    <row r="213" spans="1:12" ht="15.75" x14ac:dyDescent="0.25">
      <c r="A213" s="146" t="s">
        <v>181</v>
      </c>
      <c r="B213" s="221"/>
      <c r="C213" s="220"/>
      <c r="D213" s="222"/>
      <c r="E213" s="223"/>
      <c r="F213" s="224"/>
      <c r="G213" s="225"/>
      <c r="H213" s="223"/>
      <c r="I213" s="226"/>
      <c r="J213" s="226"/>
      <c r="K213" s="226"/>
      <c r="L213" s="223"/>
    </row>
    <row r="214" spans="1:12" ht="50.1" customHeight="1" x14ac:dyDescent="0.25">
      <c r="A214" s="211" t="s">
        <v>221</v>
      </c>
      <c r="B214" s="211" t="s">
        <v>268</v>
      </c>
      <c r="C214" s="21" t="s">
        <v>2</v>
      </c>
      <c r="D214" s="211" t="s">
        <v>280</v>
      </c>
      <c r="E214" s="212" t="s">
        <v>223</v>
      </c>
      <c r="F214" s="213" t="s">
        <v>509</v>
      </c>
      <c r="G214" s="252" t="s">
        <v>176</v>
      </c>
      <c r="H214" s="214" t="s">
        <v>270</v>
      </c>
      <c r="I214" s="151" t="s">
        <v>271</v>
      </c>
      <c r="J214" s="212" t="s">
        <v>282</v>
      </c>
      <c r="K214" s="214" t="s">
        <v>272</v>
      </c>
      <c r="L214" s="212" t="s">
        <v>273</v>
      </c>
    </row>
    <row r="215" spans="1:12" ht="15.75" x14ac:dyDescent="0.25">
      <c r="A215" s="187" t="s">
        <v>288</v>
      </c>
      <c r="B215" s="188" t="s">
        <v>407</v>
      </c>
      <c r="C215" s="210" t="s">
        <v>408</v>
      </c>
      <c r="D215" s="187">
        <v>305</v>
      </c>
      <c r="E215" s="190">
        <v>11320</v>
      </c>
      <c r="F215" s="191">
        <v>5205</v>
      </c>
      <c r="G215" s="255" t="s">
        <v>153</v>
      </c>
      <c r="H215" s="190">
        <v>6115</v>
      </c>
      <c r="I215" s="192">
        <v>0</v>
      </c>
      <c r="J215" s="192">
        <v>0</v>
      </c>
      <c r="K215" s="192">
        <v>0</v>
      </c>
      <c r="L215" s="190">
        <v>6115</v>
      </c>
    </row>
    <row r="216" spans="1:12" ht="30.75" x14ac:dyDescent="0.25">
      <c r="A216" s="187" t="s">
        <v>288</v>
      </c>
      <c r="B216" s="188" t="s">
        <v>53</v>
      </c>
      <c r="C216" s="189" t="s">
        <v>54</v>
      </c>
      <c r="D216" s="187">
        <v>250</v>
      </c>
      <c r="E216" s="190">
        <v>84439</v>
      </c>
      <c r="F216" s="191">
        <v>13627</v>
      </c>
      <c r="G216" s="255" t="s">
        <v>153</v>
      </c>
      <c r="H216" s="190">
        <v>70812</v>
      </c>
      <c r="I216" s="192">
        <v>0</v>
      </c>
      <c r="J216" s="192">
        <v>0</v>
      </c>
      <c r="K216" s="192">
        <v>0</v>
      </c>
      <c r="L216" s="190">
        <v>70812</v>
      </c>
    </row>
    <row r="217" spans="1:12" ht="30.75" x14ac:dyDescent="0.25">
      <c r="A217" s="187" t="s">
        <v>288</v>
      </c>
      <c r="B217" s="188" t="s">
        <v>55</v>
      </c>
      <c r="C217" s="189" t="s">
        <v>56</v>
      </c>
      <c r="D217" s="187">
        <v>369</v>
      </c>
      <c r="E217" s="190">
        <v>66685519</v>
      </c>
      <c r="F217" s="191">
        <v>65815255</v>
      </c>
      <c r="G217" s="255" t="s">
        <v>153</v>
      </c>
      <c r="H217" s="190">
        <v>870264</v>
      </c>
      <c r="I217" s="192">
        <v>0</v>
      </c>
      <c r="J217" s="192">
        <v>0</v>
      </c>
      <c r="K217" s="192">
        <v>0</v>
      </c>
      <c r="L217" s="190">
        <v>870264</v>
      </c>
    </row>
    <row r="218" spans="1:12" ht="15" customHeight="1" x14ac:dyDescent="0.25">
      <c r="A218" s="187" t="s">
        <v>288</v>
      </c>
      <c r="B218" s="188" t="s">
        <v>421</v>
      </c>
      <c r="C218" s="189" t="s">
        <v>302</v>
      </c>
      <c r="D218" s="187">
        <v>354</v>
      </c>
      <c r="E218" s="190">
        <v>160491</v>
      </c>
      <c r="F218" s="191">
        <v>80368</v>
      </c>
      <c r="G218" s="255" t="s">
        <v>153</v>
      </c>
      <c r="H218" s="190">
        <v>80123</v>
      </c>
      <c r="I218" s="192">
        <v>0</v>
      </c>
      <c r="J218" s="192">
        <v>0</v>
      </c>
      <c r="K218" s="192">
        <v>0</v>
      </c>
      <c r="L218" s="190">
        <v>80123</v>
      </c>
    </row>
    <row r="219" spans="1:12" ht="30.75" x14ac:dyDescent="0.25">
      <c r="A219" s="187" t="s">
        <v>288</v>
      </c>
      <c r="B219" s="188" t="s">
        <v>422</v>
      </c>
      <c r="C219" s="189" t="s">
        <v>423</v>
      </c>
      <c r="D219" s="187">
        <v>286</v>
      </c>
      <c r="E219" s="190">
        <v>3934</v>
      </c>
      <c r="F219" s="191">
        <v>1000</v>
      </c>
      <c r="G219" s="255" t="s">
        <v>153</v>
      </c>
      <c r="H219" s="190">
        <v>2934</v>
      </c>
      <c r="I219" s="192">
        <v>0</v>
      </c>
      <c r="J219" s="192">
        <v>0</v>
      </c>
      <c r="K219" s="192">
        <v>0</v>
      </c>
      <c r="L219" s="190">
        <v>2934</v>
      </c>
    </row>
    <row r="220" spans="1:12" ht="30.75" x14ac:dyDescent="0.25">
      <c r="A220" s="187" t="s">
        <v>288</v>
      </c>
      <c r="B220" s="188" t="s">
        <v>57</v>
      </c>
      <c r="C220" s="189" t="s">
        <v>58</v>
      </c>
      <c r="D220" s="187">
        <v>172</v>
      </c>
      <c r="E220" s="190">
        <v>39521</v>
      </c>
      <c r="F220" s="191">
        <v>18266</v>
      </c>
      <c r="G220" s="255" t="s">
        <v>153</v>
      </c>
      <c r="H220" s="190">
        <v>21255</v>
      </c>
      <c r="I220" s="192">
        <v>0</v>
      </c>
      <c r="J220" s="192">
        <v>0</v>
      </c>
      <c r="K220" s="192">
        <v>0</v>
      </c>
      <c r="L220" s="190">
        <v>21255</v>
      </c>
    </row>
    <row r="221" spans="1:12" ht="15.75" x14ac:dyDescent="0.25">
      <c r="A221" s="187" t="s">
        <v>288</v>
      </c>
      <c r="B221" s="188" t="s">
        <v>403</v>
      </c>
      <c r="C221" s="189" t="s">
        <v>404</v>
      </c>
      <c r="D221" s="187">
        <v>278</v>
      </c>
      <c r="E221" s="190">
        <v>68418</v>
      </c>
      <c r="F221" s="191">
        <v>5575</v>
      </c>
      <c r="G221" s="255" t="s">
        <v>153</v>
      </c>
      <c r="H221" s="190">
        <v>62843</v>
      </c>
      <c r="I221" s="192">
        <v>0</v>
      </c>
      <c r="J221" s="192">
        <v>0</v>
      </c>
      <c r="K221" s="192">
        <v>0</v>
      </c>
      <c r="L221" s="190">
        <v>62843</v>
      </c>
    </row>
    <row r="222" spans="1:12" ht="15.75" customHeight="1" x14ac:dyDescent="0.25">
      <c r="A222" s="187" t="s">
        <v>288</v>
      </c>
      <c r="B222" s="188" t="s">
        <v>424</v>
      </c>
      <c r="C222" s="189" t="s">
        <v>425</v>
      </c>
      <c r="D222" s="187">
        <v>337</v>
      </c>
      <c r="E222" s="190">
        <v>56740</v>
      </c>
      <c r="F222" s="191">
        <v>55085</v>
      </c>
      <c r="G222" s="255" t="s">
        <v>153</v>
      </c>
      <c r="H222" s="190">
        <v>1655</v>
      </c>
      <c r="I222" s="192">
        <v>0</v>
      </c>
      <c r="J222" s="192">
        <v>0</v>
      </c>
      <c r="K222" s="192">
        <v>0</v>
      </c>
      <c r="L222" s="190">
        <v>1655</v>
      </c>
    </row>
    <row r="223" spans="1:12" ht="30.75" x14ac:dyDescent="0.25">
      <c r="A223" s="187" t="s">
        <v>288</v>
      </c>
      <c r="B223" s="188" t="s">
        <v>50</v>
      </c>
      <c r="C223" s="189" t="s">
        <v>51</v>
      </c>
      <c r="D223" s="187">
        <v>11</v>
      </c>
      <c r="E223" s="190">
        <v>2003690</v>
      </c>
      <c r="F223" s="191">
        <v>1183130</v>
      </c>
      <c r="G223" s="255" t="s">
        <v>153</v>
      </c>
      <c r="H223" s="190">
        <v>820560</v>
      </c>
      <c r="I223" s="192">
        <v>0</v>
      </c>
      <c r="J223" s="192">
        <v>0</v>
      </c>
      <c r="K223" s="192">
        <v>0</v>
      </c>
      <c r="L223" s="190">
        <v>820560</v>
      </c>
    </row>
    <row r="224" spans="1:12" ht="30.75" x14ac:dyDescent="0.25">
      <c r="A224" s="187" t="s">
        <v>288</v>
      </c>
      <c r="B224" s="188" t="s">
        <v>59</v>
      </c>
      <c r="C224" s="189" t="s">
        <v>60</v>
      </c>
      <c r="D224" s="187">
        <v>313</v>
      </c>
      <c r="E224" s="190">
        <v>257452</v>
      </c>
      <c r="F224" s="191">
        <v>89237</v>
      </c>
      <c r="G224" s="255" t="s">
        <v>153</v>
      </c>
      <c r="H224" s="190">
        <v>168215</v>
      </c>
      <c r="I224" s="192">
        <v>0</v>
      </c>
      <c r="J224" s="192">
        <v>0</v>
      </c>
      <c r="K224" s="192">
        <v>0</v>
      </c>
      <c r="L224" s="190">
        <v>168215</v>
      </c>
    </row>
    <row r="225" spans="1:12" ht="30.75" x14ac:dyDescent="0.25">
      <c r="A225" s="187" t="s">
        <v>288</v>
      </c>
      <c r="B225" s="188" t="s">
        <v>61</v>
      </c>
      <c r="C225" s="189" t="s">
        <v>62</v>
      </c>
      <c r="D225" s="187">
        <v>330</v>
      </c>
      <c r="E225" s="190">
        <v>223094</v>
      </c>
      <c r="F225" s="191">
        <v>90234</v>
      </c>
      <c r="G225" s="255" t="s">
        <v>153</v>
      </c>
      <c r="H225" s="190">
        <v>132860</v>
      </c>
      <c r="I225" s="192">
        <v>0</v>
      </c>
      <c r="J225" s="192">
        <v>0</v>
      </c>
      <c r="K225" s="192">
        <v>0</v>
      </c>
      <c r="L225" s="190">
        <v>132860</v>
      </c>
    </row>
    <row r="226" spans="1:12" ht="45.75" x14ac:dyDescent="0.25">
      <c r="A226" s="187" t="s">
        <v>288</v>
      </c>
      <c r="B226" s="188" t="s">
        <v>63</v>
      </c>
      <c r="C226" s="189" t="s">
        <v>64</v>
      </c>
      <c r="D226" s="187">
        <v>272</v>
      </c>
      <c r="E226" s="190">
        <v>314951</v>
      </c>
      <c r="F226" s="191">
        <v>107194</v>
      </c>
      <c r="G226" s="255" t="s">
        <v>153</v>
      </c>
      <c r="H226" s="190">
        <v>207757</v>
      </c>
      <c r="I226" s="192">
        <v>0</v>
      </c>
      <c r="J226" s="192">
        <v>0</v>
      </c>
      <c r="K226" s="192">
        <v>0</v>
      </c>
      <c r="L226" s="190">
        <v>207757</v>
      </c>
    </row>
    <row r="227" spans="1:12" ht="45.75" x14ac:dyDescent="0.25">
      <c r="A227" s="187" t="s">
        <v>288</v>
      </c>
      <c r="B227" s="188" t="s">
        <v>65</v>
      </c>
      <c r="C227" s="189" t="s">
        <v>66</v>
      </c>
      <c r="D227" s="187">
        <v>276</v>
      </c>
      <c r="E227" s="190">
        <v>98097</v>
      </c>
      <c r="F227" s="191">
        <v>5803</v>
      </c>
      <c r="G227" s="255" t="s">
        <v>153</v>
      </c>
      <c r="H227" s="190">
        <v>92294</v>
      </c>
      <c r="I227" s="192">
        <v>0</v>
      </c>
      <c r="J227" s="192">
        <v>0</v>
      </c>
      <c r="K227" s="192">
        <v>0</v>
      </c>
      <c r="L227" s="190">
        <v>92294</v>
      </c>
    </row>
    <row r="228" spans="1:12" ht="75.75" x14ac:dyDescent="0.25">
      <c r="A228" s="187" t="s">
        <v>288</v>
      </c>
      <c r="B228" s="188" t="s">
        <v>67</v>
      </c>
      <c r="C228" s="189" t="s">
        <v>68</v>
      </c>
      <c r="D228" s="187">
        <v>292</v>
      </c>
      <c r="E228" s="190">
        <v>605343</v>
      </c>
      <c r="F228" s="191">
        <v>154725</v>
      </c>
      <c r="G228" s="255" t="s">
        <v>153</v>
      </c>
      <c r="H228" s="190">
        <v>450618</v>
      </c>
      <c r="I228" s="192">
        <v>0</v>
      </c>
      <c r="J228" s="192">
        <v>0</v>
      </c>
      <c r="K228" s="192">
        <v>0</v>
      </c>
      <c r="L228" s="190">
        <v>450618</v>
      </c>
    </row>
    <row r="229" spans="1:12" ht="30.75" x14ac:dyDescent="0.25">
      <c r="A229" s="187" t="s">
        <v>288</v>
      </c>
      <c r="B229" s="188" t="s">
        <v>69</v>
      </c>
      <c r="C229" s="189" t="s">
        <v>70</v>
      </c>
      <c r="D229" s="187">
        <v>209</v>
      </c>
      <c r="E229" s="190">
        <v>100210</v>
      </c>
      <c r="F229" s="191">
        <v>1000</v>
      </c>
      <c r="G229" s="255" t="s">
        <v>153</v>
      </c>
      <c r="H229" s="190">
        <v>99210</v>
      </c>
      <c r="I229" s="192">
        <v>0</v>
      </c>
      <c r="J229" s="192">
        <v>0</v>
      </c>
      <c r="K229" s="192">
        <v>0</v>
      </c>
      <c r="L229" s="190">
        <v>99210</v>
      </c>
    </row>
    <row r="230" spans="1:12" ht="15.75" x14ac:dyDescent="0.25">
      <c r="A230" s="187" t="s">
        <v>288</v>
      </c>
      <c r="B230" s="188" t="s">
        <v>71</v>
      </c>
      <c r="C230" s="189" t="s">
        <v>72</v>
      </c>
      <c r="D230" s="187">
        <v>183</v>
      </c>
      <c r="E230" s="190">
        <v>24654</v>
      </c>
      <c r="F230" s="191">
        <v>6249</v>
      </c>
      <c r="G230" s="255" t="s">
        <v>153</v>
      </c>
      <c r="H230" s="190">
        <v>18405</v>
      </c>
      <c r="I230" s="192">
        <v>0</v>
      </c>
      <c r="J230" s="192">
        <v>0</v>
      </c>
      <c r="K230" s="192">
        <v>0</v>
      </c>
      <c r="L230" s="190">
        <v>18405</v>
      </c>
    </row>
    <row r="231" spans="1:12" ht="15.75" x14ac:dyDescent="0.25">
      <c r="A231" s="187" t="s">
        <v>288</v>
      </c>
      <c r="B231" s="188" t="s">
        <v>100</v>
      </c>
      <c r="C231" s="189" t="s">
        <v>101</v>
      </c>
      <c r="D231" s="187">
        <v>251</v>
      </c>
      <c r="E231" s="190">
        <v>33464</v>
      </c>
      <c r="F231" s="191">
        <v>8855</v>
      </c>
      <c r="G231" s="255" t="s">
        <v>153</v>
      </c>
      <c r="H231" s="190">
        <v>24609</v>
      </c>
      <c r="I231" s="192">
        <v>0</v>
      </c>
      <c r="J231" s="192">
        <v>0</v>
      </c>
      <c r="K231" s="192">
        <v>0</v>
      </c>
      <c r="L231" s="190">
        <v>24609</v>
      </c>
    </row>
    <row r="232" spans="1:12" ht="30.75" x14ac:dyDescent="0.25">
      <c r="A232" s="187" t="s">
        <v>288</v>
      </c>
      <c r="B232" s="188" t="s">
        <v>411</v>
      </c>
      <c r="C232" s="189" t="s">
        <v>62</v>
      </c>
      <c r="D232" s="187">
        <v>91</v>
      </c>
      <c r="E232" s="190">
        <v>2373</v>
      </c>
      <c r="F232" s="191">
        <v>1275</v>
      </c>
      <c r="G232" s="255" t="s">
        <v>153</v>
      </c>
      <c r="H232" s="190">
        <v>1098</v>
      </c>
      <c r="I232" s="192">
        <v>0</v>
      </c>
      <c r="J232" s="192">
        <v>0</v>
      </c>
      <c r="K232" s="192">
        <v>0</v>
      </c>
      <c r="L232" s="190">
        <v>1098</v>
      </c>
    </row>
    <row r="233" spans="1:12" ht="15.75" x14ac:dyDescent="0.25">
      <c r="A233" s="187" t="s">
        <v>288</v>
      </c>
      <c r="B233" s="188" t="s">
        <v>73</v>
      </c>
      <c r="C233" s="189" t="s">
        <v>52</v>
      </c>
      <c r="D233" s="187">
        <v>192</v>
      </c>
      <c r="E233" s="190">
        <v>38653</v>
      </c>
      <c r="F233" s="191">
        <v>12345</v>
      </c>
      <c r="G233" s="255" t="s">
        <v>153</v>
      </c>
      <c r="H233" s="190">
        <v>26308</v>
      </c>
      <c r="I233" s="192">
        <v>0</v>
      </c>
      <c r="J233" s="192">
        <v>0</v>
      </c>
      <c r="K233" s="192">
        <v>0</v>
      </c>
      <c r="L233" s="190">
        <v>26308</v>
      </c>
    </row>
    <row r="234" spans="1:12" ht="30.75" x14ac:dyDescent="0.25">
      <c r="A234" s="187" t="s">
        <v>288</v>
      </c>
      <c r="B234" s="188" t="s">
        <v>74</v>
      </c>
      <c r="C234" s="189" t="s">
        <v>75</v>
      </c>
      <c r="D234" s="187">
        <v>297</v>
      </c>
      <c r="E234" s="190">
        <v>18978442</v>
      </c>
      <c r="F234" s="191">
        <v>4405087</v>
      </c>
      <c r="G234" s="255" t="s">
        <v>153</v>
      </c>
      <c r="H234" s="190">
        <v>14573355</v>
      </c>
      <c r="I234" s="192">
        <v>0</v>
      </c>
      <c r="J234" s="192">
        <v>0</v>
      </c>
      <c r="K234" s="192">
        <v>0</v>
      </c>
      <c r="L234" s="190">
        <v>14573355</v>
      </c>
    </row>
    <row r="235" spans="1:12" ht="15.75" x14ac:dyDescent="0.25">
      <c r="A235" s="187" t="s">
        <v>288</v>
      </c>
      <c r="B235" s="188" t="s">
        <v>76</v>
      </c>
      <c r="C235" s="189" t="s">
        <v>77</v>
      </c>
      <c r="D235" s="187">
        <v>166</v>
      </c>
      <c r="E235" s="190">
        <v>665217</v>
      </c>
      <c r="F235" s="191">
        <v>215541</v>
      </c>
      <c r="G235" s="255" t="s">
        <v>153</v>
      </c>
      <c r="H235" s="190">
        <v>449676</v>
      </c>
      <c r="I235" s="192">
        <v>0</v>
      </c>
      <c r="J235" s="192">
        <v>0</v>
      </c>
      <c r="K235" s="192">
        <v>0</v>
      </c>
      <c r="L235" s="190">
        <v>449676</v>
      </c>
    </row>
    <row r="236" spans="1:12" ht="15.75" x14ac:dyDescent="0.25">
      <c r="A236" s="187" t="s">
        <v>288</v>
      </c>
      <c r="B236" s="188" t="s">
        <v>412</v>
      </c>
      <c r="C236" s="189" t="s">
        <v>413</v>
      </c>
      <c r="D236" s="187">
        <v>268</v>
      </c>
      <c r="E236" s="190">
        <v>564080</v>
      </c>
      <c r="F236" s="191">
        <v>74880</v>
      </c>
      <c r="G236" s="255" t="s">
        <v>153</v>
      </c>
      <c r="H236" s="190">
        <v>489200</v>
      </c>
      <c r="I236" s="192">
        <v>0</v>
      </c>
      <c r="J236" s="192">
        <v>0</v>
      </c>
      <c r="K236" s="192">
        <v>0</v>
      </c>
      <c r="L236" s="190">
        <v>489200</v>
      </c>
    </row>
    <row r="237" spans="1:12" ht="15.75" x14ac:dyDescent="0.25">
      <c r="A237" s="187" t="s">
        <v>288</v>
      </c>
      <c r="B237" s="188" t="s">
        <v>78</v>
      </c>
      <c r="C237" s="189" t="s">
        <v>79</v>
      </c>
      <c r="D237" s="187">
        <v>32</v>
      </c>
      <c r="E237" s="190">
        <v>266637</v>
      </c>
      <c r="F237" s="191">
        <v>137331</v>
      </c>
      <c r="G237" s="255" t="s">
        <v>153</v>
      </c>
      <c r="H237" s="190">
        <v>129306</v>
      </c>
      <c r="I237" s="192">
        <v>0</v>
      </c>
      <c r="J237" s="192">
        <v>0</v>
      </c>
      <c r="K237" s="192">
        <v>0</v>
      </c>
      <c r="L237" s="190">
        <v>129306</v>
      </c>
    </row>
    <row r="238" spans="1:12" ht="30.75" x14ac:dyDescent="0.25">
      <c r="A238" s="187" t="s">
        <v>288</v>
      </c>
      <c r="B238" s="188" t="s">
        <v>80</v>
      </c>
      <c r="C238" s="189" t="s">
        <v>81</v>
      </c>
      <c r="D238" s="187">
        <v>368</v>
      </c>
      <c r="E238" s="190">
        <v>243333</v>
      </c>
      <c r="F238" s="191">
        <v>139031</v>
      </c>
      <c r="G238" s="255" t="s">
        <v>153</v>
      </c>
      <c r="H238" s="190">
        <v>104302</v>
      </c>
      <c r="I238" s="192">
        <v>0</v>
      </c>
      <c r="J238" s="192">
        <v>0</v>
      </c>
      <c r="K238" s="192">
        <v>0</v>
      </c>
      <c r="L238" s="190">
        <v>104302</v>
      </c>
    </row>
    <row r="239" spans="1:12" ht="15.75" x14ac:dyDescent="0.25">
      <c r="A239" s="187" t="s">
        <v>288</v>
      </c>
      <c r="B239" s="188" t="s">
        <v>82</v>
      </c>
      <c r="C239" s="189" t="s">
        <v>83</v>
      </c>
      <c r="D239" s="187">
        <v>357</v>
      </c>
      <c r="E239" s="190">
        <v>1204591</v>
      </c>
      <c r="F239" s="191">
        <v>971288</v>
      </c>
      <c r="G239" s="255" t="s">
        <v>153</v>
      </c>
      <c r="H239" s="190">
        <v>233303</v>
      </c>
      <c r="I239" s="192">
        <v>0</v>
      </c>
      <c r="J239" s="192">
        <v>0</v>
      </c>
      <c r="K239" s="192">
        <v>0</v>
      </c>
      <c r="L239" s="190">
        <v>233303</v>
      </c>
    </row>
    <row r="240" spans="1:12" ht="15.75" x14ac:dyDescent="0.25">
      <c r="A240" s="187" t="s">
        <v>288</v>
      </c>
      <c r="B240" s="188" t="s">
        <v>414</v>
      </c>
      <c r="C240" s="189" t="s">
        <v>415</v>
      </c>
      <c r="D240" s="187">
        <v>148</v>
      </c>
      <c r="E240" s="190">
        <v>5963</v>
      </c>
      <c r="F240" s="191">
        <v>2158</v>
      </c>
      <c r="G240" s="255" t="s">
        <v>153</v>
      </c>
      <c r="H240" s="190">
        <v>3805</v>
      </c>
      <c r="I240" s="192">
        <v>0</v>
      </c>
      <c r="J240" s="192">
        <v>0</v>
      </c>
      <c r="K240" s="192">
        <v>0</v>
      </c>
      <c r="L240" s="190">
        <v>3805</v>
      </c>
    </row>
    <row r="241" spans="1:12" ht="15.75" x14ac:dyDescent="0.25">
      <c r="A241" s="187" t="s">
        <v>288</v>
      </c>
      <c r="B241" s="188" t="s">
        <v>84</v>
      </c>
      <c r="C241" s="189" t="s">
        <v>85</v>
      </c>
      <c r="D241" s="187">
        <v>153</v>
      </c>
      <c r="E241" s="190">
        <v>140532</v>
      </c>
      <c r="F241" s="191">
        <v>62155</v>
      </c>
      <c r="G241" s="255" t="s">
        <v>153</v>
      </c>
      <c r="H241" s="190">
        <v>78377</v>
      </c>
      <c r="I241" s="192">
        <v>0</v>
      </c>
      <c r="J241" s="192">
        <v>0</v>
      </c>
      <c r="K241" s="192">
        <v>0</v>
      </c>
      <c r="L241" s="190">
        <v>78377</v>
      </c>
    </row>
    <row r="242" spans="1:12" ht="15.75" x14ac:dyDescent="0.25">
      <c r="A242" s="187" t="s">
        <v>288</v>
      </c>
      <c r="B242" s="188" t="s">
        <v>102</v>
      </c>
      <c r="C242" s="189" t="s">
        <v>103</v>
      </c>
      <c r="D242" s="187">
        <v>155</v>
      </c>
      <c r="E242" s="190">
        <v>247195</v>
      </c>
      <c r="F242" s="191">
        <v>2026</v>
      </c>
      <c r="G242" s="255" t="s">
        <v>153</v>
      </c>
      <c r="H242" s="190">
        <v>245169</v>
      </c>
      <c r="I242" s="192">
        <v>0</v>
      </c>
      <c r="J242" s="192">
        <v>0</v>
      </c>
      <c r="K242" s="192">
        <v>0</v>
      </c>
      <c r="L242" s="190">
        <v>245169</v>
      </c>
    </row>
    <row r="243" spans="1:12" ht="15.75" x14ac:dyDescent="0.25">
      <c r="A243" s="187" t="s">
        <v>288</v>
      </c>
      <c r="B243" s="188" t="s">
        <v>86</v>
      </c>
      <c r="C243" s="189" t="s">
        <v>75</v>
      </c>
      <c r="D243" s="187">
        <v>48</v>
      </c>
      <c r="E243" s="190">
        <v>1846288</v>
      </c>
      <c r="F243" s="191">
        <v>1214783</v>
      </c>
      <c r="G243" s="255" t="s">
        <v>153</v>
      </c>
      <c r="H243" s="190">
        <v>631505</v>
      </c>
      <c r="I243" s="192">
        <v>0</v>
      </c>
      <c r="J243" s="192">
        <v>0</v>
      </c>
      <c r="K243" s="192">
        <v>0</v>
      </c>
      <c r="L243" s="190">
        <v>631505</v>
      </c>
    </row>
    <row r="244" spans="1:12" ht="15.75" x14ac:dyDescent="0.25">
      <c r="A244" s="187" t="s">
        <v>288</v>
      </c>
      <c r="B244" s="188" t="s">
        <v>87</v>
      </c>
      <c r="C244" s="189" t="s">
        <v>88</v>
      </c>
      <c r="D244" s="187">
        <v>350</v>
      </c>
      <c r="E244" s="190">
        <v>139137</v>
      </c>
      <c r="F244" s="191">
        <v>54044</v>
      </c>
      <c r="G244" s="255" t="s">
        <v>153</v>
      </c>
      <c r="H244" s="190">
        <v>85093</v>
      </c>
      <c r="I244" s="192">
        <v>0</v>
      </c>
      <c r="J244" s="192">
        <v>0</v>
      </c>
      <c r="K244" s="192">
        <v>0</v>
      </c>
      <c r="L244" s="190">
        <v>85093</v>
      </c>
    </row>
    <row r="245" spans="1:12" ht="15.75" customHeight="1" x14ac:dyDescent="0.25">
      <c r="A245" s="187" t="s">
        <v>288</v>
      </c>
      <c r="B245" s="188" t="s">
        <v>104</v>
      </c>
      <c r="C245" s="189" t="s">
        <v>105</v>
      </c>
      <c r="D245" s="187">
        <v>173</v>
      </c>
      <c r="E245" s="190">
        <v>76582</v>
      </c>
      <c r="F245" s="191">
        <v>41508</v>
      </c>
      <c r="G245" s="255" t="s">
        <v>153</v>
      </c>
      <c r="H245" s="190">
        <v>35074</v>
      </c>
      <c r="I245" s="192">
        <v>0</v>
      </c>
      <c r="J245" s="192">
        <v>0</v>
      </c>
      <c r="K245" s="192">
        <v>0</v>
      </c>
      <c r="L245" s="190">
        <v>35074</v>
      </c>
    </row>
    <row r="246" spans="1:12" ht="30.75" x14ac:dyDescent="0.25">
      <c r="A246" s="187" t="s">
        <v>288</v>
      </c>
      <c r="B246" s="188" t="s">
        <v>405</v>
      </c>
      <c r="C246" s="189" t="s">
        <v>406</v>
      </c>
      <c r="D246" s="187">
        <v>261</v>
      </c>
      <c r="E246" s="190">
        <v>44962</v>
      </c>
      <c r="F246" s="191">
        <v>22564</v>
      </c>
      <c r="G246" s="255" t="s">
        <v>153</v>
      </c>
      <c r="H246" s="190">
        <v>22398</v>
      </c>
      <c r="I246" s="192">
        <v>0</v>
      </c>
      <c r="J246" s="192">
        <v>0</v>
      </c>
      <c r="K246" s="192">
        <v>0</v>
      </c>
      <c r="L246" s="190">
        <v>22398</v>
      </c>
    </row>
    <row r="247" spans="1:12" ht="15.75" x14ac:dyDescent="0.25">
      <c r="A247" s="187" t="s">
        <v>288</v>
      </c>
      <c r="B247" s="188" t="s">
        <v>106</v>
      </c>
      <c r="C247" s="189" t="s">
        <v>92</v>
      </c>
      <c r="D247" s="187">
        <v>244</v>
      </c>
      <c r="E247" s="190">
        <v>133508</v>
      </c>
      <c r="F247" s="191">
        <v>74816</v>
      </c>
      <c r="G247" s="255" t="s">
        <v>153</v>
      </c>
      <c r="H247" s="190">
        <v>58692</v>
      </c>
      <c r="I247" s="192">
        <v>0</v>
      </c>
      <c r="J247" s="192">
        <v>0</v>
      </c>
      <c r="K247" s="192">
        <v>0</v>
      </c>
      <c r="L247" s="190">
        <v>58692</v>
      </c>
    </row>
    <row r="248" spans="1:12" ht="15.75" x14ac:dyDescent="0.25">
      <c r="A248" s="187" t="s">
        <v>288</v>
      </c>
      <c r="B248" s="188" t="s">
        <v>416</v>
      </c>
      <c r="C248" s="189" t="s">
        <v>75</v>
      </c>
      <c r="D248" s="187">
        <v>280</v>
      </c>
      <c r="E248" s="190">
        <v>7615</v>
      </c>
      <c r="F248" s="191">
        <v>1000</v>
      </c>
      <c r="G248" s="255" t="s">
        <v>153</v>
      </c>
      <c r="H248" s="190">
        <v>6615</v>
      </c>
      <c r="I248" s="192">
        <v>0</v>
      </c>
      <c r="J248" s="192">
        <v>0</v>
      </c>
      <c r="K248" s="192">
        <v>0</v>
      </c>
      <c r="L248" s="190">
        <v>6615</v>
      </c>
    </row>
    <row r="249" spans="1:12" ht="15.75" x14ac:dyDescent="0.25">
      <c r="A249" s="187" t="s">
        <v>288</v>
      </c>
      <c r="B249" s="188" t="s">
        <v>426</v>
      </c>
      <c r="C249" s="189" t="s">
        <v>427</v>
      </c>
      <c r="D249" s="187">
        <v>362</v>
      </c>
      <c r="E249" s="190">
        <v>55547</v>
      </c>
      <c r="F249" s="191">
        <v>49268</v>
      </c>
      <c r="G249" s="255" t="s">
        <v>153</v>
      </c>
      <c r="H249" s="190">
        <v>6279</v>
      </c>
      <c r="I249" s="192">
        <v>0</v>
      </c>
      <c r="J249" s="192">
        <v>0</v>
      </c>
      <c r="K249" s="192">
        <v>0</v>
      </c>
      <c r="L249" s="190">
        <v>6279</v>
      </c>
    </row>
    <row r="250" spans="1:12" ht="15" customHeight="1" x14ac:dyDescent="0.25">
      <c r="A250" s="187" t="s">
        <v>288</v>
      </c>
      <c r="B250" s="188" t="s">
        <v>89</v>
      </c>
      <c r="C250" s="189" t="s">
        <v>90</v>
      </c>
      <c r="D250" s="187">
        <v>171</v>
      </c>
      <c r="E250" s="190">
        <v>160850</v>
      </c>
      <c r="F250" s="191">
        <v>55602</v>
      </c>
      <c r="G250" s="255" t="s">
        <v>153</v>
      </c>
      <c r="H250" s="190">
        <v>105248</v>
      </c>
      <c r="I250" s="192">
        <v>0</v>
      </c>
      <c r="J250" s="192">
        <v>0</v>
      </c>
      <c r="K250" s="192">
        <v>0</v>
      </c>
      <c r="L250" s="190">
        <v>105248</v>
      </c>
    </row>
    <row r="251" spans="1:12" ht="45.75" x14ac:dyDescent="0.25">
      <c r="A251" s="187" t="s">
        <v>288</v>
      </c>
      <c r="B251" s="188" t="s">
        <v>91</v>
      </c>
      <c r="C251" s="189" t="s">
        <v>92</v>
      </c>
      <c r="D251" s="187">
        <v>258</v>
      </c>
      <c r="E251" s="190">
        <v>478898</v>
      </c>
      <c r="F251" s="191">
        <v>117893</v>
      </c>
      <c r="G251" s="255" t="s">
        <v>153</v>
      </c>
      <c r="H251" s="190">
        <v>361005</v>
      </c>
      <c r="I251" s="192">
        <v>0</v>
      </c>
      <c r="J251" s="192">
        <v>0</v>
      </c>
      <c r="K251" s="192">
        <v>0</v>
      </c>
      <c r="L251" s="190">
        <v>361005</v>
      </c>
    </row>
    <row r="252" spans="1:12" ht="15.75" x14ac:dyDescent="0.25">
      <c r="A252" s="187" t="s">
        <v>288</v>
      </c>
      <c r="B252" s="188" t="s">
        <v>417</v>
      </c>
      <c r="C252" s="189" t="s">
        <v>418</v>
      </c>
      <c r="D252" s="187">
        <v>228</v>
      </c>
      <c r="E252" s="190">
        <v>51918</v>
      </c>
      <c r="F252" s="191">
        <v>1000</v>
      </c>
      <c r="G252" s="255" t="s">
        <v>153</v>
      </c>
      <c r="H252" s="190">
        <v>50918</v>
      </c>
      <c r="I252" s="192">
        <v>0</v>
      </c>
      <c r="J252" s="192">
        <v>0</v>
      </c>
      <c r="K252" s="192">
        <v>0</v>
      </c>
      <c r="L252" s="190">
        <v>50918</v>
      </c>
    </row>
    <row r="253" spans="1:12" ht="15.75" x14ac:dyDescent="0.25">
      <c r="A253" s="187" t="s">
        <v>288</v>
      </c>
      <c r="B253" s="188" t="s">
        <v>419</v>
      </c>
      <c r="C253" s="189" t="s">
        <v>420</v>
      </c>
      <c r="D253" s="187">
        <v>308</v>
      </c>
      <c r="E253" s="190">
        <v>1359</v>
      </c>
      <c r="F253" s="191">
        <v>1000</v>
      </c>
      <c r="G253" s="255" t="s">
        <v>153</v>
      </c>
      <c r="H253" s="190">
        <v>359</v>
      </c>
      <c r="I253" s="192">
        <v>0</v>
      </c>
      <c r="J253" s="192">
        <v>0</v>
      </c>
      <c r="K253" s="192">
        <v>0</v>
      </c>
      <c r="L253" s="190">
        <v>359</v>
      </c>
    </row>
    <row r="254" spans="1:12" ht="15.75" x14ac:dyDescent="0.25">
      <c r="A254" s="187" t="s">
        <v>288</v>
      </c>
      <c r="B254" s="188" t="s">
        <v>93</v>
      </c>
      <c r="C254" s="189" t="s">
        <v>75</v>
      </c>
      <c r="D254" s="187">
        <v>260</v>
      </c>
      <c r="E254" s="190">
        <v>1234226</v>
      </c>
      <c r="F254" s="191">
        <v>664042</v>
      </c>
      <c r="G254" s="255" t="s">
        <v>153</v>
      </c>
      <c r="H254" s="190">
        <v>570184</v>
      </c>
      <c r="I254" s="192">
        <v>0</v>
      </c>
      <c r="J254" s="192">
        <v>0</v>
      </c>
      <c r="K254" s="192">
        <v>0</v>
      </c>
      <c r="L254" s="190">
        <v>570184</v>
      </c>
    </row>
    <row r="255" spans="1:12" ht="15.75" x14ac:dyDescent="0.25">
      <c r="A255" s="187" t="s">
        <v>288</v>
      </c>
      <c r="B255" s="188" t="s">
        <v>107</v>
      </c>
      <c r="C255" s="189" t="s">
        <v>108</v>
      </c>
      <c r="D255" s="187">
        <v>346</v>
      </c>
      <c r="E255" s="190">
        <v>55556</v>
      </c>
      <c r="F255" s="191">
        <v>27581</v>
      </c>
      <c r="G255" s="255" t="s">
        <v>153</v>
      </c>
      <c r="H255" s="190">
        <v>27975</v>
      </c>
      <c r="I255" s="192">
        <v>0</v>
      </c>
      <c r="J255" s="192">
        <v>0</v>
      </c>
      <c r="K255" s="192">
        <v>0</v>
      </c>
      <c r="L255" s="190">
        <v>27975</v>
      </c>
    </row>
    <row r="256" spans="1:12" ht="15.75" x14ac:dyDescent="0.25">
      <c r="A256" s="187" t="s">
        <v>288</v>
      </c>
      <c r="B256" s="188" t="s">
        <v>96</v>
      </c>
      <c r="C256" s="189" t="s">
        <v>97</v>
      </c>
      <c r="D256" s="187">
        <v>351</v>
      </c>
      <c r="E256" s="190">
        <v>141465</v>
      </c>
      <c r="F256" s="191">
        <v>72454</v>
      </c>
      <c r="G256" s="255" t="s">
        <v>153</v>
      </c>
      <c r="H256" s="190">
        <v>69011</v>
      </c>
      <c r="I256" s="192">
        <v>0</v>
      </c>
      <c r="J256" s="192">
        <v>0</v>
      </c>
      <c r="K256" s="192">
        <v>0</v>
      </c>
      <c r="L256" s="190">
        <v>69011</v>
      </c>
    </row>
    <row r="257" spans="1:12" ht="15.75" x14ac:dyDescent="0.25">
      <c r="A257" s="206" t="s">
        <v>289</v>
      </c>
      <c r="B257" s="258" t="s">
        <v>153</v>
      </c>
      <c r="C257" s="258" t="s">
        <v>153</v>
      </c>
      <c r="D257" s="258" t="s">
        <v>153</v>
      </c>
      <c r="E257" s="207">
        <f>SUBTOTAL(109,school201314[Program
Costs])</f>
        <v>97556264</v>
      </c>
      <c r="F257" s="216">
        <f>SUBTOTAL(109,school201314[Less: Net
 Payments and 
Offsets 2])</f>
        <v>76061480</v>
      </c>
      <c r="G257" s="256" t="s">
        <v>153</v>
      </c>
      <c r="H257" s="207">
        <f>SUBTOTAL(109,school201314[Accounts Payable
Balance])</f>
        <v>21494784</v>
      </c>
      <c r="I257" s="209">
        <f>SUBTOTAL(109,school201314[Established
Accounts Receivable])</f>
        <v>0</v>
      </c>
      <c r="J257" s="209">
        <f>SUBTOTAL(109,school201314[Less: 
Recovered 
Amount])</f>
        <v>0</v>
      </c>
      <c r="K257" s="209">
        <f>SUBTOTAL(109,school201314[Accounts Receivable
Balance])</f>
        <v>0</v>
      </c>
      <c r="L257" s="207">
        <f>SUBTOTAL(109,school201314[Net
Balance])</f>
        <v>21494784</v>
      </c>
    </row>
    <row r="258" spans="1:12" ht="15.75" x14ac:dyDescent="0.25">
      <c r="A258" s="146" t="s">
        <v>181</v>
      </c>
      <c r="B258" s="221"/>
      <c r="C258" s="220"/>
      <c r="D258" s="222"/>
      <c r="E258" s="223"/>
      <c r="F258" s="224"/>
      <c r="G258" s="225"/>
      <c r="H258" s="223"/>
      <c r="I258" s="226"/>
      <c r="J258" s="226"/>
      <c r="K258" s="226"/>
      <c r="L258" s="223"/>
    </row>
    <row r="259" spans="1:12" ht="50.1" customHeight="1" x14ac:dyDescent="0.25">
      <c r="A259" s="211" t="s">
        <v>221</v>
      </c>
      <c r="B259" s="211" t="s">
        <v>268</v>
      </c>
      <c r="C259" s="21" t="s">
        <v>2</v>
      </c>
      <c r="D259" s="211" t="s">
        <v>280</v>
      </c>
      <c r="E259" s="212" t="s">
        <v>223</v>
      </c>
      <c r="F259" s="213" t="s">
        <v>509</v>
      </c>
      <c r="G259" s="252" t="s">
        <v>176</v>
      </c>
      <c r="H259" s="214" t="s">
        <v>270</v>
      </c>
      <c r="I259" s="151" t="s">
        <v>271</v>
      </c>
      <c r="J259" s="212" t="s">
        <v>282</v>
      </c>
      <c r="K259" s="214" t="s">
        <v>272</v>
      </c>
      <c r="L259" s="212" t="s">
        <v>273</v>
      </c>
    </row>
    <row r="260" spans="1:12" ht="15.75" x14ac:dyDescent="0.25">
      <c r="A260" s="187" t="s">
        <v>290</v>
      </c>
      <c r="B260" s="188" t="s">
        <v>407</v>
      </c>
      <c r="C260" s="210" t="s">
        <v>408</v>
      </c>
      <c r="D260" s="187">
        <v>305</v>
      </c>
      <c r="E260" s="190">
        <v>75875</v>
      </c>
      <c r="F260" s="191">
        <v>21976</v>
      </c>
      <c r="G260" s="255" t="s">
        <v>153</v>
      </c>
      <c r="H260" s="190">
        <v>53899</v>
      </c>
      <c r="I260" s="192">
        <v>0</v>
      </c>
      <c r="J260" s="192">
        <v>0</v>
      </c>
      <c r="K260" s="192">
        <v>0</v>
      </c>
      <c r="L260" s="190">
        <v>53899</v>
      </c>
    </row>
    <row r="261" spans="1:12" ht="30.75" x14ac:dyDescent="0.25">
      <c r="A261" s="187" t="s">
        <v>290</v>
      </c>
      <c r="B261" s="188" t="s">
        <v>53</v>
      </c>
      <c r="C261" s="189" t="s">
        <v>54</v>
      </c>
      <c r="D261" s="187">
        <v>250</v>
      </c>
      <c r="E261" s="190">
        <v>140238</v>
      </c>
      <c r="F261" s="191">
        <v>56175</v>
      </c>
      <c r="G261" s="255" t="s">
        <v>153</v>
      </c>
      <c r="H261" s="190">
        <v>84063</v>
      </c>
      <c r="I261" s="192">
        <v>0</v>
      </c>
      <c r="J261" s="192">
        <v>0</v>
      </c>
      <c r="K261" s="192">
        <v>0</v>
      </c>
      <c r="L261" s="190">
        <v>84063</v>
      </c>
    </row>
    <row r="262" spans="1:12" ht="30.75" x14ac:dyDescent="0.25">
      <c r="A262" s="187" t="s">
        <v>290</v>
      </c>
      <c r="B262" s="188" t="s">
        <v>428</v>
      </c>
      <c r="C262" s="189" t="s">
        <v>429</v>
      </c>
      <c r="D262" s="187">
        <v>349</v>
      </c>
      <c r="E262" s="190">
        <v>567515</v>
      </c>
      <c r="F262" s="191">
        <v>339292</v>
      </c>
      <c r="G262" s="255" t="s">
        <v>153</v>
      </c>
      <c r="H262" s="190">
        <v>228223</v>
      </c>
      <c r="I262" s="192">
        <v>0</v>
      </c>
      <c r="J262" s="192">
        <v>0</v>
      </c>
      <c r="K262" s="192">
        <v>0</v>
      </c>
      <c r="L262" s="190">
        <v>228223</v>
      </c>
    </row>
    <row r="263" spans="1:12" ht="15" customHeight="1" x14ac:dyDescent="0.25">
      <c r="A263" s="187" t="s">
        <v>290</v>
      </c>
      <c r="B263" s="188" t="s">
        <v>421</v>
      </c>
      <c r="C263" s="189" t="s">
        <v>302</v>
      </c>
      <c r="D263" s="187">
        <v>354</v>
      </c>
      <c r="E263" s="190">
        <v>138826</v>
      </c>
      <c r="F263" s="191">
        <v>96195</v>
      </c>
      <c r="G263" s="255" t="s">
        <v>153</v>
      </c>
      <c r="H263" s="190">
        <v>42631</v>
      </c>
      <c r="I263" s="192">
        <v>0</v>
      </c>
      <c r="J263" s="192">
        <v>0</v>
      </c>
      <c r="K263" s="192">
        <v>0</v>
      </c>
      <c r="L263" s="190">
        <v>42631</v>
      </c>
    </row>
    <row r="264" spans="1:12" ht="30.75" x14ac:dyDescent="0.25">
      <c r="A264" s="187" t="s">
        <v>290</v>
      </c>
      <c r="B264" s="188" t="s">
        <v>422</v>
      </c>
      <c r="C264" s="189" t="s">
        <v>423</v>
      </c>
      <c r="D264" s="187">
        <v>286</v>
      </c>
      <c r="E264" s="190">
        <v>3927</v>
      </c>
      <c r="F264" s="191">
        <v>2888</v>
      </c>
      <c r="G264" s="255" t="s">
        <v>153</v>
      </c>
      <c r="H264" s="190">
        <v>1039</v>
      </c>
      <c r="I264" s="192">
        <v>0</v>
      </c>
      <c r="J264" s="192">
        <v>0</v>
      </c>
      <c r="K264" s="192">
        <v>0</v>
      </c>
      <c r="L264" s="190">
        <v>1039</v>
      </c>
    </row>
    <row r="265" spans="1:12" ht="30.75" x14ac:dyDescent="0.25">
      <c r="A265" s="187" t="s">
        <v>290</v>
      </c>
      <c r="B265" s="188" t="s">
        <v>57</v>
      </c>
      <c r="C265" s="189" t="s">
        <v>58</v>
      </c>
      <c r="D265" s="187">
        <v>172</v>
      </c>
      <c r="E265" s="190">
        <v>112635</v>
      </c>
      <c r="F265" s="191">
        <v>61328</v>
      </c>
      <c r="G265" s="255" t="s">
        <v>153</v>
      </c>
      <c r="H265" s="190">
        <v>51307</v>
      </c>
      <c r="I265" s="192">
        <v>0</v>
      </c>
      <c r="J265" s="192">
        <v>0</v>
      </c>
      <c r="K265" s="192">
        <v>0</v>
      </c>
      <c r="L265" s="190">
        <v>51307</v>
      </c>
    </row>
    <row r="266" spans="1:12" ht="15.75" x14ac:dyDescent="0.25">
      <c r="A266" s="187" t="s">
        <v>290</v>
      </c>
      <c r="B266" s="188" t="s">
        <v>403</v>
      </c>
      <c r="C266" s="189" t="s">
        <v>404</v>
      </c>
      <c r="D266" s="187">
        <v>278</v>
      </c>
      <c r="E266" s="190">
        <v>125147</v>
      </c>
      <c r="F266" s="191">
        <v>88618</v>
      </c>
      <c r="G266" s="255" t="s">
        <v>153</v>
      </c>
      <c r="H266" s="190">
        <v>36529</v>
      </c>
      <c r="I266" s="192">
        <v>0</v>
      </c>
      <c r="J266" s="192">
        <v>0</v>
      </c>
      <c r="K266" s="192">
        <v>0</v>
      </c>
      <c r="L266" s="190">
        <v>36529</v>
      </c>
    </row>
    <row r="267" spans="1:12" ht="15.75" customHeight="1" x14ac:dyDescent="0.25">
      <c r="A267" s="187" t="s">
        <v>290</v>
      </c>
      <c r="B267" s="188" t="s">
        <v>424</v>
      </c>
      <c r="C267" s="189" t="s">
        <v>425</v>
      </c>
      <c r="D267" s="187">
        <v>337</v>
      </c>
      <c r="E267" s="190">
        <v>25128</v>
      </c>
      <c r="F267" s="191">
        <v>9606</v>
      </c>
      <c r="G267" s="255" t="s">
        <v>153</v>
      </c>
      <c r="H267" s="190">
        <v>15522</v>
      </c>
      <c r="I267" s="192">
        <v>0</v>
      </c>
      <c r="J267" s="192">
        <v>0</v>
      </c>
      <c r="K267" s="192">
        <v>0</v>
      </c>
      <c r="L267" s="190">
        <v>15522</v>
      </c>
    </row>
    <row r="268" spans="1:12" ht="15.75" x14ac:dyDescent="0.25">
      <c r="A268" s="187" t="s">
        <v>290</v>
      </c>
      <c r="B268" s="188" t="s">
        <v>409</v>
      </c>
      <c r="C268" s="189" t="s">
        <v>410</v>
      </c>
      <c r="D268" s="187">
        <v>309</v>
      </c>
      <c r="E268" s="190">
        <v>1813</v>
      </c>
      <c r="F268" s="191">
        <v>1000</v>
      </c>
      <c r="G268" s="255" t="s">
        <v>153</v>
      </c>
      <c r="H268" s="190">
        <v>813</v>
      </c>
      <c r="I268" s="192">
        <v>0</v>
      </c>
      <c r="J268" s="192">
        <v>0</v>
      </c>
      <c r="K268" s="192">
        <v>0</v>
      </c>
      <c r="L268" s="190">
        <v>813</v>
      </c>
    </row>
    <row r="269" spans="1:12" ht="30.75" x14ac:dyDescent="0.25">
      <c r="A269" s="187" t="s">
        <v>290</v>
      </c>
      <c r="B269" s="188" t="s">
        <v>50</v>
      </c>
      <c r="C269" s="189" t="s">
        <v>51</v>
      </c>
      <c r="D269" s="187">
        <v>11</v>
      </c>
      <c r="E269" s="190">
        <v>3499394</v>
      </c>
      <c r="F269" s="191">
        <v>2246286</v>
      </c>
      <c r="G269" s="255" t="s">
        <v>153</v>
      </c>
      <c r="H269" s="190">
        <v>1253108</v>
      </c>
      <c r="I269" s="192">
        <v>0</v>
      </c>
      <c r="J269" s="192">
        <v>0</v>
      </c>
      <c r="K269" s="192">
        <v>0</v>
      </c>
      <c r="L269" s="190">
        <v>1253108</v>
      </c>
    </row>
    <row r="270" spans="1:12" ht="30.75" x14ac:dyDescent="0.25">
      <c r="A270" s="187" t="s">
        <v>290</v>
      </c>
      <c r="B270" s="188" t="s">
        <v>59</v>
      </c>
      <c r="C270" s="189" t="s">
        <v>60</v>
      </c>
      <c r="D270" s="187">
        <v>313</v>
      </c>
      <c r="E270" s="190">
        <v>635945</v>
      </c>
      <c r="F270" s="191">
        <v>302976</v>
      </c>
      <c r="G270" s="255" t="s">
        <v>153</v>
      </c>
      <c r="H270" s="190">
        <v>332969</v>
      </c>
      <c r="I270" s="192">
        <v>0</v>
      </c>
      <c r="J270" s="192">
        <v>0</v>
      </c>
      <c r="K270" s="192">
        <v>0</v>
      </c>
      <c r="L270" s="190">
        <v>332969</v>
      </c>
    </row>
    <row r="271" spans="1:12" ht="30.75" x14ac:dyDescent="0.25">
      <c r="A271" s="187" t="s">
        <v>290</v>
      </c>
      <c r="B271" s="188" t="s">
        <v>61</v>
      </c>
      <c r="C271" s="189" t="s">
        <v>62</v>
      </c>
      <c r="D271" s="187">
        <v>330</v>
      </c>
      <c r="E271" s="190">
        <v>796292</v>
      </c>
      <c r="F271" s="191">
        <v>385103</v>
      </c>
      <c r="G271" s="255" t="s">
        <v>153</v>
      </c>
      <c r="H271" s="190">
        <v>411189</v>
      </c>
      <c r="I271" s="192">
        <v>0</v>
      </c>
      <c r="J271" s="192">
        <v>0</v>
      </c>
      <c r="K271" s="192">
        <v>0</v>
      </c>
      <c r="L271" s="190">
        <v>411189</v>
      </c>
    </row>
    <row r="272" spans="1:12" ht="45.75" x14ac:dyDescent="0.25">
      <c r="A272" s="187" t="s">
        <v>290</v>
      </c>
      <c r="B272" s="188" t="s">
        <v>63</v>
      </c>
      <c r="C272" s="189" t="s">
        <v>64</v>
      </c>
      <c r="D272" s="187">
        <v>272</v>
      </c>
      <c r="E272" s="190">
        <v>998437</v>
      </c>
      <c r="F272" s="191">
        <v>714840</v>
      </c>
      <c r="G272" s="255" t="s">
        <v>153</v>
      </c>
      <c r="H272" s="190">
        <v>283597</v>
      </c>
      <c r="I272" s="192">
        <v>0</v>
      </c>
      <c r="J272" s="192">
        <v>0</v>
      </c>
      <c r="K272" s="192">
        <v>0</v>
      </c>
      <c r="L272" s="190">
        <v>283597</v>
      </c>
    </row>
    <row r="273" spans="1:12" ht="45.75" x14ac:dyDescent="0.25">
      <c r="A273" s="187" t="s">
        <v>290</v>
      </c>
      <c r="B273" s="188" t="s">
        <v>65</v>
      </c>
      <c r="C273" s="189" t="s">
        <v>66</v>
      </c>
      <c r="D273" s="187">
        <v>276</v>
      </c>
      <c r="E273" s="190">
        <v>107115</v>
      </c>
      <c r="F273" s="191">
        <v>46927</v>
      </c>
      <c r="G273" s="255" t="s">
        <v>153</v>
      </c>
      <c r="H273" s="190">
        <v>60188</v>
      </c>
      <c r="I273" s="192">
        <v>0</v>
      </c>
      <c r="J273" s="192">
        <v>0</v>
      </c>
      <c r="K273" s="192">
        <v>0</v>
      </c>
      <c r="L273" s="190">
        <v>60188</v>
      </c>
    </row>
    <row r="274" spans="1:12" ht="75.75" x14ac:dyDescent="0.25">
      <c r="A274" s="187" t="s">
        <v>290</v>
      </c>
      <c r="B274" s="188" t="s">
        <v>67</v>
      </c>
      <c r="C274" s="189" t="s">
        <v>68</v>
      </c>
      <c r="D274" s="187">
        <v>292</v>
      </c>
      <c r="E274" s="190">
        <v>1238142</v>
      </c>
      <c r="F274" s="191">
        <v>557867</v>
      </c>
      <c r="G274" s="255" t="s">
        <v>153</v>
      </c>
      <c r="H274" s="190">
        <v>680275</v>
      </c>
      <c r="I274" s="192">
        <v>0</v>
      </c>
      <c r="J274" s="192">
        <v>0</v>
      </c>
      <c r="K274" s="192">
        <v>0</v>
      </c>
      <c r="L274" s="190">
        <v>680275</v>
      </c>
    </row>
    <row r="275" spans="1:12" ht="30.75" x14ac:dyDescent="0.25">
      <c r="A275" s="187" t="s">
        <v>290</v>
      </c>
      <c r="B275" s="188" t="s">
        <v>69</v>
      </c>
      <c r="C275" s="189" t="s">
        <v>70</v>
      </c>
      <c r="D275" s="187">
        <v>209</v>
      </c>
      <c r="E275" s="190">
        <v>169611</v>
      </c>
      <c r="F275" s="191">
        <v>1000</v>
      </c>
      <c r="G275" s="255" t="s">
        <v>153</v>
      </c>
      <c r="H275" s="190">
        <v>168611</v>
      </c>
      <c r="I275" s="192">
        <v>0</v>
      </c>
      <c r="J275" s="192">
        <v>0</v>
      </c>
      <c r="K275" s="192">
        <v>0</v>
      </c>
      <c r="L275" s="190">
        <v>168611</v>
      </c>
    </row>
    <row r="276" spans="1:12" ht="15.75" x14ac:dyDescent="0.25">
      <c r="A276" s="187" t="s">
        <v>290</v>
      </c>
      <c r="B276" s="188" t="s">
        <v>71</v>
      </c>
      <c r="C276" s="189" t="s">
        <v>72</v>
      </c>
      <c r="D276" s="187">
        <v>183</v>
      </c>
      <c r="E276" s="190">
        <v>85755</v>
      </c>
      <c r="F276" s="191">
        <v>48045</v>
      </c>
      <c r="G276" s="255" t="s">
        <v>153</v>
      </c>
      <c r="H276" s="190">
        <v>37710</v>
      </c>
      <c r="I276" s="192">
        <v>0</v>
      </c>
      <c r="J276" s="192">
        <v>0</v>
      </c>
      <c r="K276" s="192">
        <v>0</v>
      </c>
      <c r="L276" s="190">
        <v>37710</v>
      </c>
    </row>
    <row r="277" spans="1:12" ht="15.75" x14ac:dyDescent="0.25">
      <c r="A277" s="187" t="s">
        <v>290</v>
      </c>
      <c r="B277" s="188" t="s">
        <v>100</v>
      </c>
      <c r="C277" s="189" t="s">
        <v>101</v>
      </c>
      <c r="D277" s="187">
        <v>251</v>
      </c>
      <c r="E277" s="190">
        <v>81057</v>
      </c>
      <c r="F277" s="191">
        <v>30477</v>
      </c>
      <c r="G277" s="255" t="s">
        <v>153</v>
      </c>
      <c r="H277" s="190">
        <v>50580</v>
      </c>
      <c r="I277" s="192">
        <v>0</v>
      </c>
      <c r="J277" s="192">
        <v>0</v>
      </c>
      <c r="K277" s="192">
        <v>0</v>
      </c>
      <c r="L277" s="190">
        <v>50580</v>
      </c>
    </row>
    <row r="278" spans="1:12" ht="30.75" x14ac:dyDescent="0.25">
      <c r="A278" s="187" t="s">
        <v>290</v>
      </c>
      <c r="B278" s="188" t="s">
        <v>411</v>
      </c>
      <c r="C278" s="189" t="s">
        <v>62</v>
      </c>
      <c r="D278" s="187">
        <v>91</v>
      </c>
      <c r="E278" s="190">
        <v>2506</v>
      </c>
      <c r="F278" s="191">
        <v>2074</v>
      </c>
      <c r="G278" s="255" t="s">
        <v>153</v>
      </c>
      <c r="H278" s="190">
        <v>432</v>
      </c>
      <c r="I278" s="192">
        <v>0</v>
      </c>
      <c r="J278" s="192">
        <v>0</v>
      </c>
      <c r="K278" s="192">
        <v>0</v>
      </c>
      <c r="L278" s="190">
        <v>432</v>
      </c>
    </row>
    <row r="279" spans="1:12" ht="15.75" x14ac:dyDescent="0.25">
      <c r="A279" s="187" t="s">
        <v>290</v>
      </c>
      <c r="B279" s="188" t="s">
        <v>73</v>
      </c>
      <c r="C279" s="189" t="s">
        <v>52</v>
      </c>
      <c r="D279" s="187">
        <v>192</v>
      </c>
      <c r="E279" s="190">
        <v>81021</v>
      </c>
      <c r="F279" s="191">
        <v>44621</v>
      </c>
      <c r="G279" s="255" t="s">
        <v>153</v>
      </c>
      <c r="H279" s="190">
        <v>36400</v>
      </c>
      <c r="I279" s="192">
        <v>0</v>
      </c>
      <c r="J279" s="192">
        <v>0</v>
      </c>
      <c r="K279" s="192">
        <v>0</v>
      </c>
      <c r="L279" s="190">
        <v>36400</v>
      </c>
    </row>
    <row r="280" spans="1:12" ht="30.75" x14ac:dyDescent="0.25">
      <c r="A280" s="187" t="s">
        <v>290</v>
      </c>
      <c r="B280" s="188" t="s">
        <v>74</v>
      </c>
      <c r="C280" s="189" t="s">
        <v>75</v>
      </c>
      <c r="D280" s="187">
        <v>297</v>
      </c>
      <c r="E280" s="190">
        <v>228196763</v>
      </c>
      <c r="F280" s="191">
        <v>126160381</v>
      </c>
      <c r="G280" s="255" t="s">
        <v>153</v>
      </c>
      <c r="H280" s="190">
        <v>102036382</v>
      </c>
      <c r="I280" s="192">
        <v>0</v>
      </c>
      <c r="J280" s="192">
        <v>0</v>
      </c>
      <c r="K280" s="192">
        <v>0</v>
      </c>
      <c r="L280" s="190">
        <v>102036382</v>
      </c>
    </row>
    <row r="281" spans="1:12" ht="15.75" x14ac:dyDescent="0.25">
      <c r="A281" s="187" t="s">
        <v>290</v>
      </c>
      <c r="B281" s="188" t="s">
        <v>76</v>
      </c>
      <c r="C281" s="189" t="s">
        <v>77</v>
      </c>
      <c r="D281" s="187">
        <v>166</v>
      </c>
      <c r="E281" s="190">
        <v>1479696</v>
      </c>
      <c r="F281" s="191">
        <v>867256</v>
      </c>
      <c r="G281" s="255" t="s">
        <v>153</v>
      </c>
      <c r="H281" s="190">
        <v>612440</v>
      </c>
      <c r="I281" s="192">
        <v>0</v>
      </c>
      <c r="J281" s="192">
        <v>0</v>
      </c>
      <c r="K281" s="192">
        <v>0</v>
      </c>
      <c r="L281" s="190">
        <v>612440</v>
      </c>
    </row>
    <row r="282" spans="1:12" ht="15" customHeight="1" x14ac:dyDescent="0.25">
      <c r="A282" s="187" t="s">
        <v>290</v>
      </c>
      <c r="B282" s="188" t="s">
        <v>412</v>
      </c>
      <c r="C282" s="189" t="s">
        <v>413</v>
      </c>
      <c r="D282" s="187">
        <v>268</v>
      </c>
      <c r="E282" s="190">
        <v>1374928</v>
      </c>
      <c r="F282" s="191">
        <v>476655</v>
      </c>
      <c r="G282" s="255" t="s">
        <v>153</v>
      </c>
      <c r="H282" s="190">
        <v>898273</v>
      </c>
      <c r="I282" s="192">
        <v>0</v>
      </c>
      <c r="J282" s="192">
        <v>0</v>
      </c>
      <c r="K282" s="192">
        <v>0</v>
      </c>
      <c r="L282" s="190">
        <v>898273</v>
      </c>
    </row>
    <row r="283" spans="1:12" ht="15.75" x14ac:dyDescent="0.25">
      <c r="A283" s="187" t="s">
        <v>290</v>
      </c>
      <c r="B283" s="188" t="s">
        <v>78</v>
      </c>
      <c r="C283" s="189" t="s">
        <v>79</v>
      </c>
      <c r="D283" s="187">
        <v>32</v>
      </c>
      <c r="E283" s="190">
        <v>754201</v>
      </c>
      <c r="F283" s="191">
        <v>594151</v>
      </c>
      <c r="G283" s="255" t="s">
        <v>153</v>
      </c>
      <c r="H283" s="190">
        <v>160050</v>
      </c>
      <c r="I283" s="192">
        <v>0</v>
      </c>
      <c r="J283" s="192">
        <v>0</v>
      </c>
      <c r="K283" s="192">
        <v>0</v>
      </c>
      <c r="L283" s="190">
        <v>160050</v>
      </c>
    </row>
    <row r="284" spans="1:12" ht="15.75" x14ac:dyDescent="0.25">
      <c r="A284" s="187" t="s">
        <v>290</v>
      </c>
      <c r="B284" s="188" t="s">
        <v>430</v>
      </c>
      <c r="C284" s="189" t="s">
        <v>81</v>
      </c>
      <c r="D284" s="187">
        <v>230</v>
      </c>
      <c r="E284" s="190">
        <v>851669</v>
      </c>
      <c r="F284" s="191">
        <v>696961</v>
      </c>
      <c r="G284" s="255" t="s">
        <v>153</v>
      </c>
      <c r="H284" s="190">
        <v>154708</v>
      </c>
      <c r="I284" s="192">
        <v>0</v>
      </c>
      <c r="J284" s="192">
        <v>0</v>
      </c>
      <c r="K284" s="192">
        <v>0</v>
      </c>
      <c r="L284" s="190">
        <v>154708</v>
      </c>
    </row>
    <row r="285" spans="1:12" ht="15.75" x14ac:dyDescent="0.25">
      <c r="A285" s="187" t="s">
        <v>290</v>
      </c>
      <c r="B285" s="188" t="s">
        <v>82</v>
      </c>
      <c r="C285" s="189" t="s">
        <v>83</v>
      </c>
      <c r="D285" s="187">
        <v>357</v>
      </c>
      <c r="E285" s="190">
        <v>1834289</v>
      </c>
      <c r="F285" s="191">
        <v>1568232</v>
      </c>
      <c r="G285" s="255" t="s">
        <v>153</v>
      </c>
      <c r="H285" s="190">
        <v>266057</v>
      </c>
      <c r="I285" s="192">
        <v>0</v>
      </c>
      <c r="J285" s="192">
        <v>0</v>
      </c>
      <c r="K285" s="192">
        <v>0</v>
      </c>
      <c r="L285" s="190">
        <v>266057</v>
      </c>
    </row>
    <row r="286" spans="1:12" ht="15.75" x14ac:dyDescent="0.25">
      <c r="A286" s="187" t="s">
        <v>290</v>
      </c>
      <c r="B286" s="188" t="s">
        <v>414</v>
      </c>
      <c r="C286" s="189" t="s">
        <v>415</v>
      </c>
      <c r="D286" s="187">
        <v>148</v>
      </c>
      <c r="E286" s="190">
        <v>14148</v>
      </c>
      <c r="F286" s="191">
        <v>3224</v>
      </c>
      <c r="G286" s="255" t="s">
        <v>153</v>
      </c>
      <c r="H286" s="190">
        <v>10924</v>
      </c>
      <c r="I286" s="192">
        <v>0</v>
      </c>
      <c r="J286" s="192">
        <v>0</v>
      </c>
      <c r="K286" s="192">
        <v>0</v>
      </c>
      <c r="L286" s="190">
        <v>10924</v>
      </c>
    </row>
    <row r="287" spans="1:12" ht="15.75" x14ac:dyDescent="0.25">
      <c r="A287" s="187" t="s">
        <v>290</v>
      </c>
      <c r="B287" s="188" t="s">
        <v>84</v>
      </c>
      <c r="C287" s="189" t="s">
        <v>85</v>
      </c>
      <c r="D287" s="187">
        <v>153</v>
      </c>
      <c r="E287" s="190">
        <v>655319</v>
      </c>
      <c r="F287" s="191">
        <v>407291</v>
      </c>
      <c r="G287" s="255" t="s">
        <v>153</v>
      </c>
      <c r="H287" s="190">
        <v>248028</v>
      </c>
      <c r="I287" s="192">
        <v>0</v>
      </c>
      <c r="J287" s="192">
        <v>0</v>
      </c>
      <c r="K287" s="192">
        <v>0</v>
      </c>
      <c r="L287" s="190">
        <v>248028</v>
      </c>
    </row>
    <row r="288" spans="1:12" ht="15.75" x14ac:dyDescent="0.25">
      <c r="A288" s="187" t="s">
        <v>290</v>
      </c>
      <c r="B288" s="188" t="s">
        <v>102</v>
      </c>
      <c r="C288" s="189" t="s">
        <v>103</v>
      </c>
      <c r="D288" s="187">
        <v>155</v>
      </c>
      <c r="E288" s="190">
        <v>491903</v>
      </c>
      <c r="F288" s="191">
        <v>7255</v>
      </c>
      <c r="G288" s="255" t="s">
        <v>153</v>
      </c>
      <c r="H288" s="190">
        <v>484648</v>
      </c>
      <c r="I288" s="192">
        <v>0</v>
      </c>
      <c r="J288" s="192">
        <v>0</v>
      </c>
      <c r="K288" s="192">
        <v>0</v>
      </c>
      <c r="L288" s="190">
        <v>484648</v>
      </c>
    </row>
    <row r="289" spans="1:12" ht="15.75" x14ac:dyDescent="0.25">
      <c r="A289" s="187" t="s">
        <v>290</v>
      </c>
      <c r="B289" s="188" t="s">
        <v>431</v>
      </c>
      <c r="C289" s="189" t="s">
        <v>306</v>
      </c>
      <c r="D289" s="187">
        <v>319</v>
      </c>
      <c r="E289" s="190">
        <v>3798622</v>
      </c>
      <c r="F289" s="191">
        <v>1953055</v>
      </c>
      <c r="G289" s="255" t="s">
        <v>153</v>
      </c>
      <c r="H289" s="190">
        <v>1845567</v>
      </c>
      <c r="I289" s="192">
        <v>0</v>
      </c>
      <c r="J289" s="192">
        <v>0</v>
      </c>
      <c r="K289" s="192">
        <v>0</v>
      </c>
      <c r="L289" s="190">
        <v>1845567</v>
      </c>
    </row>
    <row r="290" spans="1:12" ht="15.75" x14ac:dyDescent="0.25">
      <c r="A290" s="187" t="s">
        <v>290</v>
      </c>
      <c r="B290" s="188" t="s">
        <v>86</v>
      </c>
      <c r="C290" s="189" t="s">
        <v>75</v>
      </c>
      <c r="D290" s="187">
        <v>48</v>
      </c>
      <c r="E290" s="190">
        <v>2738890</v>
      </c>
      <c r="F290" s="191">
        <v>1912990</v>
      </c>
      <c r="G290" s="255" t="s">
        <v>153</v>
      </c>
      <c r="H290" s="190">
        <v>825900</v>
      </c>
      <c r="I290" s="192">
        <v>0</v>
      </c>
      <c r="J290" s="192">
        <v>0</v>
      </c>
      <c r="K290" s="192">
        <v>0</v>
      </c>
      <c r="L290" s="190">
        <v>825900</v>
      </c>
    </row>
    <row r="291" spans="1:12" ht="15.75" x14ac:dyDescent="0.25">
      <c r="A291" s="187" t="s">
        <v>290</v>
      </c>
      <c r="B291" s="188" t="s">
        <v>293</v>
      </c>
      <c r="C291" s="189" t="s">
        <v>294</v>
      </c>
      <c r="D291" s="187">
        <v>218</v>
      </c>
      <c r="E291" s="190">
        <v>212932</v>
      </c>
      <c r="F291" s="191">
        <v>98885</v>
      </c>
      <c r="G291" s="255" t="s">
        <v>153</v>
      </c>
      <c r="H291" s="190">
        <v>114047</v>
      </c>
      <c r="I291" s="192">
        <v>0</v>
      </c>
      <c r="J291" s="192">
        <v>0</v>
      </c>
      <c r="K291" s="192">
        <v>0</v>
      </c>
      <c r="L291" s="190">
        <v>114047</v>
      </c>
    </row>
    <row r="292" spans="1:12" ht="15.75" customHeight="1" x14ac:dyDescent="0.25">
      <c r="A292" s="187" t="s">
        <v>290</v>
      </c>
      <c r="B292" s="188" t="s">
        <v>87</v>
      </c>
      <c r="C292" s="189" t="s">
        <v>88</v>
      </c>
      <c r="D292" s="187">
        <v>350</v>
      </c>
      <c r="E292" s="190">
        <v>204331</v>
      </c>
      <c r="F292" s="191">
        <v>92283</v>
      </c>
      <c r="G292" s="255" t="s">
        <v>153</v>
      </c>
      <c r="H292" s="190">
        <v>112048</v>
      </c>
      <c r="I292" s="190">
        <v>1000</v>
      </c>
      <c r="J292" s="190">
        <v>1000</v>
      </c>
      <c r="K292" s="192">
        <v>0</v>
      </c>
      <c r="L292" s="190">
        <v>112048</v>
      </c>
    </row>
    <row r="293" spans="1:12" ht="15.75" x14ac:dyDescent="0.25">
      <c r="A293" s="187" t="s">
        <v>290</v>
      </c>
      <c r="B293" s="188" t="s">
        <v>104</v>
      </c>
      <c r="C293" s="189" t="s">
        <v>105</v>
      </c>
      <c r="D293" s="187">
        <v>173</v>
      </c>
      <c r="E293" s="190">
        <v>269560</v>
      </c>
      <c r="F293" s="191">
        <v>180691</v>
      </c>
      <c r="G293" s="255" t="s">
        <v>153</v>
      </c>
      <c r="H293" s="190">
        <v>88869</v>
      </c>
      <c r="I293" s="192">
        <v>0</v>
      </c>
      <c r="J293" s="192">
        <v>0</v>
      </c>
      <c r="K293" s="192">
        <v>0</v>
      </c>
      <c r="L293" s="190">
        <v>88869</v>
      </c>
    </row>
    <row r="294" spans="1:12" ht="15.75" x14ac:dyDescent="0.25">
      <c r="A294" s="187" t="s">
        <v>290</v>
      </c>
      <c r="B294" s="188" t="s">
        <v>432</v>
      </c>
      <c r="C294" s="189" t="s">
        <v>433</v>
      </c>
      <c r="D294" s="187">
        <v>335</v>
      </c>
      <c r="E294" s="190">
        <v>3331</v>
      </c>
      <c r="F294" s="191">
        <v>1000</v>
      </c>
      <c r="G294" s="255" t="s">
        <v>153</v>
      </c>
      <c r="H294" s="190">
        <v>2331</v>
      </c>
      <c r="I294" s="192">
        <v>0</v>
      </c>
      <c r="J294" s="192">
        <v>0</v>
      </c>
      <c r="K294" s="192">
        <v>0</v>
      </c>
      <c r="L294" s="190">
        <v>2331</v>
      </c>
    </row>
    <row r="295" spans="1:12" ht="30.75" x14ac:dyDescent="0.25">
      <c r="A295" s="187" t="s">
        <v>290</v>
      </c>
      <c r="B295" s="188" t="s">
        <v>405</v>
      </c>
      <c r="C295" s="189" t="s">
        <v>406</v>
      </c>
      <c r="D295" s="187">
        <v>261</v>
      </c>
      <c r="E295" s="190">
        <v>120472</v>
      </c>
      <c r="F295" s="191">
        <v>88845</v>
      </c>
      <c r="G295" s="255" t="s">
        <v>153</v>
      </c>
      <c r="H295" s="190">
        <v>31627</v>
      </c>
      <c r="I295" s="192">
        <v>0</v>
      </c>
      <c r="J295" s="192">
        <v>0</v>
      </c>
      <c r="K295" s="192">
        <v>0</v>
      </c>
      <c r="L295" s="190">
        <v>31627</v>
      </c>
    </row>
    <row r="296" spans="1:12" ht="15" customHeight="1" x14ac:dyDescent="0.25">
      <c r="A296" s="187" t="s">
        <v>290</v>
      </c>
      <c r="B296" s="188" t="s">
        <v>106</v>
      </c>
      <c r="C296" s="189" t="s">
        <v>92</v>
      </c>
      <c r="D296" s="187">
        <v>244</v>
      </c>
      <c r="E296" s="190">
        <v>302754</v>
      </c>
      <c r="F296" s="191">
        <v>210002</v>
      </c>
      <c r="G296" s="255" t="s">
        <v>153</v>
      </c>
      <c r="H296" s="190">
        <v>92752</v>
      </c>
      <c r="I296" s="192">
        <v>0</v>
      </c>
      <c r="J296" s="192">
        <v>0</v>
      </c>
      <c r="K296" s="192">
        <v>0</v>
      </c>
      <c r="L296" s="190">
        <v>92752</v>
      </c>
    </row>
    <row r="297" spans="1:12" ht="15.75" x14ac:dyDescent="0.25">
      <c r="A297" s="187" t="s">
        <v>290</v>
      </c>
      <c r="B297" s="188" t="s">
        <v>416</v>
      </c>
      <c r="C297" s="189" t="s">
        <v>75</v>
      </c>
      <c r="D297" s="187">
        <v>280</v>
      </c>
      <c r="E297" s="190">
        <v>11550</v>
      </c>
      <c r="F297" s="191">
        <v>1000</v>
      </c>
      <c r="G297" s="255" t="s">
        <v>153</v>
      </c>
      <c r="H297" s="190">
        <v>10550</v>
      </c>
      <c r="I297" s="192">
        <v>0</v>
      </c>
      <c r="J297" s="192">
        <v>0</v>
      </c>
      <c r="K297" s="192">
        <v>0</v>
      </c>
      <c r="L297" s="190">
        <v>10550</v>
      </c>
    </row>
    <row r="298" spans="1:12" ht="15.75" x14ac:dyDescent="0.25">
      <c r="A298" s="187" t="s">
        <v>290</v>
      </c>
      <c r="B298" s="188" t="s">
        <v>89</v>
      </c>
      <c r="C298" s="189" t="s">
        <v>90</v>
      </c>
      <c r="D298" s="187">
        <v>171</v>
      </c>
      <c r="E298" s="190">
        <v>484225</v>
      </c>
      <c r="F298" s="191">
        <v>297786</v>
      </c>
      <c r="G298" s="255" t="s">
        <v>153</v>
      </c>
      <c r="H298" s="190">
        <v>186439</v>
      </c>
      <c r="I298" s="192">
        <v>0</v>
      </c>
      <c r="J298" s="192">
        <v>0</v>
      </c>
      <c r="K298" s="192">
        <v>0</v>
      </c>
      <c r="L298" s="190">
        <v>186439</v>
      </c>
    </row>
    <row r="299" spans="1:12" ht="45.75" x14ac:dyDescent="0.25">
      <c r="A299" s="187" t="s">
        <v>290</v>
      </c>
      <c r="B299" s="188" t="s">
        <v>91</v>
      </c>
      <c r="C299" s="189" t="s">
        <v>92</v>
      </c>
      <c r="D299" s="187">
        <v>258</v>
      </c>
      <c r="E299" s="190">
        <v>901863</v>
      </c>
      <c r="F299" s="191">
        <v>389941</v>
      </c>
      <c r="G299" s="255" t="s">
        <v>153</v>
      </c>
      <c r="H299" s="190">
        <v>511922</v>
      </c>
      <c r="I299" s="192">
        <v>0</v>
      </c>
      <c r="J299" s="192">
        <v>0</v>
      </c>
      <c r="K299" s="192">
        <v>0</v>
      </c>
      <c r="L299" s="190">
        <v>511922</v>
      </c>
    </row>
    <row r="300" spans="1:12" ht="15.75" x14ac:dyDescent="0.25">
      <c r="A300" s="187" t="s">
        <v>290</v>
      </c>
      <c r="B300" s="188" t="s">
        <v>419</v>
      </c>
      <c r="C300" s="189" t="s">
        <v>420</v>
      </c>
      <c r="D300" s="187">
        <v>308</v>
      </c>
      <c r="E300" s="190">
        <v>2483</v>
      </c>
      <c r="F300" s="191">
        <v>1000</v>
      </c>
      <c r="G300" s="255" t="s">
        <v>153</v>
      </c>
      <c r="H300" s="190">
        <v>1483</v>
      </c>
      <c r="I300" s="192">
        <v>0</v>
      </c>
      <c r="J300" s="192">
        <v>0</v>
      </c>
      <c r="K300" s="192">
        <v>0</v>
      </c>
      <c r="L300" s="190">
        <v>1483</v>
      </c>
    </row>
    <row r="301" spans="1:12" ht="15.75" x14ac:dyDescent="0.25">
      <c r="A301" s="187" t="s">
        <v>290</v>
      </c>
      <c r="B301" s="188" t="s">
        <v>93</v>
      </c>
      <c r="C301" s="189" t="s">
        <v>75</v>
      </c>
      <c r="D301" s="187">
        <v>260</v>
      </c>
      <c r="E301" s="190">
        <v>3340272</v>
      </c>
      <c r="F301" s="191">
        <v>2110826</v>
      </c>
      <c r="G301" s="255" t="s">
        <v>153</v>
      </c>
      <c r="H301" s="190">
        <v>1229446</v>
      </c>
      <c r="I301" s="192">
        <v>0</v>
      </c>
      <c r="J301" s="192">
        <v>0</v>
      </c>
      <c r="K301" s="192">
        <v>0</v>
      </c>
      <c r="L301" s="190">
        <v>1229446</v>
      </c>
    </row>
    <row r="302" spans="1:12" ht="15.75" x14ac:dyDescent="0.25">
      <c r="A302" s="187" t="s">
        <v>290</v>
      </c>
      <c r="B302" s="188" t="s">
        <v>107</v>
      </c>
      <c r="C302" s="189" t="s">
        <v>108</v>
      </c>
      <c r="D302" s="187">
        <v>346</v>
      </c>
      <c r="E302" s="190">
        <v>80974</v>
      </c>
      <c r="F302" s="191">
        <v>41603</v>
      </c>
      <c r="G302" s="255" t="s">
        <v>153</v>
      </c>
      <c r="H302" s="190">
        <v>39371</v>
      </c>
      <c r="I302" s="192">
        <v>0</v>
      </c>
      <c r="J302" s="192">
        <v>0</v>
      </c>
      <c r="K302" s="192">
        <v>0</v>
      </c>
      <c r="L302" s="190">
        <v>39371</v>
      </c>
    </row>
    <row r="303" spans="1:12" ht="15.75" x14ac:dyDescent="0.25">
      <c r="A303" s="187" t="s">
        <v>290</v>
      </c>
      <c r="B303" s="188" t="s">
        <v>96</v>
      </c>
      <c r="C303" s="189" t="s">
        <v>97</v>
      </c>
      <c r="D303" s="187">
        <v>351</v>
      </c>
      <c r="E303" s="190">
        <v>169594</v>
      </c>
      <c r="F303" s="191">
        <v>126335</v>
      </c>
      <c r="G303" s="255" t="s">
        <v>153</v>
      </c>
      <c r="H303" s="190">
        <v>43259</v>
      </c>
      <c r="I303" s="192">
        <v>0</v>
      </c>
      <c r="J303" s="192">
        <v>0</v>
      </c>
      <c r="K303" s="192">
        <v>0</v>
      </c>
      <c r="L303" s="190">
        <v>43259</v>
      </c>
    </row>
    <row r="304" spans="1:12" ht="15.75" x14ac:dyDescent="0.25">
      <c r="A304" s="206" t="s">
        <v>291</v>
      </c>
      <c r="B304" s="258" t="s">
        <v>153</v>
      </c>
      <c r="C304" s="258" t="s">
        <v>153</v>
      </c>
      <c r="D304" s="258" t="s">
        <v>153</v>
      </c>
      <c r="E304" s="207">
        <f>SUBTOTAL(109,school201213[Program
Costs])</f>
        <v>257181148</v>
      </c>
      <c r="F304" s="216">
        <f>SUBTOTAL(109,school201213[Less: Net
 Payments and 
Offsets 2])</f>
        <v>143344942</v>
      </c>
      <c r="G304" s="256" t="s">
        <v>153</v>
      </c>
      <c r="H304" s="207">
        <f>SUBTOTAL(109,school201213[Accounts Payable
Balance])</f>
        <v>113836206</v>
      </c>
      <c r="I304" s="207">
        <f>SUBTOTAL(109,school201213[Established
Accounts Receivable])</f>
        <v>1000</v>
      </c>
      <c r="J304" s="207">
        <f>SUBTOTAL(109,school201213[Less: 
Recovered 
Amount])</f>
        <v>1000</v>
      </c>
      <c r="K304" s="209">
        <f>SUBTOTAL(109,school201213[Accounts Receivable
Balance])</f>
        <v>0</v>
      </c>
      <c r="L304" s="207">
        <f>SUBTOTAL(109,school201213[Net
Balance])</f>
        <v>113836206</v>
      </c>
    </row>
    <row r="305" spans="1:12" ht="15.75" x14ac:dyDescent="0.25">
      <c r="A305" s="146" t="s">
        <v>181</v>
      </c>
      <c r="B305" s="221"/>
      <c r="C305" s="220"/>
      <c r="D305" s="222"/>
      <c r="E305" s="223"/>
      <c r="F305" s="224"/>
      <c r="G305" s="225"/>
      <c r="H305" s="223"/>
      <c r="I305" s="226"/>
      <c r="J305" s="226"/>
      <c r="K305" s="226"/>
      <c r="L305" s="223"/>
    </row>
    <row r="306" spans="1:12" ht="50.1" customHeight="1" x14ac:dyDescent="0.25">
      <c r="A306" s="211" t="s">
        <v>221</v>
      </c>
      <c r="B306" s="211" t="s">
        <v>268</v>
      </c>
      <c r="C306" s="21" t="s">
        <v>2</v>
      </c>
      <c r="D306" s="211" t="s">
        <v>280</v>
      </c>
      <c r="E306" s="212" t="s">
        <v>223</v>
      </c>
      <c r="F306" s="213" t="s">
        <v>509</v>
      </c>
      <c r="G306" s="252" t="s">
        <v>176</v>
      </c>
      <c r="H306" s="214" t="s">
        <v>270</v>
      </c>
      <c r="I306" s="151" t="s">
        <v>271</v>
      </c>
      <c r="J306" s="212" t="s">
        <v>282</v>
      </c>
      <c r="K306" s="214" t="s">
        <v>272</v>
      </c>
      <c r="L306" s="212" t="s">
        <v>273</v>
      </c>
    </row>
    <row r="307" spans="1:12" ht="15.75" x14ac:dyDescent="0.25">
      <c r="A307" s="187" t="s">
        <v>292</v>
      </c>
      <c r="B307" s="188" t="s">
        <v>407</v>
      </c>
      <c r="C307" s="210" t="s">
        <v>408</v>
      </c>
      <c r="D307" s="187">
        <v>305</v>
      </c>
      <c r="E307" s="190">
        <v>506059</v>
      </c>
      <c r="F307" s="191">
        <v>343920</v>
      </c>
      <c r="G307" s="255" t="s">
        <v>153</v>
      </c>
      <c r="H307" s="190">
        <v>162139</v>
      </c>
      <c r="I307" s="192">
        <v>0</v>
      </c>
      <c r="J307" s="192">
        <v>0</v>
      </c>
      <c r="K307" s="192">
        <v>0</v>
      </c>
      <c r="L307" s="190">
        <v>162139</v>
      </c>
    </row>
    <row r="308" spans="1:12" ht="15" customHeight="1" x14ac:dyDescent="0.25">
      <c r="A308" s="187" t="s">
        <v>292</v>
      </c>
      <c r="B308" s="188" t="s">
        <v>53</v>
      </c>
      <c r="C308" s="189" t="s">
        <v>54</v>
      </c>
      <c r="D308" s="187">
        <v>250</v>
      </c>
      <c r="E308" s="190">
        <v>1366092</v>
      </c>
      <c r="F308" s="191">
        <v>680526</v>
      </c>
      <c r="G308" s="255" t="s">
        <v>153</v>
      </c>
      <c r="H308" s="190">
        <v>685566</v>
      </c>
      <c r="I308" s="192">
        <v>0</v>
      </c>
      <c r="J308" s="192">
        <v>0</v>
      </c>
      <c r="K308" s="192">
        <v>0</v>
      </c>
      <c r="L308" s="190">
        <v>685566</v>
      </c>
    </row>
    <row r="309" spans="1:12" ht="30.75" x14ac:dyDescent="0.25">
      <c r="A309" s="187" t="s">
        <v>292</v>
      </c>
      <c r="B309" s="188" t="s">
        <v>434</v>
      </c>
      <c r="C309" s="189" t="s">
        <v>429</v>
      </c>
      <c r="D309" s="187">
        <v>348</v>
      </c>
      <c r="E309" s="190">
        <v>1482185</v>
      </c>
      <c r="F309" s="191">
        <v>1046875</v>
      </c>
      <c r="G309" s="255" t="s">
        <v>153</v>
      </c>
      <c r="H309" s="190">
        <v>435310</v>
      </c>
      <c r="I309" s="192">
        <v>0</v>
      </c>
      <c r="J309" s="192">
        <v>0</v>
      </c>
      <c r="K309" s="192">
        <v>0</v>
      </c>
      <c r="L309" s="190">
        <v>435310</v>
      </c>
    </row>
    <row r="310" spans="1:12" ht="15.75" x14ac:dyDescent="0.25">
      <c r="A310" s="187" t="s">
        <v>292</v>
      </c>
      <c r="B310" s="188" t="s">
        <v>421</v>
      </c>
      <c r="C310" s="189" t="s">
        <v>302</v>
      </c>
      <c r="D310" s="187">
        <v>354</v>
      </c>
      <c r="E310" s="190">
        <v>119930</v>
      </c>
      <c r="F310" s="191">
        <v>91042</v>
      </c>
      <c r="G310" s="255" t="s">
        <v>153</v>
      </c>
      <c r="H310" s="190">
        <v>28888</v>
      </c>
      <c r="I310" s="192">
        <v>0</v>
      </c>
      <c r="J310" s="192">
        <v>0</v>
      </c>
      <c r="K310" s="192">
        <v>0</v>
      </c>
      <c r="L310" s="190">
        <v>28888</v>
      </c>
    </row>
    <row r="311" spans="1:12" ht="30.75" customHeight="1" x14ac:dyDescent="0.25">
      <c r="A311" s="187" t="s">
        <v>292</v>
      </c>
      <c r="B311" s="188" t="s">
        <v>422</v>
      </c>
      <c r="C311" s="189" t="s">
        <v>423</v>
      </c>
      <c r="D311" s="187">
        <v>286</v>
      </c>
      <c r="E311" s="190">
        <v>45817</v>
      </c>
      <c r="F311" s="191">
        <v>39849</v>
      </c>
      <c r="G311" s="255" t="s">
        <v>153</v>
      </c>
      <c r="H311" s="190">
        <v>5968</v>
      </c>
      <c r="I311" s="192">
        <v>0</v>
      </c>
      <c r="J311" s="192">
        <v>0</v>
      </c>
      <c r="K311" s="192">
        <v>0</v>
      </c>
      <c r="L311" s="190">
        <v>5968</v>
      </c>
    </row>
    <row r="312" spans="1:12" ht="30.75" x14ac:dyDescent="0.25">
      <c r="A312" s="187" t="s">
        <v>292</v>
      </c>
      <c r="B312" s="188" t="s">
        <v>57</v>
      </c>
      <c r="C312" s="189" t="s">
        <v>58</v>
      </c>
      <c r="D312" s="187">
        <v>172</v>
      </c>
      <c r="E312" s="190">
        <v>434043</v>
      </c>
      <c r="F312" s="191">
        <v>297644</v>
      </c>
      <c r="G312" s="255" t="s">
        <v>153</v>
      </c>
      <c r="H312" s="190">
        <v>136399</v>
      </c>
      <c r="I312" s="192">
        <v>0</v>
      </c>
      <c r="J312" s="192">
        <v>0</v>
      </c>
      <c r="K312" s="192">
        <v>0</v>
      </c>
      <c r="L312" s="190">
        <v>136399</v>
      </c>
    </row>
    <row r="313" spans="1:12" ht="15.75" x14ac:dyDescent="0.25">
      <c r="A313" s="187" t="s">
        <v>292</v>
      </c>
      <c r="B313" s="188" t="s">
        <v>403</v>
      </c>
      <c r="C313" s="189" t="s">
        <v>404</v>
      </c>
      <c r="D313" s="187">
        <v>278</v>
      </c>
      <c r="E313" s="190">
        <v>1612674</v>
      </c>
      <c r="F313" s="191">
        <v>1156102</v>
      </c>
      <c r="G313" s="255" t="s">
        <v>153</v>
      </c>
      <c r="H313" s="190">
        <v>456572</v>
      </c>
      <c r="I313" s="192">
        <v>0</v>
      </c>
      <c r="J313" s="192">
        <v>0</v>
      </c>
      <c r="K313" s="192">
        <v>0</v>
      </c>
      <c r="L313" s="190">
        <v>456572</v>
      </c>
    </row>
    <row r="314" spans="1:12" ht="15.75" x14ac:dyDescent="0.25">
      <c r="A314" s="187" t="s">
        <v>292</v>
      </c>
      <c r="B314" s="188" t="s">
        <v>409</v>
      </c>
      <c r="C314" s="189" t="s">
        <v>410</v>
      </c>
      <c r="D314" s="187">
        <v>309</v>
      </c>
      <c r="E314" s="190">
        <v>19576</v>
      </c>
      <c r="F314" s="191">
        <v>13333</v>
      </c>
      <c r="G314" s="255" t="s">
        <v>153</v>
      </c>
      <c r="H314" s="190">
        <v>6243</v>
      </c>
      <c r="I314" s="192">
        <v>0</v>
      </c>
      <c r="J314" s="192">
        <v>0</v>
      </c>
      <c r="K314" s="192">
        <v>0</v>
      </c>
      <c r="L314" s="190">
        <v>6243</v>
      </c>
    </row>
    <row r="315" spans="1:12" ht="30.75" x14ac:dyDescent="0.25">
      <c r="A315" s="187" t="s">
        <v>292</v>
      </c>
      <c r="B315" s="188" t="s">
        <v>50</v>
      </c>
      <c r="C315" s="189" t="s">
        <v>51</v>
      </c>
      <c r="D315" s="187">
        <v>11</v>
      </c>
      <c r="E315" s="190">
        <v>16883834</v>
      </c>
      <c r="F315" s="191">
        <v>12873998</v>
      </c>
      <c r="G315" s="255" t="s">
        <v>153</v>
      </c>
      <c r="H315" s="190">
        <v>4009836</v>
      </c>
      <c r="I315" s="192">
        <v>0</v>
      </c>
      <c r="J315" s="192">
        <v>0</v>
      </c>
      <c r="K315" s="192">
        <v>0</v>
      </c>
      <c r="L315" s="190">
        <v>4009836</v>
      </c>
    </row>
    <row r="316" spans="1:12" ht="30.75" x14ac:dyDescent="0.25">
      <c r="A316" s="187" t="s">
        <v>292</v>
      </c>
      <c r="B316" s="188" t="s">
        <v>59</v>
      </c>
      <c r="C316" s="189" t="s">
        <v>60</v>
      </c>
      <c r="D316" s="187">
        <v>313</v>
      </c>
      <c r="E316" s="190">
        <v>3380219</v>
      </c>
      <c r="F316" s="191">
        <v>2665902</v>
      </c>
      <c r="G316" s="255" t="s">
        <v>153</v>
      </c>
      <c r="H316" s="190">
        <v>714317</v>
      </c>
      <c r="I316" s="192">
        <v>0</v>
      </c>
      <c r="J316" s="192">
        <v>0</v>
      </c>
      <c r="K316" s="192">
        <v>0</v>
      </c>
      <c r="L316" s="190">
        <v>714317</v>
      </c>
    </row>
    <row r="317" spans="1:12" ht="45.75" x14ac:dyDescent="0.25">
      <c r="A317" s="187" t="s">
        <v>292</v>
      </c>
      <c r="B317" s="188" t="s">
        <v>63</v>
      </c>
      <c r="C317" s="189" t="s">
        <v>64</v>
      </c>
      <c r="D317" s="187">
        <v>272</v>
      </c>
      <c r="E317" s="190">
        <v>5752397</v>
      </c>
      <c r="F317" s="191">
        <v>4834791</v>
      </c>
      <c r="G317" s="255" t="s">
        <v>153</v>
      </c>
      <c r="H317" s="190">
        <v>917606</v>
      </c>
      <c r="I317" s="192">
        <v>0</v>
      </c>
      <c r="J317" s="192">
        <v>0</v>
      </c>
      <c r="K317" s="192">
        <v>0</v>
      </c>
      <c r="L317" s="190">
        <v>917606</v>
      </c>
    </row>
    <row r="318" spans="1:12" ht="45.75" x14ac:dyDescent="0.25">
      <c r="A318" s="187" t="s">
        <v>292</v>
      </c>
      <c r="B318" s="188" t="s">
        <v>65</v>
      </c>
      <c r="C318" s="189" t="s">
        <v>66</v>
      </c>
      <c r="D318" s="187">
        <v>276</v>
      </c>
      <c r="E318" s="190">
        <v>730369</v>
      </c>
      <c r="F318" s="191">
        <v>500095</v>
      </c>
      <c r="G318" s="255" t="s">
        <v>153</v>
      </c>
      <c r="H318" s="190">
        <v>230274</v>
      </c>
      <c r="I318" s="192">
        <v>0</v>
      </c>
      <c r="J318" s="192">
        <v>0</v>
      </c>
      <c r="K318" s="192">
        <v>0</v>
      </c>
      <c r="L318" s="190">
        <v>230274</v>
      </c>
    </row>
    <row r="319" spans="1:12" ht="75.75" x14ac:dyDescent="0.25">
      <c r="A319" s="187" t="s">
        <v>292</v>
      </c>
      <c r="B319" s="188" t="s">
        <v>67</v>
      </c>
      <c r="C319" s="189" t="s">
        <v>68</v>
      </c>
      <c r="D319" s="187">
        <v>292</v>
      </c>
      <c r="E319" s="190">
        <v>6498748</v>
      </c>
      <c r="F319" s="191">
        <v>4834944</v>
      </c>
      <c r="G319" s="255" t="s">
        <v>153</v>
      </c>
      <c r="H319" s="190">
        <v>1663804</v>
      </c>
      <c r="I319" s="192">
        <v>0</v>
      </c>
      <c r="J319" s="192">
        <v>0</v>
      </c>
      <c r="K319" s="192">
        <v>0</v>
      </c>
      <c r="L319" s="190">
        <v>1663804</v>
      </c>
    </row>
    <row r="320" spans="1:12" ht="30.75" x14ac:dyDescent="0.25">
      <c r="A320" s="187" t="s">
        <v>292</v>
      </c>
      <c r="B320" s="188" t="s">
        <v>69</v>
      </c>
      <c r="C320" s="189" t="s">
        <v>70</v>
      </c>
      <c r="D320" s="187">
        <v>209</v>
      </c>
      <c r="E320" s="190">
        <v>268885</v>
      </c>
      <c r="F320" s="191">
        <v>31975</v>
      </c>
      <c r="G320" s="255" t="s">
        <v>153</v>
      </c>
      <c r="H320" s="190">
        <v>236910</v>
      </c>
      <c r="I320" s="192">
        <v>0</v>
      </c>
      <c r="J320" s="192">
        <v>0</v>
      </c>
      <c r="K320" s="192">
        <v>0</v>
      </c>
      <c r="L320" s="190">
        <v>236910</v>
      </c>
    </row>
    <row r="321" spans="1:12" ht="15.75" x14ac:dyDescent="0.25">
      <c r="A321" s="187" t="s">
        <v>292</v>
      </c>
      <c r="B321" s="188" t="s">
        <v>71</v>
      </c>
      <c r="C321" s="189" t="s">
        <v>72</v>
      </c>
      <c r="D321" s="187">
        <v>183</v>
      </c>
      <c r="E321" s="190">
        <v>402570</v>
      </c>
      <c r="F321" s="191">
        <v>289308</v>
      </c>
      <c r="G321" s="255" t="s">
        <v>153</v>
      </c>
      <c r="H321" s="190">
        <v>113262</v>
      </c>
      <c r="I321" s="192">
        <v>0</v>
      </c>
      <c r="J321" s="192">
        <v>0</v>
      </c>
      <c r="K321" s="192">
        <v>0</v>
      </c>
      <c r="L321" s="190">
        <v>113262</v>
      </c>
    </row>
    <row r="322" spans="1:12" ht="15.75" x14ac:dyDescent="0.25">
      <c r="A322" s="187" t="s">
        <v>292</v>
      </c>
      <c r="B322" s="188" t="s">
        <v>100</v>
      </c>
      <c r="C322" s="189" t="s">
        <v>101</v>
      </c>
      <c r="D322" s="187">
        <v>251</v>
      </c>
      <c r="E322" s="190">
        <v>499410</v>
      </c>
      <c r="F322" s="191">
        <v>262998</v>
      </c>
      <c r="G322" s="255" t="s">
        <v>153</v>
      </c>
      <c r="H322" s="190">
        <v>236412</v>
      </c>
      <c r="I322" s="192">
        <v>0</v>
      </c>
      <c r="J322" s="192">
        <v>0</v>
      </c>
      <c r="K322" s="192">
        <v>0</v>
      </c>
      <c r="L322" s="190">
        <v>236412</v>
      </c>
    </row>
    <row r="323" spans="1:12" ht="30.75" x14ac:dyDescent="0.25">
      <c r="A323" s="187" t="s">
        <v>292</v>
      </c>
      <c r="B323" s="188" t="s">
        <v>411</v>
      </c>
      <c r="C323" s="189" t="s">
        <v>62</v>
      </c>
      <c r="D323" s="187">
        <v>91</v>
      </c>
      <c r="E323" s="190">
        <v>14415</v>
      </c>
      <c r="F323" s="191">
        <v>12228</v>
      </c>
      <c r="G323" s="255" t="s">
        <v>153</v>
      </c>
      <c r="H323" s="190">
        <v>2187</v>
      </c>
      <c r="I323" s="192">
        <v>0</v>
      </c>
      <c r="J323" s="192">
        <v>0</v>
      </c>
      <c r="K323" s="192">
        <v>0</v>
      </c>
      <c r="L323" s="190">
        <v>2187</v>
      </c>
    </row>
    <row r="324" spans="1:12" ht="15.75" x14ac:dyDescent="0.25">
      <c r="A324" s="187" t="s">
        <v>292</v>
      </c>
      <c r="B324" s="188" t="s">
        <v>73</v>
      </c>
      <c r="C324" s="189" t="s">
        <v>52</v>
      </c>
      <c r="D324" s="187">
        <v>192</v>
      </c>
      <c r="E324" s="190">
        <v>253379</v>
      </c>
      <c r="F324" s="191">
        <v>167612</v>
      </c>
      <c r="G324" s="255" t="s">
        <v>153</v>
      </c>
      <c r="H324" s="190">
        <v>85767</v>
      </c>
      <c r="I324" s="192">
        <v>0</v>
      </c>
      <c r="J324" s="192">
        <v>0</v>
      </c>
      <c r="K324" s="192">
        <v>0</v>
      </c>
      <c r="L324" s="190">
        <v>85767</v>
      </c>
    </row>
    <row r="325" spans="1:12" ht="30.75" x14ac:dyDescent="0.25">
      <c r="A325" s="187" t="s">
        <v>292</v>
      </c>
      <c r="B325" s="188" t="s">
        <v>74</v>
      </c>
      <c r="C325" s="189" t="s">
        <v>75</v>
      </c>
      <c r="D325" s="187">
        <v>297</v>
      </c>
      <c r="E325" s="190">
        <v>265688269</v>
      </c>
      <c r="F325" s="191">
        <v>162398696</v>
      </c>
      <c r="G325" s="255" t="s">
        <v>153</v>
      </c>
      <c r="H325" s="190">
        <v>103289573</v>
      </c>
      <c r="I325" s="192">
        <v>0</v>
      </c>
      <c r="J325" s="192">
        <v>0</v>
      </c>
      <c r="K325" s="192">
        <v>0</v>
      </c>
      <c r="L325" s="190">
        <v>103289573</v>
      </c>
    </row>
    <row r="326" spans="1:12" ht="15" customHeight="1" x14ac:dyDescent="0.25">
      <c r="A326" s="187" t="s">
        <v>292</v>
      </c>
      <c r="B326" s="188" t="s">
        <v>76</v>
      </c>
      <c r="C326" s="189" t="s">
        <v>77</v>
      </c>
      <c r="D326" s="187">
        <v>166</v>
      </c>
      <c r="E326" s="190">
        <v>6625087</v>
      </c>
      <c r="F326" s="191">
        <v>4973496</v>
      </c>
      <c r="G326" s="255" t="s">
        <v>153</v>
      </c>
      <c r="H326" s="190">
        <v>1651591</v>
      </c>
      <c r="I326" s="192">
        <v>0</v>
      </c>
      <c r="J326" s="192">
        <v>0</v>
      </c>
      <c r="K326" s="192">
        <v>0</v>
      </c>
      <c r="L326" s="190">
        <v>1651591</v>
      </c>
    </row>
    <row r="327" spans="1:12" ht="15.75" x14ac:dyDescent="0.25">
      <c r="A327" s="187" t="s">
        <v>292</v>
      </c>
      <c r="B327" s="188" t="s">
        <v>412</v>
      </c>
      <c r="C327" s="189" t="s">
        <v>413</v>
      </c>
      <c r="D327" s="187">
        <v>268</v>
      </c>
      <c r="E327" s="190">
        <v>6272368</v>
      </c>
      <c r="F327" s="191">
        <v>3349640</v>
      </c>
      <c r="G327" s="255" t="s">
        <v>153</v>
      </c>
      <c r="H327" s="190">
        <v>2922728</v>
      </c>
      <c r="I327" s="192">
        <v>0</v>
      </c>
      <c r="J327" s="192">
        <v>0</v>
      </c>
      <c r="K327" s="192">
        <v>0</v>
      </c>
      <c r="L327" s="190">
        <v>2922728</v>
      </c>
    </row>
    <row r="328" spans="1:12" ht="15.75" x14ac:dyDescent="0.25">
      <c r="A328" s="187" t="s">
        <v>292</v>
      </c>
      <c r="B328" s="188" t="s">
        <v>78</v>
      </c>
      <c r="C328" s="189" t="s">
        <v>79</v>
      </c>
      <c r="D328" s="187">
        <v>32</v>
      </c>
      <c r="E328" s="190">
        <v>4557408</v>
      </c>
      <c r="F328" s="191">
        <v>4089648</v>
      </c>
      <c r="G328" s="255" t="s">
        <v>153</v>
      </c>
      <c r="H328" s="190">
        <v>467760</v>
      </c>
      <c r="I328" s="192">
        <v>0</v>
      </c>
      <c r="J328" s="192">
        <v>0</v>
      </c>
      <c r="K328" s="192">
        <v>0</v>
      </c>
      <c r="L328" s="190">
        <v>467760</v>
      </c>
    </row>
    <row r="329" spans="1:12" ht="15.75" x14ac:dyDescent="0.25">
      <c r="A329" s="187" t="s">
        <v>292</v>
      </c>
      <c r="B329" s="188" t="s">
        <v>430</v>
      </c>
      <c r="C329" s="189" t="s">
        <v>81</v>
      </c>
      <c r="D329" s="187">
        <v>230</v>
      </c>
      <c r="E329" s="190">
        <v>5679366</v>
      </c>
      <c r="F329" s="191">
        <v>5265644</v>
      </c>
      <c r="G329" s="255" t="s">
        <v>153</v>
      </c>
      <c r="H329" s="190">
        <v>413722</v>
      </c>
      <c r="I329" s="192">
        <v>0</v>
      </c>
      <c r="J329" s="192">
        <v>0</v>
      </c>
      <c r="K329" s="192">
        <v>0</v>
      </c>
      <c r="L329" s="190">
        <v>413722</v>
      </c>
    </row>
    <row r="330" spans="1:12" ht="15.75" x14ac:dyDescent="0.25">
      <c r="A330" s="187" t="s">
        <v>292</v>
      </c>
      <c r="B330" s="188" t="s">
        <v>82</v>
      </c>
      <c r="C330" s="189" t="s">
        <v>83</v>
      </c>
      <c r="D330" s="187">
        <v>357</v>
      </c>
      <c r="E330" s="190">
        <v>7134515</v>
      </c>
      <c r="F330" s="191">
        <v>5397077</v>
      </c>
      <c r="G330" s="255" t="s">
        <v>153</v>
      </c>
      <c r="H330" s="190">
        <v>1737438</v>
      </c>
      <c r="I330" s="192">
        <v>0</v>
      </c>
      <c r="J330" s="192">
        <v>0</v>
      </c>
      <c r="K330" s="192">
        <v>0</v>
      </c>
      <c r="L330" s="190">
        <v>1737438</v>
      </c>
    </row>
    <row r="331" spans="1:12" ht="15.75" x14ac:dyDescent="0.25">
      <c r="A331" s="187" t="s">
        <v>292</v>
      </c>
      <c r="B331" s="188" t="s">
        <v>414</v>
      </c>
      <c r="C331" s="189" t="s">
        <v>415</v>
      </c>
      <c r="D331" s="187">
        <v>148</v>
      </c>
      <c r="E331" s="190">
        <v>218554</v>
      </c>
      <c r="F331" s="191">
        <v>3127</v>
      </c>
      <c r="G331" s="255" t="s">
        <v>153</v>
      </c>
      <c r="H331" s="190">
        <v>215427</v>
      </c>
      <c r="I331" s="192">
        <v>0</v>
      </c>
      <c r="J331" s="192">
        <v>0</v>
      </c>
      <c r="K331" s="192">
        <v>0</v>
      </c>
      <c r="L331" s="190">
        <v>215427</v>
      </c>
    </row>
    <row r="332" spans="1:12" ht="15.75" x14ac:dyDescent="0.25">
      <c r="A332" s="187" t="s">
        <v>292</v>
      </c>
      <c r="B332" s="188" t="s">
        <v>84</v>
      </c>
      <c r="C332" s="189" t="s">
        <v>85</v>
      </c>
      <c r="D332" s="187">
        <v>153</v>
      </c>
      <c r="E332" s="190">
        <v>3685492</v>
      </c>
      <c r="F332" s="191">
        <v>3016024</v>
      </c>
      <c r="G332" s="255" t="s">
        <v>153</v>
      </c>
      <c r="H332" s="190">
        <v>669468</v>
      </c>
      <c r="I332" s="192">
        <v>0</v>
      </c>
      <c r="J332" s="192">
        <v>0</v>
      </c>
      <c r="K332" s="192">
        <v>0</v>
      </c>
      <c r="L332" s="190">
        <v>669468</v>
      </c>
    </row>
    <row r="333" spans="1:12" ht="15.75" customHeight="1" x14ac:dyDescent="0.25">
      <c r="A333" s="187" t="s">
        <v>292</v>
      </c>
      <c r="B333" s="188" t="s">
        <v>102</v>
      </c>
      <c r="C333" s="189" t="s">
        <v>103</v>
      </c>
      <c r="D333" s="187">
        <v>155</v>
      </c>
      <c r="E333" s="190">
        <v>845595</v>
      </c>
      <c r="F333" s="191">
        <v>217384</v>
      </c>
      <c r="G333" s="255" t="s">
        <v>153</v>
      </c>
      <c r="H333" s="190">
        <v>628211</v>
      </c>
      <c r="I333" s="192">
        <v>0</v>
      </c>
      <c r="J333" s="192">
        <v>0</v>
      </c>
      <c r="K333" s="192">
        <v>0</v>
      </c>
      <c r="L333" s="190">
        <v>628211</v>
      </c>
    </row>
    <row r="334" spans="1:12" ht="15.75" x14ac:dyDescent="0.25">
      <c r="A334" s="187" t="s">
        <v>292</v>
      </c>
      <c r="B334" s="188" t="s">
        <v>431</v>
      </c>
      <c r="C334" s="189" t="s">
        <v>306</v>
      </c>
      <c r="D334" s="187">
        <v>319</v>
      </c>
      <c r="E334" s="190">
        <v>16457471</v>
      </c>
      <c r="F334" s="191">
        <v>12354318</v>
      </c>
      <c r="G334" s="255" t="s">
        <v>153</v>
      </c>
      <c r="H334" s="190">
        <v>4103153</v>
      </c>
      <c r="I334" s="192">
        <v>0</v>
      </c>
      <c r="J334" s="192">
        <v>0</v>
      </c>
      <c r="K334" s="192">
        <v>0</v>
      </c>
      <c r="L334" s="190">
        <v>4103153</v>
      </c>
    </row>
    <row r="335" spans="1:12" ht="15.75" x14ac:dyDescent="0.25">
      <c r="A335" s="187" t="s">
        <v>292</v>
      </c>
      <c r="B335" s="188" t="s">
        <v>86</v>
      </c>
      <c r="C335" s="189" t="s">
        <v>75</v>
      </c>
      <c r="D335" s="187">
        <v>48</v>
      </c>
      <c r="E335" s="190">
        <v>25192893</v>
      </c>
      <c r="F335" s="191">
        <v>21266482</v>
      </c>
      <c r="G335" s="255" t="s">
        <v>153</v>
      </c>
      <c r="H335" s="190">
        <v>3926411</v>
      </c>
      <c r="I335" s="192">
        <v>0</v>
      </c>
      <c r="J335" s="192">
        <v>0</v>
      </c>
      <c r="K335" s="192">
        <v>0</v>
      </c>
      <c r="L335" s="190">
        <v>3926411</v>
      </c>
    </row>
    <row r="336" spans="1:12" ht="15.75" x14ac:dyDescent="0.25">
      <c r="A336" s="187" t="s">
        <v>292</v>
      </c>
      <c r="B336" s="188" t="s">
        <v>293</v>
      </c>
      <c r="C336" s="189" t="s">
        <v>294</v>
      </c>
      <c r="D336" s="187">
        <v>218</v>
      </c>
      <c r="E336" s="190">
        <v>3252432</v>
      </c>
      <c r="F336" s="191">
        <v>2176378</v>
      </c>
      <c r="G336" s="255" t="s">
        <v>153</v>
      </c>
      <c r="H336" s="190">
        <v>1076054</v>
      </c>
      <c r="I336" s="192">
        <v>0</v>
      </c>
      <c r="J336" s="192">
        <v>0</v>
      </c>
      <c r="K336" s="192">
        <v>0</v>
      </c>
      <c r="L336" s="190">
        <v>1076054</v>
      </c>
    </row>
    <row r="337" spans="1:12" ht="15.75" x14ac:dyDescent="0.25">
      <c r="A337" s="187" t="s">
        <v>292</v>
      </c>
      <c r="B337" s="188" t="s">
        <v>87</v>
      </c>
      <c r="C337" s="189" t="s">
        <v>88</v>
      </c>
      <c r="D337" s="187">
        <v>350</v>
      </c>
      <c r="E337" s="190">
        <v>77113</v>
      </c>
      <c r="F337" s="191">
        <v>40229</v>
      </c>
      <c r="G337" s="255" t="s">
        <v>153</v>
      </c>
      <c r="H337" s="190">
        <v>36884</v>
      </c>
      <c r="I337" s="192">
        <v>0</v>
      </c>
      <c r="J337" s="192">
        <v>0</v>
      </c>
      <c r="K337" s="192">
        <v>0</v>
      </c>
      <c r="L337" s="190">
        <v>36884</v>
      </c>
    </row>
    <row r="338" spans="1:12" ht="15.75" x14ac:dyDescent="0.25">
      <c r="A338" s="187" t="s">
        <v>292</v>
      </c>
      <c r="B338" s="188" t="s">
        <v>104</v>
      </c>
      <c r="C338" s="189" t="s">
        <v>105</v>
      </c>
      <c r="D338" s="187">
        <v>173</v>
      </c>
      <c r="E338" s="190">
        <v>1475090</v>
      </c>
      <c r="F338" s="191">
        <v>1254514</v>
      </c>
      <c r="G338" s="255" t="s">
        <v>153</v>
      </c>
      <c r="H338" s="190">
        <v>220576</v>
      </c>
      <c r="I338" s="192">
        <v>0</v>
      </c>
      <c r="J338" s="192">
        <v>0</v>
      </c>
      <c r="K338" s="192">
        <v>0</v>
      </c>
      <c r="L338" s="190">
        <v>220576</v>
      </c>
    </row>
    <row r="339" spans="1:12" ht="15.75" customHeight="1" x14ac:dyDescent="0.25">
      <c r="A339" s="187" t="s">
        <v>292</v>
      </c>
      <c r="B339" s="188" t="s">
        <v>435</v>
      </c>
      <c r="C339" s="189" t="s">
        <v>436</v>
      </c>
      <c r="D339" s="187">
        <v>304</v>
      </c>
      <c r="E339" s="190">
        <v>159665</v>
      </c>
      <c r="F339" s="191">
        <v>26698</v>
      </c>
      <c r="G339" s="255" t="s">
        <v>153</v>
      </c>
      <c r="H339" s="190">
        <v>132967</v>
      </c>
      <c r="I339" s="192">
        <v>0</v>
      </c>
      <c r="J339" s="192">
        <v>0</v>
      </c>
      <c r="K339" s="192">
        <v>0</v>
      </c>
      <c r="L339" s="190">
        <v>132967</v>
      </c>
    </row>
    <row r="340" spans="1:12" ht="15.75" x14ac:dyDescent="0.25">
      <c r="A340" s="187" t="s">
        <v>292</v>
      </c>
      <c r="B340" s="188" t="s">
        <v>432</v>
      </c>
      <c r="C340" s="189" t="s">
        <v>433</v>
      </c>
      <c r="D340" s="187">
        <v>335</v>
      </c>
      <c r="E340" s="190">
        <v>30695</v>
      </c>
      <c r="F340" s="191">
        <v>27192</v>
      </c>
      <c r="G340" s="255" t="s">
        <v>153</v>
      </c>
      <c r="H340" s="190">
        <v>3503</v>
      </c>
      <c r="I340" s="192">
        <v>0</v>
      </c>
      <c r="J340" s="192">
        <v>0</v>
      </c>
      <c r="K340" s="192">
        <v>0</v>
      </c>
      <c r="L340" s="190">
        <v>3503</v>
      </c>
    </row>
    <row r="341" spans="1:12" ht="45.75" x14ac:dyDescent="0.25">
      <c r="A341" s="187" t="s">
        <v>292</v>
      </c>
      <c r="B341" s="188" t="s">
        <v>437</v>
      </c>
      <c r="C341" s="189" t="s">
        <v>438</v>
      </c>
      <c r="D341" s="187">
        <v>329</v>
      </c>
      <c r="E341" s="190">
        <v>1391500</v>
      </c>
      <c r="F341" s="191">
        <v>1019340</v>
      </c>
      <c r="G341" s="255" t="s">
        <v>153</v>
      </c>
      <c r="H341" s="190">
        <v>372160</v>
      </c>
      <c r="I341" s="192">
        <v>0</v>
      </c>
      <c r="J341" s="192">
        <v>0</v>
      </c>
      <c r="K341" s="192">
        <v>0</v>
      </c>
      <c r="L341" s="190">
        <v>372160</v>
      </c>
    </row>
    <row r="342" spans="1:12" ht="15" customHeight="1" x14ac:dyDescent="0.25">
      <c r="A342" s="187" t="s">
        <v>292</v>
      </c>
      <c r="B342" s="188" t="s">
        <v>405</v>
      </c>
      <c r="C342" s="189" t="s">
        <v>406</v>
      </c>
      <c r="D342" s="187">
        <v>261</v>
      </c>
      <c r="E342" s="190">
        <v>905756</v>
      </c>
      <c r="F342" s="191">
        <v>827559</v>
      </c>
      <c r="G342" s="255" t="s">
        <v>153</v>
      </c>
      <c r="H342" s="190">
        <v>78197</v>
      </c>
      <c r="I342" s="192">
        <v>0</v>
      </c>
      <c r="J342" s="192">
        <v>0</v>
      </c>
      <c r="K342" s="192">
        <v>0</v>
      </c>
      <c r="L342" s="190">
        <v>78197</v>
      </c>
    </row>
    <row r="343" spans="1:12" ht="15.75" x14ac:dyDescent="0.25">
      <c r="A343" s="187" t="s">
        <v>292</v>
      </c>
      <c r="B343" s="188" t="s">
        <v>106</v>
      </c>
      <c r="C343" s="189" t="s">
        <v>92</v>
      </c>
      <c r="D343" s="187">
        <v>244</v>
      </c>
      <c r="E343" s="190">
        <v>1880327</v>
      </c>
      <c r="F343" s="191">
        <v>1751540</v>
      </c>
      <c r="G343" s="255" t="s">
        <v>153</v>
      </c>
      <c r="H343" s="190">
        <v>128787</v>
      </c>
      <c r="I343" s="192">
        <v>0</v>
      </c>
      <c r="J343" s="192">
        <v>0</v>
      </c>
      <c r="K343" s="192">
        <v>0</v>
      </c>
      <c r="L343" s="190">
        <v>128787</v>
      </c>
    </row>
    <row r="344" spans="1:12" ht="15.75" x14ac:dyDescent="0.25">
      <c r="A344" s="187" t="s">
        <v>292</v>
      </c>
      <c r="B344" s="188" t="s">
        <v>416</v>
      </c>
      <c r="C344" s="189" t="s">
        <v>75</v>
      </c>
      <c r="D344" s="187">
        <v>280</v>
      </c>
      <c r="E344" s="190">
        <v>88241</v>
      </c>
      <c r="F344" s="191">
        <v>32642</v>
      </c>
      <c r="G344" s="255" t="s">
        <v>153</v>
      </c>
      <c r="H344" s="190">
        <v>55599</v>
      </c>
      <c r="I344" s="192">
        <v>0</v>
      </c>
      <c r="J344" s="192">
        <v>0</v>
      </c>
      <c r="K344" s="192">
        <v>0</v>
      </c>
      <c r="L344" s="190">
        <v>55599</v>
      </c>
    </row>
    <row r="345" spans="1:12" ht="30.75" x14ac:dyDescent="0.25">
      <c r="A345" s="187" t="s">
        <v>292</v>
      </c>
      <c r="B345" s="188" t="s">
        <v>439</v>
      </c>
      <c r="C345" s="189" t="s">
        <v>62</v>
      </c>
      <c r="D345" s="187">
        <v>176</v>
      </c>
      <c r="E345" s="190">
        <v>3640971</v>
      </c>
      <c r="F345" s="191">
        <v>2824667</v>
      </c>
      <c r="G345" s="255" t="s">
        <v>153</v>
      </c>
      <c r="H345" s="190">
        <v>816304</v>
      </c>
      <c r="I345" s="192">
        <v>0</v>
      </c>
      <c r="J345" s="192">
        <v>0</v>
      </c>
      <c r="K345" s="192">
        <v>0</v>
      </c>
      <c r="L345" s="190">
        <v>816304</v>
      </c>
    </row>
    <row r="346" spans="1:12" ht="15.75" x14ac:dyDescent="0.25">
      <c r="A346" s="187" t="s">
        <v>292</v>
      </c>
      <c r="B346" s="188" t="s">
        <v>89</v>
      </c>
      <c r="C346" s="189" t="s">
        <v>90</v>
      </c>
      <c r="D346" s="187">
        <v>171</v>
      </c>
      <c r="E346" s="190">
        <v>2306300</v>
      </c>
      <c r="F346" s="191">
        <v>1836916</v>
      </c>
      <c r="G346" s="255" t="s">
        <v>153</v>
      </c>
      <c r="H346" s="190">
        <v>469384</v>
      </c>
      <c r="I346" s="192">
        <v>0</v>
      </c>
      <c r="J346" s="192">
        <v>0</v>
      </c>
      <c r="K346" s="192">
        <v>0</v>
      </c>
      <c r="L346" s="190">
        <v>469384</v>
      </c>
    </row>
    <row r="347" spans="1:12" ht="45.75" x14ac:dyDescent="0.25">
      <c r="A347" s="187" t="s">
        <v>292</v>
      </c>
      <c r="B347" s="188" t="s">
        <v>91</v>
      </c>
      <c r="C347" s="189" t="s">
        <v>92</v>
      </c>
      <c r="D347" s="187">
        <v>258</v>
      </c>
      <c r="E347" s="190">
        <v>2683188</v>
      </c>
      <c r="F347" s="191">
        <v>1665935</v>
      </c>
      <c r="G347" s="255" t="s">
        <v>153</v>
      </c>
      <c r="H347" s="190">
        <v>1017253</v>
      </c>
      <c r="I347" s="192">
        <v>0</v>
      </c>
      <c r="J347" s="192">
        <v>0</v>
      </c>
      <c r="K347" s="192">
        <v>0</v>
      </c>
      <c r="L347" s="190">
        <v>1017253</v>
      </c>
    </row>
    <row r="348" spans="1:12" ht="15.75" x14ac:dyDescent="0.25">
      <c r="A348" s="187" t="s">
        <v>292</v>
      </c>
      <c r="B348" s="188" t="s">
        <v>93</v>
      </c>
      <c r="C348" s="189" t="s">
        <v>75</v>
      </c>
      <c r="D348" s="187">
        <v>260</v>
      </c>
      <c r="E348" s="190">
        <v>16543606</v>
      </c>
      <c r="F348" s="191">
        <v>13454196</v>
      </c>
      <c r="G348" s="255" t="s">
        <v>153</v>
      </c>
      <c r="H348" s="190">
        <v>3089410</v>
      </c>
      <c r="I348" s="192">
        <v>0</v>
      </c>
      <c r="J348" s="192">
        <v>0</v>
      </c>
      <c r="K348" s="192">
        <v>0</v>
      </c>
      <c r="L348" s="190">
        <v>3089410</v>
      </c>
    </row>
    <row r="349" spans="1:12" ht="15.75" x14ac:dyDescent="0.25">
      <c r="A349" s="187" t="s">
        <v>292</v>
      </c>
      <c r="B349" s="188" t="s">
        <v>107</v>
      </c>
      <c r="C349" s="189" t="s">
        <v>108</v>
      </c>
      <c r="D349" s="187">
        <v>346</v>
      </c>
      <c r="E349" s="190">
        <v>28428</v>
      </c>
      <c r="F349" s="191">
        <v>12805</v>
      </c>
      <c r="G349" s="255" t="s">
        <v>153</v>
      </c>
      <c r="H349" s="190">
        <v>15623</v>
      </c>
      <c r="I349" s="192">
        <v>0</v>
      </c>
      <c r="J349" s="192">
        <v>0</v>
      </c>
      <c r="K349" s="192">
        <v>0</v>
      </c>
      <c r="L349" s="190">
        <v>15623</v>
      </c>
    </row>
    <row r="350" spans="1:12" ht="15.75" x14ac:dyDescent="0.25">
      <c r="A350" s="187" t="s">
        <v>292</v>
      </c>
      <c r="B350" s="188" t="s">
        <v>96</v>
      </c>
      <c r="C350" s="189" t="s">
        <v>97</v>
      </c>
      <c r="D350" s="187">
        <v>351</v>
      </c>
      <c r="E350" s="190">
        <v>123494</v>
      </c>
      <c r="F350" s="191">
        <v>102022</v>
      </c>
      <c r="G350" s="255" t="s">
        <v>153</v>
      </c>
      <c r="H350" s="190">
        <v>21472</v>
      </c>
      <c r="I350" s="192">
        <v>0</v>
      </c>
      <c r="J350" s="192">
        <v>0</v>
      </c>
      <c r="K350" s="192">
        <v>0</v>
      </c>
      <c r="L350" s="190">
        <v>21472</v>
      </c>
    </row>
    <row r="351" spans="1:12" ht="15.75" x14ac:dyDescent="0.25">
      <c r="A351" s="206" t="s">
        <v>295</v>
      </c>
      <c r="B351" s="258" t="s">
        <v>153</v>
      </c>
      <c r="C351" s="258" t="s">
        <v>153</v>
      </c>
      <c r="D351" s="258" t="s">
        <v>153</v>
      </c>
      <c r="E351" s="207">
        <f>SUBTOTAL(109,school201112[Program
Costs])</f>
        <v>417214426</v>
      </c>
      <c r="F351" s="216">
        <f>SUBTOTAL(109,school201112[Less: Net
 Payments and 
Offsets 2])</f>
        <v>279527311</v>
      </c>
      <c r="G351" s="256" t="s">
        <v>153</v>
      </c>
      <c r="H351" s="207">
        <f>SUBTOTAL(109,school201112[Accounts Payable
Balance])</f>
        <v>137687115</v>
      </c>
      <c r="I351" s="209">
        <f>SUBTOTAL(109,school201112[Established
Accounts Receivable])</f>
        <v>0</v>
      </c>
      <c r="J351" s="209">
        <f>SUBTOTAL(109,school201112[Less: 
Recovered 
Amount])</f>
        <v>0</v>
      </c>
      <c r="K351" s="209">
        <f>SUBTOTAL(109,school201112[Accounts Receivable
Balance])</f>
        <v>0</v>
      </c>
      <c r="L351" s="207">
        <f>SUBTOTAL(109,school201112[Net
Balance])</f>
        <v>137687115</v>
      </c>
    </row>
    <row r="352" spans="1:12" ht="15.75" x14ac:dyDescent="0.25">
      <c r="A352" s="146" t="s">
        <v>181</v>
      </c>
      <c r="B352" s="221"/>
      <c r="C352" s="220"/>
      <c r="D352" s="222"/>
      <c r="E352" s="223"/>
      <c r="F352" s="224"/>
      <c r="G352" s="225"/>
      <c r="H352" s="223"/>
      <c r="I352" s="226"/>
      <c r="J352" s="226"/>
      <c r="K352" s="226"/>
      <c r="L352" s="223"/>
    </row>
    <row r="353" spans="1:12" ht="50.1" customHeight="1" x14ac:dyDescent="0.25">
      <c r="A353" s="211" t="s">
        <v>221</v>
      </c>
      <c r="B353" s="211" t="s">
        <v>268</v>
      </c>
      <c r="C353" s="21" t="s">
        <v>2</v>
      </c>
      <c r="D353" s="211" t="s">
        <v>280</v>
      </c>
      <c r="E353" s="212" t="s">
        <v>223</v>
      </c>
      <c r="F353" s="213" t="s">
        <v>509</v>
      </c>
      <c r="G353" s="252" t="s">
        <v>176</v>
      </c>
      <c r="H353" s="214" t="s">
        <v>270</v>
      </c>
      <c r="I353" s="151" t="s">
        <v>271</v>
      </c>
      <c r="J353" s="212" t="s">
        <v>282</v>
      </c>
      <c r="K353" s="214" t="s">
        <v>272</v>
      </c>
      <c r="L353" s="212" t="s">
        <v>273</v>
      </c>
    </row>
    <row r="354" spans="1:12" ht="15.75" x14ac:dyDescent="0.25">
      <c r="A354" s="187" t="s">
        <v>296</v>
      </c>
      <c r="B354" s="188" t="s">
        <v>407</v>
      </c>
      <c r="C354" s="210" t="s">
        <v>408</v>
      </c>
      <c r="D354" s="187">
        <v>305</v>
      </c>
      <c r="E354" s="190">
        <v>404335</v>
      </c>
      <c r="F354" s="191">
        <v>284067</v>
      </c>
      <c r="G354" s="255" t="s">
        <v>153</v>
      </c>
      <c r="H354" s="190">
        <v>120268</v>
      </c>
      <c r="I354" s="192">
        <v>0</v>
      </c>
      <c r="J354" s="192">
        <v>0</v>
      </c>
      <c r="K354" s="192">
        <v>0</v>
      </c>
      <c r="L354" s="190">
        <v>120268</v>
      </c>
    </row>
    <row r="355" spans="1:12" ht="15" customHeight="1" x14ac:dyDescent="0.25">
      <c r="A355" s="187" t="s">
        <v>296</v>
      </c>
      <c r="B355" s="188" t="s">
        <v>440</v>
      </c>
      <c r="C355" s="189" t="s">
        <v>441</v>
      </c>
      <c r="D355" s="187">
        <v>269</v>
      </c>
      <c r="E355" s="190">
        <v>8679</v>
      </c>
      <c r="F355" s="191">
        <v>6144</v>
      </c>
      <c r="G355" s="255" t="s">
        <v>153</v>
      </c>
      <c r="H355" s="190">
        <v>2535</v>
      </c>
      <c r="I355" s="192">
        <v>0</v>
      </c>
      <c r="J355" s="192">
        <v>0</v>
      </c>
      <c r="K355" s="192">
        <v>0</v>
      </c>
      <c r="L355" s="190">
        <v>2535</v>
      </c>
    </row>
    <row r="356" spans="1:12" ht="30.75" x14ac:dyDescent="0.25">
      <c r="A356" s="187" t="s">
        <v>296</v>
      </c>
      <c r="B356" s="188" t="s">
        <v>53</v>
      </c>
      <c r="C356" s="189" t="s">
        <v>54</v>
      </c>
      <c r="D356" s="187">
        <v>250</v>
      </c>
      <c r="E356" s="190">
        <v>1284869</v>
      </c>
      <c r="F356" s="191">
        <v>670698</v>
      </c>
      <c r="G356" s="255" t="s">
        <v>153</v>
      </c>
      <c r="H356" s="190">
        <v>614171</v>
      </c>
      <c r="I356" s="192">
        <v>0</v>
      </c>
      <c r="J356" s="192">
        <v>0</v>
      </c>
      <c r="K356" s="192">
        <v>0</v>
      </c>
      <c r="L356" s="190">
        <v>614171</v>
      </c>
    </row>
    <row r="357" spans="1:12" ht="30.75" x14ac:dyDescent="0.25">
      <c r="A357" s="187" t="s">
        <v>296</v>
      </c>
      <c r="B357" s="188" t="s">
        <v>434</v>
      </c>
      <c r="C357" s="189" t="s">
        <v>429</v>
      </c>
      <c r="D357" s="187">
        <v>348</v>
      </c>
      <c r="E357" s="190">
        <v>1223752</v>
      </c>
      <c r="F357" s="191">
        <v>860241</v>
      </c>
      <c r="G357" s="255" t="s">
        <v>153</v>
      </c>
      <c r="H357" s="190">
        <v>363511</v>
      </c>
      <c r="I357" s="192">
        <v>0</v>
      </c>
      <c r="J357" s="192">
        <v>0</v>
      </c>
      <c r="K357" s="192">
        <v>0</v>
      </c>
      <c r="L357" s="190">
        <v>363511</v>
      </c>
    </row>
    <row r="358" spans="1:12" ht="15.75" customHeight="1" x14ac:dyDescent="0.25">
      <c r="A358" s="187" t="s">
        <v>296</v>
      </c>
      <c r="B358" s="188" t="s">
        <v>421</v>
      </c>
      <c r="C358" s="189" t="s">
        <v>302</v>
      </c>
      <c r="D358" s="187">
        <v>354</v>
      </c>
      <c r="E358" s="190">
        <v>86685</v>
      </c>
      <c r="F358" s="191">
        <v>72103</v>
      </c>
      <c r="G358" s="255" t="s">
        <v>153</v>
      </c>
      <c r="H358" s="190">
        <v>14582</v>
      </c>
      <c r="I358" s="192">
        <v>0</v>
      </c>
      <c r="J358" s="192">
        <v>0</v>
      </c>
      <c r="K358" s="192">
        <v>0</v>
      </c>
      <c r="L358" s="190">
        <v>14582</v>
      </c>
    </row>
    <row r="359" spans="1:12" ht="30.75" x14ac:dyDescent="0.25">
      <c r="A359" s="187" t="s">
        <v>296</v>
      </c>
      <c r="B359" s="188" t="s">
        <v>422</v>
      </c>
      <c r="C359" s="189" t="s">
        <v>423</v>
      </c>
      <c r="D359" s="187">
        <v>286</v>
      </c>
      <c r="E359" s="190">
        <v>48564</v>
      </c>
      <c r="F359" s="191">
        <v>38573</v>
      </c>
      <c r="G359" s="255" t="s">
        <v>153</v>
      </c>
      <c r="H359" s="190">
        <v>9991</v>
      </c>
      <c r="I359" s="192">
        <v>0</v>
      </c>
      <c r="J359" s="192">
        <v>0</v>
      </c>
      <c r="K359" s="192">
        <v>0</v>
      </c>
      <c r="L359" s="190">
        <v>9991</v>
      </c>
    </row>
    <row r="360" spans="1:12" ht="30.75" x14ac:dyDescent="0.25">
      <c r="A360" s="187" t="s">
        <v>296</v>
      </c>
      <c r="B360" s="188" t="s">
        <v>57</v>
      </c>
      <c r="C360" s="189" t="s">
        <v>58</v>
      </c>
      <c r="D360" s="187">
        <v>172</v>
      </c>
      <c r="E360" s="190">
        <v>509912</v>
      </c>
      <c r="F360" s="191">
        <v>359546</v>
      </c>
      <c r="G360" s="255" t="s">
        <v>153</v>
      </c>
      <c r="H360" s="190">
        <v>150366</v>
      </c>
      <c r="I360" s="192">
        <v>0</v>
      </c>
      <c r="J360" s="192">
        <v>0</v>
      </c>
      <c r="K360" s="192">
        <v>0</v>
      </c>
      <c r="L360" s="190">
        <v>150366</v>
      </c>
    </row>
    <row r="361" spans="1:12" ht="15.75" x14ac:dyDescent="0.25">
      <c r="A361" s="187" t="s">
        <v>296</v>
      </c>
      <c r="B361" s="188" t="s">
        <v>403</v>
      </c>
      <c r="C361" s="189" t="s">
        <v>404</v>
      </c>
      <c r="D361" s="187">
        <v>278</v>
      </c>
      <c r="E361" s="190">
        <v>1935990</v>
      </c>
      <c r="F361" s="191">
        <v>1331459</v>
      </c>
      <c r="G361" s="255" t="s">
        <v>153</v>
      </c>
      <c r="H361" s="190">
        <v>604531</v>
      </c>
      <c r="I361" s="192">
        <v>0</v>
      </c>
      <c r="J361" s="192">
        <v>0</v>
      </c>
      <c r="K361" s="192">
        <v>0</v>
      </c>
      <c r="L361" s="190">
        <v>604531</v>
      </c>
    </row>
    <row r="362" spans="1:12" ht="15.75" x14ac:dyDescent="0.25">
      <c r="A362" s="187" t="s">
        <v>296</v>
      </c>
      <c r="B362" s="188" t="s">
        <v>409</v>
      </c>
      <c r="C362" s="189" t="s">
        <v>410</v>
      </c>
      <c r="D362" s="187">
        <v>309</v>
      </c>
      <c r="E362" s="190">
        <v>13640</v>
      </c>
      <c r="F362" s="191">
        <v>7429</v>
      </c>
      <c r="G362" s="255" t="s">
        <v>153</v>
      </c>
      <c r="H362" s="190">
        <v>6211</v>
      </c>
      <c r="I362" s="192">
        <v>0</v>
      </c>
      <c r="J362" s="192">
        <v>0</v>
      </c>
      <c r="K362" s="192">
        <v>0</v>
      </c>
      <c r="L362" s="190">
        <v>6211</v>
      </c>
    </row>
    <row r="363" spans="1:12" ht="30.75" x14ac:dyDescent="0.25">
      <c r="A363" s="187" t="s">
        <v>296</v>
      </c>
      <c r="B363" s="188" t="s">
        <v>50</v>
      </c>
      <c r="C363" s="189" t="s">
        <v>51</v>
      </c>
      <c r="D363" s="187">
        <v>11</v>
      </c>
      <c r="E363" s="190">
        <v>17982853</v>
      </c>
      <c r="F363" s="191">
        <v>14351227</v>
      </c>
      <c r="G363" s="255" t="s">
        <v>153</v>
      </c>
      <c r="H363" s="190">
        <v>3631626</v>
      </c>
      <c r="I363" s="192">
        <v>0</v>
      </c>
      <c r="J363" s="192">
        <v>0</v>
      </c>
      <c r="K363" s="192">
        <v>0</v>
      </c>
      <c r="L363" s="190">
        <v>3631626</v>
      </c>
    </row>
    <row r="364" spans="1:12" ht="30.75" x14ac:dyDescent="0.25">
      <c r="A364" s="187" t="s">
        <v>296</v>
      </c>
      <c r="B364" s="188" t="s">
        <v>59</v>
      </c>
      <c r="C364" s="189" t="s">
        <v>60</v>
      </c>
      <c r="D364" s="187">
        <v>313</v>
      </c>
      <c r="E364" s="190">
        <v>3242473</v>
      </c>
      <c r="F364" s="191">
        <v>2671236</v>
      </c>
      <c r="G364" s="255" t="s">
        <v>153</v>
      </c>
      <c r="H364" s="190">
        <v>571237</v>
      </c>
      <c r="I364" s="192">
        <v>0</v>
      </c>
      <c r="J364" s="192">
        <v>0</v>
      </c>
      <c r="K364" s="192">
        <v>0</v>
      </c>
      <c r="L364" s="190">
        <v>571237</v>
      </c>
    </row>
    <row r="365" spans="1:12" ht="45.75" x14ac:dyDescent="0.25">
      <c r="A365" s="187" t="s">
        <v>296</v>
      </c>
      <c r="B365" s="188" t="s">
        <v>63</v>
      </c>
      <c r="C365" s="189" t="s">
        <v>64</v>
      </c>
      <c r="D365" s="187">
        <v>272</v>
      </c>
      <c r="E365" s="190">
        <v>9390921</v>
      </c>
      <c r="F365" s="191">
        <v>7958284</v>
      </c>
      <c r="G365" s="255" t="s">
        <v>153</v>
      </c>
      <c r="H365" s="190">
        <v>1432637</v>
      </c>
      <c r="I365" s="192">
        <v>0</v>
      </c>
      <c r="J365" s="192">
        <v>0</v>
      </c>
      <c r="K365" s="192">
        <v>0</v>
      </c>
      <c r="L365" s="190">
        <v>1432637</v>
      </c>
    </row>
    <row r="366" spans="1:12" ht="45.75" x14ac:dyDescent="0.25">
      <c r="A366" s="187" t="s">
        <v>296</v>
      </c>
      <c r="B366" s="188" t="s">
        <v>65</v>
      </c>
      <c r="C366" s="189" t="s">
        <v>66</v>
      </c>
      <c r="D366" s="187">
        <v>276</v>
      </c>
      <c r="E366" s="190">
        <v>938353</v>
      </c>
      <c r="F366" s="191">
        <v>629984</v>
      </c>
      <c r="G366" s="255" t="s">
        <v>153</v>
      </c>
      <c r="H366" s="190">
        <v>308369</v>
      </c>
      <c r="I366" s="192">
        <v>0</v>
      </c>
      <c r="J366" s="192">
        <v>0</v>
      </c>
      <c r="K366" s="192">
        <v>0</v>
      </c>
      <c r="L366" s="190">
        <v>308369</v>
      </c>
    </row>
    <row r="367" spans="1:12" ht="75.75" x14ac:dyDescent="0.25">
      <c r="A367" s="187" t="s">
        <v>296</v>
      </c>
      <c r="B367" s="188" t="s">
        <v>67</v>
      </c>
      <c r="C367" s="189" t="s">
        <v>68</v>
      </c>
      <c r="D367" s="187">
        <v>292</v>
      </c>
      <c r="E367" s="190">
        <v>7856369</v>
      </c>
      <c r="F367" s="191">
        <v>6178623</v>
      </c>
      <c r="G367" s="255" t="s">
        <v>153</v>
      </c>
      <c r="H367" s="190">
        <v>1677746</v>
      </c>
      <c r="I367" s="192">
        <v>0</v>
      </c>
      <c r="J367" s="192">
        <v>0</v>
      </c>
      <c r="K367" s="192">
        <v>0</v>
      </c>
      <c r="L367" s="190">
        <v>1677746</v>
      </c>
    </row>
    <row r="368" spans="1:12" ht="30.75" x14ac:dyDescent="0.25">
      <c r="A368" s="187" t="s">
        <v>296</v>
      </c>
      <c r="B368" s="188" t="s">
        <v>69</v>
      </c>
      <c r="C368" s="189" t="s">
        <v>70</v>
      </c>
      <c r="D368" s="187">
        <v>209</v>
      </c>
      <c r="E368" s="190">
        <v>297042</v>
      </c>
      <c r="F368" s="191">
        <v>29832</v>
      </c>
      <c r="G368" s="255" t="s">
        <v>153</v>
      </c>
      <c r="H368" s="190">
        <v>267210</v>
      </c>
      <c r="I368" s="192">
        <v>0</v>
      </c>
      <c r="J368" s="192">
        <v>0</v>
      </c>
      <c r="K368" s="192">
        <v>0</v>
      </c>
      <c r="L368" s="190">
        <v>267210</v>
      </c>
    </row>
    <row r="369" spans="1:12" ht="15.75" x14ac:dyDescent="0.25">
      <c r="A369" s="187" t="s">
        <v>296</v>
      </c>
      <c r="B369" s="188" t="s">
        <v>71</v>
      </c>
      <c r="C369" s="189" t="s">
        <v>72</v>
      </c>
      <c r="D369" s="187">
        <v>183</v>
      </c>
      <c r="E369" s="190">
        <v>472674</v>
      </c>
      <c r="F369" s="191">
        <v>391438</v>
      </c>
      <c r="G369" s="255" t="s">
        <v>153</v>
      </c>
      <c r="H369" s="190">
        <v>81236</v>
      </c>
      <c r="I369" s="192">
        <v>0</v>
      </c>
      <c r="J369" s="192">
        <v>0</v>
      </c>
      <c r="K369" s="192">
        <v>0</v>
      </c>
      <c r="L369" s="190">
        <v>81236</v>
      </c>
    </row>
    <row r="370" spans="1:12" ht="15.75" x14ac:dyDescent="0.25">
      <c r="A370" s="187" t="s">
        <v>296</v>
      </c>
      <c r="B370" s="188" t="s">
        <v>100</v>
      </c>
      <c r="C370" s="189" t="s">
        <v>101</v>
      </c>
      <c r="D370" s="187">
        <v>251</v>
      </c>
      <c r="E370" s="190">
        <v>438643</v>
      </c>
      <c r="F370" s="191">
        <v>278771</v>
      </c>
      <c r="G370" s="255" t="s">
        <v>153</v>
      </c>
      <c r="H370" s="190">
        <v>159872</v>
      </c>
      <c r="I370" s="192">
        <v>0</v>
      </c>
      <c r="J370" s="192">
        <v>0</v>
      </c>
      <c r="K370" s="192">
        <v>0</v>
      </c>
      <c r="L370" s="190">
        <v>159872</v>
      </c>
    </row>
    <row r="371" spans="1:12" ht="15.75" x14ac:dyDescent="0.25">
      <c r="A371" s="187" t="s">
        <v>296</v>
      </c>
      <c r="B371" s="188" t="s">
        <v>442</v>
      </c>
      <c r="C371" s="189" t="s">
        <v>443</v>
      </c>
      <c r="D371" s="187">
        <v>333</v>
      </c>
      <c r="E371" s="190">
        <v>51096</v>
      </c>
      <c r="F371" s="191">
        <v>24635</v>
      </c>
      <c r="G371" s="255" t="s">
        <v>153</v>
      </c>
      <c r="H371" s="190">
        <v>26461</v>
      </c>
      <c r="I371" s="192">
        <v>0</v>
      </c>
      <c r="J371" s="192">
        <v>0</v>
      </c>
      <c r="K371" s="192">
        <v>0</v>
      </c>
      <c r="L371" s="190">
        <v>26461</v>
      </c>
    </row>
    <row r="372" spans="1:12" ht="30.75" x14ac:dyDescent="0.25">
      <c r="A372" s="187" t="s">
        <v>296</v>
      </c>
      <c r="B372" s="188" t="s">
        <v>411</v>
      </c>
      <c r="C372" s="189" t="s">
        <v>62</v>
      </c>
      <c r="D372" s="187">
        <v>91</v>
      </c>
      <c r="E372" s="190">
        <v>15135</v>
      </c>
      <c r="F372" s="191">
        <v>10746</v>
      </c>
      <c r="G372" s="255" t="s">
        <v>153</v>
      </c>
      <c r="H372" s="190">
        <v>4389</v>
      </c>
      <c r="I372" s="192">
        <v>0</v>
      </c>
      <c r="J372" s="192">
        <v>0</v>
      </c>
      <c r="K372" s="192">
        <v>0</v>
      </c>
      <c r="L372" s="190">
        <v>4389</v>
      </c>
    </row>
    <row r="373" spans="1:12" ht="15.75" x14ac:dyDescent="0.25">
      <c r="A373" s="187" t="s">
        <v>296</v>
      </c>
      <c r="B373" s="188" t="s">
        <v>73</v>
      </c>
      <c r="C373" s="189" t="s">
        <v>52</v>
      </c>
      <c r="D373" s="187">
        <v>192</v>
      </c>
      <c r="E373" s="190">
        <v>281654</v>
      </c>
      <c r="F373" s="191">
        <v>169043</v>
      </c>
      <c r="G373" s="255" t="s">
        <v>153</v>
      </c>
      <c r="H373" s="190">
        <v>112611</v>
      </c>
      <c r="I373" s="192">
        <v>0</v>
      </c>
      <c r="J373" s="192">
        <v>0</v>
      </c>
      <c r="K373" s="192">
        <v>0</v>
      </c>
      <c r="L373" s="190">
        <v>112611</v>
      </c>
    </row>
    <row r="374" spans="1:12" ht="30.75" x14ac:dyDescent="0.25">
      <c r="A374" s="187" t="s">
        <v>296</v>
      </c>
      <c r="B374" s="188" t="s">
        <v>74</v>
      </c>
      <c r="C374" s="189" t="s">
        <v>75</v>
      </c>
      <c r="D374" s="187">
        <v>297</v>
      </c>
      <c r="E374" s="190">
        <v>271208498</v>
      </c>
      <c r="F374" s="191">
        <v>177075406</v>
      </c>
      <c r="G374" s="255" t="s">
        <v>153</v>
      </c>
      <c r="H374" s="190">
        <v>94133092</v>
      </c>
      <c r="I374" s="192">
        <v>0</v>
      </c>
      <c r="J374" s="192">
        <v>0</v>
      </c>
      <c r="K374" s="192">
        <v>0</v>
      </c>
      <c r="L374" s="190">
        <v>94133092</v>
      </c>
    </row>
    <row r="375" spans="1:12" ht="15.75" x14ac:dyDescent="0.25">
      <c r="A375" s="187" t="s">
        <v>296</v>
      </c>
      <c r="B375" s="188" t="s">
        <v>76</v>
      </c>
      <c r="C375" s="189" t="s">
        <v>77</v>
      </c>
      <c r="D375" s="187">
        <v>166</v>
      </c>
      <c r="E375" s="190">
        <v>7441492</v>
      </c>
      <c r="F375" s="191">
        <v>5709338</v>
      </c>
      <c r="G375" s="255" t="s">
        <v>153</v>
      </c>
      <c r="H375" s="190">
        <v>1732154</v>
      </c>
      <c r="I375" s="192">
        <v>0</v>
      </c>
      <c r="J375" s="192">
        <v>0</v>
      </c>
      <c r="K375" s="192">
        <v>0</v>
      </c>
      <c r="L375" s="190">
        <v>1732154</v>
      </c>
    </row>
    <row r="376" spans="1:12" ht="15.75" x14ac:dyDescent="0.25">
      <c r="A376" s="187" t="s">
        <v>296</v>
      </c>
      <c r="B376" s="188" t="s">
        <v>412</v>
      </c>
      <c r="C376" s="189" t="s">
        <v>413</v>
      </c>
      <c r="D376" s="187">
        <v>268</v>
      </c>
      <c r="E376" s="190">
        <v>6645364</v>
      </c>
      <c r="F376" s="191">
        <v>4043416</v>
      </c>
      <c r="G376" s="255" t="s">
        <v>153</v>
      </c>
      <c r="H376" s="190">
        <v>2601948</v>
      </c>
      <c r="I376" s="192">
        <v>0</v>
      </c>
      <c r="J376" s="192">
        <v>0</v>
      </c>
      <c r="K376" s="192">
        <v>0</v>
      </c>
      <c r="L376" s="190">
        <v>2601948</v>
      </c>
    </row>
    <row r="377" spans="1:12" ht="15.75" x14ac:dyDescent="0.25">
      <c r="A377" s="187" t="s">
        <v>296</v>
      </c>
      <c r="B377" s="188" t="s">
        <v>78</v>
      </c>
      <c r="C377" s="189" t="s">
        <v>79</v>
      </c>
      <c r="D377" s="187">
        <v>32</v>
      </c>
      <c r="E377" s="190">
        <v>4523685</v>
      </c>
      <c r="F377" s="191">
        <v>4169933</v>
      </c>
      <c r="G377" s="255" t="s">
        <v>153</v>
      </c>
      <c r="H377" s="190">
        <v>353752</v>
      </c>
      <c r="I377" s="192">
        <v>0</v>
      </c>
      <c r="J377" s="192">
        <v>0</v>
      </c>
      <c r="K377" s="192">
        <v>0</v>
      </c>
      <c r="L377" s="190">
        <v>353752</v>
      </c>
    </row>
    <row r="378" spans="1:12" ht="15.75" x14ac:dyDescent="0.25">
      <c r="A378" s="187" t="s">
        <v>296</v>
      </c>
      <c r="B378" s="188" t="s">
        <v>430</v>
      </c>
      <c r="C378" s="189" t="s">
        <v>81</v>
      </c>
      <c r="D378" s="187">
        <v>230</v>
      </c>
      <c r="E378" s="190">
        <v>5839873</v>
      </c>
      <c r="F378" s="191">
        <v>5536750</v>
      </c>
      <c r="G378" s="255" t="s">
        <v>153</v>
      </c>
      <c r="H378" s="190">
        <v>303123</v>
      </c>
      <c r="I378" s="192">
        <v>0</v>
      </c>
      <c r="J378" s="192">
        <v>0</v>
      </c>
      <c r="K378" s="192">
        <v>0</v>
      </c>
      <c r="L378" s="190">
        <v>303123</v>
      </c>
    </row>
    <row r="379" spans="1:12" ht="15.75" x14ac:dyDescent="0.25">
      <c r="A379" s="187" t="s">
        <v>296</v>
      </c>
      <c r="B379" s="188" t="s">
        <v>414</v>
      </c>
      <c r="C379" s="189" t="s">
        <v>415</v>
      </c>
      <c r="D379" s="187">
        <v>148</v>
      </c>
      <c r="E379" s="190">
        <v>190413</v>
      </c>
      <c r="F379" s="191">
        <v>5416</v>
      </c>
      <c r="G379" s="255" t="s">
        <v>153</v>
      </c>
      <c r="H379" s="190">
        <v>184997</v>
      </c>
      <c r="I379" s="192">
        <v>0</v>
      </c>
      <c r="J379" s="192">
        <v>0</v>
      </c>
      <c r="K379" s="192">
        <v>0</v>
      </c>
      <c r="L379" s="190">
        <v>184997</v>
      </c>
    </row>
    <row r="380" spans="1:12" ht="15.75" customHeight="1" x14ac:dyDescent="0.25">
      <c r="A380" s="187" t="s">
        <v>296</v>
      </c>
      <c r="B380" s="188" t="s">
        <v>84</v>
      </c>
      <c r="C380" s="189" t="s">
        <v>85</v>
      </c>
      <c r="D380" s="187">
        <v>153</v>
      </c>
      <c r="E380" s="190">
        <v>4617785</v>
      </c>
      <c r="F380" s="191">
        <v>3861580</v>
      </c>
      <c r="G380" s="255" t="s">
        <v>153</v>
      </c>
      <c r="H380" s="190">
        <v>756205</v>
      </c>
      <c r="I380" s="192">
        <v>0</v>
      </c>
      <c r="J380" s="192">
        <v>0</v>
      </c>
      <c r="K380" s="192">
        <v>0</v>
      </c>
      <c r="L380" s="190">
        <v>756205</v>
      </c>
    </row>
    <row r="381" spans="1:12" ht="15.75" x14ac:dyDescent="0.25">
      <c r="A381" s="187" t="s">
        <v>296</v>
      </c>
      <c r="B381" s="188" t="s">
        <v>102</v>
      </c>
      <c r="C381" s="189" t="s">
        <v>103</v>
      </c>
      <c r="D381" s="187">
        <v>155</v>
      </c>
      <c r="E381" s="190">
        <v>987871</v>
      </c>
      <c r="F381" s="191">
        <v>268064</v>
      </c>
      <c r="G381" s="255" t="s">
        <v>153</v>
      </c>
      <c r="H381" s="190">
        <v>719807</v>
      </c>
      <c r="I381" s="192">
        <v>0</v>
      </c>
      <c r="J381" s="192">
        <v>0</v>
      </c>
      <c r="K381" s="192">
        <v>0</v>
      </c>
      <c r="L381" s="190">
        <v>719807</v>
      </c>
    </row>
    <row r="382" spans="1:12" ht="15.75" x14ac:dyDescent="0.25">
      <c r="A382" s="187" t="s">
        <v>296</v>
      </c>
      <c r="B382" s="188" t="s">
        <v>305</v>
      </c>
      <c r="C382" s="189" t="s">
        <v>306</v>
      </c>
      <c r="D382" s="187">
        <v>42</v>
      </c>
      <c r="E382" s="190">
        <v>16152484</v>
      </c>
      <c r="F382" s="191">
        <v>13025656</v>
      </c>
      <c r="G382" s="255" t="s">
        <v>153</v>
      </c>
      <c r="H382" s="190">
        <v>3126828</v>
      </c>
      <c r="I382" s="192">
        <v>0</v>
      </c>
      <c r="J382" s="192">
        <v>0</v>
      </c>
      <c r="K382" s="192">
        <v>0</v>
      </c>
      <c r="L382" s="190">
        <v>3126828</v>
      </c>
    </row>
    <row r="383" spans="1:12" ht="15.75" x14ac:dyDescent="0.25">
      <c r="A383" s="187" t="s">
        <v>296</v>
      </c>
      <c r="B383" s="188" t="s">
        <v>86</v>
      </c>
      <c r="C383" s="189" t="s">
        <v>75</v>
      </c>
      <c r="D383" s="187">
        <v>48</v>
      </c>
      <c r="E383" s="190">
        <v>23711552</v>
      </c>
      <c r="F383" s="191">
        <v>20724878</v>
      </c>
      <c r="G383" s="255" t="s">
        <v>153</v>
      </c>
      <c r="H383" s="190">
        <v>2986674</v>
      </c>
      <c r="I383" s="192">
        <v>0</v>
      </c>
      <c r="J383" s="192">
        <v>0</v>
      </c>
      <c r="K383" s="192">
        <v>0</v>
      </c>
      <c r="L383" s="190">
        <v>2986674</v>
      </c>
    </row>
    <row r="384" spans="1:12" ht="15.75" x14ac:dyDescent="0.25">
      <c r="A384" s="187" t="s">
        <v>296</v>
      </c>
      <c r="B384" s="188" t="s">
        <v>293</v>
      </c>
      <c r="C384" s="189" t="s">
        <v>294</v>
      </c>
      <c r="D384" s="187">
        <v>218</v>
      </c>
      <c r="E384" s="190">
        <v>3581330</v>
      </c>
      <c r="F384" s="191">
        <v>2599910</v>
      </c>
      <c r="G384" s="255" t="s">
        <v>153</v>
      </c>
      <c r="H384" s="190">
        <v>981420</v>
      </c>
      <c r="I384" s="192">
        <v>0</v>
      </c>
      <c r="J384" s="192">
        <v>0</v>
      </c>
      <c r="K384" s="192">
        <v>0</v>
      </c>
      <c r="L384" s="190">
        <v>981420</v>
      </c>
    </row>
    <row r="385" spans="1:12" ht="15.75" x14ac:dyDescent="0.25">
      <c r="A385" s="187" t="s">
        <v>296</v>
      </c>
      <c r="B385" s="188" t="s">
        <v>87</v>
      </c>
      <c r="C385" s="189" t="s">
        <v>88</v>
      </c>
      <c r="D385" s="187">
        <v>350</v>
      </c>
      <c r="E385" s="190">
        <v>75583</v>
      </c>
      <c r="F385" s="191">
        <v>67957</v>
      </c>
      <c r="G385" s="255" t="s">
        <v>153</v>
      </c>
      <c r="H385" s="190">
        <v>7626</v>
      </c>
      <c r="I385" s="192">
        <v>0</v>
      </c>
      <c r="J385" s="192">
        <v>0</v>
      </c>
      <c r="K385" s="192">
        <v>0</v>
      </c>
      <c r="L385" s="190">
        <v>7626</v>
      </c>
    </row>
    <row r="386" spans="1:12" ht="15.75" x14ac:dyDescent="0.25">
      <c r="A386" s="187" t="s">
        <v>296</v>
      </c>
      <c r="B386" s="188" t="s">
        <v>444</v>
      </c>
      <c r="C386" s="189" t="s">
        <v>445</v>
      </c>
      <c r="D386" s="187">
        <v>195</v>
      </c>
      <c r="E386" s="190">
        <v>9000</v>
      </c>
      <c r="F386" s="191">
        <v>4735</v>
      </c>
      <c r="G386" s="255" t="s">
        <v>153</v>
      </c>
      <c r="H386" s="190">
        <v>4265</v>
      </c>
      <c r="I386" s="192">
        <v>0</v>
      </c>
      <c r="J386" s="192">
        <v>0</v>
      </c>
      <c r="K386" s="192">
        <v>0</v>
      </c>
      <c r="L386" s="190">
        <v>4265</v>
      </c>
    </row>
    <row r="387" spans="1:12" ht="15.75" customHeight="1" x14ac:dyDescent="0.25">
      <c r="A387" s="187" t="s">
        <v>296</v>
      </c>
      <c r="B387" s="188" t="s">
        <v>104</v>
      </c>
      <c r="C387" s="189" t="s">
        <v>105</v>
      </c>
      <c r="D387" s="187">
        <v>173</v>
      </c>
      <c r="E387" s="190">
        <v>1547323</v>
      </c>
      <c r="F387" s="191">
        <v>1294523</v>
      </c>
      <c r="G387" s="255" t="s">
        <v>153</v>
      </c>
      <c r="H387" s="190">
        <v>252800</v>
      </c>
      <c r="I387" s="192">
        <v>0</v>
      </c>
      <c r="J387" s="192">
        <v>0</v>
      </c>
      <c r="K387" s="192">
        <v>0</v>
      </c>
      <c r="L387" s="190">
        <v>252800</v>
      </c>
    </row>
    <row r="388" spans="1:12" ht="15.75" x14ac:dyDescent="0.25">
      <c r="A388" s="187" t="s">
        <v>296</v>
      </c>
      <c r="B388" s="188" t="s">
        <v>435</v>
      </c>
      <c r="C388" s="189" t="s">
        <v>436</v>
      </c>
      <c r="D388" s="187">
        <v>304</v>
      </c>
      <c r="E388" s="190">
        <v>201323</v>
      </c>
      <c r="F388" s="191">
        <v>12323</v>
      </c>
      <c r="G388" s="255" t="s">
        <v>153</v>
      </c>
      <c r="H388" s="190">
        <v>189000</v>
      </c>
      <c r="I388" s="192">
        <v>0</v>
      </c>
      <c r="J388" s="192">
        <v>0</v>
      </c>
      <c r="K388" s="192">
        <v>0</v>
      </c>
      <c r="L388" s="190">
        <v>189000</v>
      </c>
    </row>
    <row r="389" spans="1:12" ht="45.75" x14ac:dyDescent="0.25">
      <c r="A389" s="187" t="s">
        <v>296</v>
      </c>
      <c r="B389" s="188" t="s">
        <v>437</v>
      </c>
      <c r="C389" s="189" t="s">
        <v>438</v>
      </c>
      <c r="D389" s="187">
        <v>329</v>
      </c>
      <c r="E389" s="190">
        <v>1485859</v>
      </c>
      <c r="F389" s="191">
        <v>1185110</v>
      </c>
      <c r="G389" s="255" t="s">
        <v>153</v>
      </c>
      <c r="H389" s="190">
        <v>300749</v>
      </c>
      <c r="I389" s="192">
        <v>0</v>
      </c>
      <c r="J389" s="192">
        <v>0</v>
      </c>
      <c r="K389" s="192">
        <v>0</v>
      </c>
      <c r="L389" s="190">
        <v>300749</v>
      </c>
    </row>
    <row r="390" spans="1:12" ht="30.75" x14ac:dyDescent="0.25">
      <c r="A390" s="187" t="s">
        <v>296</v>
      </c>
      <c r="B390" s="188" t="s">
        <v>405</v>
      </c>
      <c r="C390" s="189" t="s">
        <v>406</v>
      </c>
      <c r="D390" s="187">
        <v>261</v>
      </c>
      <c r="E390" s="190">
        <v>790823</v>
      </c>
      <c r="F390" s="191">
        <v>738103</v>
      </c>
      <c r="G390" s="255" t="s">
        <v>153</v>
      </c>
      <c r="H390" s="190">
        <v>52720</v>
      </c>
      <c r="I390" s="192">
        <v>0</v>
      </c>
      <c r="J390" s="192">
        <v>0</v>
      </c>
      <c r="K390" s="192">
        <v>0</v>
      </c>
      <c r="L390" s="190">
        <v>52720</v>
      </c>
    </row>
    <row r="391" spans="1:12" ht="15.75" x14ac:dyDescent="0.25">
      <c r="A391" s="187" t="s">
        <v>296</v>
      </c>
      <c r="B391" s="188" t="s">
        <v>106</v>
      </c>
      <c r="C391" s="189" t="s">
        <v>92</v>
      </c>
      <c r="D391" s="187">
        <v>244</v>
      </c>
      <c r="E391" s="190">
        <v>1888836</v>
      </c>
      <c r="F391" s="191">
        <v>1773230</v>
      </c>
      <c r="G391" s="255" t="s">
        <v>153</v>
      </c>
      <c r="H391" s="190">
        <v>115606</v>
      </c>
      <c r="I391" s="192">
        <v>0</v>
      </c>
      <c r="J391" s="192">
        <v>0</v>
      </c>
      <c r="K391" s="192">
        <v>0</v>
      </c>
      <c r="L391" s="190">
        <v>115606</v>
      </c>
    </row>
    <row r="392" spans="1:12" ht="15.75" x14ac:dyDescent="0.25">
      <c r="A392" s="187" t="s">
        <v>296</v>
      </c>
      <c r="B392" s="188" t="s">
        <v>416</v>
      </c>
      <c r="C392" s="189" t="s">
        <v>75</v>
      </c>
      <c r="D392" s="187">
        <v>280</v>
      </c>
      <c r="E392" s="190">
        <v>119811</v>
      </c>
      <c r="F392" s="191">
        <v>29250</v>
      </c>
      <c r="G392" s="255" t="s">
        <v>153</v>
      </c>
      <c r="H392" s="190">
        <v>90561</v>
      </c>
      <c r="I392" s="192">
        <v>0</v>
      </c>
      <c r="J392" s="192">
        <v>0</v>
      </c>
      <c r="K392" s="192">
        <v>0</v>
      </c>
      <c r="L392" s="190">
        <v>90561</v>
      </c>
    </row>
    <row r="393" spans="1:12" ht="15" customHeight="1" x14ac:dyDescent="0.25">
      <c r="A393" s="187" t="s">
        <v>296</v>
      </c>
      <c r="B393" s="188" t="s">
        <v>439</v>
      </c>
      <c r="C393" s="189" t="s">
        <v>62</v>
      </c>
      <c r="D393" s="187">
        <v>176</v>
      </c>
      <c r="E393" s="190">
        <v>4838148</v>
      </c>
      <c r="F393" s="191">
        <v>3627093</v>
      </c>
      <c r="G393" s="255" t="s">
        <v>153</v>
      </c>
      <c r="H393" s="190">
        <v>1211055</v>
      </c>
      <c r="I393" s="192">
        <v>0</v>
      </c>
      <c r="J393" s="192">
        <v>0</v>
      </c>
      <c r="K393" s="192">
        <v>0</v>
      </c>
      <c r="L393" s="190">
        <v>1211055</v>
      </c>
    </row>
    <row r="394" spans="1:12" ht="15.75" x14ac:dyDescent="0.25">
      <c r="A394" s="187" t="s">
        <v>296</v>
      </c>
      <c r="B394" s="188" t="s">
        <v>446</v>
      </c>
      <c r="C394" s="189" t="s">
        <v>447</v>
      </c>
      <c r="D394" s="187">
        <v>57</v>
      </c>
      <c r="E394" s="190">
        <v>108771</v>
      </c>
      <c r="F394" s="191">
        <v>62375</v>
      </c>
      <c r="G394" s="255" t="s">
        <v>153</v>
      </c>
      <c r="H394" s="190">
        <v>46396</v>
      </c>
      <c r="I394" s="192">
        <v>0</v>
      </c>
      <c r="J394" s="192">
        <v>0</v>
      </c>
      <c r="K394" s="192">
        <v>0</v>
      </c>
      <c r="L394" s="190">
        <v>46396</v>
      </c>
    </row>
    <row r="395" spans="1:12" ht="15.75" x14ac:dyDescent="0.25">
      <c r="A395" s="187" t="s">
        <v>296</v>
      </c>
      <c r="B395" s="188" t="s">
        <v>89</v>
      </c>
      <c r="C395" s="189" t="s">
        <v>90</v>
      </c>
      <c r="D395" s="187">
        <v>171</v>
      </c>
      <c r="E395" s="190">
        <v>2690215</v>
      </c>
      <c r="F395" s="191">
        <v>2201763</v>
      </c>
      <c r="G395" s="255" t="s">
        <v>153</v>
      </c>
      <c r="H395" s="190">
        <v>488452</v>
      </c>
      <c r="I395" s="192">
        <v>0</v>
      </c>
      <c r="J395" s="192">
        <v>0</v>
      </c>
      <c r="K395" s="192">
        <v>0</v>
      </c>
      <c r="L395" s="190">
        <v>488452</v>
      </c>
    </row>
    <row r="396" spans="1:12" ht="45.75" x14ac:dyDescent="0.25">
      <c r="A396" s="187" t="s">
        <v>296</v>
      </c>
      <c r="B396" s="188" t="s">
        <v>91</v>
      </c>
      <c r="C396" s="189" t="s">
        <v>92</v>
      </c>
      <c r="D396" s="187">
        <v>258</v>
      </c>
      <c r="E396" s="190">
        <v>3264325</v>
      </c>
      <c r="F396" s="191">
        <v>2074791</v>
      </c>
      <c r="G396" s="255" t="s">
        <v>153</v>
      </c>
      <c r="H396" s="190">
        <v>1189534</v>
      </c>
      <c r="I396" s="192">
        <v>0</v>
      </c>
      <c r="J396" s="192">
        <v>0</v>
      </c>
      <c r="K396" s="192">
        <v>0</v>
      </c>
      <c r="L396" s="190">
        <v>1189534</v>
      </c>
    </row>
    <row r="397" spans="1:12" ht="15.75" x14ac:dyDescent="0.25">
      <c r="A397" s="187" t="s">
        <v>296</v>
      </c>
      <c r="B397" s="188" t="s">
        <v>417</v>
      </c>
      <c r="C397" s="189" t="s">
        <v>418</v>
      </c>
      <c r="D397" s="187">
        <v>228</v>
      </c>
      <c r="E397" s="190">
        <v>7405</v>
      </c>
      <c r="F397" s="191">
        <v>3652</v>
      </c>
      <c r="G397" s="255" t="s">
        <v>153</v>
      </c>
      <c r="H397" s="190">
        <v>3753</v>
      </c>
      <c r="I397" s="192">
        <v>0</v>
      </c>
      <c r="J397" s="192">
        <v>0</v>
      </c>
      <c r="K397" s="192">
        <v>0</v>
      </c>
      <c r="L397" s="190">
        <v>3753</v>
      </c>
    </row>
    <row r="398" spans="1:12" ht="15.75" x14ac:dyDescent="0.25">
      <c r="A398" s="187" t="s">
        <v>296</v>
      </c>
      <c r="B398" s="188" t="s">
        <v>448</v>
      </c>
      <c r="C398" s="189" t="s">
        <v>449</v>
      </c>
      <c r="D398" s="187">
        <v>58</v>
      </c>
      <c r="E398" s="190">
        <v>205106</v>
      </c>
      <c r="F398" s="191">
        <v>197875</v>
      </c>
      <c r="G398" s="255" t="s">
        <v>153</v>
      </c>
      <c r="H398" s="190">
        <v>7231</v>
      </c>
      <c r="I398" s="192">
        <v>0</v>
      </c>
      <c r="J398" s="192">
        <v>0</v>
      </c>
      <c r="K398" s="192">
        <v>0</v>
      </c>
      <c r="L398" s="190">
        <v>7231</v>
      </c>
    </row>
    <row r="399" spans="1:12" ht="15.75" x14ac:dyDescent="0.25">
      <c r="A399" s="187" t="s">
        <v>296</v>
      </c>
      <c r="B399" s="188" t="s">
        <v>419</v>
      </c>
      <c r="C399" s="189" t="s">
        <v>420</v>
      </c>
      <c r="D399" s="187">
        <v>308</v>
      </c>
      <c r="E399" s="190">
        <v>242733</v>
      </c>
      <c r="F399" s="191">
        <v>87061</v>
      </c>
      <c r="G399" s="255" t="s">
        <v>153</v>
      </c>
      <c r="H399" s="190">
        <v>155672</v>
      </c>
      <c r="I399" s="192">
        <v>0</v>
      </c>
      <c r="J399" s="192">
        <v>0</v>
      </c>
      <c r="K399" s="192">
        <v>0</v>
      </c>
      <c r="L399" s="190">
        <v>155672</v>
      </c>
    </row>
    <row r="400" spans="1:12" ht="15.75" x14ac:dyDescent="0.25">
      <c r="A400" s="187" t="s">
        <v>296</v>
      </c>
      <c r="B400" s="188" t="s">
        <v>93</v>
      </c>
      <c r="C400" s="189" t="s">
        <v>75</v>
      </c>
      <c r="D400" s="187">
        <v>260</v>
      </c>
      <c r="E400" s="190">
        <v>17524560</v>
      </c>
      <c r="F400" s="191">
        <v>14643538</v>
      </c>
      <c r="G400" s="255" t="s">
        <v>153</v>
      </c>
      <c r="H400" s="190">
        <v>2881022</v>
      </c>
      <c r="I400" s="192">
        <v>0</v>
      </c>
      <c r="J400" s="192">
        <v>0</v>
      </c>
      <c r="K400" s="192">
        <v>0</v>
      </c>
      <c r="L400" s="190">
        <v>2881022</v>
      </c>
    </row>
    <row r="401" spans="1:12" ht="15.75" x14ac:dyDescent="0.25">
      <c r="A401" s="187" t="s">
        <v>296</v>
      </c>
      <c r="B401" s="188" t="s">
        <v>107</v>
      </c>
      <c r="C401" s="189" t="s">
        <v>108</v>
      </c>
      <c r="D401" s="187">
        <v>346</v>
      </c>
      <c r="E401" s="190">
        <v>32108</v>
      </c>
      <c r="F401" s="191">
        <v>16987</v>
      </c>
      <c r="G401" s="255" t="s">
        <v>153</v>
      </c>
      <c r="H401" s="190">
        <v>15121</v>
      </c>
      <c r="I401" s="192">
        <v>0</v>
      </c>
      <c r="J401" s="192">
        <v>0</v>
      </c>
      <c r="K401" s="192">
        <v>0</v>
      </c>
      <c r="L401" s="190">
        <v>15121</v>
      </c>
    </row>
    <row r="402" spans="1:12" ht="15" customHeight="1" x14ac:dyDescent="0.25">
      <c r="A402" s="187" t="s">
        <v>296</v>
      </c>
      <c r="B402" s="188" t="s">
        <v>96</v>
      </c>
      <c r="C402" s="189" t="s">
        <v>97</v>
      </c>
      <c r="D402" s="187">
        <v>351</v>
      </c>
      <c r="E402" s="190">
        <v>122036</v>
      </c>
      <c r="F402" s="191">
        <v>112462</v>
      </c>
      <c r="G402" s="255" t="s">
        <v>153</v>
      </c>
      <c r="H402" s="190">
        <v>9574</v>
      </c>
      <c r="I402" s="192">
        <v>0</v>
      </c>
      <c r="J402" s="192">
        <v>0</v>
      </c>
      <c r="K402" s="192">
        <v>0</v>
      </c>
      <c r="L402" s="190">
        <v>9574</v>
      </c>
    </row>
    <row r="403" spans="1:12" ht="15.75" x14ac:dyDescent="0.25">
      <c r="A403" s="206" t="s">
        <v>383</v>
      </c>
      <c r="B403" s="258" t="s">
        <v>153</v>
      </c>
      <c r="C403" s="258" t="s">
        <v>153</v>
      </c>
      <c r="D403" s="258" t="s">
        <v>153</v>
      </c>
      <c r="E403" s="207">
        <f>SUBTOTAL(109,school201011[Program
Costs])</f>
        <v>426537951</v>
      </c>
      <c r="F403" s="216">
        <f>SUBTOTAL(109,school201011[Less: Net
 Payments and 
Offsets 2])</f>
        <v>301477254</v>
      </c>
      <c r="G403" s="256" t="s">
        <v>153</v>
      </c>
      <c r="H403" s="207">
        <f>SUBTOTAL(109,school201011[Accounts Payable
Balance])</f>
        <v>125060697</v>
      </c>
      <c r="I403" s="209">
        <f>SUBTOTAL(109,school201011[Established
Accounts Receivable])</f>
        <v>0</v>
      </c>
      <c r="J403" s="209">
        <f>SUBTOTAL(109,school201011[Less: 
Recovered 
Amount])</f>
        <v>0</v>
      </c>
      <c r="K403" s="209">
        <f>SUBTOTAL(109,school201011[Accounts Receivable
Balance])</f>
        <v>0</v>
      </c>
      <c r="L403" s="207">
        <f>SUBTOTAL(109,school201011[Net
Balance])</f>
        <v>125060697</v>
      </c>
    </row>
    <row r="404" spans="1:12" ht="15.75" x14ac:dyDescent="0.25">
      <c r="A404" s="146" t="s">
        <v>181</v>
      </c>
      <c r="B404" s="221"/>
      <c r="C404" s="220"/>
      <c r="D404" s="222"/>
      <c r="E404" s="223"/>
      <c r="F404" s="224"/>
      <c r="G404" s="225"/>
      <c r="H404" s="223"/>
      <c r="I404" s="226"/>
      <c r="J404" s="226"/>
      <c r="K404" s="226"/>
      <c r="L404" s="223"/>
    </row>
    <row r="405" spans="1:12" ht="50.1" customHeight="1" x14ac:dyDescent="0.25">
      <c r="A405" s="34" t="s">
        <v>221</v>
      </c>
      <c r="B405" s="34" t="s">
        <v>268</v>
      </c>
      <c r="C405" s="28" t="s">
        <v>2</v>
      </c>
      <c r="D405" s="34" t="s">
        <v>280</v>
      </c>
      <c r="E405" s="194" t="s">
        <v>223</v>
      </c>
      <c r="F405" s="195" t="s">
        <v>509</v>
      </c>
      <c r="G405" s="252" t="s">
        <v>176</v>
      </c>
      <c r="H405" s="196" t="s">
        <v>270</v>
      </c>
      <c r="I405" s="156" t="s">
        <v>271</v>
      </c>
      <c r="J405" s="194" t="s">
        <v>282</v>
      </c>
      <c r="K405" s="196" t="s">
        <v>272</v>
      </c>
      <c r="L405" s="194" t="s">
        <v>273</v>
      </c>
    </row>
    <row r="406" spans="1:12" ht="15.75" x14ac:dyDescent="0.25">
      <c r="A406" s="187" t="s">
        <v>1</v>
      </c>
      <c r="B406" s="188" t="s">
        <v>407</v>
      </c>
      <c r="C406" s="210" t="s">
        <v>408</v>
      </c>
      <c r="D406" s="187">
        <v>305</v>
      </c>
      <c r="E406" s="190">
        <v>163684</v>
      </c>
      <c r="F406" s="191">
        <v>121828</v>
      </c>
      <c r="G406" s="255" t="s">
        <v>153</v>
      </c>
      <c r="H406" s="190">
        <v>41856</v>
      </c>
      <c r="I406" s="192">
        <v>0</v>
      </c>
      <c r="J406" s="192">
        <v>0</v>
      </c>
      <c r="K406" s="192">
        <v>0</v>
      </c>
      <c r="L406" s="190">
        <v>41856</v>
      </c>
    </row>
    <row r="407" spans="1:12" ht="15.75" customHeight="1" x14ac:dyDescent="0.25">
      <c r="A407" s="187" t="s">
        <v>1</v>
      </c>
      <c r="B407" s="188" t="s">
        <v>440</v>
      </c>
      <c r="C407" s="189" t="s">
        <v>441</v>
      </c>
      <c r="D407" s="187">
        <v>269</v>
      </c>
      <c r="E407" s="190">
        <v>12470</v>
      </c>
      <c r="F407" s="191">
        <v>9355</v>
      </c>
      <c r="G407" s="255" t="s">
        <v>153</v>
      </c>
      <c r="H407" s="190">
        <v>3115</v>
      </c>
      <c r="I407" s="192">
        <v>0</v>
      </c>
      <c r="J407" s="192">
        <v>0</v>
      </c>
      <c r="K407" s="192">
        <v>0</v>
      </c>
      <c r="L407" s="190">
        <v>3115</v>
      </c>
    </row>
    <row r="408" spans="1:12" ht="30.75" x14ac:dyDescent="0.25">
      <c r="A408" s="187" t="s">
        <v>1</v>
      </c>
      <c r="B408" s="188" t="s">
        <v>53</v>
      </c>
      <c r="C408" s="189" t="s">
        <v>54</v>
      </c>
      <c r="D408" s="187">
        <v>250</v>
      </c>
      <c r="E408" s="190">
        <v>1382752</v>
      </c>
      <c r="F408" s="191">
        <v>1354624</v>
      </c>
      <c r="G408" s="255" t="s">
        <v>153</v>
      </c>
      <c r="H408" s="190">
        <v>28128</v>
      </c>
      <c r="I408" s="192">
        <v>0</v>
      </c>
      <c r="J408" s="192">
        <v>0</v>
      </c>
      <c r="K408" s="192">
        <v>0</v>
      </c>
      <c r="L408" s="190">
        <v>28128</v>
      </c>
    </row>
    <row r="409" spans="1:12" ht="30.75" x14ac:dyDescent="0.25">
      <c r="A409" s="187" t="s">
        <v>1</v>
      </c>
      <c r="B409" s="188" t="s">
        <v>434</v>
      </c>
      <c r="C409" s="189" t="s">
        <v>429</v>
      </c>
      <c r="D409" s="187">
        <v>348</v>
      </c>
      <c r="E409" s="190">
        <v>54274890</v>
      </c>
      <c r="F409" s="191">
        <v>43186728</v>
      </c>
      <c r="G409" s="255" t="s">
        <v>153</v>
      </c>
      <c r="H409" s="190">
        <v>11088162</v>
      </c>
      <c r="I409" s="192">
        <v>0</v>
      </c>
      <c r="J409" s="192">
        <v>0</v>
      </c>
      <c r="K409" s="192">
        <v>0</v>
      </c>
      <c r="L409" s="190">
        <v>11088162</v>
      </c>
    </row>
    <row r="410" spans="1:12" ht="15.75" x14ac:dyDescent="0.25">
      <c r="A410" s="187" t="s">
        <v>1</v>
      </c>
      <c r="B410" s="188" t="s">
        <v>421</v>
      </c>
      <c r="C410" s="189" t="s">
        <v>302</v>
      </c>
      <c r="D410" s="187">
        <v>354</v>
      </c>
      <c r="E410" s="190">
        <v>49027</v>
      </c>
      <c r="F410" s="191">
        <v>43176</v>
      </c>
      <c r="G410" s="255" t="s">
        <v>153</v>
      </c>
      <c r="H410" s="190">
        <v>5851</v>
      </c>
      <c r="I410" s="192">
        <v>0</v>
      </c>
      <c r="J410" s="192">
        <v>0</v>
      </c>
      <c r="K410" s="192">
        <v>0</v>
      </c>
      <c r="L410" s="190">
        <v>5851</v>
      </c>
    </row>
    <row r="411" spans="1:12" ht="15.75" x14ac:dyDescent="0.25">
      <c r="A411" s="187" t="s">
        <v>1</v>
      </c>
      <c r="B411" s="188" t="s">
        <v>403</v>
      </c>
      <c r="C411" s="189" t="s">
        <v>404</v>
      </c>
      <c r="D411" s="187">
        <v>278</v>
      </c>
      <c r="E411" s="190">
        <v>1945612</v>
      </c>
      <c r="F411" s="191">
        <v>1771159</v>
      </c>
      <c r="G411" s="255" t="s">
        <v>153</v>
      </c>
      <c r="H411" s="190">
        <v>174453</v>
      </c>
      <c r="I411" s="192">
        <v>0</v>
      </c>
      <c r="J411" s="192">
        <v>0</v>
      </c>
      <c r="K411" s="192">
        <v>0</v>
      </c>
      <c r="L411" s="190">
        <v>174453</v>
      </c>
    </row>
    <row r="412" spans="1:12" ht="15.75" x14ac:dyDescent="0.25">
      <c r="A412" s="187" t="s">
        <v>1</v>
      </c>
      <c r="B412" s="188" t="s">
        <v>409</v>
      </c>
      <c r="C412" s="189" t="s">
        <v>410</v>
      </c>
      <c r="D412" s="187">
        <v>309</v>
      </c>
      <c r="E412" s="190">
        <v>10638</v>
      </c>
      <c r="F412" s="191">
        <v>1061</v>
      </c>
      <c r="G412" s="255" t="s">
        <v>153</v>
      </c>
      <c r="H412" s="190">
        <v>9577</v>
      </c>
      <c r="I412" s="192">
        <v>0</v>
      </c>
      <c r="J412" s="192">
        <v>0</v>
      </c>
      <c r="K412" s="192">
        <v>0</v>
      </c>
      <c r="L412" s="190">
        <v>9577</v>
      </c>
    </row>
    <row r="413" spans="1:12" ht="30.75" x14ac:dyDescent="0.25">
      <c r="A413" s="187" t="s">
        <v>1</v>
      </c>
      <c r="B413" s="188" t="s">
        <v>50</v>
      </c>
      <c r="C413" s="189" t="s">
        <v>51</v>
      </c>
      <c r="D413" s="187">
        <v>11</v>
      </c>
      <c r="E413" s="190">
        <v>21146549</v>
      </c>
      <c r="F413" s="191">
        <v>17942274</v>
      </c>
      <c r="G413" s="255" t="s">
        <v>153</v>
      </c>
      <c r="H413" s="190">
        <v>3204275</v>
      </c>
      <c r="I413" s="190">
        <v>6116</v>
      </c>
      <c r="J413" s="190">
        <v>2133</v>
      </c>
      <c r="K413" s="190">
        <v>3983</v>
      </c>
      <c r="L413" s="190">
        <v>3200292</v>
      </c>
    </row>
    <row r="414" spans="1:12" ht="30.75" x14ac:dyDescent="0.25">
      <c r="A414" s="187" t="s">
        <v>1</v>
      </c>
      <c r="B414" s="188" t="s">
        <v>59</v>
      </c>
      <c r="C414" s="189" t="s">
        <v>60</v>
      </c>
      <c r="D414" s="187">
        <v>313</v>
      </c>
      <c r="E414" s="190">
        <v>3339644</v>
      </c>
      <c r="F414" s="191">
        <v>3296121</v>
      </c>
      <c r="G414" s="255" t="s">
        <v>153</v>
      </c>
      <c r="H414" s="190">
        <v>43523</v>
      </c>
      <c r="I414" s="192">
        <v>0</v>
      </c>
      <c r="J414" s="192">
        <v>0</v>
      </c>
      <c r="K414" s="192">
        <v>0</v>
      </c>
      <c r="L414" s="190">
        <v>43523</v>
      </c>
    </row>
    <row r="415" spans="1:12" ht="45.75" x14ac:dyDescent="0.25">
      <c r="A415" s="187" t="s">
        <v>1</v>
      </c>
      <c r="B415" s="188" t="s">
        <v>63</v>
      </c>
      <c r="C415" s="189" t="s">
        <v>64</v>
      </c>
      <c r="D415" s="187">
        <v>272</v>
      </c>
      <c r="E415" s="190">
        <v>9245785</v>
      </c>
      <c r="F415" s="191">
        <v>9214618</v>
      </c>
      <c r="G415" s="255" t="s">
        <v>153</v>
      </c>
      <c r="H415" s="190">
        <v>31167</v>
      </c>
      <c r="I415" s="192">
        <v>0</v>
      </c>
      <c r="J415" s="192">
        <v>0</v>
      </c>
      <c r="K415" s="192">
        <v>0</v>
      </c>
      <c r="L415" s="190">
        <v>31167</v>
      </c>
    </row>
    <row r="416" spans="1:12" ht="45.75" x14ac:dyDescent="0.25">
      <c r="A416" s="187" t="s">
        <v>1</v>
      </c>
      <c r="B416" s="188" t="s">
        <v>65</v>
      </c>
      <c r="C416" s="189" t="s">
        <v>66</v>
      </c>
      <c r="D416" s="187">
        <v>276</v>
      </c>
      <c r="E416" s="190">
        <v>824608</v>
      </c>
      <c r="F416" s="191">
        <v>616600</v>
      </c>
      <c r="G416" s="255" t="s">
        <v>153</v>
      </c>
      <c r="H416" s="190">
        <v>208008</v>
      </c>
      <c r="I416" s="192">
        <v>0</v>
      </c>
      <c r="J416" s="192">
        <v>0</v>
      </c>
      <c r="K416" s="192">
        <v>0</v>
      </c>
      <c r="L416" s="190">
        <v>208008</v>
      </c>
    </row>
    <row r="417" spans="1:12" ht="75.75" x14ac:dyDescent="0.25">
      <c r="A417" s="187" t="s">
        <v>1</v>
      </c>
      <c r="B417" s="188" t="s">
        <v>67</v>
      </c>
      <c r="C417" s="189" t="s">
        <v>68</v>
      </c>
      <c r="D417" s="187">
        <v>292</v>
      </c>
      <c r="E417" s="190">
        <v>8776032</v>
      </c>
      <c r="F417" s="191">
        <v>8520670</v>
      </c>
      <c r="G417" s="255" t="s">
        <v>153</v>
      </c>
      <c r="H417" s="190">
        <v>255362</v>
      </c>
      <c r="I417" s="190">
        <v>33477</v>
      </c>
      <c r="J417" s="190">
        <v>11081</v>
      </c>
      <c r="K417" s="190">
        <v>22396</v>
      </c>
      <c r="L417" s="190">
        <v>232966</v>
      </c>
    </row>
    <row r="418" spans="1:12" ht="30.75" x14ac:dyDescent="0.25">
      <c r="A418" s="187" t="s">
        <v>1</v>
      </c>
      <c r="B418" s="188" t="s">
        <v>69</v>
      </c>
      <c r="C418" s="189" t="s">
        <v>70</v>
      </c>
      <c r="D418" s="187">
        <v>209</v>
      </c>
      <c r="E418" s="190">
        <v>337987</v>
      </c>
      <c r="F418" s="191">
        <v>316188</v>
      </c>
      <c r="G418" s="255" t="s">
        <v>153</v>
      </c>
      <c r="H418" s="190">
        <v>21799</v>
      </c>
      <c r="I418" s="192">
        <v>0</v>
      </c>
      <c r="J418" s="192">
        <v>0</v>
      </c>
      <c r="K418" s="192">
        <v>0</v>
      </c>
      <c r="L418" s="190">
        <v>21799</v>
      </c>
    </row>
    <row r="419" spans="1:12" ht="15.75" x14ac:dyDescent="0.25">
      <c r="A419" s="187" t="s">
        <v>1</v>
      </c>
      <c r="B419" s="188" t="s">
        <v>71</v>
      </c>
      <c r="C419" s="189" t="s">
        <v>72</v>
      </c>
      <c r="D419" s="187">
        <v>183</v>
      </c>
      <c r="E419" s="190">
        <v>444298</v>
      </c>
      <c r="F419" s="191">
        <v>442546</v>
      </c>
      <c r="G419" s="255" t="s">
        <v>153</v>
      </c>
      <c r="H419" s="190">
        <v>1752</v>
      </c>
      <c r="I419" s="192">
        <v>0</v>
      </c>
      <c r="J419" s="192">
        <v>0</v>
      </c>
      <c r="K419" s="192">
        <v>0</v>
      </c>
      <c r="L419" s="190">
        <v>1752</v>
      </c>
    </row>
    <row r="420" spans="1:12" ht="15.75" x14ac:dyDescent="0.25">
      <c r="A420" s="187" t="s">
        <v>1</v>
      </c>
      <c r="B420" s="188" t="s">
        <v>100</v>
      </c>
      <c r="C420" s="189" t="s">
        <v>101</v>
      </c>
      <c r="D420" s="187">
        <v>251</v>
      </c>
      <c r="E420" s="190">
        <v>382165</v>
      </c>
      <c r="F420" s="191">
        <v>323806</v>
      </c>
      <c r="G420" s="255" t="s">
        <v>153</v>
      </c>
      <c r="H420" s="190">
        <v>58359</v>
      </c>
      <c r="I420" s="192">
        <v>0</v>
      </c>
      <c r="J420" s="192">
        <v>0</v>
      </c>
      <c r="K420" s="192">
        <v>0</v>
      </c>
      <c r="L420" s="190">
        <v>58359</v>
      </c>
    </row>
    <row r="421" spans="1:12" ht="15.75" x14ac:dyDescent="0.25">
      <c r="A421" s="187" t="s">
        <v>1</v>
      </c>
      <c r="B421" s="188" t="s">
        <v>442</v>
      </c>
      <c r="C421" s="189" t="s">
        <v>443</v>
      </c>
      <c r="D421" s="187">
        <v>333</v>
      </c>
      <c r="E421" s="190">
        <v>65793</v>
      </c>
      <c r="F421" s="191">
        <v>47649</v>
      </c>
      <c r="G421" s="255" t="s">
        <v>153</v>
      </c>
      <c r="H421" s="190">
        <v>18144</v>
      </c>
      <c r="I421" s="192">
        <v>0</v>
      </c>
      <c r="J421" s="192">
        <v>0</v>
      </c>
      <c r="K421" s="192">
        <v>0</v>
      </c>
      <c r="L421" s="190">
        <v>18144</v>
      </c>
    </row>
    <row r="422" spans="1:12" ht="30.75" x14ac:dyDescent="0.25">
      <c r="A422" s="187" t="s">
        <v>1</v>
      </c>
      <c r="B422" s="188" t="s">
        <v>411</v>
      </c>
      <c r="C422" s="189" t="s">
        <v>62</v>
      </c>
      <c r="D422" s="187">
        <v>91</v>
      </c>
      <c r="E422" s="190">
        <v>12754</v>
      </c>
      <c r="F422" s="191">
        <v>10819</v>
      </c>
      <c r="G422" s="255" t="s">
        <v>153</v>
      </c>
      <c r="H422" s="190">
        <v>1935</v>
      </c>
      <c r="I422" s="192">
        <v>0</v>
      </c>
      <c r="J422" s="192">
        <v>0</v>
      </c>
      <c r="K422" s="192">
        <v>0</v>
      </c>
      <c r="L422" s="190">
        <v>1935</v>
      </c>
    </row>
    <row r="423" spans="1:12" ht="30.75" x14ac:dyDescent="0.25">
      <c r="A423" s="187" t="s">
        <v>1</v>
      </c>
      <c r="B423" s="188" t="s">
        <v>74</v>
      </c>
      <c r="C423" s="189" t="s">
        <v>75</v>
      </c>
      <c r="D423" s="187">
        <v>297</v>
      </c>
      <c r="E423" s="190">
        <v>256893924</v>
      </c>
      <c r="F423" s="191">
        <v>175216847</v>
      </c>
      <c r="G423" s="255" t="s">
        <v>153</v>
      </c>
      <c r="H423" s="190">
        <v>81677077</v>
      </c>
      <c r="I423" s="192">
        <v>0</v>
      </c>
      <c r="J423" s="192">
        <v>0</v>
      </c>
      <c r="K423" s="192">
        <v>0</v>
      </c>
      <c r="L423" s="190">
        <v>81677077</v>
      </c>
    </row>
    <row r="424" spans="1:12" ht="15.75" x14ac:dyDescent="0.25">
      <c r="A424" s="187" t="s">
        <v>1</v>
      </c>
      <c r="B424" s="188" t="s">
        <v>76</v>
      </c>
      <c r="C424" s="189" t="s">
        <v>77</v>
      </c>
      <c r="D424" s="187">
        <v>166</v>
      </c>
      <c r="E424" s="190">
        <v>8133459</v>
      </c>
      <c r="F424" s="191">
        <v>7007725</v>
      </c>
      <c r="G424" s="255" t="s">
        <v>153</v>
      </c>
      <c r="H424" s="190">
        <v>1125734</v>
      </c>
      <c r="I424" s="192">
        <v>0</v>
      </c>
      <c r="J424" s="192">
        <v>0</v>
      </c>
      <c r="K424" s="192">
        <v>0</v>
      </c>
      <c r="L424" s="190">
        <v>1125734</v>
      </c>
    </row>
    <row r="425" spans="1:12" ht="15.75" x14ac:dyDescent="0.25">
      <c r="A425" s="187" t="s">
        <v>1</v>
      </c>
      <c r="B425" s="188" t="s">
        <v>412</v>
      </c>
      <c r="C425" s="189" t="s">
        <v>413</v>
      </c>
      <c r="D425" s="187">
        <v>268</v>
      </c>
      <c r="E425" s="190">
        <v>7419164</v>
      </c>
      <c r="F425" s="191">
        <v>6754707</v>
      </c>
      <c r="G425" s="255" t="s">
        <v>153</v>
      </c>
      <c r="H425" s="190">
        <v>664457</v>
      </c>
      <c r="I425" s="192">
        <v>0</v>
      </c>
      <c r="J425" s="192">
        <v>0</v>
      </c>
      <c r="K425" s="192">
        <v>0</v>
      </c>
      <c r="L425" s="190">
        <v>664457</v>
      </c>
    </row>
    <row r="426" spans="1:12" ht="15.75" customHeight="1" x14ac:dyDescent="0.25">
      <c r="A426" s="187" t="s">
        <v>1</v>
      </c>
      <c r="B426" s="188" t="s">
        <v>78</v>
      </c>
      <c r="C426" s="189" t="s">
        <v>79</v>
      </c>
      <c r="D426" s="187">
        <v>32</v>
      </c>
      <c r="E426" s="190">
        <v>4671453</v>
      </c>
      <c r="F426" s="191">
        <v>4619165</v>
      </c>
      <c r="G426" s="255" t="s">
        <v>153</v>
      </c>
      <c r="H426" s="190">
        <v>52288</v>
      </c>
      <c r="I426" s="192">
        <v>0</v>
      </c>
      <c r="J426" s="192">
        <v>0</v>
      </c>
      <c r="K426" s="192">
        <v>0</v>
      </c>
      <c r="L426" s="190">
        <v>52288</v>
      </c>
    </row>
    <row r="427" spans="1:12" ht="15.75" x14ac:dyDescent="0.25">
      <c r="A427" s="187" t="s">
        <v>1</v>
      </c>
      <c r="B427" s="188" t="s">
        <v>430</v>
      </c>
      <c r="C427" s="189" t="s">
        <v>81</v>
      </c>
      <c r="D427" s="187">
        <v>230</v>
      </c>
      <c r="E427" s="190">
        <v>5705616</v>
      </c>
      <c r="F427" s="191">
        <v>5667416</v>
      </c>
      <c r="G427" s="255" t="s">
        <v>153</v>
      </c>
      <c r="H427" s="190">
        <v>38200</v>
      </c>
      <c r="I427" s="190">
        <v>173</v>
      </c>
      <c r="J427" s="190">
        <v>173</v>
      </c>
      <c r="K427" s="192">
        <v>0</v>
      </c>
      <c r="L427" s="190">
        <v>38200</v>
      </c>
    </row>
    <row r="428" spans="1:12" ht="15.75" x14ac:dyDescent="0.25">
      <c r="A428" s="187" t="s">
        <v>1</v>
      </c>
      <c r="B428" s="188" t="s">
        <v>414</v>
      </c>
      <c r="C428" s="189" t="s">
        <v>415</v>
      </c>
      <c r="D428" s="187">
        <v>148</v>
      </c>
      <c r="E428" s="190">
        <v>199869</v>
      </c>
      <c r="F428" s="191">
        <v>7800</v>
      </c>
      <c r="G428" s="255" t="s">
        <v>153</v>
      </c>
      <c r="H428" s="190">
        <v>192069</v>
      </c>
      <c r="I428" s="192">
        <v>0</v>
      </c>
      <c r="J428" s="192">
        <v>0</v>
      </c>
      <c r="K428" s="192">
        <v>0</v>
      </c>
      <c r="L428" s="190">
        <v>192069</v>
      </c>
    </row>
    <row r="429" spans="1:12" ht="15" customHeight="1" x14ac:dyDescent="0.25">
      <c r="A429" s="187" t="s">
        <v>1</v>
      </c>
      <c r="B429" s="188" t="s">
        <v>84</v>
      </c>
      <c r="C429" s="189" t="s">
        <v>85</v>
      </c>
      <c r="D429" s="187">
        <v>153</v>
      </c>
      <c r="E429" s="190">
        <v>4394453</v>
      </c>
      <c r="F429" s="191">
        <v>4276983</v>
      </c>
      <c r="G429" s="255" t="s">
        <v>153</v>
      </c>
      <c r="H429" s="190">
        <v>117470</v>
      </c>
      <c r="I429" s="192">
        <v>0</v>
      </c>
      <c r="J429" s="192">
        <v>0</v>
      </c>
      <c r="K429" s="192">
        <v>0</v>
      </c>
      <c r="L429" s="190">
        <v>117470</v>
      </c>
    </row>
    <row r="430" spans="1:12" ht="15.75" x14ac:dyDescent="0.25">
      <c r="A430" s="187" t="s">
        <v>1</v>
      </c>
      <c r="B430" s="188" t="s">
        <v>102</v>
      </c>
      <c r="C430" s="189" t="s">
        <v>103</v>
      </c>
      <c r="D430" s="187">
        <v>155</v>
      </c>
      <c r="E430" s="190">
        <v>1071881</v>
      </c>
      <c r="F430" s="191">
        <v>1019256</v>
      </c>
      <c r="G430" s="255" t="s">
        <v>153</v>
      </c>
      <c r="H430" s="190">
        <v>52625</v>
      </c>
      <c r="I430" s="192">
        <v>0</v>
      </c>
      <c r="J430" s="192">
        <v>0</v>
      </c>
      <c r="K430" s="192">
        <v>0</v>
      </c>
      <c r="L430" s="190">
        <v>52625</v>
      </c>
    </row>
    <row r="431" spans="1:12" ht="15.75" x14ac:dyDescent="0.25">
      <c r="A431" s="187" t="s">
        <v>1</v>
      </c>
      <c r="B431" s="188" t="s">
        <v>305</v>
      </c>
      <c r="C431" s="189" t="s">
        <v>306</v>
      </c>
      <c r="D431" s="187">
        <v>42</v>
      </c>
      <c r="E431" s="190">
        <v>16547869</v>
      </c>
      <c r="F431" s="191">
        <v>13812414</v>
      </c>
      <c r="G431" s="255" t="s">
        <v>153</v>
      </c>
      <c r="H431" s="190">
        <v>2735455</v>
      </c>
      <c r="I431" s="190">
        <v>5</v>
      </c>
      <c r="J431" s="190">
        <v>1</v>
      </c>
      <c r="K431" s="190">
        <v>4</v>
      </c>
      <c r="L431" s="190">
        <v>2735451</v>
      </c>
    </row>
    <row r="432" spans="1:12" ht="15.75" x14ac:dyDescent="0.25">
      <c r="A432" s="187" t="s">
        <v>1</v>
      </c>
      <c r="B432" s="188" t="s">
        <v>86</v>
      </c>
      <c r="C432" s="189" t="s">
        <v>75</v>
      </c>
      <c r="D432" s="187">
        <v>48</v>
      </c>
      <c r="E432" s="190">
        <v>18493781</v>
      </c>
      <c r="F432" s="191">
        <v>16223313</v>
      </c>
      <c r="G432" s="255" t="s">
        <v>153</v>
      </c>
      <c r="H432" s="190">
        <v>2270468</v>
      </c>
      <c r="I432" s="192">
        <v>0</v>
      </c>
      <c r="J432" s="192">
        <v>0</v>
      </c>
      <c r="K432" s="192">
        <v>0</v>
      </c>
      <c r="L432" s="190">
        <v>2270468</v>
      </c>
    </row>
    <row r="433" spans="1:12" ht="15.75" x14ac:dyDescent="0.25">
      <c r="A433" s="187" t="s">
        <v>1</v>
      </c>
      <c r="B433" s="188" t="s">
        <v>293</v>
      </c>
      <c r="C433" s="189" t="s">
        <v>294</v>
      </c>
      <c r="D433" s="187">
        <v>218</v>
      </c>
      <c r="E433" s="190">
        <v>3729137</v>
      </c>
      <c r="F433" s="191">
        <v>2850496</v>
      </c>
      <c r="G433" s="255" t="s">
        <v>153</v>
      </c>
      <c r="H433" s="190">
        <v>878641</v>
      </c>
      <c r="I433" s="192">
        <v>0</v>
      </c>
      <c r="J433" s="192">
        <v>0</v>
      </c>
      <c r="K433" s="192">
        <v>0</v>
      </c>
      <c r="L433" s="190">
        <v>878641</v>
      </c>
    </row>
    <row r="434" spans="1:12" ht="15.75" customHeight="1" x14ac:dyDescent="0.25">
      <c r="A434" s="187" t="s">
        <v>1</v>
      </c>
      <c r="B434" s="188" t="s">
        <v>87</v>
      </c>
      <c r="C434" s="189" t="s">
        <v>88</v>
      </c>
      <c r="D434" s="187">
        <v>350</v>
      </c>
      <c r="E434" s="190">
        <v>66447</v>
      </c>
      <c r="F434" s="191">
        <v>54751</v>
      </c>
      <c r="G434" s="255" t="s">
        <v>153</v>
      </c>
      <c r="H434" s="190">
        <v>11696</v>
      </c>
      <c r="I434" s="192">
        <v>0</v>
      </c>
      <c r="J434" s="192">
        <v>0</v>
      </c>
      <c r="K434" s="192">
        <v>0</v>
      </c>
      <c r="L434" s="190">
        <v>11696</v>
      </c>
    </row>
    <row r="435" spans="1:12" ht="15.75" x14ac:dyDescent="0.25">
      <c r="A435" s="187" t="s">
        <v>1</v>
      </c>
      <c r="B435" s="188" t="s">
        <v>435</v>
      </c>
      <c r="C435" s="189" t="s">
        <v>436</v>
      </c>
      <c r="D435" s="187">
        <v>304</v>
      </c>
      <c r="E435" s="190">
        <v>22223</v>
      </c>
      <c r="F435" s="191">
        <v>5219</v>
      </c>
      <c r="G435" s="255" t="s">
        <v>153</v>
      </c>
      <c r="H435" s="190">
        <v>17004</v>
      </c>
      <c r="I435" s="192">
        <v>0</v>
      </c>
      <c r="J435" s="192">
        <v>0</v>
      </c>
      <c r="K435" s="192">
        <v>0</v>
      </c>
      <c r="L435" s="190">
        <v>17004</v>
      </c>
    </row>
    <row r="436" spans="1:12" ht="45.75" x14ac:dyDescent="0.25">
      <c r="A436" s="187" t="s">
        <v>1</v>
      </c>
      <c r="B436" s="188" t="s">
        <v>437</v>
      </c>
      <c r="C436" s="189" t="s">
        <v>438</v>
      </c>
      <c r="D436" s="187">
        <v>329</v>
      </c>
      <c r="E436" s="190">
        <v>1446214</v>
      </c>
      <c r="F436" s="191">
        <v>1118940</v>
      </c>
      <c r="G436" s="255" t="s">
        <v>153</v>
      </c>
      <c r="H436" s="190">
        <v>327274</v>
      </c>
      <c r="I436" s="192">
        <v>0</v>
      </c>
      <c r="J436" s="192">
        <v>0</v>
      </c>
      <c r="K436" s="192">
        <v>0</v>
      </c>
      <c r="L436" s="190">
        <v>327274</v>
      </c>
    </row>
    <row r="437" spans="1:12" ht="30.75" x14ac:dyDescent="0.25">
      <c r="A437" s="187" t="s">
        <v>1</v>
      </c>
      <c r="B437" s="188" t="s">
        <v>405</v>
      </c>
      <c r="C437" s="189" t="s">
        <v>406</v>
      </c>
      <c r="D437" s="187">
        <v>261</v>
      </c>
      <c r="E437" s="190">
        <v>906604</v>
      </c>
      <c r="F437" s="191">
        <v>899722</v>
      </c>
      <c r="G437" s="255" t="s">
        <v>153</v>
      </c>
      <c r="H437" s="190">
        <v>6882</v>
      </c>
      <c r="I437" s="192">
        <v>0</v>
      </c>
      <c r="J437" s="192">
        <v>0</v>
      </c>
      <c r="K437" s="192">
        <v>0</v>
      </c>
      <c r="L437" s="190">
        <v>6882</v>
      </c>
    </row>
    <row r="438" spans="1:12" ht="15.75" x14ac:dyDescent="0.25">
      <c r="A438" s="187" t="s">
        <v>1</v>
      </c>
      <c r="B438" s="188" t="s">
        <v>106</v>
      </c>
      <c r="C438" s="189" t="s">
        <v>92</v>
      </c>
      <c r="D438" s="187">
        <v>244</v>
      </c>
      <c r="E438" s="190">
        <v>2764503</v>
      </c>
      <c r="F438" s="191">
        <v>2710687</v>
      </c>
      <c r="G438" s="255" t="s">
        <v>153</v>
      </c>
      <c r="H438" s="190">
        <v>53816</v>
      </c>
      <c r="I438" s="192">
        <v>0</v>
      </c>
      <c r="J438" s="192">
        <v>0</v>
      </c>
      <c r="K438" s="192">
        <v>0</v>
      </c>
      <c r="L438" s="190">
        <v>53816</v>
      </c>
    </row>
    <row r="439" spans="1:12" ht="15" customHeight="1" x14ac:dyDescent="0.25">
      <c r="A439" s="187" t="s">
        <v>1</v>
      </c>
      <c r="B439" s="188" t="s">
        <v>450</v>
      </c>
      <c r="C439" s="189" t="s">
        <v>451</v>
      </c>
      <c r="D439" s="187">
        <v>182</v>
      </c>
      <c r="E439" s="190">
        <v>113910</v>
      </c>
      <c r="F439" s="191">
        <v>97651</v>
      </c>
      <c r="G439" s="255" t="s">
        <v>153</v>
      </c>
      <c r="H439" s="190">
        <v>16259</v>
      </c>
      <c r="I439" s="190">
        <v>19</v>
      </c>
      <c r="J439" s="190">
        <v>19</v>
      </c>
      <c r="K439" s="192">
        <v>0</v>
      </c>
      <c r="L439" s="190">
        <v>16259</v>
      </c>
    </row>
    <row r="440" spans="1:12" ht="15.75" x14ac:dyDescent="0.25">
      <c r="A440" s="187" t="s">
        <v>1</v>
      </c>
      <c r="B440" s="188" t="s">
        <v>416</v>
      </c>
      <c r="C440" s="189" t="s">
        <v>75</v>
      </c>
      <c r="D440" s="187">
        <v>280</v>
      </c>
      <c r="E440" s="190">
        <v>118719</v>
      </c>
      <c r="F440" s="191">
        <v>82734</v>
      </c>
      <c r="G440" s="255" t="s">
        <v>153</v>
      </c>
      <c r="H440" s="190">
        <v>35985</v>
      </c>
      <c r="I440" s="192">
        <v>0</v>
      </c>
      <c r="J440" s="192">
        <v>0</v>
      </c>
      <c r="K440" s="192">
        <v>0</v>
      </c>
      <c r="L440" s="190">
        <v>35985</v>
      </c>
    </row>
    <row r="441" spans="1:12" ht="30.75" x14ac:dyDescent="0.25">
      <c r="A441" s="187" t="s">
        <v>1</v>
      </c>
      <c r="B441" s="188" t="s">
        <v>439</v>
      </c>
      <c r="C441" s="189" t="s">
        <v>62</v>
      </c>
      <c r="D441" s="187">
        <v>176</v>
      </c>
      <c r="E441" s="190">
        <v>5591939</v>
      </c>
      <c r="F441" s="191">
        <v>5576654</v>
      </c>
      <c r="G441" s="255" t="s">
        <v>153</v>
      </c>
      <c r="H441" s="190">
        <v>15285</v>
      </c>
      <c r="I441" s="190">
        <v>30395</v>
      </c>
      <c r="J441" s="192">
        <v>0</v>
      </c>
      <c r="K441" s="190">
        <v>30395</v>
      </c>
      <c r="L441" s="190">
        <v>-15110</v>
      </c>
    </row>
    <row r="442" spans="1:12" ht="15.75" x14ac:dyDescent="0.25">
      <c r="A442" s="187" t="s">
        <v>1</v>
      </c>
      <c r="B442" s="188" t="s">
        <v>446</v>
      </c>
      <c r="C442" s="189" t="s">
        <v>447</v>
      </c>
      <c r="D442" s="187">
        <v>57</v>
      </c>
      <c r="E442" s="190">
        <v>973526</v>
      </c>
      <c r="F442" s="191">
        <v>729055</v>
      </c>
      <c r="G442" s="255" t="s">
        <v>153</v>
      </c>
      <c r="H442" s="190">
        <v>244471</v>
      </c>
      <c r="I442" s="192">
        <v>0</v>
      </c>
      <c r="J442" s="192">
        <v>0</v>
      </c>
      <c r="K442" s="192">
        <v>0</v>
      </c>
      <c r="L442" s="190">
        <v>244471</v>
      </c>
    </row>
    <row r="443" spans="1:12" ht="15.75" x14ac:dyDescent="0.25">
      <c r="A443" s="187" t="s">
        <v>1</v>
      </c>
      <c r="B443" s="188" t="s">
        <v>89</v>
      </c>
      <c r="C443" s="189" t="s">
        <v>90</v>
      </c>
      <c r="D443" s="187">
        <v>171</v>
      </c>
      <c r="E443" s="190">
        <v>2358194</v>
      </c>
      <c r="F443" s="191">
        <v>2024268</v>
      </c>
      <c r="G443" s="255" t="s">
        <v>153</v>
      </c>
      <c r="H443" s="190">
        <v>333926</v>
      </c>
      <c r="I443" s="192">
        <v>0</v>
      </c>
      <c r="J443" s="192">
        <v>0</v>
      </c>
      <c r="K443" s="192">
        <v>0</v>
      </c>
      <c r="L443" s="190">
        <v>333926</v>
      </c>
    </row>
    <row r="444" spans="1:12" ht="45.75" x14ac:dyDescent="0.25">
      <c r="A444" s="187" t="s">
        <v>1</v>
      </c>
      <c r="B444" s="188" t="s">
        <v>91</v>
      </c>
      <c r="C444" s="189" t="s">
        <v>92</v>
      </c>
      <c r="D444" s="187">
        <v>258</v>
      </c>
      <c r="E444" s="190">
        <v>3461835</v>
      </c>
      <c r="F444" s="191">
        <v>3265219</v>
      </c>
      <c r="G444" s="255" t="s">
        <v>153</v>
      </c>
      <c r="H444" s="190">
        <v>196616</v>
      </c>
      <c r="I444" s="192">
        <v>0</v>
      </c>
      <c r="J444" s="192">
        <v>0</v>
      </c>
      <c r="K444" s="192">
        <v>0</v>
      </c>
      <c r="L444" s="190">
        <v>196616</v>
      </c>
    </row>
    <row r="445" spans="1:12" ht="15.75" x14ac:dyDescent="0.25">
      <c r="A445" s="187" t="s">
        <v>1</v>
      </c>
      <c r="B445" s="188" t="s">
        <v>448</v>
      </c>
      <c r="C445" s="189" t="s">
        <v>449</v>
      </c>
      <c r="D445" s="187">
        <v>58</v>
      </c>
      <c r="E445" s="190">
        <v>3292644</v>
      </c>
      <c r="F445" s="191">
        <v>3008770</v>
      </c>
      <c r="G445" s="255" t="s">
        <v>153</v>
      </c>
      <c r="H445" s="190">
        <v>283874</v>
      </c>
      <c r="I445" s="192">
        <v>0</v>
      </c>
      <c r="J445" s="192">
        <v>0</v>
      </c>
      <c r="K445" s="192">
        <v>0</v>
      </c>
      <c r="L445" s="190">
        <v>283874</v>
      </c>
    </row>
    <row r="446" spans="1:12" ht="15.75" x14ac:dyDescent="0.25">
      <c r="A446" s="187" t="s">
        <v>1</v>
      </c>
      <c r="B446" s="188" t="s">
        <v>419</v>
      </c>
      <c r="C446" s="189" t="s">
        <v>420</v>
      </c>
      <c r="D446" s="187">
        <v>308</v>
      </c>
      <c r="E446" s="190">
        <v>224162</v>
      </c>
      <c r="F446" s="191">
        <v>116098</v>
      </c>
      <c r="G446" s="255" t="s">
        <v>153</v>
      </c>
      <c r="H446" s="190">
        <v>108064</v>
      </c>
      <c r="I446" s="192">
        <v>0</v>
      </c>
      <c r="J446" s="192">
        <v>0</v>
      </c>
      <c r="K446" s="192">
        <v>0</v>
      </c>
      <c r="L446" s="190">
        <v>108064</v>
      </c>
    </row>
    <row r="447" spans="1:12" ht="15.75" x14ac:dyDescent="0.25">
      <c r="A447" s="187" t="s">
        <v>1</v>
      </c>
      <c r="B447" s="188" t="s">
        <v>93</v>
      </c>
      <c r="C447" s="189" t="s">
        <v>75</v>
      </c>
      <c r="D447" s="187">
        <v>260</v>
      </c>
      <c r="E447" s="190">
        <v>19111083</v>
      </c>
      <c r="F447" s="191">
        <v>18993790</v>
      </c>
      <c r="G447" s="255" t="s">
        <v>153</v>
      </c>
      <c r="H447" s="190">
        <v>117293</v>
      </c>
      <c r="I447" s="190">
        <v>670053</v>
      </c>
      <c r="J447" s="190">
        <v>20116</v>
      </c>
      <c r="K447" s="190">
        <v>649937</v>
      </c>
      <c r="L447" s="190">
        <v>-532644</v>
      </c>
    </row>
    <row r="448" spans="1:12" ht="15.75" x14ac:dyDescent="0.25">
      <c r="A448" s="187" t="s">
        <v>1</v>
      </c>
      <c r="B448" s="188" t="s">
        <v>107</v>
      </c>
      <c r="C448" s="189" t="s">
        <v>108</v>
      </c>
      <c r="D448" s="187">
        <v>346</v>
      </c>
      <c r="E448" s="190">
        <v>49140</v>
      </c>
      <c r="F448" s="191">
        <v>42386</v>
      </c>
      <c r="G448" s="255" t="s">
        <v>153</v>
      </c>
      <c r="H448" s="190">
        <v>6754</v>
      </c>
      <c r="I448" s="192">
        <v>0</v>
      </c>
      <c r="J448" s="192">
        <v>0</v>
      </c>
      <c r="K448" s="192">
        <v>0</v>
      </c>
      <c r="L448" s="190">
        <v>6754</v>
      </c>
    </row>
    <row r="449" spans="1:12" ht="15.75" x14ac:dyDescent="0.25">
      <c r="A449" s="187" t="s">
        <v>1</v>
      </c>
      <c r="B449" s="188" t="s">
        <v>96</v>
      </c>
      <c r="C449" s="189" t="s">
        <v>97</v>
      </c>
      <c r="D449" s="187">
        <v>351</v>
      </c>
      <c r="E449" s="190">
        <v>99653</v>
      </c>
      <c r="F449" s="191">
        <v>89104</v>
      </c>
      <c r="G449" s="255" t="s">
        <v>153</v>
      </c>
      <c r="H449" s="190">
        <v>10549</v>
      </c>
      <c r="I449" s="192">
        <v>0</v>
      </c>
      <c r="J449" s="192">
        <v>0</v>
      </c>
      <c r="K449" s="192">
        <v>0</v>
      </c>
      <c r="L449" s="190">
        <v>10549</v>
      </c>
    </row>
    <row r="450" spans="1:12" ht="15.75" x14ac:dyDescent="0.25">
      <c r="A450" s="206" t="s">
        <v>384</v>
      </c>
      <c r="B450" s="258" t="s">
        <v>153</v>
      </c>
      <c r="C450" s="258" t="s">
        <v>153</v>
      </c>
      <c r="D450" s="258" t="s">
        <v>153</v>
      </c>
      <c r="E450" s="207">
        <f>SUBTOTAL(109,school200910[Program
Costs])</f>
        <v>470276090</v>
      </c>
      <c r="F450" s="216">
        <f>SUBTOTAL(109,school200910[Less: Net
 Payments and 
Offsets 2])</f>
        <v>363490392</v>
      </c>
      <c r="G450" s="256" t="s">
        <v>153</v>
      </c>
      <c r="H450" s="207">
        <f>SUBTOTAL(109,school200910[Accounts Payable
Balance])</f>
        <v>106785698</v>
      </c>
      <c r="I450" s="207">
        <f>SUBTOTAL(109,school200910[Established
Accounts Receivable])</f>
        <v>740238</v>
      </c>
      <c r="J450" s="207">
        <f>SUBTOTAL(109,school200910[Less: 
Recovered 
Amount])</f>
        <v>33523</v>
      </c>
      <c r="K450" s="207">
        <f>SUBTOTAL(109,school200910[Accounts Receivable
Balance])</f>
        <v>706715</v>
      </c>
      <c r="L450" s="207">
        <f>SUBTOTAL(109,school200910[Net
Balance])</f>
        <v>106078983</v>
      </c>
    </row>
    <row r="451" spans="1:12" ht="15.75" x14ac:dyDescent="0.25">
      <c r="A451" s="146" t="s">
        <v>181</v>
      </c>
      <c r="B451" s="221"/>
      <c r="C451" s="220"/>
      <c r="D451" s="222"/>
      <c r="E451" s="223"/>
      <c r="F451" s="224"/>
      <c r="G451" s="224"/>
      <c r="H451" s="223"/>
      <c r="I451" s="223"/>
      <c r="J451" s="223"/>
      <c r="K451" s="223"/>
      <c r="L451" s="223"/>
    </row>
    <row r="452" spans="1:12" ht="50.1" customHeight="1" x14ac:dyDescent="0.25">
      <c r="A452" s="34" t="s">
        <v>221</v>
      </c>
      <c r="B452" s="34" t="s">
        <v>268</v>
      </c>
      <c r="C452" s="28" t="s">
        <v>2</v>
      </c>
      <c r="D452" s="34" t="s">
        <v>280</v>
      </c>
      <c r="E452" s="194" t="s">
        <v>223</v>
      </c>
      <c r="F452" s="195" t="s">
        <v>509</v>
      </c>
      <c r="G452" s="252" t="s">
        <v>176</v>
      </c>
      <c r="H452" s="196" t="s">
        <v>270</v>
      </c>
      <c r="I452" s="156" t="s">
        <v>271</v>
      </c>
      <c r="J452" s="194" t="s">
        <v>282</v>
      </c>
      <c r="K452" s="196" t="s">
        <v>272</v>
      </c>
      <c r="L452" s="194" t="s">
        <v>273</v>
      </c>
    </row>
    <row r="453" spans="1:12" ht="15.75" customHeight="1" x14ac:dyDescent="0.25">
      <c r="A453" s="187" t="s">
        <v>48</v>
      </c>
      <c r="B453" s="188" t="s">
        <v>407</v>
      </c>
      <c r="C453" s="210" t="s">
        <v>408</v>
      </c>
      <c r="D453" s="187">
        <v>305</v>
      </c>
      <c r="E453" s="190">
        <v>125080</v>
      </c>
      <c r="F453" s="191">
        <v>102415</v>
      </c>
      <c r="G453" s="255" t="s">
        <v>153</v>
      </c>
      <c r="H453" s="190">
        <v>22665</v>
      </c>
      <c r="I453" s="192">
        <v>0</v>
      </c>
      <c r="J453" s="192">
        <v>0</v>
      </c>
      <c r="K453" s="192">
        <v>0</v>
      </c>
      <c r="L453" s="190">
        <v>22665</v>
      </c>
    </row>
    <row r="454" spans="1:12" ht="30.75" x14ac:dyDescent="0.25">
      <c r="A454" s="187" t="s">
        <v>48</v>
      </c>
      <c r="B454" s="188" t="s">
        <v>53</v>
      </c>
      <c r="C454" s="189" t="s">
        <v>54</v>
      </c>
      <c r="D454" s="187">
        <v>250</v>
      </c>
      <c r="E454" s="190">
        <v>1583086</v>
      </c>
      <c r="F454" s="191">
        <v>1583086</v>
      </c>
      <c r="G454" s="255" t="s">
        <v>153</v>
      </c>
      <c r="H454" s="192">
        <v>0</v>
      </c>
      <c r="I454" s="190">
        <v>5161</v>
      </c>
      <c r="J454" s="190">
        <v>4112</v>
      </c>
      <c r="K454" s="190">
        <v>1049</v>
      </c>
      <c r="L454" s="190">
        <v>-1049</v>
      </c>
    </row>
    <row r="455" spans="1:12" ht="30.75" x14ac:dyDescent="0.25">
      <c r="A455" s="187" t="s">
        <v>48</v>
      </c>
      <c r="B455" s="188" t="s">
        <v>434</v>
      </c>
      <c r="C455" s="189" t="s">
        <v>429</v>
      </c>
      <c r="D455" s="187">
        <v>348</v>
      </c>
      <c r="E455" s="190">
        <v>54920146</v>
      </c>
      <c r="F455" s="191">
        <v>44829887</v>
      </c>
      <c r="G455" s="255" t="s">
        <v>153</v>
      </c>
      <c r="H455" s="190">
        <v>10090259</v>
      </c>
      <c r="I455" s="192">
        <v>0</v>
      </c>
      <c r="J455" s="192">
        <v>0</v>
      </c>
      <c r="K455" s="192">
        <v>0</v>
      </c>
      <c r="L455" s="190">
        <v>10090259</v>
      </c>
    </row>
    <row r="456" spans="1:12" ht="15.75" x14ac:dyDescent="0.25">
      <c r="A456" s="187" t="s">
        <v>48</v>
      </c>
      <c r="B456" s="188" t="s">
        <v>421</v>
      </c>
      <c r="C456" s="189" t="s">
        <v>302</v>
      </c>
      <c r="D456" s="187">
        <v>354</v>
      </c>
      <c r="E456" s="190">
        <v>34650</v>
      </c>
      <c r="F456" s="191">
        <v>24641</v>
      </c>
      <c r="G456" s="255" t="s">
        <v>153</v>
      </c>
      <c r="H456" s="190">
        <v>10009</v>
      </c>
      <c r="I456" s="192">
        <v>0</v>
      </c>
      <c r="J456" s="192">
        <v>0</v>
      </c>
      <c r="K456" s="192">
        <v>0</v>
      </c>
      <c r="L456" s="190">
        <v>10009</v>
      </c>
    </row>
    <row r="457" spans="1:12" ht="30.75" x14ac:dyDescent="0.25">
      <c r="A457" s="187" t="s">
        <v>48</v>
      </c>
      <c r="B457" s="188" t="s">
        <v>422</v>
      </c>
      <c r="C457" s="189" t="s">
        <v>423</v>
      </c>
      <c r="D457" s="187">
        <v>286</v>
      </c>
      <c r="E457" s="190">
        <v>103369</v>
      </c>
      <c r="F457" s="191">
        <v>99494</v>
      </c>
      <c r="G457" s="255" t="s">
        <v>153</v>
      </c>
      <c r="H457" s="190">
        <v>3875</v>
      </c>
      <c r="I457" s="192">
        <v>0</v>
      </c>
      <c r="J457" s="192">
        <v>0</v>
      </c>
      <c r="K457" s="192">
        <v>0</v>
      </c>
      <c r="L457" s="190">
        <v>3875</v>
      </c>
    </row>
    <row r="458" spans="1:12" ht="30.75" x14ac:dyDescent="0.25">
      <c r="A458" s="187" t="s">
        <v>48</v>
      </c>
      <c r="B458" s="188" t="s">
        <v>57</v>
      </c>
      <c r="C458" s="189" t="s">
        <v>58</v>
      </c>
      <c r="D458" s="187">
        <v>172</v>
      </c>
      <c r="E458" s="190">
        <v>614283</v>
      </c>
      <c r="F458" s="191">
        <v>610927</v>
      </c>
      <c r="G458" s="255" t="s">
        <v>153</v>
      </c>
      <c r="H458" s="190">
        <v>3356</v>
      </c>
      <c r="I458" s="190">
        <v>1120</v>
      </c>
      <c r="J458" s="190">
        <v>1120</v>
      </c>
      <c r="K458" s="192">
        <v>0</v>
      </c>
      <c r="L458" s="190">
        <v>3356</v>
      </c>
    </row>
    <row r="459" spans="1:12" ht="15.75" x14ac:dyDescent="0.25">
      <c r="A459" s="187" t="s">
        <v>48</v>
      </c>
      <c r="B459" s="188" t="s">
        <v>403</v>
      </c>
      <c r="C459" s="189" t="s">
        <v>404</v>
      </c>
      <c r="D459" s="187">
        <v>278</v>
      </c>
      <c r="E459" s="190">
        <v>1771291</v>
      </c>
      <c r="F459" s="191">
        <v>1699854</v>
      </c>
      <c r="G459" s="255" t="s">
        <v>153</v>
      </c>
      <c r="H459" s="190">
        <v>71437</v>
      </c>
      <c r="I459" s="192">
        <v>0</v>
      </c>
      <c r="J459" s="192">
        <v>0</v>
      </c>
      <c r="K459" s="192">
        <v>0</v>
      </c>
      <c r="L459" s="190">
        <v>71437</v>
      </c>
    </row>
    <row r="460" spans="1:12" ht="30.75" x14ac:dyDescent="0.25">
      <c r="A460" s="187" t="s">
        <v>48</v>
      </c>
      <c r="B460" s="188" t="s">
        <v>50</v>
      </c>
      <c r="C460" s="189" t="s">
        <v>51</v>
      </c>
      <c r="D460" s="187">
        <v>11</v>
      </c>
      <c r="E460" s="190">
        <v>20470340</v>
      </c>
      <c r="F460" s="191">
        <v>17977474</v>
      </c>
      <c r="G460" s="255" t="s">
        <v>153</v>
      </c>
      <c r="H460" s="190">
        <v>2492866</v>
      </c>
      <c r="I460" s="190">
        <v>26683</v>
      </c>
      <c r="J460" s="190">
        <v>12350</v>
      </c>
      <c r="K460" s="190">
        <v>14333</v>
      </c>
      <c r="L460" s="190">
        <v>2478533</v>
      </c>
    </row>
    <row r="461" spans="1:12" ht="15.75" x14ac:dyDescent="0.25">
      <c r="A461" s="187" t="s">
        <v>48</v>
      </c>
      <c r="B461" s="188" t="s">
        <v>452</v>
      </c>
      <c r="C461" s="189" t="s">
        <v>60</v>
      </c>
      <c r="D461" s="187">
        <v>223</v>
      </c>
      <c r="E461" s="190">
        <v>4144990</v>
      </c>
      <c r="F461" s="191">
        <v>4098250</v>
      </c>
      <c r="G461" s="255" t="s">
        <v>153</v>
      </c>
      <c r="H461" s="190">
        <v>46740</v>
      </c>
      <c r="I461" s="190">
        <v>7808</v>
      </c>
      <c r="J461" s="190">
        <v>5918</v>
      </c>
      <c r="K461" s="190">
        <v>1890</v>
      </c>
      <c r="L461" s="190">
        <v>44850</v>
      </c>
    </row>
    <row r="462" spans="1:12" ht="45.75" x14ac:dyDescent="0.25">
      <c r="A462" s="187" t="s">
        <v>48</v>
      </c>
      <c r="B462" s="188" t="s">
        <v>63</v>
      </c>
      <c r="C462" s="189" t="s">
        <v>64</v>
      </c>
      <c r="D462" s="187">
        <v>272</v>
      </c>
      <c r="E462" s="190">
        <v>10105872</v>
      </c>
      <c r="F462" s="191">
        <v>10100035</v>
      </c>
      <c r="G462" s="255" t="s">
        <v>153</v>
      </c>
      <c r="H462" s="190">
        <v>5837</v>
      </c>
      <c r="I462" s="190">
        <v>865406</v>
      </c>
      <c r="J462" s="190">
        <v>11587</v>
      </c>
      <c r="K462" s="190">
        <v>853819</v>
      </c>
      <c r="L462" s="190">
        <v>-847982</v>
      </c>
    </row>
    <row r="463" spans="1:12" ht="45.75" x14ac:dyDescent="0.25">
      <c r="A463" s="187" t="s">
        <v>48</v>
      </c>
      <c r="B463" s="188" t="s">
        <v>65</v>
      </c>
      <c r="C463" s="189" t="s">
        <v>66</v>
      </c>
      <c r="D463" s="187">
        <v>276</v>
      </c>
      <c r="E463" s="190">
        <v>891533</v>
      </c>
      <c r="F463" s="191">
        <v>649528</v>
      </c>
      <c r="G463" s="255" t="s">
        <v>153</v>
      </c>
      <c r="H463" s="190">
        <v>242005</v>
      </c>
      <c r="I463" s="192">
        <v>0</v>
      </c>
      <c r="J463" s="192">
        <v>0</v>
      </c>
      <c r="K463" s="192">
        <v>0</v>
      </c>
      <c r="L463" s="190">
        <v>242005</v>
      </c>
    </row>
    <row r="464" spans="1:12" ht="75.75" x14ac:dyDescent="0.25">
      <c r="A464" s="187" t="s">
        <v>48</v>
      </c>
      <c r="B464" s="188" t="s">
        <v>67</v>
      </c>
      <c r="C464" s="189" t="s">
        <v>68</v>
      </c>
      <c r="D464" s="187">
        <v>292</v>
      </c>
      <c r="E464" s="190">
        <v>8511879</v>
      </c>
      <c r="F464" s="191">
        <v>8403076</v>
      </c>
      <c r="G464" s="255" t="s">
        <v>153</v>
      </c>
      <c r="H464" s="190">
        <v>108803</v>
      </c>
      <c r="I464" s="190">
        <v>2076</v>
      </c>
      <c r="J464" s="192">
        <v>0</v>
      </c>
      <c r="K464" s="190">
        <v>2076</v>
      </c>
      <c r="L464" s="190">
        <v>106727</v>
      </c>
    </row>
    <row r="465" spans="1:12" ht="30.75" x14ac:dyDescent="0.25">
      <c r="A465" s="187" t="s">
        <v>48</v>
      </c>
      <c r="B465" s="188" t="s">
        <v>69</v>
      </c>
      <c r="C465" s="189" t="s">
        <v>70</v>
      </c>
      <c r="D465" s="187">
        <v>209</v>
      </c>
      <c r="E465" s="190">
        <v>346268</v>
      </c>
      <c r="F465" s="191">
        <v>326021</v>
      </c>
      <c r="G465" s="255" t="s">
        <v>153</v>
      </c>
      <c r="H465" s="190">
        <v>20247</v>
      </c>
      <c r="I465" s="192">
        <v>0</v>
      </c>
      <c r="J465" s="192">
        <v>0</v>
      </c>
      <c r="K465" s="192">
        <v>0</v>
      </c>
      <c r="L465" s="190">
        <v>20247</v>
      </c>
    </row>
    <row r="466" spans="1:12" ht="15.75" x14ac:dyDescent="0.25">
      <c r="A466" s="187" t="s">
        <v>48</v>
      </c>
      <c r="B466" s="188" t="s">
        <v>71</v>
      </c>
      <c r="C466" s="189" t="s">
        <v>72</v>
      </c>
      <c r="D466" s="187">
        <v>183</v>
      </c>
      <c r="E466" s="190">
        <v>697267</v>
      </c>
      <c r="F466" s="191">
        <v>693095</v>
      </c>
      <c r="G466" s="255" t="s">
        <v>153</v>
      </c>
      <c r="H466" s="190">
        <v>4172</v>
      </c>
      <c r="I466" s="190">
        <v>825</v>
      </c>
      <c r="J466" s="190">
        <v>825</v>
      </c>
      <c r="K466" s="192">
        <v>0</v>
      </c>
      <c r="L466" s="190">
        <v>4172</v>
      </c>
    </row>
    <row r="467" spans="1:12" ht="15.75" x14ac:dyDescent="0.25">
      <c r="A467" s="187" t="s">
        <v>48</v>
      </c>
      <c r="B467" s="188" t="s">
        <v>100</v>
      </c>
      <c r="C467" s="189" t="s">
        <v>101</v>
      </c>
      <c r="D467" s="187">
        <v>251</v>
      </c>
      <c r="E467" s="190">
        <v>368652</v>
      </c>
      <c r="F467" s="191">
        <v>365323</v>
      </c>
      <c r="G467" s="255" t="s">
        <v>153</v>
      </c>
      <c r="H467" s="190">
        <v>3329</v>
      </c>
      <c r="I467" s="190">
        <v>1055</v>
      </c>
      <c r="J467" s="192">
        <v>0</v>
      </c>
      <c r="K467" s="190">
        <v>1055</v>
      </c>
      <c r="L467" s="190">
        <v>2274</v>
      </c>
    </row>
    <row r="468" spans="1:12" ht="15.75" x14ac:dyDescent="0.25">
      <c r="A468" s="187" t="s">
        <v>48</v>
      </c>
      <c r="B468" s="188" t="s">
        <v>442</v>
      </c>
      <c r="C468" s="189" t="s">
        <v>443</v>
      </c>
      <c r="D468" s="187">
        <v>333</v>
      </c>
      <c r="E468" s="190">
        <v>34380</v>
      </c>
      <c r="F468" s="191">
        <v>31472</v>
      </c>
      <c r="G468" s="255" t="s">
        <v>153</v>
      </c>
      <c r="H468" s="190">
        <v>2908</v>
      </c>
      <c r="I468" s="192">
        <v>0</v>
      </c>
      <c r="J468" s="192">
        <v>0</v>
      </c>
      <c r="K468" s="192">
        <v>0</v>
      </c>
      <c r="L468" s="190">
        <v>2908</v>
      </c>
    </row>
    <row r="469" spans="1:12" ht="30.75" customHeight="1" x14ac:dyDescent="0.25">
      <c r="A469" s="187" t="s">
        <v>48</v>
      </c>
      <c r="B469" s="188" t="s">
        <v>411</v>
      </c>
      <c r="C469" s="189" t="s">
        <v>62</v>
      </c>
      <c r="D469" s="187">
        <v>91</v>
      </c>
      <c r="E469" s="190">
        <v>13929</v>
      </c>
      <c r="F469" s="191">
        <v>10640</v>
      </c>
      <c r="G469" s="255" t="s">
        <v>153</v>
      </c>
      <c r="H469" s="190">
        <v>3289</v>
      </c>
      <c r="I469" s="192">
        <v>0</v>
      </c>
      <c r="J469" s="192">
        <v>0</v>
      </c>
      <c r="K469" s="192">
        <v>0</v>
      </c>
      <c r="L469" s="190">
        <v>3289</v>
      </c>
    </row>
    <row r="470" spans="1:12" ht="15.75" x14ac:dyDescent="0.25">
      <c r="A470" s="187" t="s">
        <v>48</v>
      </c>
      <c r="B470" s="188" t="s">
        <v>73</v>
      </c>
      <c r="C470" s="189" t="s">
        <v>52</v>
      </c>
      <c r="D470" s="187">
        <v>192</v>
      </c>
      <c r="E470" s="190">
        <v>441304</v>
      </c>
      <c r="F470" s="191">
        <v>432014</v>
      </c>
      <c r="G470" s="255" t="s">
        <v>153</v>
      </c>
      <c r="H470" s="190">
        <v>9290</v>
      </c>
      <c r="I470" s="190">
        <v>2175</v>
      </c>
      <c r="J470" s="192">
        <v>0</v>
      </c>
      <c r="K470" s="190">
        <v>2175</v>
      </c>
      <c r="L470" s="190">
        <v>7115</v>
      </c>
    </row>
    <row r="471" spans="1:12" ht="30.75" x14ac:dyDescent="0.25">
      <c r="A471" s="187" t="s">
        <v>48</v>
      </c>
      <c r="B471" s="188" t="s">
        <v>74</v>
      </c>
      <c r="C471" s="189" t="s">
        <v>75</v>
      </c>
      <c r="D471" s="187">
        <v>297</v>
      </c>
      <c r="E471" s="190">
        <v>257106709</v>
      </c>
      <c r="F471" s="191">
        <v>181188759</v>
      </c>
      <c r="G471" s="255" t="s">
        <v>153</v>
      </c>
      <c r="H471" s="190">
        <v>75917950</v>
      </c>
      <c r="I471" s="192">
        <v>0</v>
      </c>
      <c r="J471" s="192">
        <v>0</v>
      </c>
      <c r="K471" s="192">
        <v>0</v>
      </c>
      <c r="L471" s="190">
        <v>75917950</v>
      </c>
    </row>
    <row r="472" spans="1:12" ht="15.75" x14ac:dyDescent="0.25">
      <c r="A472" s="187" t="s">
        <v>48</v>
      </c>
      <c r="B472" s="188" t="s">
        <v>76</v>
      </c>
      <c r="C472" s="189" t="s">
        <v>77</v>
      </c>
      <c r="D472" s="187">
        <v>166</v>
      </c>
      <c r="E472" s="190">
        <v>8654726</v>
      </c>
      <c r="F472" s="191">
        <v>7222351</v>
      </c>
      <c r="G472" s="255" t="s">
        <v>153</v>
      </c>
      <c r="H472" s="190">
        <v>1432375</v>
      </c>
      <c r="I472" s="190">
        <v>1233</v>
      </c>
      <c r="J472" s="192">
        <v>0</v>
      </c>
      <c r="K472" s="190">
        <v>1233</v>
      </c>
      <c r="L472" s="190">
        <v>1431142</v>
      </c>
    </row>
    <row r="473" spans="1:12" ht="15.75" x14ac:dyDescent="0.25">
      <c r="A473" s="187" t="s">
        <v>48</v>
      </c>
      <c r="B473" s="188" t="s">
        <v>412</v>
      </c>
      <c r="C473" s="189" t="s">
        <v>413</v>
      </c>
      <c r="D473" s="187">
        <v>268</v>
      </c>
      <c r="E473" s="190">
        <v>7741343</v>
      </c>
      <c r="F473" s="191">
        <v>6923752</v>
      </c>
      <c r="G473" s="255" t="s">
        <v>153</v>
      </c>
      <c r="H473" s="190">
        <v>817591</v>
      </c>
      <c r="I473" s="192">
        <v>0</v>
      </c>
      <c r="J473" s="192">
        <v>0</v>
      </c>
      <c r="K473" s="192">
        <v>0</v>
      </c>
      <c r="L473" s="190">
        <v>817591</v>
      </c>
    </row>
    <row r="474" spans="1:12" ht="15.75" x14ac:dyDescent="0.25">
      <c r="A474" s="187" t="s">
        <v>48</v>
      </c>
      <c r="B474" s="188" t="s">
        <v>78</v>
      </c>
      <c r="C474" s="189" t="s">
        <v>79</v>
      </c>
      <c r="D474" s="187">
        <v>32</v>
      </c>
      <c r="E474" s="190">
        <v>4666144</v>
      </c>
      <c r="F474" s="191">
        <v>4664857</v>
      </c>
      <c r="G474" s="255" t="s">
        <v>153</v>
      </c>
      <c r="H474" s="190">
        <v>1287</v>
      </c>
      <c r="I474" s="190">
        <v>15736</v>
      </c>
      <c r="J474" s="190">
        <v>1126</v>
      </c>
      <c r="K474" s="190">
        <v>14610</v>
      </c>
      <c r="L474" s="190">
        <v>-13323</v>
      </c>
    </row>
    <row r="475" spans="1:12" ht="15.75" customHeight="1" x14ac:dyDescent="0.25">
      <c r="A475" s="187" t="s">
        <v>48</v>
      </c>
      <c r="B475" s="188" t="s">
        <v>430</v>
      </c>
      <c r="C475" s="189" t="s">
        <v>81</v>
      </c>
      <c r="D475" s="187">
        <v>230</v>
      </c>
      <c r="E475" s="190">
        <v>5705041</v>
      </c>
      <c r="F475" s="191">
        <v>5704156</v>
      </c>
      <c r="G475" s="255" t="s">
        <v>153</v>
      </c>
      <c r="H475" s="190">
        <v>885</v>
      </c>
      <c r="I475" s="190">
        <v>18091</v>
      </c>
      <c r="J475" s="190">
        <v>3366</v>
      </c>
      <c r="K475" s="190">
        <v>14725</v>
      </c>
      <c r="L475" s="190">
        <v>-13840</v>
      </c>
    </row>
    <row r="476" spans="1:12" ht="15.75" x14ac:dyDescent="0.25">
      <c r="A476" s="187" t="s">
        <v>48</v>
      </c>
      <c r="B476" s="188" t="s">
        <v>414</v>
      </c>
      <c r="C476" s="189" t="s">
        <v>415</v>
      </c>
      <c r="D476" s="187">
        <v>148</v>
      </c>
      <c r="E476" s="190">
        <v>121053</v>
      </c>
      <c r="F476" s="191">
        <v>5779</v>
      </c>
      <c r="G476" s="255" t="s">
        <v>153</v>
      </c>
      <c r="H476" s="190">
        <v>115274</v>
      </c>
      <c r="I476" s="192">
        <v>0</v>
      </c>
      <c r="J476" s="192">
        <v>0</v>
      </c>
      <c r="K476" s="192">
        <v>0</v>
      </c>
      <c r="L476" s="190">
        <v>115274</v>
      </c>
    </row>
    <row r="477" spans="1:12" ht="15.75" x14ac:dyDescent="0.25">
      <c r="A477" s="187" t="s">
        <v>48</v>
      </c>
      <c r="B477" s="188" t="s">
        <v>84</v>
      </c>
      <c r="C477" s="189" t="s">
        <v>85</v>
      </c>
      <c r="D477" s="187">
        <v>153</v>
      </c>
      <c r="E477" s="190">
        <v>4435775</v>
      </c>
      <c r="F477" s="191">
        <v>4210760</v>
      </c>
      <c r="G477" s="255" t="s">
        <v>153</v>
      </c>
      <c r="H477" s="190">
        <v>225015</v>
      </c>
      <c r="I477" s="190">
        <v>12323</v>
      </c>
      <c r="J477" s="190">
        <v>8157</v>
      </c>
      <c r="K477" s="190">
        <v>4166</v>
      </c>
      <c r="L477" s="190">
        <v>220849</v>
      </c>
    </row>
    <row r="478" spans="1:12" ht="15" customHeight="1" x14ac:dyDescent="0.25">
      <c r="A478" s="187" t="s">
        <v>48</v>
      </c>
      <c r="B478" s="188" t="s">
        <v>102</v>
      </c>
      <c r="C478" s="189" t="s">
        <v>103</v>
      </c>
      <c r="D478" s="187">
        <v>155</v>
      </c>
      <c r="E478" s="190">
        <v>1256537</v>
      </c>
      <c r="F478" s="191">
        <v>1159096</v>
      </c>
      <c r="G478" s="255" t="s">
        <v>153</v>
      </c>
      <c r="H478" s="190">
        <v>97441</v>
      </c>
      <c r="I478" s="192">
        <v>0</v>
      </c>
      <c r="J478" s="192">
        <v>0</v>
      </c>
      <c r="K478" s="192">
        <v>0</v>
      </c>
      <c r="L478" s="190">
        <v>97441</v>
      </c>
    </row>
    <row r="479" spans="1:12" ht="15.75" x14ac:dyDescent="0.25">
      <c r="A479" s="187" t="s">
        <v>48</v>
      </c>
      <c r="B479" s="188" t="s">
        <v>305</v>
      </c>
      <c r="C479" s="189" t="s">
        <v>306</v>
      </c>
      <c r="D479" s="187">
        <v>42</v>
      </c>
      <c r="E479" s="190">
        <v>16990141</v>
      </c>
      <c r="F479" s="191">
        <v>14707605</v>
      </c>
      <c r="G479" s="255" t="s">
        <v>153</v>
      </c>
      <c r="H479" s="190">
        <v>2282536</v>
      </c>
      <c r="I479" s="192">
        <v>0</v>
      </c>
      <c r="J479" s="192">
        <v>0</v>
      </c>
      <c r="K479" s="192">
        <v>0</v>
      </c>
      <c r="L479" s="190">
        <v>2282536</v>
      </c>
    </row>
    <row r="480" spans="1:12" ht="45.75" x14ac:dyDescent="0.25">
      <c r="A480" s="187" t="s">
        <v>48</v>
      </c>
      <c r="B480" s="188" t="s">
        <v>453</v>
      </c>
      <c r="C480" s="189" t="s">
        <v>454</v>
      </c>
      <c r="D480" s="187">
        <v>265</v>
      </c>
      <c r="E480" s="190">
        <v>65051</v>
      </c>
      <c r="F480" s="191">
        <v>63255</v>
      </c>
      <c r="G480" s="255" t="s">
        <v>153</v>
      </c>
      <c r="H480" s="190">
        <v>1796</v>
      </c>
      <c r="I480" s="192">
        <v>0</v>
      </c>
      <c r="J480" s="192">
        <v>0</v>
      </c>
      <c r="K480" s="192">
        <v>0</v>
      </c>
      <c r="L480" s="190">
        <v>1796</v>
      </c>
    </row>
    <row r="481" spans="1:12" ht="15.75" x14ac:dyDescent="0.25">
      <c r="A481" s="187" t="s">
        <v>48</v>
      </c>
      <c r="B481" s="188" t="s">
        <v>86</v>
      </c>
      <c r="C481" s="189" t="s">
        <v>75</v>
      </c>
      <c r="D481" s="187">
        <v>48</v>
      </c>
      <c r="E481" s="190">
        <v>17377719</v>
      </c>
      <c r="F481" s="191">
        <v>15811250</v>
      </c>
      <c r="G481" s="255" t="s">
        <v>153</v>
      </c>
      <c r="H481" s="190">
        <v>1566469</v>
      </c>
      <c r="I481" s="190">
        <v>1150</v>
      </c>
      <c r="J481" s="192">
        <v>0</v>
      </c>
      <c r="K481" s="190">
        <v>1150</v>
      </c>
      <c r="L481" s="190">
        <v>1565319</v>
      </c>
    </row>
    <row r="482" spans="1:12" ht="15.75" x14ac:dyDescent="0.25">
      <c r="A482" s="187" t="s">
        <v>48</v>
      </c>
      <c r="B482" s="188" t="s">
        <v>293</v>
      </c>
      <c r="C482" s="189" t="s">
        <v>294</v>
      </c>
      <c r="D482" s="187">
        <v>218</v>
      </c>
      <c r="E482" s="190">
        <v>3808780</v>
      </c>
      <c r="F482" s="191">
        <v>3065621</v>
      </c>
      <c r="G482" s="255" t="s">
        <v>153</v>
      </c>
      <c r="H482" s="190">
        <v>743159</v>
      </c>
      <c r="I482" s="192">
        <v>0</v>
      </c>
      <c r="J482" s="192">
        <v>0</v>
      </c>
      <c r="K482" s="192">
        <v>0</v>
      </c>
      <c r="L482" s="190">
        <v>743159</v>
      </c>
    </row>
    <row r="483" spans="1:12" ht="15.75" customHeight="1" x14ac:dyDescent="0.25">
      <c r="A483" s="187" t="s">
        <v>48</v>
      </c>
      <c r="B483" s="188" t="s">
        <v>87</v>
      </c>
      <c r="C483" s="189" t="s">
        <v>88</v>
      </c>
      <c r="D483" s="187">
        <v>350</v>
      </c>
      <c r="E483" s="190">
        <v>59562</v>
      </c>
      <c r="F483" s="191">
        <v>51005</v>
      </c>
      <c r="G483" s="255" t="s">
        <v>153</v>
      </c>
      <c r="H483" s="190">
        <v>8557</v>
      </c>
      <c r="I483" s="192">
        <v>0</v>
      </c>
      <c r="J483" s="192">
        <v>0</v>
      </c>
      <c r="K483" s="192">
        <v>0</v>
      </c>
      <c r="L483" s="190">
        <v>8557</v>
      </c>
    </row>
    <row r="484" spans="1:12" ht="15.75" x14ac:dyDescent="0.25">
      <c r="A484" s="187" t="s">
        <v>48</v>
      </c>
      <c r="B484" s="188" t="s">
        <v>104</v>
      </c>
      <c r="C484" s="189" t="s">
        <v>105</v>
      </c>
      <c r="D484" s="187">
        <v>173</v>
      </c>
      <c r="E484" s="190">
        <v>1816992</v>
      </c>
      <c r="F484" s="191">
        <v>1816992</v>
      </c>
      <c r="G484" s="255" t="s">
        <v>153</v>
      </c>
      <c r="H484" s="192">
        <v>0</v>
      </c>
      <c r="I484" s="190">
        <v>4260</v>
      </c>
      <c r="J484" s="190">
        <v>1109</v>
      </c>
      <c r="K484" s="190">
        <v>3151</v>
      </c>
      <c r="L484" s="190">
        <v>-3151</v>
      </c>
    </row>
    <row r="485" spans="1:12" ht="15.75" x14ac:dyDescent="0.25">
      <c r="A485" s="187" t="s">
        <v>48</v>
      </c>
      <c r="B485" s="188" t="s">
        <v>432</v>
      </c>
      <c r="C485" s="189" t="s">
        <v>433</v>
      </c>
      <c r="D485" s="187">
        <v>335</v>
      </c>
      <c r="E485" s="190">
        <v>33394</v>
      </c>
      <c r="F485" s="191">
        <v>32132</v>
      </c>
      <c r="G485" s="255" t="s">
        <v>153</v>
      </c>
      <c r="H485" s="190">
        <v>1262</v>
      </c>
      <c r="I485" s="192">
        <v>0</v>
      </c>
      <c r="J485" s="192">
        <v>0</v>
      </c>
      <c r="K485" s="192">
        <v>0</v>
      </c>
      <c r="L485" s="190">
        <v>1262</v>
      </c>
    </row>
    <row r="486" spans="1:12" ht="45.75" x14ac:dyDescent="0.25">
      <c r="A486" s="187" t="s">
        <v>48</v>
      </c>
      <c r="B486" s="188" t="s">
        <v>437</v>
      </c>
      <c r="C486" s="189" t="s">
        <v>438</v>
      </c>
      <c r="D486" s="187">
        <v>329</v>
      </c>
      <c r="E486" s="190">
        <v>1430358</v>
      </c>
      <c r="F486" s="191">
        <v>1149030</v>
      </c>
      <c r="G486" s="255" t="s">
        <v>153</v>
      </c>
      <c r="H486" s="190">
        <v>281328</v>
      </c>
      <c r="I486" s="192">
        <v>0</v>
      </c>
      <c r="J486" s="192">
        <v>0</v>
      </c>
      <c r="K486" s="192">
        <v>0</v>
      </c>
      <c r="L486" s="190">
        <v>281328</v>
      </c>
    </row>
    <row r="487" spans="1:12" ht="30.75" x14ac:dyDescent="0.25">
      <c r="A487" s="187" t="s">
        <v>48</v>
      </c>
      <c r="B487" s="188" t="s">
        <v>405</v>
      </c>
      <c r="C487" s="189" t="s">
        <v>406</v>
      </c>
      <c r="D487" s="187">
        <v>261</v>
      </c>
      <c r="E487" s="190">
        <v>927647</v>
      </c>
      <c r="F487" s="191">
        <v>917209</v>
      </c>
      <c r="G487" s="255" t="s">
        <v>153</v>
      </c>
      <c r="H487" s="190">
        <v>10438</v>
      </c>
      <c r="I487" s="190">
        <v>12411</v>
      </c>
      <c r="J487" s="190">
        <v>10089</v>
      </c>
      <c r="K487" s="190">
        <v>2322</v>
      </c>
      <c r="L487" s="190">
        <v>8116</v>
      </c>
    </row>
    <row r="488" spans="1:12" ht="15" customHeight="1" x14ac:dyDescent="0.25">
      <c r="A488" s="187" t="s">
        <v>48</v>
      </c>
      <c r="B488" s="188" t="s">
        <v>106</v>
      </c>
      <c r="C488" s="189" t="s">
        <v>92</v>
      </c>
      <c r="D488" s="187">
        <v>244</v>
      </c>
      <c r="E488" s="190">
        <v>3164646</v>
      </c>
      <c r="F488" s="191">
        <v>3131852</v>
      </c>
      <c r="G488" s="255" t="s">
        <v>153</v>
      </c>
      <c r="H488" s="190">
        <v>32794</v>
      </c>
      <c r="I488" s="190">
        <v>471</v>
      </c>
      <c r="J488" s="190">
        <v>471</v>
      </c>
      <c r="K488" s="192">
        <v>0</v>
      </c>
      <c r="L488" s="190">
        <v>32794</v>
      </c>
    </row>
    <row r="489" spans="1:12" ht="15.75" x14ac:dyDescent="0.25">
      <c r="A489" s="187" t="s">
        <v>48</v>
      </c>
      <c r="B489" s="188" t="s">
        <v>450</v>
      </c>
      <c r="C489" s="189" t="s">
        <v>451</v>
      </c>
      <c r="D489" s="187">
        <v>182</v>
      </c>
      <c r="E489" s="190">
        <v>109517</v>
      </c>
      <c r="F489" s="191">
        <v>107006</v>
      </c>
      <c r="G489" s="255" t="s">
        <v>153</v>
      </c>
      <c r="H489" s="190">
        <v>2511</v>
      </c>
      <c r="I489" s="192">
        <v>0</v>
      </c>
      <c r="J489" s="192">
        <v>0</v>
      </c>
      <c r="K489" s="192">
        <v>0</v>
      </c>
      <c r="L489" s="190">
        <v>2511</v>
      </c>
    </row>
    <row r="490" spans="1:12" ht="15.75" x14ac:dyDescent="0.25">
      <c r="A490" s="187" t="s">
        <v>48</v>
      </c>
      <c r="B490" s="188" t="s">
        <v>416</v>
      </c>
      <c r="C490" s="189" t="s">
        <v>75</v>
      </c>
      <c r="D490" s="187">
        <v>280</v>
      </c>
      <c r="E490" s="190">
        <v>87954</v>
      </c>
      <c r="F490" s="191">
        <v>82480</v>
      </c>
      <c r="G490" s="255" t="s">
        <v>153</v>
      </c>
      <c r="H490" s="190">
        <v>5474</v>
      </c>
      <c r="I490" s="192">
        <v>0</v>
      </c>
      <c r="J490" s="192">
        <v>0</v>
      </c>
      <c r="K490" s="192">
        <v>0</v>
      </c>
      <c r="L490" s="190">
        <v>5474</v>
      </c>
    </row>
    <row r="491" spans="1:12" ht="30.75" x14ac:dyDescent="0.25">
      <c r="A491" s="187" t="s">
        <v>48</v>
      </c>
      <c r="B491" s="188" t="s">
        <v>439</v>
      </c>
      <c r="C491" s="189" t="s">
        <v>62</v>
      </c>
      <c r="D491" s="187">
        <v>176</v>
      </c>
      <c r="E491" s="190">
        <v>6362242</v>
      </c>
      <c r="F491" s="191">
        <v>6209882</v>
      </c>
      <c r="G491" s="255" t="s">
        <v>153</v>
      </c>
      <c r="H491" s="190">
        <v>152360</v>
      </c>
      <c r="I491" s="190">
        <v>203356</v>
      </c>
      <c r="J491" s="190">
        <v>203356</v>
      </c>
      <c r="K491" s="192">
        <v>0</v>
      </c>
      <c r="L491" s="190">
        <v>152360</v>
      </c>
    </row>
    <row r="492" spans="1:12" ht="15.75" x14ac:dyDescent="0.25">
      <c r="A492" s="187" t="s">
        <v>48</v>
      </c>
      <c r="B492" s="188" t="s">
        <v>446</v>
      </c>
      <c r="C492" s="189" t="s">
        <v>447</v>
      </c>
      <c r="D492" s="187">
        <v>57</v>
      </c>
      <c r="E492" s="190">
        <v>1148847</v>
      </c>
      <c r="F492" s="191">
        <v>892434</v>
      </c>
      <c r="G492" s="255" t="s">
        <v>153</v>
      </c>
      <c r="H492" s="190">
        <v>256413</v>
      </c>
      <c r="I492" s="192">
        <v>0</v>
      </c>
      <c r="J492" s="192">
        <v>0</v>
      </c>
      <c r="K492" s="192">
        <v>0</v>
      </c>
      <c r="L492" s="190">
        <v>256413</v>
      </c>
    </row>
    <row r="493" spans="1:12" ht="15.75" x14ac:dyDescent="0.25">
      <c r="A493" s="187" t="s">
        <v>48</v>
      </c>
      <c r="B493" s="188" t="s">
        <v>89</v>
      </c>
      <c r="C493" s="189" t="s">
        <v>90</v>
      </c>
      <c r="D493" s="187">
        <v>171</v>
      </c>
      <c r="E493" s="190">
        <v>2152382</v>
      </c>
      <c r="F493" s="191">
        <v>1909924</v>
      </c>
      <c r="G493" s="255" t="s">
        <v>153</v>
      </c>
      <c r="H493" s="190">
        <v>242458</v>
      </c>
      <c r="I493" s="192">
        <v>0</v>
      </c>
      <c r="J493" s="192">
        <v>0</v>
      </c>
      <c r="K493" s="192">
        <v>0</v>
      </c>
      <c r="L493" s="190">
        <v>242458</v>
      </c>
    </row>
    <row r="494" spans="1:12" ht="45.75" x14ac:dyDescent="0.25">
      <c r="A494" s="187" t="s">
        <v>48</v>
      </c>
      <c r="B494" s="188" t="s">
        <v>91</v>
      </c>
      <c r="C494" s="189" t="s">
        <v>92</v>
      </c>
      <c r="D494" s="187">
        <v>258</v>
      </c>
      <c r="E494" s="190">
        <v>3369668</v>
      </c>
      <c r="F494" s="191">
        <v>2647678</v>
      </c>
      <c r="G494" s="255" t="s">
        <v>153</v>
      </c>
      <c r="H494" s="190">
        <v>721990</v>
      </c>
      <c r="I494" s="192">
        <v>0</v>
      </c>
      <c r="J494" s="192">
        <v>0</v>
      </c>
      <c r="K494" s="192">
        <v>0</v>
      </c>
      <c r="L494" s="190">
        <v>721990</v>
      </c>
    </row>
    <row r="495" spans="1:12" ht="15.75" x14ac:dyDescent="0.25">
      <c r="A495" s="187" t="s">
        <v>48</v>
      </c>
      <c r="B495" s="188" t="s">
        <v>448</v>
      </c>
      <c r="C495" s="189" t="s">
        <v>449</v>
      </c>
      <c r="D495" s="187">
        <v>58</v>
      </c>
      <c r="E495" s="190">
        <v>3305227</v>
      </c>
      <c r="F495" s="191">
        <v>3224482</v>
      </c>
      <c r="G495" s="255" t="s">
        <v>153</v>
      </c>
      <c r="H495" s="190">
        <v>80745</v>
      </c>
      <c r="I495" s="192">
        <v>0</v>
      </c>
      <c r="J495" s="192">
        <v>0</v>
      </c>
      <c r="K495" s="192">
        <v>0</v>
      </c>
      <c r="L495" s="190">
        <v>80745</v>
      </c>
    </row>
    <row r="496" spans="1:12" ht="15.75" x14ac:dyDescent="0.25">
      <c r="A496" s="187" t="s">
        <v>48</v>
      </c>
      <c r="B496" s="188" t="s">
        <v>419</v>
      </c>
      <c r="C496" s="189" t="s">
        <v>420</v>
      </c>
      <c r="D496" s="187">
        <v>308</v>
      </c>
      <c r="E496" s="190">
        <v>135845</v>
      </c>
      <c r="F496" s="191">
        <v>43821</v>
      </c>
      <c r="G496" s="255" t="s">
        <v>153</v>
      </c>
      <c r="H496" s="190">
        <v>92024</v>
      </c>
      <c r="I496" s="192">
        <v>0</v>
      </c>
      <c r="J496" s="192">
        <v>0</v>
      </c>
      <c r="K496" s="192">
        <v>0</v>
      </c>
      <c r="L496" s="190">
        <v>92024</v>
      </c>
    </row>
    <row r="497" spans="1:12" ht="15.75" x14ac:dyDescent="0.25">
      <c r="A497" s="187" t="s">
        <v>48</v>
      </c>
      <c r="B497" s="188" t="s">
        <v>93</v>
      </c>
      <c r="C497" s="189" t="s">
        <v>75</v>
      </c>
      <c r="D497" s="187">
        <v>260</v>
      </c>
      <c r="E497" s="190">
        <v>21787691</v>
      </c>
      <c r="F497" s="191">
        <v>21509807</v>
      </c>
      <c r="G497" s="255" t="s">
        <v>153</v>
      </c>
      <c r="H497" s="190">
        <v>277884</v>
      </c>
      <c r="I497" s="190">
        <v>1090955</v>
      </c>
      <c r="J497" s="190">
        <v>31533</v>
      </c>
      <c r="K497" s="190">
        <v>1059422</v>
      </c>
      <c r="L497" s="190">
        <v>-781538</v>
      </c>
    </row>
    <row r="498" spans="1:12" ht="15.75" x14ac:dyDescent="0.25">
      <c r="A498" s="187" t="s">
        <v>48</v>
      </c>
      <c r="B498" s="188" t="s">
        <v>107</v>
      </c>
      <c r="C498" s="189" t="s">
        <v>108</v>
      </c>
      <c r="D498" s="187">
        <v>346</v>
      </c>
      <c r="E498" s="190">
        <v>51841</v>
      </c>
      <c r="F498" s="191">
        <v>50296</v>
      </c>
      <c r="G498" s="255" t="s">
        <v>153</v>
      </c>
      <c r="H498" s="190">
        <v>1545</v>
      </c>
      <c r="I498" s="192">
        <v>0</v>
      </c>
      <c r="J498" s="192">
        <v>0</v>
      </c>
      <c r="K498" s="192">
        <v>0</v>
      </c>
      <c r="L498" s="190">
        <v>1545</v>
      </c>
    </row>
    <row r="499" spans="1:12" ht="15.75" x14ac:dyDescent="0.25">
      <c r="A499" s="187" t="s">
        <v>48</v>
      </c>
      <c r="B499" s="188" t="s">
        <v>96</v>
      </c>
      <c r="C499" s="189" t="s">
        <v>97</v>
      </c>
      <c r="D499" s="187">
        <v>351</v>
      </c>
      <c r="E499" s="190">
        <v>63789</v>
      </c>
      <c r="F499" s="191">
        <v>58955</v>
      </c>
      <c r="G499" s="255" t="s">
        <v>153</v>
      </c>
      <c r="H499" s="190">
        <v>4834</v>
      </c>
      <c r="I499" s="192">
        <v>0</v>
      </c>
      <c r="J499" s="192">
        <v>0</v>
      </c>
      <c r="K499" s="192">
        <v>0</v>
      </c>
      <c r="L499" s="190">
        <v>4834</v>
      </c>
    </row>
    <row r="500" spans="1:12" s="228" customFormat="1" ht="15.75" customHeight="1" x14ac:dyDescent="0.25">
      <c r="A500" s="206" t="s">
        <v>385</v>
      </c>
      <c r="B500" s="258" t="s">
        <v>153</v>
      </c>
      <c r="C500" s="258" t="s">
        <v>153</v>
      </c>
      <c r="D500" s="258" t="s">
        <v>153</v>
      </c>
      <c r="E500" s="207">
        <f>SUBTOTAL(109,school200809[Program
Costs])</f>
        <v>479114940</v>
      </c>
      <c r="F500" s="216">
        <f>SUBTOTAL(109,school200809[Less: Net
 Payments and 
Offsets 2])</f>
        <v>380599458</v>
      </c>
      <c r="G500" s="256" t="s">
        <v>153</v>
      </c>
      <c r="H500" s="207">
        <f>SUBTOTAL(109,school200809[Accounts Payable
Balance])</f>
        <v>98515482</v>
      </c>
      <c r="I500" s="207">
        <f>SUBTOTAL(109,school200809[Established
Accounts Receivable])</f>
        <v>2272295</v>
      </c>
      <c r="J500" s="207">
        <f>SUBTOTAL(109,school200809[Less: 
Recovered 
Amount])</f>
        <v>295119</v>
      </c>
      <c r="K500" s="207">
        <f>SUBTOTAL(109,school200809[Accounts Receivable
Balance])</f>
        <v>1977176</v>
      </c>
      <c r="L500" s="207">
        <f>SUBTOTAL(109,school200809[Net
Balance])</f>
        <v>96538306</v>
      </c>
    </row>
    <row r="501" spans="1:12" s="229" customFormat="1" ht="15.75" customHeight="1" x14ac:dyDescent="0.25">
      <c r="A501" s="146" t="s">
        <v>181</v>
      </c>
      <c r="B501" s="221"/>
      <c r="C501" s="220"/>
      <c r="D501" s="222"/>
      <c r="E501" s="223"/>
      <c r="F501" s="224"/>
      <c r="G501" s="225"/>
      <c r="H501" s="223"/>
      <c r="I501" s="226"/>
      <c r="J501" s="226"/>
      <c r="K501" s="226"/>
      <c r="L501" s="223"/>
    </row>
    <row r="502" spans="1:12" s="229" customFormat="1" ht="50.1" customHeight="1" x14ac:dyDescent="0.25">
      <c r="A502" s="34" t="s">
        <v>221</v>
      </c>
      <c r="B502" s="34" t="s">
        <v>268</v>
      </c>
      <c r="C502" s="28" t="s">
        <v>2</v>
      </c>
      <c r="D502" s="34" t="s">
        <v>280</v>
      </c>
      <c r="E502" s="194" t="s">
        <v>223</v>
      </c>
      <c r="F502" s="195" t="s">
        <v>509</v>
      </c>
      <c r="G502" s="252" t="s">
        <v>176</v>
      </c>
      <c r="H502" s="196" t="s">
        <v>270</v>
      </c>
      <c r="I502" s="156" t="s">
        <v>271</v>
      </c>
      <c r="J502" s="194" t="s">
        <v>282</v>
      </c>
      <c r="K502" s="196" t="s">
        <v>272</v>
      </c>
      <c r="L502" s="194" t="s">
        <v>273</v>
      </c>
    </row>
    <row r="503" spans="1:12" ht="15.75" x14ac:dyDescent="0.25">
      <c r="A503" s="187" t="s">
        <v>353</v>
      </c>
      <c r="B503" s="188" t="s">
        <v>297</v>
      </c>
      <c r="C503" s="210" t="s">
        <v>298</v>
      </c>
      <c r="D503" s="187">
        <v>170</v>
      </c>
      <c r="E503" s="192">
        <v>0</v>
      </c>
      <c r="F503" s="193">
        <v>0</v>
      </c>
      <c r="G503" s="255" t="s">
        <v>153</v>
      </c>
      <c r="H503" s="192">
        <v>0</v>
      </c>
      <c r="I503" s="190">
        <v>1000</v>
      </c>
      <c r="J503" s="192">
        <v>0</v>
      </c>
      <c r="K503" s="190">
        <v>1000</v>
      </c>
      <c r="L503" s="190">
        <v>-1000</v>
      </c>
    </row>
    <row r="504" spans="1:12" ht="15.75" x14ac:dyDescent="0.25">
      <c r="A504" s="187" t="s">
        <v>353</v>
      </c>
      <c r="B504" s="188" t="s">
        <v>407</v>
      </c>
      <c r="C504" s="189" t="s">
        <v>408</v>
      </c>
      <c r="D504" s="187">
        <v>305</v>
      </c>
      <c r="E504" s="190">
        <v>117677</v>
      </c>
      <c r="F504" s="191">
        <v>104958</v>
      </c>
      <c r="G504" s="255" t="s">
        <v>153</v>
      </c>
      <c r="H504" s="190">
        <v>12719</v>
      </c>
      <c r="I504" s="192">
        <v>0</v>
      </c>
      <c r="J504" s="192">
        <v>0</v>
      </c>
      <c r="K504" s="192">
        <v>0</v>
      </c>
      <c r="L504" s="190">
        <v>12719</v>
      </c>
    </row>
    <row r="505" spans="1:12" ht="30.75" x14ac:dyDescent="0.25">
      <c r="A505" s="187" t="s">
        <v>353</v>
      </c>
      <c r="B505" s="188" t="s">
        <v>53</v>
      </c>
      <c r="C505" s="189" t="s">
        <v>54</v>
      </c>
      <c r="D505" s="187">
        <v>250</v>
      </c>
      <c r="E505" s="190">
        <v>1709781</v>
      </c>
      <c r="F505" s="191">
        <v>1015426</v>
      </c>
      <c r="G505" s="255" t="s">
        <v>153</v>
      </c>
      <c r="H505" s="190">
        <v>694355</v>
      </c>
      <c r="I505" s="190">
        <v>7</v>
      </c>
      <c r="J505" s="190">
        <v>4</v>
      </c>
      <c r="K505" s="190">
        <v>3</v>
      </c>
      <c r="L505" s="190">
        <v>694352</v>
      </c>
    </row>
    <row r="506" spans="1:12" ht="30.75" x14ac:dyDescent="0.25">
      <c r="A506" s="187" t="s">
        <v>353</v>
      </c>
      <c r="B506" s="188" t="s">
        <v>434</v>
      </c>
      <c r="C506" s="189" t="s">
        <v>429</v>
      </c>
      <c r="D506" s="187">
        <v>348</v>
      </c>
      <c r="E506" s="190">
        <v>53867214</v>
      </c>
      <c r="F506" s="191">
        <v>45736429</v>
      </c>
      <c r="G506" s="255" t="s">
        <v>153</v>
      </c>
      <c r="H506" s="190">
        <v>8130785</v>
      </c>
      <c r="I506" s="192">
        <v>0</v>
      </c>
      <c r="J506" s="192">
        <v>0</v>
      </c>
      <c r="K506" s="192">
        <v>0</v>
      </c>
      <c r="L506" s="190">
        <v>8130785</v>
      </c>
    </row>
    <row r="507" spans="1:12" ht="30.75" x14ac:dyDescent="0.25">
      <c r="A507" s="187" t="s">
        <v>353</v>
      </c>
      <c r="B507" s="188" t="s">
        <v>422</v>
      </c>
      <c r="C507" s="189" t="s">
        <v>423</v>
      </c>
      <c r="D507" s="187">
        <v>286</v>
      </c>
      <c r="E507" s="190">
        <v>72259</v>
      </c>
      <c r="F507" s="191">
        <v>49294</v>
      </c>
      <c r="G507" s="255" t="s">
        <v>153</v>
      </c>
      <c r="H507" s="190">
        <v>22965</v>
      </c>
      <c r="I507" s="192">
        <v>0</v>
      </c>
      <c r="J507" s="192">
        <v>0</v>
      </c>
      <c r="K507" s="192">
        <v>0</v>
      </c>
      <c r="L507" s="190">
        <v>22965</v>
      </c>
    </row>
    <row r="508" spans="1:12" ht="30.75" x14ac:dyDescent="0.25">
      <c r="A508" s="187" t="s">
        <v>353</v>
      </c>
      <c r="B508" s="188" t="s">
        <v>57</v>
      </c>
      <c r="C508" s="189" t="s">
        <v>58</v>
      </c>
      <c r="D508" s="187">
        <v>172</v>
      </c>
      <c r="E508" s="190">
        <v>624944</v>
      </c>
      <c r="F508" s="191">
        <v>536418</v>
      </c>
      <c r="G508" s="255" t="s">
        <v>153</v>
      </c>
      <c r="H508" s="190">
        <v>88526</v>
      </c>
      <c r="I508" s="192">
        <v>0</v>
      </c>
      <c r="J508" s="192">
        <v>0</v>
      </c>
      <c r="K508" s="192">
        <v>0</v>
      </c>
      <c r="L508" s="190">
        <v>88526</v>
      </c>
    </row>
    <row r="509" spans="1:12" ht="15.75" x14ac:dyDescent="0.25">
      <c r="A509" s="187" t="s">
        <v>353</v>
      </c>
      <c r="B509" s="188" t="s">
        <v>403</v>
      </c>
      <c r="C509" s="189" t="s">
        <v>404</v>
      </c>
      <c r="D509" s="187">
        <v>278</v>
      </c>
      <c r="E509" s="190">
        <v>1740107</v>
      </c>
      <c r="F509" s="191">
        <v>1552010</v>
      </c>
      <c r="G509" s="255" t="s">
        <v>153</v>
      </c>
      <c r="H509" s="190">
        <v>188097</v>
      </c>
      <c r="I509" s="192">
        <v>0</v>
      </c>
      <c r="J509" s="192">
        <v>0</v>
      </c>
      <c r="K509" s="192">
        <v>0</v>
      </c>
      <c r="L509" s="190">
        <v>188097</v>
      </c>
    </row>
    <row r="510" spans="1:12" ht="30.75" x14ac:dyDescent="0.25">
      <c r="A510" s="187" t="s">
        <v>353</v>
      </c>
      <c r="B510" s="188" t="s">
        <v>50</v>
      </c>
      <c r="C510" s="189" t="s">
        <v>51</v>
      </c>
      <c r="D510" s="187">
        <v>11</v>
      </c>
      <c r="E510" s="190">
        <v>23972104</v>
      </c>
      <c r="F510" s="191">
        <v>21133564</v>
      </c>
      <c r="G510" s="255" t="s">
        <v>153</v>
      </c>
      <c r="H510" s="190">
        <v>2838540</v>
      </c>
      <c r="I510" s="190">
        <v>2</v>
      </c>
      <c r="J510" s="192">
        <v>0</v>
      </c>
      <c r="K510" s="190">
        <v>2</v>
      </c>
      <c r="L510" s="190">
        <v>2838538</v>
      </c>
    </row>
    <row r="511" spans="1:12" ht="15.75" x14ac:dyDescent="0.25">
      <c r="A511" s="187" t="s">
        <v>353</v>
      </c>
      <c r="B511" s="188" t="s">
        <v>452</v>
      </c>
      <c r="C511" s="189" t="s">
        <v>60</v>
      </c>
      <c r="D511" s="187">
        <v>223</v>
      </c>
      <c r="E511" s="190">
        <v>4039486</v>
      </c>
      <c r="F511" s="191">
        <v>3691207</v>
      </c>
      <c r="G511" s="255" t="s">
        <v>153</v>
      </c>
      <c r="H511" s="190">
        <v>348279</v>
      </c>
      <c r="I511" s="190">
        <v>3</v>
      </c>
      <c r="J511" s="192">
        <v>0</v>
      </c>
      <c r="K511" s="190">
        <v>3</v>
      </c>
      <c r="L511" s="190">
        <v>348276</v>
      </c>
    </row>
    <row r="512" spans="1:12" ht="45.75" x14ac:dyDescent="0.25">
      <c r="A512" s="187" t="s">
        <v>353</v>
      </c>
      <c r="B512" s="188" t="s">
        <v>63</v>
      </c>
      <c r="C512" s="189" t="s">
        <v>64</v>
      </c>
      <c r="D512" s="187">
        <v>272</v>
      </c>
      <c r="E512" s="190">
        <v>9224219</v>
      </c>
      <c r="F512" s="191">
        <v>8491932</v>
      </c>
      <c r="G512" s="255" t="s">
        <v>153</v>
      </c>
      <c r="H512" s="190">
        <v>732287</v>
      </c>
      <c r="I512" s="190">
        <v>2</v>
      </c>
      <c r="J512" s="192">
        <v>0</v>
      </c>
      <c r="K512" s="190">
        <v>2</v>
      </c>
      <c r="L512" s="190">
        <v>732285</v>
      </c>
    </row>
    <row r="513" spans="1:12" ht="45.75" x14ac:dyDescent="0.25">
      <c r="A513" s="187" t="s">
        <v>353</v>
      </c>
      <c r="B513" s="188" t="s">
        <v>65</v>
      </c>
      <c r="C513" s="189" t="s">
        <v>66</v>
      </c>
      <c r="D513" s="187">
        <v>276</v>
      </c>
      <c r="E513" s="190">
        <v>891073</v>
      </c>
      <c r="F513" s="191">
        <v>717431</v>
      </c>
      <c r="G513" s="255" t="s">
        <v>153</v>
      </c>
      <c r="H513" s="190">
        <v>173642</v>
      </c>
      <c r="I513" s="192">
        <v>0</v>
      </c>
      <c r="J513" s="192">
        <v>0</v>
      </c>
      <c r="K513" s="192">
        <v>0</v>
      </c>
      <c r="L513" s="190">
        <v>173642</v>
      </c>
    </row>
    <row r="514" spans="1:12" ht="45.75" x14ac:dyDescent="0.25">
      <c r="A514" s="187" t="s">
        <v>353</v>
      </c>
      <c r="B514" s="188" t="s">
        <v>455</v>
      </c>
      <c r="C514" s="189" t="s">
        <v>456</v>
      </c>
      <c r="D514" s="187">
        <v>291</v>
      </c>
      <c r="E514" s="190">
        <v>346400</v>
      </c>
      <c r="F514" s="191">
        <v>287064</v>
      </c>
      <c r="G514" s="255" t="s">
        <v>153</v>
      </c>
      <c r="H514" s="190">
        <v>59336</v>
      </c>
      <c r="I514" s="192">
        <v>0</v>
      </c>
      <c r="J514" s="192">
        <v>0</v>
      </c>
      <c r="K514" s="192">
        <v>0</v>
      </c>
      <c r="L514" s="190">
        <v>59336</v>
      </c>
    </row>
    <row r="515" spans="1:12" ht="30.75" x14ac:dyDescent="0.25">
      <c r="A515" s="187" t="s">
        <v>353</v>
      </c>
      <c r="B515" s="188" t="s">
        <v>69</v>
      </c>
      <c r="C515" s="189" t="s">
        <v>70</v>
      </c>
      <c r="D515" s="187">
        <v>209</v>
      </c>
      <c r="E515" s="190">
        <v>309546</v>
      </c>
      <c r="F515" s="191">
        <v>224475</v>
      </c>
      <c r="G515" s="255" t="s">
        <v>153</v>
      </c>
      <c r="H515" s="190">
        <v>85071</v>
      </c>
      <c r="I515" s="192">
        <v>0</v>
      </c>
      <c r="J515" s="192">
        <v>0</v>
      </c>
      <c r="K515" s="192">
        <v>0</v>
      </c>
      <c r="L515" s="190">
        <v>85071</v>
      </c>
    </row>
    <row r="516" spans="1:12" ht="15.75" x14ac:dyDescent="0.25">
      <c r="A516" s="187" t="s">
        <v>353</v>
      </c>
      <c r="B516" s="188" t="s">
        <v>71</v>
      </c>
      <c r="C516" s="189" t="s">
        <v>72</v>
      </c>
      <c r="D516" s="187">
        <v>183</v>
      </c>
      <c r="E516" s="190">
        <v>868045</v>
      </c>
      <c r="F516" s="191">
        <v>731745</v>
      </c>
      <c r="G516" s="255" t="s">
        <v>153</v>
      </c>
      <c r="H516" s="190">
        <v>136300</v>
      </c>
      <c r="I516" s="190">
        <v>1</v>
      </c>
      <c r="J516" s="190">
        <v>1</v>
      </c>
      <c r="K516" s="192">
        <v>0</v>
      </c>
      <c r="L516" s="190">
        <v>136300</v>
      </c>
    </row>
    <row r="517" spans="1:12" ht="15.75" x14ac:dyDescent="0.25">
      <c r="A517" s="187" t="s">
        <v>353</v>
      </c>
      <c r="B517" s="188" t="s">
        <v>100</v>
      </c>
      <c r="C517" s="189" t="s">
        <v>101</v>
      </c>
      <c r="D517" s="187">
        <v>251</v>
      </c>
      <c r="E517" s="190">
        <v>459132</v>
      </c>
      <c r="F517" s="191">
        <v>388107</v>
      </c>
      <c r="G517" s="255" t="s">
        <v>153</v>
      </c>
      <c r="H517" s="190">
        <v>71025</v>
      </c>
      <c r="I517" s="192">
        <v>0</v>
      </c>
      <c r="J517" s="192">
        <v>0</v>
      </c>
      <c r="K517" s="192">
        <v>0</v>
      </c>
      <c r="L517" s="190">
        <v>71025</v>
      </c>
    </row>
    <row r="518" spans="1:12" ht="30.75" customHeight="1" x14ac:dyDescent="0.25">
      <c r="A518" s="187" t="s">
        <v>353</v>
      </c>
      <c r="B518" s="188" t="s">
        <v>411</v>
      </c>
      <c r="C518" s="189" t="s">
        <v>62</v>
      </c>
      <c r="D518" s="187">
        <v>91</v>
      </c>
      <c r="E518" s="190">
        <v>13054</v>
      </c>
      <c r="F518" s="191">
        <v>11243</v>
      </c>
      <c r="G518" s="255" t="s">
        <v>153</v>
      </c>
      <c r="H518" s="190">
        <v>1811</v>
      </c>
      <c r="I518" s="192">
        <v>0</v>
      </c>
      <c r="J518" s="192">
        <v>0</v>
      </c>
      <c r="K518" s="192">
        <v>0</v>
      </c>
      <c r="L518" s="190">
        <v>1811</v>
      </c>
    </row>
    <row r="519" spans="1:12" ht="15.75" x14ac:dyDescent="0.25">
      <c r="A519" s="187" t="s">
        <v>353</v>
      </c>
      <c r="B519" s="188" t="s">
        <v>73</v>
      </c>
      <c r="C519" s="189" t="s">
        <v>52</v>
      </c>
      <c r="D519" s="187">
        <v>192</v>
      </c>
      <c r="E519" s="190">
        <v>415489</v>
      </c>
      <c r="F519" s="191">
        <v>357800</v>
      </c>
      <c r="G519" s="255" t="s">
        <v>153</v>
      </c>
      <c r="H519" s="190">
        <v>57689</v>
      </c>
      <c r="I519" s="192">
        <v>0</v>
      </c>
      <c r="J519" s="192">
        <v>0</v>
      </c>
      <c r="K519" s="192">
        <v>0</v>
      </c>
      <c r="L519" s="190">
        <v>57689</v>
      </c>
    </row>
    <row r="520" spans="1:12" ht="15.75" x14ac:dyDescent="0.25">
      <c r="A520" s="187" t="s">
        <v>353</v>
      </c>
      <c r="B520" s="188" t="s">
        <v>457</v>
      </c>
      <c r="C520" s="189" t="s">
        <v>75</v>
      </c>
      <c r="D520" s="187">
        <v>26</v>
      </c>
      <c r="E520" s="190">
        <v>27025365</v>
      </c>
      <c r="F520" s="191">
        <v>19200448</v>
      </c>
      <c r="G520" s="255" t="s">
        <v>153</v>
      </c>
      <c r="H520" s="190">
        <v>7824917</v>
      </c>
      <c r="I520" s="192">
        <v>0</v>
      </c>
      <c r="J520" s="192">
        <v>0</v>
      </c>
      <c r="K520" s="192">
        <v>0</v>
      </c>
      <c r="L520" s="190">
        <v>7824917</v>
      </c>
    </row>
    <row r="521" spans="1:12" ht="30.75" x14ac:dyDescent="0.25">
      <c r="A521" s="187" t="s">
        <v>353</v>
      </c>
      <c r="B521" s="188" t="s">
        <v>74</v>
      </c>
      <c r="C521" s="189" t="s">
        <v>75</v>
      </c>
      <c r="D521" s="187">
        <v>297</v>
      </c>
      <c r="E521" s="190">
        <v>231343214</v>
      </c>
      <c r="F521" s="191">
        <v>180663161</v>
      </c>
      <c r="G521" s="255" t="s">
        <v>153</v>
      </c>
      <c r="H521" s="190">
        <v>50680053</v>
      </c>
      <c r="I521" s="192">
        <v>0</v>
      </c>
      <c r="J521" s="192">
        <v>0</v>
      </c>
      <c r="K521" s="192">
        <v>0</v>
      </c>
      <c r="L521" s="190">
        <v>50680053</v>
      </c>
    </row>
    <row r="522" spans="1:12" ht="15.75" x14ac:dyDescent="0.25">
      <c r="A522" s="187" t="s">
        <v>353</v>
      </c>
      <c r="B522" s="188" t="s">
        <v>76</v>
      </c>
      <c r="C522" s="189" t="s">
        <v>77</v>
      </c>
      <c r="D522" s="187">
        <v>166</v>
      </c>
      <c r="E522" s="190">
        <v>9142743</v>
      </c>
      <c r="F522" s="191">
        <v>7632371</v>
      </c>
      <c r="G522" s="255" t="s">
        <v>153</v>
      </c>
      <c r="H522" s="190">
        <v>1510372</v>
      </c>
      <c r="I522" s="190">
        <v>1</v>
      </c>
      <c r="J522" s="192">
        <v>0</v>
      </c>
      <c r="K522" s="190">
        <v>1</v>
      </c>
      <c r="L522" s="190">
        <v>1510371</v>
      </c>
    </row>
    <row r="523" spans="1:12" ht="15.75" x14ac:dyDescent="0.25">
      <c r="A523" s="187" t="s">
        <v>353</v>
      </c>
      <c r="B523" s="188" t="s">
        <v>412</v>
      </c>
      <c r="C523" s="189" t="s">
        <v>413</v>
      </c>
      <c r="D523" s="187">
        <v>268</v>
      </c>
      <c r="E523" s="190">
        <v>6821348</v>
      </c>
      <c r="F523" s="191">
        <v>4845414</v>
      </c>
      <c r="G523" s="255" t="s">
        <v>153</v>
      </c>
      <c r="H523" s="190">
        <v>1975934</v>
      </c>
      <c r="I523" s="192">
        <v>0</v>
      </c>
      <c r="J523" s="192">
        <v>0</v>
      </c>
      <c r="K523" s="192">
        <v>0</v>
      </c>
      <c r="L523" s="190">
        <v>1975934</v>
      </c>
    </row>
    <row r="524" spans="1:12" ht="15.75" x14ac:dyDescent="0.25">
      <c r="A524" s="187" t="s">
        <v>353</v>
      </c>
      <c r="B524" s="188" t="s">
        <v>78</v>
      </c>
      <c r="C524" s="189" t="s">
        <v>79</v>
      </c>
      <c r="D524" s="187">
        <v>32</v>
      </c>
      <c r="E524" s="190">
        <v>4365949</v>
      </c>
      <c r="F524" s="191">
        <v>4220239</v>
      </c>
      <c r="G524" s="255" t="s">
        <v>153</v>
      </c>
      <c r="H524" s="190">
        <v>145710</v>
      </c>
      <c r="I524" s="190">
        <v>2</v>
      </c>
      <c r="J524" s="192">
        <v>0</v>
      </c>
      <c r="K524" s="190">
        <v>2</v>
      </c>
      <c r="L524" s="190">
        <v>145708</v>
      </c>
    </row>
    <row r="525" spans="1:12" ht="15.75" customHeight="1" x14ac:dyDescent="0.25">
      <c r="A525" s="187" t="s">
        <v>353</v>
      </c>
      <c r="B525" s="188" t="s">
        <v>430</v>
      </c>
      <c r="C525" s="189" t="s">
        <v>81</v>
      </c>
      <c r="D525" s="187">
        <v>230</v>
      </c>
      <c r="E525" s="190">
        <v>5527460</v>
      </c>
      <c r="F525" s="191">
        <v>5438722</v>
      </c>
      <c r="G525" s="255" t="s">
        <v>153</v>
      </c>
      <c r="H525" s="190">
        <v>88738</v>
      </c>
      <c r="I525" s="190">
        <v>3</v>
      </c>
      <c r="J525" s="192">
        <v>0</v>
      </c>
      <c r="K525" s="190">
        <v>3</v>
      </c>
      <c r="L525" s="190">
        <v>88735</v>
      </c>
    </row>
    <row r="526" spans="1:12" ht="15.75" x14ac:dyDescent="0.25">
      <c r="A526" s="187" t="s">
        <v>353</v>
      </c>
      <c r="B526" s="188" t="s">
        <v>414</v>
      </c>
      <c r="C526" s="189" t="s">
        <v>415</v>
      </c>
      <c r="D526" s="187">
        <v>148</v>
      </c>
      <c r="E526" s="190">
        <v>35051</v>
      </c>
      <c r="F526" s="191">
        <v>9658</v>
      </c>
      <c r="G526" s="255" t="s">
        <v>153</v>
      </c>
      <c r="H526" s="190">
        <v>25393</v>
      </c>
      <c r="I526" s="192">
        <v>0</v>
      </c>
      <c r="J526" s="192">
        <v>0</v>
      </c>
      <c r="K526" s="192">
        <v>0</v>
      </c>
      <c r="L526" s="190">
        <v>25393</v>
      </c>
    </row>
    <row r="527" spans="1:12" ht="15.75" x14ac:dyDescent="0.25">
      <c r="A527" s="187" t="s">
        <v>353</v>
      </c>
      <c r="B527" s="188" t="s">
        <v>84</v>
      </c>
      <c r="C527" s="189" t="s">
        <v>85</v>
      </c>
      <c r="D527" s="187">
        <v>153</v>
      </c>
      <c r="E527" s="190">
        <v>4238386</v>
      </c>
      <c r="F527" s="191">
        <v>3825740</v>
      </c>
      <c r="G527" s="255" t="s">
        <v>153</v>
      </c>
      <c r="H527" s="190">
        <v>412646</v>
      </c>
      <c r="I527" s="192">
        <v>0</v>
      </c>
      <c r="J527" s="192">
        <v>0</v>
      </c>
      <c r="K527" s="192">
        <v>0</v>
      </c>
      <c r="L527" s="190">
        <v>412646</v>
      </c>
    </row>
    <row r="528" spans="1:12" ht="15" customHeight="1" x14ac:dyDescent="0.25">
      <c r="A528" s="187" t="s">
        <v>353</v>
      </c>
      <c r="B528" s="188" t="s">
        <v>102</v>
      </c>
      <c r="C528" s="189" t="s">
        <v>103</v>
      </c>
      <c r="D528" s="187">
        <v>155</v>
      </c>
      <c r="E528" s="190">
        <v>1159907</v>
      </c>
      <c r="F528" s="191">
        <v>470577</v>
      </c>
      <c r="G528" s="255" t="s">
        <v>153</v>
      </c>
      <c r="H528" s="190">
        <v>689330</v>
      </c>
      <c r="I528" s="192">
        <v>0</v>
      </c>
      <c r="J528" s="192">
        <v>0</v>
      </c>
      <c r="K528" s="192">
        <v>0</v>
      </c>
      <c r="L528" s="190">
        <v>689330</v>
      </c>
    </row>
    <row r="529" spans="1:12" ht="15.75" x14ac:dyDescent="0.25">
      <c r="A529" s="187" t="s">
        <v>353</v>
      </c>
      <c r="B529" s="188" t="s">
        <v>305</v>
      </c>
      <c r="C529" s="189" t="s">
        <v>306</v>
      </c>
      <c r="D529" s="187">
        <v>42</v>
      </c>
      <c r="E529" s="190">
        <v>16405291</v>
      </c>
      <c r="F529" s="191">
        <v>14589752</v>
      </c>
      <c r="G529" s="255" t="s">
        <v>153</v>
      </c>
      <c r="H529" s="190">
        <v>1815539</v>
      </c>
      <c r="I529" s="192">
        <v>0</v>
      </c>
      <c r="J529" s="192">
        <v>0</v>
      </c>
      <c r="K529" s="192">
        <v>0</v>
      </c>
      <c r="L529" s="190">
        <v>1815539</v>
      </c>
    </row>
    <row r="530" spans="1:12" ht="45.75" x14ac:dyDescent="0.25">
      <c r="A530" s="187" t="s">
        <v>353</v>
      </c>
      <c r="B530" s="188" t="s">
        <v>453</v>
      </c>
      <c r="C530" s="189" t="s">
        <v>454</v>
      </c>
      <c r="D530" s="187">
        <v>265</v>
      </c>
      <c r="E530" s="190">
        <v>3431203</v>
      </c>
      <c r="F530" s="191">
        <v>3273018</v>
      </c>
      <c r="G530" s="255" t="s">
        <v>153</v>
      </c>
      <c r="H530" s="190">
        <v>158185</v>
      </c>
      <c r="I530" s="192">
        <v>0</v>
      </c>
      <c r="J530" s="192">
        <v>0</v>
      </c>
      <c r="K530" s="192">
        <v>0</v>
      </c>
      <c r="L530" s="190">
        <v>158185</v>
      </c>
    </row>
    <row r="531" spans="1:12" ht="15.75" x14ac:dyDescent="0.25">
      <c r="A531" s="187" t="s">
        <v>353</v>
      </c>
      <c r="B531" s="188" t="s">
        <v>86</v>
      </c>
      <c r="C531" s="189" t="s">
        <v>75</v>
      </c>
      <c r="D531" s="187">
        <v>48</v>
      </c>
      <c r="E531" s="190">
        <v>16695259</v>
      </c>
      <c r="F531" s="191">
        <v>14809884</v>
      </c>
      <c r="G531" s="255" t="s">
        <v>153</v>
      </c>
      <c r="H531" s="190">
        <v>1885375</v>
      </c>
      <c r="I531" s="190">
        <v>10</v>
      </c>
      <c r="J531" s="190">
        <v>9</v>
      </c>
      <c r="K531" s="190">
        <v>1</v>
      </c>
      <c r="L531" s="190">
        <v>1885374</v>
      </c>
    </row>
    <row r="532" spans="1:12" ht="30.75" x14ac:dyDescent="0.25">
      <c r="A532" s="187" t="s">
        <v>353</v>
      </c>
      <c r="B532" s="188" t="s">
        <v>458</v>
      </c>
      <c r="C532" s="189" t="s">
        <v>68</v>
      </c>
      <c r="D532" s="187">
        <v>150</v>
      </c>
      <c r="E532" s="190">
        <v>7031995</v>
      </c>
      <c r="F532" s="191">
        <v>6148659</v>
      </c>
      <c r="G532" s="255" t="s">
        <v>153</v>
      </c>
      <c r="H532" s="190">
        <v>883336</v>
      </c>
      <c r="I532" s="190">
        <v>9</v>
      </c>
      <c r="J532" s="190">
        <v>7</v>
      </c>
      <c r="K532" s="190">
        <v>2</v>
      </c>
      <c r="L532" s="190">
        <v>883334</v>
      </c>
    </row>
    <row r="533" spans="1:12" ht="15.75" customHeight="1" x14ac:dyDescent="0.25">
      <c r="A533" s="187" t="s">
        <v>353</v>
      </c>
      <c r="B533" s="188" t="s">
        <v>293</v>
      </c>
      <c r="C533" s="189" t="s">
        <v>294</v>
      </c>
      <c r="D533" s="187">
        <v>218</v>
      </c>
      <c r="E533" s="190">
        <v>3819044</v>
      </c>
      <c r="F533" s="191">
        <v>3199438</v>
      </c>
      <c r="G533" s="255" t="s">
        <v>153</v>
      </c>
      <c r="H533" s="190">
        <v>619606</v>
      </c>
      <c r="I533" s="192">
        <v>0</v>
      </c>
      <c r="J533" s="192">
        <v>0</v>
      </c>
      <c r="K533" s="192">
        <v>0</v>
      </c>
      <c r="L533" s="190">
        <v>619606</v>
      </c>
    </row>
    <row r="534" spans="1:12" ht="15.75" x14ac:dyDescent="0.25">
      <c r="A534" s="187" t="s">
        <v>353</v>
      </c>
      <c r="B534" s="188" t="s">
        <v>87</v>
      </c>
      <c r="C534" s="189" t="s">
        <v>88</v>
      </c>
      <c r="D534" s="187">
        <v>350</v>
      </c>
      <c r="E534" s="190">
        <v>51370</v>
      </c>
      <c r="F534" s="191">
        <v>39338</v>
      </c>
      <c r="G534" s="255" t="s">
        <v>153</v>
      </c>
      <c r="H534" s="190">
        <v>12032</v>
      </c>
      <c r="I534" s="192">
        <v>0</v>
      </c>
      <c r="J534" s="192">
        <v>0</v>
      </c>
      <c r="K534" s="192">
        <v>0</v>
      </c>
      <c r="L534" s="190">
        <v>12032</v>
      </c>
    </row>
    <row r="535" spans="1:12" ht="15.75" x14ac:dyDescent="0.25">
      <c r="A535" s="187" t="s">
        <v>353</v>
      </c>
      <c r="B535" s="188" t="s">
        <v>104</v>
      </c>
      <c r="C535" s="189" t="s">
        <v>105</v>
      </c>
      <c r="D535" s="187">
        <v>173</v>
      </c>
      <c r="E535" s="190">
        <v>1914565</v>
      </c>
      <c r="F535" s="191">
        <v>1846192</v>
      </c>
      <c r="G535" s="255" t="s">
        <v>153</v>
      </c>
      <c r="H535" s="190">
        <v>68373</v>
      </c>
      <c r="I535" s="190">
        <v>2</v>
      </c>
      <c r="J535" s="192">
        <v>0</v>
      </c>
      <c r="K535" s="190">
        <v>2</v>
      </c>
      <c r="L535" s="190">
        <v>68371</v>
      </c>
    </row>
    <row r="536" spans="1:12" ht="15.75" x14ac:dyDescent="0.25">
      <c r="A536" s="187" t="s">
        <v>353</v>
      </c>
      <c r="B536" s="188" t="s">
        <v>432</v>
      </c>
      <c r="C536" s="189" t="s">
        <v>433</v>
      </c>
      <c r="D536" s="187">
        <v>335</v>
      </c>
      <c r="E536" s="190">
        <v>52155</v>
      </c>
      <c r="F536" s="191">
        <v>50686</v>
      </c>
      <c r="G536" s="255" t="s">
        <v>153</v>
      </c>
      <c r="H536" s="190">
        <v>1469</v>
      </c>
      <c r="I536" s="192">
        <v>0</v>
      </c>
      <c r="J536" s="192">
        <v>0</v>
      </c>
      <c r="K536" s="192">
        <v>0</v>
      </c>
      <c r="L536" s="190">
        <v>1469</v>
      </c>
    </row>
    <row r="537" spans="1:12" ht="45.75" x14ac:dyDescent="0.25">
      <c r="A537" s="187" t="s">
        <v>353</v>
      </c>
      <c r="B537" s="188" t="s">
        <v>437</v>
      </c>
      <c r="C537" s="189" t="s">
        <v>438</v>
      </c>
      <c r="D537" s="187">
        <v>329</v>
      </c>
      <c r="E537" s="190">
        <v>1130326</v>
      </c>
      <c r="F537" s="191">
        <v>964197</v>
      </c>
      <c r="G537" s="255" t="s">
        <v>153</v>
      </c>
      <c r="H537" s="190">
        <v>166129</v>
      </c>
      <c r="I537" s="192">
        <v>0</v>
      </c>
      <c r="J537" s="192">
        <v>0</v>
      </c>
      <c r="K537" s="192">
        <v>0</v>
      </c>
      <c r="L537" s="190">
        <v>166129</v>
      </c>
    </row>
    <row r="538" spans="1:12" ht="30.75" x14ac:dyDescent="0.25">
      <c r="A538" s="187" t="s">
        <v>353</v>
      </c>
      <c r="B538" s="188" t="s">
        <v>405</v>
      </c>
      <c r="C538" s="189" t="s">
        <v>406</v>
      </c>
      <c r="D538" s="187">
        <v>261</v>
      </c>
      <c r="E538" s="190">
        <v>840768</v>
      </c>
      <c r="F538" s="191">
        <v>814684</v>
      </c>
      <c r="G538" s="255" t="s">
        <v>153</v>
      </c>
      <c r="H538" s="190">
        <v>26084</v>
      </c>
      <c r="I538" s="190">
        <v>2</v>
      </c>
      <c r="J538" s="192">
        <v>0</v>
      </c>
      <c r="K538" s="190">
        <v>2</v>
      </c>
      <c r="L538" s="190">
        <v>26082</v>
      </c>
    </row>
    <row r="539" spans="1:12" ht="15" customHeight="1" x14ac:dyDescent="0.25">
      <c r="A539" s="187" t="s">
        <v>353</v>
      </c>
      <c r="B539" s="188" t="s">
        <v>106</v>
      </c>
      <c r="C539" s="189" t="s">
        <v>92</v>
      </c>
      <c r="D539" s="187">
        <v>244</v>
      </c>
      <c r="E539" s="190">
        <v>2791621</v>
      </c>
      <c r="F539" s="191">
        <v>2744445</v>
      </c>
      <c r="G539" s="255" t="s">
        <v>153</v>
      </c>
      <c r="H539" s="190">
        <v>47176</v>
      </c>
      <c r="I539" s="192">
        <v>0</v>
      </c>
      <c r="J539" s="192">
        <v>0</v>
      </c>
      <c r="K539" s="192">
        <v>0</v>
      </c>
      <c r="L539" s="190">
        <v>47176</v>
      </c>
    </row>
    <row r="540" spans="1:12" ht="15.75" x14ac:dyDescent="0.25">
      <c r="A540" s="187" t="s">
        <v>353</v>
      </c>
      <c r="B540" s="188" t="s">
        <v>450</v>
      </c>
      <c r="C540" s="189" t="s">
        <v>451</v>
      </c>
      <c r="D540" s="187">
        <v>182</v>
      </c>
      <c r="E540" s="190">
        <v>90993</v>
      </c>
      <c r="F540" s="191">
        <v>85092</v>
      </c>
      <c r="G540" s="255" t="s">
        <v>153</v>
      </c>
      <c r="H540" s="190">
        <v>5901</v>
      </c>
      <c r="I540" s="192">
        <v>0</v>
      </c>
      <c r="J540" s="192">
        <v>0</v>
      </c>
      <c r="K540" s="192">
        <v>0</v>
      </c>
      <c r="L540" s="190">
        <v>5901</v>
      </c>
    </row>
    <row r="541" spans="1:12" ht="15.75" x14ac:dyDescent="0.25">
      <c r="A541" s="187" t="s">
        <v>353</v>
      </c>
      <c r="B541" s="188" t="s">
        <v>416</v>
      </c>
      <c r="C541" s="189" t="s">
        <v>75</v>
      </c>
      <c r="D541" s="187">
        <v>280</v>
      </c>
      <c r="E541" s="190">
        <v>23080</v>
      </c>
      <c r="F541" s="191">
        <v>9194</v>
      </c>
      <c r="G541" s="255" t="s">
        <v>153</v>
      </c>
      <c r="H541" s="190">
        <v>13886</v>
      </c>
      <c r="I541" s="192">
        <v>0</v>
      </c>
      <c r="J541" s="192">
        <v>0</v>
      </c>
      <c r="K541" s="192">
        <v>0</v>
      </c>
      <c r="L541" s="190">
        <v>13886</v>
      </c>
    </row>
    <row r="542" spans="1:12" ht="30.75" x14ac:dyDescent="0.25">
      <c r="A542" s="187" t="s">
        <v>353</v>
      </c>
      <c r="B542" s="188" t="s">
        <v>439</v>
      </c>
      <c r="C542" s="189" t="s">
        <v>62</v>
      </c>
      <c r="D542" s="187">
        <v>176</v>
      </c>
      <c r="E542" s="190">
        <v>7082086</v>
      </c>
      <c r="F542" s="191">
        <v>6048055</v>
      </c>
      <c r="G542" s="255" t="s">
        <v>153</v>
      </c>
      <c r="H542" s="190">
        <v>1034031</v>
      </c>
      <c r="I542" s="190">
        <v>22</v>
      </c>
      <c r="J542" s="190">
        <v>21</v>
      </c>
      <c r="K542" s="190">
        <v>1</v>
      </c>
      <c r="L542" s="190">
        <v>1034030</v>
      </c>
    </row>
    <row r="543" spans="1:12" ht="15.75" x14ac:dyDescent="0.25">
      <c r="A543" s="187" t="s">
        <v>353</v>
      </c>
      <c r="B543" s="188" t="s">
        <v>446</v>
      </c>
      <c r="C543" s="189" t="s">
        <v>447</v>
      </c>
      <c r="D543" s="187">
        <v>57</v>
      </c>
      <c r="E543" s="190">
        <v>1377233</v>
      </c>
      <c r="F543" s="191">
        <v>1090334</v>
      </c>
      <c r="G543" s="255" t="s">
        <v>153</v>
      </c>
      <c r="H543" s="190">
        <v>286899</v>
      </c>
      <c r="I543" s="192">
        <v>0</v>
      </c>
      <c r="J543" s="192">
        <v>0</v>
      </c>
      <c r="K543" s="192">
        <v>0</v>
      </c>
      <c r="L543" s="190">
        <v>286899</v>
      </c>
    </row>
    <row r="544" spans="1:12" ht="15.75" x14ac:dyDescent="0.25">
      <c r="A544" s="187" t="s">
        <v>353</v>
      </c>
      <c r="B544" s="188" t="s">
        <v>89</v>
      </c>
      <c r="C544" s="189" t="s">
        <v>90</v>
      </c>
      <c r="D544" s="187">
        <v>171</v>
      </c>
      <c r="E544" s="190">
        <v>2194019</v>
      </c>
      <c r="F544" s="191">
        <v>1998085</v>
      </c>
      <c r="G544" s="255" t="s">
        <v>153</v>
      </c>
      <c r="H544" s="190">
        <v>195934</v>
      </c>
      <c r="I544" s="192">
        <v>0</v>
      </c>
      <c r="J544" s="192">
        <v>0</v>
      </c>
      <c r="K544" s="192">
        <v>0</v>
      </c>
      <c r="L544" s="190">
        <v>195934</v>
      </c>
    </row>
    <row r="545" spans="1:12" ht="45.75" x14ac:dyDescent="0.25">
      <c r="A545" s="187" t="s">
        <v>353</v>
      </c>
      <c r="B545" s="188" t="s">
        <v>91</v>
      </c>
      <c r="C545" s="189" t="s">
        <v>92</v>
      </c>
      <c r="D545" s="187">
        <v>258</v>
      </c>
      <c r="E545" s="190">
        <v>3252118</v>
      </c>
      <c r="F545" s="191">
        <v>2699148</v>
      </c>
      <c r="G545" s="255" t="s">
        <v>153</v>
      </c>
      <c r="H545" s="190">
        <v>552970</v>
      </c>
      <c r="I545" s="190">
        <v>1</v>
      </c>
      <c r="J545" s="192">
        <v>0</v>
      </c>
      <c r="K545" s="190">
        <v>1</v>
      </c>
      <c r="L545" s="190">
        <v>552969</v>
      </c>
    </row>
    <row r="546" spans="1:12" ht="15.75" x14ac:dyDescent="0.25">
      <c r="A546" s="187" t="s">
        <v>353</v>
      </c>
      <c r="B546" s="188" t="s">
        <v>417</v>
      </c>
      <c r="C546" s="189" t="s">
        <v>418</v>
      </c>
      <c r="D546" s="187">
        <v>228</v>
      </c>
      <c r="E546" s="190">
        <v>47447</v>
      </c>
      <c r="F546" s="191">
        <v>12735</v>
      </c>
      <c r="G546" s="255" t="s">
        <v>153</v>
      </c>
      <c r="H546" s="190">
        <v>34712</v>
      </c>
      <c r="I546" s="192">
        <v>0</v>
      </c>
      <c r="J546" s="192">
        <v>0</v>
      </c>
      <c r="K546" s="192">
        <v>0</v>
      </c>
      <c r="L546" s="190">
        <v>34712</v>
      </c>
    </row>
    <row r="547" spans="1:12" ht="15.75" x14ac:dyDescent="0.25">
      <c r="A547" s="187" t="s">
        <v>353</v>
      </c>
      <c r="B547" s="188" t="s">
        <v>448</v>
      </c>
      <c r="C547" s="189" t="s">
        <v>449</v>
      </c>
      <c r="D547" s="187">
        <v>58</v>
      </c>
      <c r="E547" s="190">
        <v>3358948</v>
      </c>
      <c r="F547" s="191">
        <v>3271536</v>
      </c>
      <c r="G547" s="255" t="s">
        <v>153</v>
      </c>
      <c r="H547" s="190">
        <v>87412</v>
      </c>
      <c r="I547" s="190">
        <v>2</v>
      </c>
      <c r="J547" s="192">
        <v>0</v>
      </c>
      <c r="K547" s="190">
        <v>2</v>
      </c>
      <c r="L547" s="190">
        <v>87410</v>
      </c>
    </row>
    <row r="548" spans="1:12" ht="15.75" x14ac:dyDescent="0.25">
      <c r="A548" s="187" t="s">
        <v>353</v>
      </c>
      <c r="B548" s="188" t="s">
        <v>419</v>
      </c>
      <c r="C548" s="189" t="s">
        <v>420</v>
      </c>
      <c r="D548" s="187">
        <v>308</v>
      </c>
      <c r="E548" s="190">
        <v>124119</v>
      </c>
      <c r="F548" s="191">
        <v>55815</v>
      </c>
      <c r="G548" s="255" t="s">
        <v>153</v>
      </c>
      <c r="H548" s="190">
        <v>68304</v>
      </c>
      <c r="I548" s="192">
        <v>0</v>
      </c>
      <c r="J548" s="192">
        <v>0</v>
      </c>
      <c r="K548" s="192">
        <v>0</v>
      </c>
      <c r="L548" s="190">
        <v>68304</v>
      </c>
    </row>
    <row r="549" spans="1:12" ht="15.75" x14ac:dyDescent="0.25">
      <c r="A549" s="187" t="s">
        <v>353</v>
      </c>
      <c r="B549" s="188" t="s">
        <v>93</v>
      </c>
      <c r="C549" s="189" t="s">
        <v>75</v>
      </c>
      <c r="D549" s="187">
        <v>260</v>
      </c>
      <c r="E549" s="190">
        <v>19376634</v>
      </c>
      <c r="F549" s="191">
        <v>17627080</v>
      </c>
      <c r="G549" s="255" t="s">
        <v>153</v>
      </c>
      <c r="H549" s="190">
        <v>1749554</v>
      </c>
      <c r="I549" s="190">
        <v>1086531</v>
      </c>
      <c r="J549" s="190">
        <v>1086531</v>
      </c>
      <c r="K549" s="192">
        <v>0</v>
      </c>
      <c r="L549" s="190">
        <v>1749554</v>
      </c>
    </row>
    <row r="550" spans="1:12" ht="15.75" x14ac:dyDescent="0.25">
      <c r="A550" s="187" t="s">
        <v>353</v>
      </c>
      <c r="B550" s="188" t="s">
        <v>107</v>
      </c>
      <c r="C550" s="189" t="s">
        <v>108</v>
      </c>
      <c r="D550" s="187">
        <v>346</v>
      </c>
      <c r="E550" s="190">
        <v>9782</v>
      </c>
      <c r="F550" s="191">
        <v>8596</v>
      </c>
      <c r="G550" s="255" t="s">
        <v>153</v>
      </c>
      <c r="H550" s="190">
        <v>1186</v>
      </c>
      <c r="I550" s="192">
        <v>0</v>
      </c>
      <c r="J550" s="192">
        <v>0</v>
      </c>
      <c r="K550" s="192">
        <v>0</v>
      </c>
      <c r="L550" s="190">
        <v>1186</v>
      </c>
    </row>
    <row r="551" spans="1:12" ht="15.75" customHeight="1" x14ac:dyDescent="0.25">
      <c r="A551" s="187" t="s">
        <v>353</v>
      </c>
      <c r="B551" s="188" t="s">
        <v>96</v>
      </c>
      <c r="C551" s="189" t="s">
        <v>97</v>
      </c>
      <c r="D551" s="187">
        <v>351</v>
      </c>
      <c r="E551" s="190">
        <v>91173</v>
      </c>
      <c r="F551" s="191">
        <v>85157</v>
      </c>
      <c r="G551" s="255" t="s">
        <v>153</v>
      </c>
      <c r="H551" s="190">
        <v>6016</v>
      </c>
      <c r="I551" s="192">
        <v>0</v>
      </c>
      <c r="J551" s="192">
        <v>0</v>
      </c>
      <c r="K551" s="192">
        <v>0</v>
      </c>
      <c r="L551" s="190">
        <v>6016</v>
      </c>
    </row>
    <row r="552" spans="1:12" ht="15.75" x14ac:dyDescent="0.25">
      <c r="A552" s="206" t="s">
        <v>386</v>
      </c>
      <c r="B552" s="258" t="s">
        <v>153</v>
      </c>
      <c r="C552" s="258" t="s">
        <v>153</v>
      </c>
      <c r="D552" s="258" t="s">
        <v>153</v>
      </c>
      <c r="E552" s="207">
        <f>SUBTOTAL(109,school200708[Program
Costs])</f>
        <v>479521182</v>
      </c>
      <c r="F552" s="216">
        <f>SUBTOTAL(109,school200708[Less: Net
 Payments and 
Offsets 2])</f>
        <v>392806553</v>
      </c>
      <c r="G552" s="256" t="s">
        <v>153</v>
      </c>
      <c r="H552" s="207">
        <f>SUBTOTAL(109,school200708[Accounts Payable
Balance])</f>
        <v>86714629</v>
      </c>
      <c r="I552" s="207">
        <f>SUBTOTAL(109,school200708[Established
Accounts Receivable])</f>
        <v>1087600</v>
      </c>
      <c r="J552" s="207">
        <f>SUBTOTAL(109,school200708[Less: 
Recovered 
Amount])</f>
        <v>1086573</v>
      </c>
      <c r="K552" s="207">
        <f>SUBTOTAL(109,school200708[Accounts Receivable
Balance])</f>
        <v>1027</v>
      </c>
      <c r="L552" s="207">
        <f>SUBTOTAL(109,school200708[Net
Balance])</f>
        <v>86713602</v>
      </c>
    </row>
    <row r="553" spans="1:12" ht="15.75" x14ac:dyDescent="0.25">
      <c r="A553" s="146" t="s">
        <v>181</v>
      </c>
      <c r="B553" s="221"/>
      <c r="C553" s="220"/>
      <c r="D553" s="222"/>
      <c r="E553" s="230"/>
      <c r="F553" s="225"/>
      <c r="G553" s="225"/>
      <c r="H553" s="230"/>
      <c r="I553" s="230"/>
      <c r="J553" s="230"/>
      <c r="K553" s="230"/>
      <c r="L553" s="223"/>
    </row>
    <row r="554" spans="1:12" ht="50.1" customHeight="1" x14ac:dyDescent="0.25">
      <c r="A554" s="34" t="s">
        <v>221</v>
      </c>
      <c r="B554" s="34" t="s">
        <v>268</v>
      </c>
      <c r="C554" s="28" t="s">
        <v>2</v>
      </c>
      <c r="D554" s="34" t="s">
        <v>280</v>
      </c>
      <c r="E554" s="194" t="s">
        <v>223</v>
      </c>
      <c r="F554" s="195" t="s">
        <v>509</v>
      </c>
      <c r="G554" s="252" t="s">
        <v>176</v>
      </c>
      <c r="H554" s="196" t="s">
        <v>270</v>
      </c>
      <c r="I554" s="156" t="s">
        <v>271</v>
      </c>
      <c r="J554" s="194" t="s">
        <v>282</v>
      </c>
      <c r="K554" s="196" t="s">
        <v>272</v>
      </c>
      <c r="L554" s="194" t="s">
        <v>273</v>
      </c>
    </row>
    <row r="555" spans="1:12" ht="15.75" x14ac:dyDescent="0.25">
      <c r="A555" s="187" t="s">
        <v>358</v>
      </c>
      <c r="B555" s="188" t="s">
        <v>407</v>
      </c>
      <c r="C555" s="210" t="s">
        <v>408</v>
      </c>
      <c r="D555" s="187">
        <v>305</v>
      </c>
      <c r="E555" s="190">
        <v>110375</v>
      </c>
      <c r="F555" s="191">
        <v>106797</v>
      </c>
      <c r="G555" s="255" t="s">
        <v>153</v>
      </c>
      <c r="H555" s="190">
        <v>3578</v>
      </c>
      <c r="I555" s="192">
        <v>0</v>
      </c>
      <c r="J555" s="192">
        <v>0</v>
      </c>
      <c r="K555" s="192">
        <v>0</v>
      </c>
      <c r="L555" s="190">
        <v>3578</v>
      </c>
    </row>
    <row r="556" spans="1:12" ht="15.75" x14ac:dyDescent="0.25">
      <c r="A556" s="187" t="s">
        <v>358</v>
      </c>
      <c r="B556" s="188" t="s">
        <v>440</v>
      </c>
      <c r="C556" s="189" t="s">
        <v>441</v>
      </c>
      <c r="D556" s="187">
        <v>269</v>
      </c>
      <c r="E556" s="190">
        <v>6011</v>
      </c>
      <c r="F556" s="191">
        <v>4843</v>
      </c>
      <c r="G556" s="255" t="s">
        <v>153</v>
      </c>
      <c r="H556" s="190">
        <v>1168</v>
      </c>
      <c r="I556" s="192">
        <v>0</v>
      </c>
      <c r="J556" s="192">
        <v>0</v>
      </c>
      <c r="K556" s="192">
        <v>0</v>
      </c>
      <c r="L556" s="190">
        <v>1168</v>
      </c>
    </row>
    <row r="557" spans="1:12" ht="30.75" x14ac:dyDescent="0.25">
      <c r="A557" s="187" t="s">
        <v>358</v>
      </c>
      <c r="B557" s="188" t="s">
        <v>53</v>
      </c>
      <c r="C557" s="189" t="s">
        <v>54</v>
      </c>
      <c r="D557" s="187">
        <v>250</v>
      </c>
      <c r="E557" s="190">
        <v>1560401</v>
      </c>
      <c r="F557" s="191">
        <v>1454516</v>
      </c>
      <c r="G557" s="255" t="s">
        <v>153</v>
      </c>
      <c r="H557" s="190">
        <v>105885</v>
      </c>
      <c r="I557" s="190">
        <v>54327</v>
      </c>
      <c r="J557" s="190">
        <v>52385</v>
      </c>
      <c r="K557" s="190">
        <v>1942</v>
      </c>
      <c r="L557" s="190">
        <v>103943</v>
      </c>
    </row>
    <row r="558" spans="1:12" ht="30.75" x14ac:dyDescent="0.25">
      <c r="A558" s="187" t="s">
        <v>358</v>
      </c>
      <c r="B558" s="188" t="s">
        <v>434</v>
      </c>
      <c r="C558" s="189" t="s">
        <v>429</v>
      </c>
      <c r="D558" s="187">
        <v>348</v>
      </c>
      <c r="E558" s="190">
        <v>50727286</v>
      </c>
      <c r="F558" s="191">
        <v>43697065</v>
      </c>
      <c r="G558" s="255" t="s">
        <v>153</v>
      </c>
      <c r="H558" s="190">
        <v>7030221</v>
      </c>
      <c r="I558" s="192">
        <v>0</v>
      </c>
      <c r="J558" s="192">
        <v>0</v>
      </c>
      <c r="K558" s="192">
        <v>0</v>
      </c>
      <c r="L558" s="190">
        <v>7030221</v>
      </c>
    </row>
    <row r="559" spans="1:12" ht="30.75" x14ac:dyDescent="0.25">
      <c r="A559" s="187" t="s">
        <v>358</v>
      </c>
      <c r="B559" s="188" t="s">
        <v>422</v>
      </c>
      <c r="C559" s="189" t="s">
        <v>423</v>
      </c>
      <c r="D559" s="187">
        <v>286</v>
      </c>
      <c r="E559" s="190">
        <v>87725</v>
      </c>
      <c r="F559" s="191">
        <v>61922</v>
      </c>
      <c r="G559" s="255" t="s">
        <v>153</v>
      </c>
      <c r="H559" s="190">
        <v>25803</v>
      </c>
      <c r="I559" s="192">
        <v>0</v>
      </c>
      <c r="J559" s="192">
        <v>0</v>
      </c>
      <c r="K559" s="192">
        <v>0</v>
      </c>
      <c r="L559" s="190">
        <v>25803</v>
      </c>
    </row>
    <row r="560" spans="1:12" ht="30.75" x14ac:dyDescent="0.25">
      <c r="A560" s="187" t="s">
        <v>358</v>
      </c>
      <c r="B560" s="188" t="s">
        <v>57</v>
      </c>
      <c r="C560" s="189" t="s">
        <v>58</v>
      </c>
      <c r="D560" s="187">
        <v>172</v>
      </c>
      <c r="E560" s="190">
        <v>713312</v>
      </c>
      <c r="F560" s="191">
        <v>650007</v>
      </c>
      <c r="G560" s="255" t="s">
        <v>153</v>
      </c>
      <c r="H560" s="190">
        <v>63305</v>
      </c>
      <c r="I560" s="190">
        <v>28693</v>
      </c>
      <c r="J560" s="190">
        <v>15027</v>
      </c>
      <c r="K560" s="190">
        <v>13666</v>
      </c>
      <c r="L560" s="190">
        <v>49639</v>
      </c>
    </row>
    <row r="561" spans="1:12" ht="15.75" x14ac:dyDescent="0.25">
      <c r="A561" s="187" t="s">
        <v>358</v>
      </c>
      <c r="B561" s="188" t="s">
        <v>459</v>
      </c>
      <c r="C561" s="189" t="s">
        <v>460</v>
      </c>
      <c r="D561" s="187">
        <v>249</v>
      </c>
      <c r="E561" s="190">
        <v>2310086</v>
      </c>
      <c r="F561" s="191">
        <v>2072028</v>
      </c>
      <c r="G561" s="255" t="s">
        <v>153</v>
      </c>
      <c r="H561" s="190">
        <v>238058</v>
      </c>
      <c r="I561" s="190">
        <v>20038</v>
      </c>
      <c r="J561" s="190">
        <v>20038</v>
      </c>
      <c r="K561" s="192">
        <v>0</v>
      </c>
      <c r="L561" s="190">
        <v>238058</v>
      </c>
    </row>
    <row r="562" spans="1:12" ht="15.75" x14ac:dyDescent="0.25">
      <c r="A562" s="187" t="s">
        <v>358</v>
      </c>
      <c r="B562" s="188" t="s">
        <v>461</v>
      </c>
      <c r="C562" s="189" t="s">
        <v>460</v>
      </c>
      <c r="D562" s="187">
        <v>277</v>
      </c>
      <c r="E562" s="190">
        <v>84983</v>
      </c>
      <c r="F562" s="191">
        <v>83679</v>
      </c>
      <c r="G562" s="255" t="s">
        <v>153</v>
      </c>
      <c r="H562" s="190">
        <v>1304</v>
      </c>
      <c r="I562" s="192">
        <v>0</v>
      </c>
      <c r="J562" s="192">
        <v>0</v>
      </c>
      <c r="K562" s="192">
        <v>0</v>
      </c>
      <c r="L562" s="190">
        <v>1304</v>
      </c>
    </row>
    <row r="563" spans="1:12" ht="30.75" x14ac:dyDescent="0.25">
      <c r="A563" s="187" t="s">
        <v>358</v>
      </c>
      <c r="B563" s="188" t="s">
        <v>50</v>
      </c>
      <c r="C563" s="189" t="s">
        <v>51</v>
      </c>
      <c r="D563" s="187">
        <v>11</v>
      </c>
      <c r="E563" s="190">
        <v>27712461</v>
      </c>
      <c r="F563" s="191">
        <v>25951794</v>
      </c>
      <c r="G563" s="255" t="s">
        <v>153</v>
      </c>
      <c r="H563" s="190">
        <v>1760667</v>
      </c>
      <c r="I563" s="190">
        <v>147591</v>
      </c>
      <c r="J563" s="190">
        <v>118837</v>
      </c>
      <c r="K563" s="190">
        <v>28754</v>
      </c>
      <c r="L563" s="190">
        <v>1731913</v>
      </c>
    </row>
    <row r="564" spans="1:12" ht="15.75" x14ac:dyDescent="0.25">
      <c r="A564" s="187" t="s">
        <v>358</v>
      </c>
      <c r="B564" s="188" t="s">
        <v>452</v>
      </c>
      <c r="C564" s="189" t="s">
        <v>60</v>
      </c>
      <c r="D564" s="187">
        <v>223</v>
      </c>
      <c r="E564" s="190">
        <v>3840616</v>
      </c>
      <c r="F564" s="191">
        <v>3651128</v>
      </c>
      <c r="G564" s="255" t="s">
        <v>153</v>
      </c>
      <c r="H564" s="190">
        <v>189488</v>
      </c>
      <c r="I564" s="190">
        <v>93330</v>
      </c>
      <c r="J564" s="190">
        <v>46371</v>
      </c>
      <c r="K564" s="190">
        <v>46959</v>
      </c>
      <c r="L564" s="190">
        <v>142529</v>
      </c>
    </row>
    <row r="565" spans="1:12" ht="45.75" x14ac:dyDescent="0.25">
      <c r="A565" s="187" t="s">
        <v>358</v>
      </c>
      <c r="B565" s="188" t="s">
        <v>63</v>
      </c>
      <c r="C565" s="189" t="s">
        <v>64</v>
      </c>
      <c r="D565" s="187">
        <v>272</v>
      </c>
      <c r="E565" s="190">
        <v>9087987</v>
      </c>
      <c r="F565" s="191">
        <v>8656133</v>
      </c>
      <c r="G565" s="255" t="s">
        <v>153</v>
      </c>
      <c r="H565" s="190">
        <v>431854</v>
      </c>
      <c r="I565" s="190">
        <v>55256</v>
      </c>
      <c r="J565" s="190">
        <v>49366</v>
      </c>
      <c r="K565" s="190">
        <v>5890</v>
      </c>
      <c r="L565" s="190">
        <v>425964</v>
      </c>
    </row>
    <row r="566" spans="1:12" ht="45.75" x14ac:dyDescent="0.25">
      <c r="A566" s="187" t="s">
        <v>358</v>
      </c>
      <c r="B566" s="188" t="s">
        <v>455</v>
      </c>
      <c r="C566" s="189" t="s">
        <v>456</v>
      </c>
      <c r="D566" s="187">
        <v>291</v>
      </c>
      <c r="E566" s="190">
        <v>215949</v>
      </c>
      <c r="F566" s="191">
        <v>138573</v>
      </c>
      <c r="G566" s="255" t="s">
        <v>153</v>
      </c>
      <c r="H566" s="190">
        <v>77376</v>
      </c>
      <c r="I566" s="192">
        <v>0</v>
      </c>
      <c r="J566" s="192">
        <v>0</v>
      </c>
      <c r="K566" s="192">
        <v>0</v>
      </c>
      <c r="L566" s="190">
        <v>77376</v>
      </c>
    </row>
    <row r="567" spans="1:12" ht="30.75" x14ac:dyDescent="0.25">
      <c r="A567" s="187" t="s">
        <v>358</v>
      </c>
      <c r="B567" s="188" t="s">
        <v>69</v>
      </c>
      <c r="C567" s="189" t="s">
        <v>70</v>
      </c>
      <c r="D567" s="187">
        <v>209</v>
      </c>
      <c r="E567" s="190">
        <v>271074</v>
      </c>
      <c r="F567" s="191">
        <v>209349</v>
      </c>
      <c r="G567" s="255" t="s">
        <v>153</v>
      </c>
      <c r="H567" s="190">
        <v>61725</v>
      </c>
      <c r="I567" s="190">
        <v>15158</v>
      </c>
      <c r="J567" s="190">
        <v>15158</v>
      </c>
      <c r="K567" s="192">
        <v>0</v>
      </c>
      <c r="L567" s="190">
        <v>61725</v>
      </c>
    </row>
    <row r="568" spans="1:12" ht="15.75" x14ac:dyDescent="0.25">
      <c r="A568" s="187" t="s">
        <v>358</v>
      </c>
      <c r="B568" s="188" t="s">
        <v>71</v>
      </c>
      <c r="C568" s="189" t="s">
        <v>72</v>
      </c>
      <c r="D568" s="187">
        <v>183</v>
      </c>
      <c r="E568" s="190">
        <v>814197</v>
      </c>
      <c r="F568" s="191">
        <v>747791</v>
      </c>
      <c r="G568" s="255" t="s">
        <v>153</v>
      </c>
      <c r="H568" s="190">
        <v>66406</v>
      </c>
      <c r="I568" s="190">
        <v>40116</v>
      </c>
      <c r="J568" s="190">
        <v>39635</v>
      </c>
      <c r="K568" s="190">
        <v>481</v>
      </c>
      <c r="L568" s="190">
        <v>65925</v>
      </c>
    </row>
    <row r="569" spans="1:12" ht="15" customHeight="1" x14ac:dyDescent="0.25">
      <c r="A569" s="187" t="s">
        <v>358</v>
      </c>
      <c r="B569" s="188" t="s">
        <v>100</v>
      </c>
      <c r="C569" s="189" t="s">
        <v>101</v>
      </c>
      <c r="D569" s="187">
        <v>251</v>
      </c>
      <c r="E569" s="190">
        <v>550864</v>
      </c>
      <c r="F569" s="191">
        <v>508168</v>
      </c>
      <c r="G569" s="255" t="s">
        <v>153</v>
      </c>
      <c r="H569" s="190">
        <v>42696</v>
      </c>
      <c r="I569" s="190">
        <v>6681</v>
      </c>
      <c r="J569" s="190">
        <v>4892</v>
      </c>
      <c r="K569" s="190">
        <v>1789</v>
      </c>
      <c r="L569" s="190">
        <v>40907</v>
      </c>
    </row>
    <row r="570" spans="1:12" ht="15.75" x14ac:dyDescent="0.25">
      <c r="A570" s="187" t="s">
        <v>358</v>
      </c>
      <c r="B570" s="188" t="s">
        <v>462</v>
      </c>
      <c r="C570" s="189" t="s">
        <v>463</v>
      </c>
      <c r="D570" s="187">
        <v>253</v>
      </c>
      <c r="E570" s="190">
        <v>2919</v>
      </c>
      <c r="F570" s="191">
        <v>2919</v>
      </c>
      <c r="G570" s="255" t="s">
        <v>153</v>
      </c>
      <c r="H570" s="192">
        <v>0</v>
      </c>
      <c r="I570" s="190">
        <v>1262</v>
      </c>
      <c r="J570" s="192">
        <v>0</v>
      </c>
      <c r="K570" s="190">
        <v>1262</v>
      </c>
      <c r="L570" s="190">
        <v>-1262</v>
      </c>
    </row>
    <row r="571" spans="1:12" ht="30.75" x14ac:dyDescent="0.25">
      <c r="A571" s="187" t="s">
        <v>358</v>
      </c>
      <c r="B571" s="188" t="s">
        <v>411</v>
      </c>
      <c r="C571" s="189" t="s">
        <v>62</v>
      </c>
      <c r="D571" s="187">
        <v>91</v>
      </c>
      <c r="E571" s="190">
        <v>14079</v>
      </c>
      <c r="F571" s="191">
        <v>12534</v>
      </c>
      <c r="G571" s="255" t="s">
        <v>153</v>
      </c>
      <c r="H571" s="190">
        <v>1545</v>
      </c>
      <c r="I571" s="192">
        <v>0</v>
      </c>
      <c r="J571" s="192">
        <v>0</v>
      </c>
      <c r="K571" s="192">
        <v>0</v>
      </c>
      <c r="L571" s="190">
        <v>1545</v>
      </c>
    </row>
    <row r="572" spans="1:12" ht="15.75" customHeight="1" x14ac:dyDescent="0.25">
      <c r="A572" s="187" t="s">
        <v>358</v>
      </c>
      <c r="B572" s="188" t="s">
        <v>73</v>
      </c>
      <c r="C572" s="189" t="s">
        <v>52</v>
      </c>
      <c r="D572" s="187">
        <v>192</v>
      </c>
      <c r="E572" s="190">
        <v>386700</v>
      </c>
      <c r="F572" s="191">
        <v>337072</v>
      </c>
      <c r="G572" s="255" t="s">
        <v>153</v>
      </c>
      <c r="H572" s="190">
        <v>49628</v>
      </c>
      <c r="I572" s="190">
        <v>16641</v>
      </c>
      <c r="J572" s="190">
        <v>15516</v>
      </c>
      <c r="K572" s="190">
        <v>1125</v>
      </c>
      <c r="L572" s="190">
        <v>48503</v>
      </c>
    </row>
    <row r="573" spans="1:12" ht="15.75" x14ac:dyDescent="0.25">
      <c r="A573" s="187" t="s">
        <v>358</v>
      </c>
      <c r="B573" s="188" t="s">
        <v>457</v>
      </c>
      <c r="C573" s="189" t="s">
        <v>75</v>
      </c>
      <c r="D573" s="187">
        <v>26</v>
      </c>
      <c r="E573" s="190">
        <v>65296715</v>
      </c>
      <c r="F573" s="191">
        <v>59462481</v>
      </c>
      <c r="G573" s="255" t="s">
        <v>153</v>
      </c>
      <c r="H573" s="190">
        <v>5834234</v>
      </c>
      <c r="I573" s="190">
        <v>484254</v>
      </c>
      <c r="J573" s="190">
        <v>19323</v>
      </c>
      <c r="K573" s="190">
        <v>464931</v>
      </c>
      <c r="L573" s="190">
        <v>5369303</v>
      </c>
    </row>
    <row r="574" spans="1:12" ht="30.75" x14ac:dyDescent="0.25">
      <c r="A574" s="187" t="s">
        <v>358</v>
      </c>
      <c r="B574" s="188" t="s">
        <v>74</v>
      </c>
      <c r="C574" s="189" t="s">
        <v>75</v>
      </c>
      <c r="D574" s="187">
        <v>297</v>
      </c>
      <c r="E574" s="190">
        <v>173189364</v>
      </c>
      <c r="F574" s="191">
        <v>139389904</v>
      </c>
      <c r="G574" s="255" t="s">
        <v>153</v>
      </c>
      <c r="H574" s="190">
        <v>33799460</v>
      </c>
      <c r="I574" s="192">
        <v>0</v>
      </c>
      <c r="J574" s="192">
        <v>0</v>
      </c>
      <c r="K574" s="192">
        <v>0</v>
      </c>
      <c r="L574" s="190">
        <v>33799460</v>
      </c>
    </row>
    <row r="575" spans="1:12" ht="15.75" x14ac:dyDescent="0.25">
      <c r="A575" s="187" t="s">
        <v>358</v>
      </c>
      <c r="B575" s="188" t="s">
        <v>76</v>
      </c>
      <c r="C575" s="189" t="s">
        <v>77</v>
      </c>
      <c r="D575" s="187">
        <v>166</v>
      </c>
      <c r="E575" s="190">
        <v>8049732</v>
      </c>
      <c r="F575" s="191">
        <v>7094812</v>
      </c>
      <c r="G575" s="255" t="s">
        <v>153</v>
      </c>
      <c r="H575" s="190">
        <v>954920</v>
      </c>
      <c r="I575" s="190">
        <v>69622</v>
      </c>
      <c r="J575" s="190">
        <v>49468</v>
      </c>
      <c r="K575" s="190">
        <v>20154</v>
      </c>
      <c r="L575" s="190">
        <v>934766</v>
      </c>
    </row>
    <row r="576" spans="1:12" ht="15.75" x14ac:dyDescent="0.25">
      <c r="A576" s="187" t="s">
        <v>358</v>
      </c>
      <c r="B576" s="188" t="s">
        <v>412</v>
      </c>
      <c r="C576" s="189" t="s">
        <v>413</v>
      </c>
      <c r="D576" s="187">
        <v>268</v>
      </c>
      <c r="E576" s="190">
        <v>6474647</v>
      </c>
      <c r="F576" s="191">
        <v>5139413</v>
      </c>
      <c r="G576" s="255" t="s">
        <v>153</v>
      </c>
      <c r="H576" s="190">
        <v>1335234</v>
      </c>
      <c r="I576" s="192">
        <v>0</v>
      </c>
      <c r="J576" s="192">
        <v>0</v>
      </c>
      <c r="K576" s="192">
        <v>0</v>
      </c>
      <c r="L576" s="190">
        <v>1335234</v>
      </c>
    </row>
    <row r="577" spans="1:12" ht="15.75" customHeight="1" x14ac:dyDescent="0.25">
      <c r="A577" s="187" t="s">
        <v>358</v>
      </c>
      <c r="B577" s="188" t="s">
        <v>78</v>
      </c>
      <c r="C577" s="189" t="s">
        <v>79</v>
      </c>
      <c r="D577" s="187">
        <v>32</v>
      </c>
      <c r="E577" s="190">
        <v>4151507</v>
      </c>
      <c r="F577" s="191">
        <v>4077222</v>
      </c>
      <c r="G577" s="255" t="s">
        <v>153</v>
      </c>
      <c r="H577" s="190">
        <v>74285</v>
      </c>
      <c r="I577" s="190">
        <v>1352</v>
      </c>
      <c r="J577" s="190">
        <v>912</v>
      </c>
      <c r="K577" s="190">
        <v>440</v>
      </c>
      <c r="L577" s="190">
        <v>73845</v>
      </c>
    </row>
    <row r="578" spans="1:12" ht="15.75" x14ac:dyDescent="0.25">
      <c r="A578" s="187" t="s">
        <v>358</v>
      </c>
      <c r="B578" s="188" t="s">
        <v>430</v>
      </c>
      <c r="C578" s="189" t="s">
        <v>81</v>
      </c>
      <c r="D578" s="187">
        <v>230</v>
      </c>
      <c r="E578" s="190">
        <v>5373701</v>
      </c>
      <c r="F578" s="191">
        <v>5309206</v>
      </c>
      <c r="G578" s="255" t="s">
        <v>153</v>
      </c>
      <c r="H578" s="190">
        <v>64495</v>
      </c>
      <c r="I578" s="190">
        <v>10680</v>
      </c>
      <c r="J578" s="190">
        <v>8110</v>
      </c>
      <c r="K578" s="190">
        <v>2570</v>
      </c>
      <c r="L578" s="190">
        <v>61925</v>
      </c>
    </row>
    <row r="579" spans="1:12" ht="15.75" x14ac:dyDescent="0.25">
      <c r="A579" s="187" t="s">
        <v>358</v>
      </c>
      <c r="B579" s="188" t="s">
        <v>414</v>
      </c>
      <c r="C579" s="189" t="s">
        <v>415</v>
      </c>
      <c r="D579" s="187">
        <v>148</v>
      </c>
      <c r="E579" s="190">
        <v>17124</v>
      </c>
      <c r="F579" s="191">
        <v>6568</v>
      </c>
      <c r="G579" s="255" t="s">
        <v>153</v>
      </c>
      <c r="H579" s="190">
        <v>10556</v>
      </c>
      <c r="I579" s="192">
        <v>0</v>
      </c>
      <c r="J579" s="192">
        <v>0</v>
      </c>
      <c r="K579" s="192">
        <v>0</v>
      </c>
      <c r="L579" s="190">
        <v>10556</v>
      </c>
    </row>
    <row r="580" spans="1:12" ht="15" customHeight="1" x14ac:dyDescent="0.25">
      <c r="A580" s="187" t="s">
        <v>358</v>
      </c>
      <c r="B580" s="188" t="s">
        <v>84</v>
      </c>
      <c r="C580" s="189" t="s">
        <v>85</v>
      </c>
      <c r="D580" s="187">
        <v>153</v>
      </c>
      <c r="E580" s="190">
        <v>4509810</v>
      </c>
      <c r="F580" s="191">
        <v>4361183</v>
      </c>
      <c r="G580" s="255" t="s">
        <v>153</v>
      </c>
      <c r="H580" s="190">
        <v>148627</v>
      </c>
      <c r="I580" s="190">
        <v>65813</v>
      </c>
      <c r="J580" s="190">
        <v>59790</v>
      </c>
      <c r="K580" s="190">
        <v>6023</v>
      </c>
      <c r="L580" s="190">
        <v>142604</v>
      </c>
    </row>
    <row r="581" spans="1:12" ht="15.75" x14ac:dyDescent="0.25">
      <c r="A581" s="187" t="s">
        <v>358</v>
      </c>
      <c r="B581" s="188" t="s">
        <v>102</v>
      </c>
      <c r="C581" s="189" t="s">
        <v>103</v>
      </c>
      <c r="D581" s="187">
        <v>155</v>
      </c>
      <c r="E581" s="190">
        <v>1176856</v>
      </c>
      <c r="F581" s="191">
        <v>651415</v>
      </c>
      <c r="G581" s="255" t="s">
        <v>153</v>
      </c>
      <c r="H581" s="190">
        <v>525441</v>
      </c>
      <c r="I581" s="190">
        <v>28652</v>
      </c>
      <c r="J581" s="190">
        <v>27448</v>
      </c>
      <c r="K581" s="190">
        <v>1204</v>
      </c>
      <c r="L581" s="190">
        <v>524237</v>
      </c>
    </row>
    <row r="582" spans="1:12" ht="15.75" x14ac:dyDescent="0.25">
      <c r="A582" s="187" t="s">
        <v>358</v>
      </c>
      <c r="B582" s="188" t="s">
        <v>464</v>
      </c>
      <c r="C582" s="189" t="s">
        <v>465</v>
      </c>
      <c r="D582" s="187">
        <v>157</v>
      </c>
      <c r="E582" s="190">
        <v>1656765</v>
      </c>
      <c r="F582" s="191">
        <v>1480782</v>
      </c>
      <c r="G582" s="255" t="s">
        <v>153</v>
      </c>
      <c r="H582" s="190">
        <v>175983</v>
      </c>
      <c r="I582" s="190">
        <v>32178</v>
      </c>
      <c r="J582" s="190">
        <v>30021</v>
      </c>
      <c r="K582" s="190">
        <v>2157</v>
      </c>
      <c r="L582" s="190">
        <v>173826</v>
      </c>
    </row>
    <row r="583" spans="1:12" ht="15.75" x14ac:dyDescent="0.25">
      <c r="A583" s="187" t="s">
        <v>358</v>
      </c>
      <c r="B583" s="188" t="s">
        <v>305</v>
      </c>
      <c r="C583" s="189" t="s">
        <v>306</v>
      </c>
      <c r="D583" s="187">
        <v>42</v>
      </c>
      <c r="E583" s="190">
        <v>15540692</v>
      </c>
      <c r="F583" s="191">
        <v>14149028</v>
      </c>
      <c r="G583" s="255" t="s">
        <v>153</v>
      </c>
      <c r="H583" s="190">
        <v>1391664</v>
      </c>
      <c r="I583" s="192">
        <v>0</v>
      </c>
      <c r="J583" s="192">
        <v>0</v>
      </c>
      <c r="K583" s="192">
        <v>0</v>
      </c>
      <c r="L583" s="190">
        <v>1391664</v>
      </c>
    </row>
    <row r="584" spans="1:12" ht="15.75" x14ac:dyDescent="0.25">
      <c r="A584" s="187" t="s">
        <v>358</v>
      </c>
      <c r="B584" s="188" t="s">
        <v>466</v>
      </c>
      <c r="C584" s="189" t="s">
        <v>66</v>
      </c>
      <c r="D584" s="187">
        <v>275</v>
      </c>
      <c r="E584" s="190">
        <v>23761</v>
      </c>
      <c r="F584" s="191">
        <v>22690</v>
      </c>
      <c r="G584" s="255" t="s">
        <v>153</v>
      </c>
      <c r="H584" s="190">
        <v>1071</v>
      </c>
      <c r="I584" s="192">
        <v>0</v>
      </c>
      <c r="J584" s="192">
        <v>0</v>
      </c>
      <c r="K584" s="192">
        <v>0</v>
      </c>
      <c r="L584" s="190">
        <v>1071</v>
      </c>
    </row>
    <row r="585" spans="1:12" ht="30" customHeight="1" x14ac:dyDescent="0.25">
      <c r="A585" s="187" t="s">
        <v>358</v>
      </c>
      <c r="B585" s="188" t="s">
        <v>453</v>
      </c>
      <c r="C585" s="189" t="s">
        <v>454</v>
      </c>
      <c r="D585" s="187">
        <v>265</v>
      </c>
      <c r="E585" s="190">
        <v>3247854</v>
      </c>
      <c r="F585" s="191">
        <v>3128316</v>
      </c>
      <c r="G585" s="255" t="s">
        <v>153</v>
      </c>
      <c r="H585" s="190">
        <v>119538</v>
      </c>
      <c r="I585" s="192">
        <v>0</v>
      </c>
      <c r="J585" s="192">
        <v>0</v>
      </c>
      <c r="K585" s="192">
        <v>0</v>
      </c>
      <c r="L585" s="190">
        <v>119538</v>
      </c>
    </row>
    <row r="586" spans="1:12" ht="15.75" x14ac:dyDescent="0.25">
      <c r="A586" s="187" t="s">
        <v>358</v>
      </c>
      <c r="B586" s="188" t="s">
        <v>86</v>
      </c>
      <c r="C586" s="189" t="s">
        <v>75</v>
      </c>
      <c r="D586" s="187">
        <v>48</v>
      </c>
      <c r="E586" s="190">
        <v>14658917</v>
      </c>
      <c r="F586" s="191">
        <v>13490929</v>
      </c>
      <c r="G586" s="255" t="s">
        <v>153</v>
      </c>
      <c r="H586" s="190">
        <v>1167988</v>
      </c>
      <c r="I586" s="190">
        <v>203988</v>
      </c>
      <c r="J586" s="190">
        <v>199903</v>
      </c>
      <c r="K586" s="190">
        <v>4085</v>
      </c>
      <c r="L586" s="190">
        <v>1163903</v>
      </c>
    </row>
    <row r="587" spans="1:12" ht="30.75" x14ac:dyDescent="0.25">
      <c r="A587" s="187" t="s">
        <v>358</v>
      </c>
      <c r="B587" s="188" t="s">
        <v>458</v>
      </c>
      <c r="C587" s="189" t="s">
        <v>68</v>
      </c>
      <c r="D587" s="187">
        <v>150</v>
      </c>
      <c r="E587" s="190">
        <v>6617290</v>
      </c>
      <c r="F587" s="191">
        <v>6100481</v>
      </c>
      <c r="G587" s="255" t="s">
        <v>153</v>
      </c>
      <c r="H587" s="190">
        <v>516809</v>
      </c>
      <c r="I587" s="190">
        <v>60300</v>
      </c>
      <c r="J587" s="190">
        <v>54923</v>
      </c>
      <c r="K587" s="190">
        <v>5377</v>
      </c>
      <c r="L587" s="190">
        <v>511432</v>
      </c>
    </row>
    <row r="588" spans="1:12" ht="15.75" x14ac:dyDescent="0.25">
      <c r="A588" s="187" t="s">
        <v>358</v>
      </c>
      <c r="B588" s="188" t="s">
        <v>293</v>
      </c>
      <c r="C588" s="189" t="s">
        <v>294</v>
      </c>
      <c r="D588" s="187">
        <v>218</v>
      </c>
      <c r="E588" s="190">
        <v>3715071</v>
      </c>
      <c r="F588" s="191">
        <v>3238954</v>
      </c>
      <c r="G588" s="255" t="s">
        <v>153</v>
      </c>
      <c r="H588" s="190">
        <v>476117</v>
      </c>
      <c r="I588" s="192">
        <v>0</v>
      </c>
      <c r="J588" s="192">
        <v>0</v>
      </c>
      <c r="K588" s="192">
        <v>0</v>
      </c>
      <c r="L588" s="190">
        <v>476117</v>
      </c>
    </row>
    <row r="589" spans="1:12" ht="15.75" x14ac:dyDescent="0.25">
      <c r="A589" s="187" t="s">
        <v>358</v>
      </c>
      <c r="B589" s="188" t="s">
        <v>104</v>
      </c>
      <c r="C589" s="189" t="s">
        <v>105</v>
      </c>
      <c r="D589" s="187">
        <v>173</v>
      </c>
      <c r="E589" s="190">
        <v>1759730</v>
      </c>
      <c r="F589" s="191">
        <v>1759730</v>
      </c>
      <c r="G589" s="255" t="s">
        <v>153</v>
      </c>
      <c r="H589" s="192">
        <v>0</v>
      </c>
      <c r="I589" s="190">
        <v>43451</v>
      </c>
      <c r="J589" s="190">
        <v>38616</v>
      </c>
      <c r="K589" s="190">
        <v>4835</v>
      </c>
      <c r="L589" s="190">
        <v>-4835</v>
      </c>
    </row>
    <row r="590" spans="1:12" ht="45.75" x14ac:dyDescent="0.25">
      <c r="A590" s="187" t="s">
        <v>358</v>
      </c>
      <c r="B590" s="188" t="s">
        <v>437</v>
      </c>
      <c r="C590" s="189" t="s">
        <v>438</v>
      </c>
      <c r="D590" s="187">
        <v>329</v>
      </c>
      <c r="E590" s="190">
        <v>930860</v>
      </c>
      <c r="F590" s="191">
        <v>831450</v>
      </c>
      <c r="G590" s="255" t="s">
        <v>153</v>
      </c>
      <c r="H590" s="190">
        <v>99410</v>
      </c>
      <c r="I590" s="192">
        <v>0</v>
      </c>
      <c r="J590" s="192">
        <v>0</v>
      </c>
      <c r="K590" s="192">
        <v>0</v>
      </c>
      <c r="L590" s="190">
        <v>99410</v>
      </c>
    </row>
    <row r="591" spans="1:12" ht="15" customHeight="1" x14ac:dyDescent="0.25">
      <c r="A591" s="187" t="s">
        <v>358</v>
      </c>
      <c r="B591" s="188" t="s">
        <v>405</v>
      </c>
      <c r="C591" s="189" t="s">
        <v>406</v>
      </c>
      <c r="D591" s="187">
        <v>261</v>
      </c>
      <c r="E591" s="190">
        <v>814086</v>
      </c>
      <c r="F591" s="191">
        <v>797084</v>
      </c>
      <c r="G591" s="255" t="s">
        <v>153</v>
      </c>
      <c r="H591" s="190">
        <v>17002</v>
      </c>
      <c r="I591" s="190">
        <v>72250</v>
      </c>
      <c r="J591" s="190">
        <v>29296</v>
      </c>
      <c r="K591" s="190">
        <v>42954</v>
      </c>
      <c r="L591" s="190">
        <v>-25952</v>
      </c>
    </row>
    <row r="592" spans="1:12" ht="15.75" x14ac:dyDescent="0.25">
      <c r="A592" s="187" t="s">
        <v>358</v>
      </c>
      <c r="B592" s="188" t="s">
        <v>106</v>
      </c>
      <c r="C592" s="189" t="s">
        <v>92</v>
      </c>
      <c r="D592" s="187">
        <v>244</v>
      </c>
      <c r="E592" s="190">
        <v>3239841</v>
      </c>
      <c r="F592" s="191">
        <v>3209138</v>
      </c>
      <c r="G592" s="255" t="s">
        <v>153</v>
      </c>
      <c r="H592" s="190">
        <v>30703</v>
      </c>
      <c r="I592" s="190">
        <v>73306</v>
      </c>
      <c r="J592" s="190">
        <v>50579</v>
      </c>
      <c r="K592" s="190">
        <v>22727</v>
      </c>
      <c r="L592" s="190">
        <v>7976</v>
      </c>
    </row>
    <row r="593" spans="1:12" ht="15.75" x14ac:dyDescent="0.25">
      <c r="A593" s="187" t="s">
        <v>358</v>
      </c>
      <c r="B593" s="188" t="s">
        <v>450</v>
      </c>
      <c r="C593" s="189" t="s">
        <v>451</v>
      </c>
      <c r="D593" s="187">
        <v>182</v>
      </c>
      <c r="E593" s="190">
        <v>68265</v>
      </c>
      <c r="F593" s="191">
        <v>55179</v>
      </c>
      <c r="G593" s="255" t="s">
        <v>153</v>
      </c>
      <c r="H593" s="190">
        <v>13086</v>
      </c>
      <c r="I593" s="190">
        <v>1388</v>
      </c>
      <c r="J593" s="190">
        <v>1388</v>
      </c>
      <c r="K593" s="192">
        <v>0</v>
      </c>
      <c r="L593" s="190">
        <v>13086</v>
      </c>
    </row>
    <row r="594" spans="1:12" ht="15.75" x14ac:dyDescent="0.25">
      <c r="A594" s="187" t="s">
        <v>358</v>
      </c>
      <c r="B594" s="188" t="s">
        <v>416</v>
      </c>
      <c r="C594" s="189" t="s">
        <v>75</v>
      </c>
      <c r="D594" s="187">
        <v>280</v>
      </c>
      <c r="E594" s="190">
        <v>14665</v>
      </c>
      <c r="F594" s="191">
        <v>11241</v>
      </c>
      <c r="G594" s="255" t="s">
        <v>153</v>
      </c>
      <c r="H594" s="190">
        <v>3424</v>
      </c>
      <c r="I594" s="192">
        <v>0</v>
      </c>
      <c r="J594" s="192">
        <v>0</v>
      </c>
      <c r="K594" s="192">
        <v>0</v>
      </c>
      <c r="L594" s="190">
        <v>3424</v>
      </c>
    </row>
    <row r="595" spans="1:12" ht="30.75" x14ac:dyDescent="0.25">
      <c r="A595" s="187" t="s">
        <v>358</v>
      </c>
      <c r="B595" s="188" t="s">
        <v>439</v>
      </c>
      <c r="C595" s="189" t="s">
        <v>62</v>
      </c>
      <c r="D595" s="187">
        <v>176</v>
      </c>
      <c r="E595" s="190">
        <v>7230014</v>
      </c>
      <c r="F595" s="191">
        <v>6313475</v>
      </c>
      <c r="G595" s="255" t="s">
        <v>153</v>
      </c>
      <c r="H595" s="190">
        <v>916539</v>
      </c>
      <c r="I595" s="190">
        <v>35024</v>
      </c>
      <c r="J595" s="190">
        <v>25955</v>
      </c>
      <c r="K595" s="190">
        <v>9069</v>
      </c>
      <c r="L595" s="190">
        <v>907470</v>
      </c>
    </row>
    <row r="596" spans="1:12" ht="15.75" x14ac:dyDescent="0.25">
      <c r="A596" s="187" t="s">
        <v>358</v>
      </c>
      <c r="B596" s="188" t="s">
        <v>446</v>
      </c>
      <c r="C596" s="189" t="s">
        <v>447</v>
      </c>
      <c r="D596" s="187">
        <v>57</v>
      </c>
      <c r="E596" s="190">
        <v>964299</v>
      </c>
      <c r="F596" s="191">
        <v>880791</v>
      </c>
      <c r="G596" s="255" t="s">
        <v>153</v>
      </c>
      <c r="H596" s="190">
        <v>83508</v>
      </c>
      <c r="I596" s="190">
        <v>14205</v>
      </c>
      <c r="J596" s="190">
        <v>14205</v>
      </c>
      <c r="K596" s="192">
        <v>0</v>
      </c>
      <c r="L596" s="190">
        <v>83508</v>
      </c>
    </row>
    <row r="597" spans="1:12" ht="15.75" x14ac:dyDescent="0.25">
      <c r="A597" s="187" t="s">
        <v>358</v>
      </c>
      <c r="B597" s="188" t="s">
        <v>89</v>
      </c>
      <c r="C597" s="189" t="s">
        <v>90</v>
      </c>
      <c r="D597" s="187">
        <v>171</v>
      </c>
      <c r="E597" s="190">
        <v>2196908</v>
      </c>
      <c r="F597" s="191">
        <v>2046608</v>
      </c>
      <c r="G597" s="255" t="s">
        <v>153</v>
      </c>
      <c r="H597" s="190">
        <v>150300</v>
      </c>
      <c r="I597" s="192">
        <v>0</v>
      </c>
      <c r="J597" s="192">
        <v>0</v>
      </c>
      <c r="K597" s="192">
        <v>0</v>
      </c>
      <c r="L597" s="190">
        <v>150300</v>
      </c>
    </row>
    <row r="598" spans="1:12" ht="45.75" x14ac:dyDescent="0.25">
      <c r="A598" s="187" t="s">
        <v>358</v>
      </c>
      <c r="B598" s="188" t="s">
        <v>91</v>
      </c>
      <c r="C598" s="189" t="s">
        <v>92</v>
      </c>
      <c r="D598" s="187">
        <v>258</v>
      </c>
      <c r="E598" s="190">
        <v>2759263</v>
      </c>
      <c r="F598" s="191">
        <v>2425375</v>
      </c>
      <c r="G598" s="255" t="s">
        <v>153</v>
      </c>
      <c r="H598" s="190">
        <v>333888</v>
      </c>
      <c r="I598" s="190">
        <v>42825</v>
      </c>
      <c r="J598" s="190">
        <v>40423</v>
      </c>
      <c r="K598" s="190">
        <v>2402</v>
      </c>
      <c r="L598" s="190">
        <v>331486</v>
      </c>
    </row>
    <row r="599" spans="1:12" ht="15.75" x14ac:dyDescent="0.25">
      <c r="A599" s="187" t="s">
        <v>358</v>
      </c>
      <c r="B599" s="188" t="s">
        <v>417</v>
      </c>
      <c r="C599" s="189" t="s">
        <v>418</v>
      </c>
      <c r="D599" s="187">
        <v>228</v>
      </c>
      <c r="E599" s="190">
        <v>14952</v>
      </c>
      <c r="F599" s="191">
        <v>6939</v>
      </c>
      <c r="G599" s="255" t="s">
        <v>153</v>
      </c>
      <c r="H599" s="190">
        <v>8013</v>
      </c>
      <c r="I599" s="192">
        <v>0</v>
      </c>
      <c r="J599" s="192">
        <v>0</v>
      </c>
      <c r="K599" s="192">
        <v>0</v>
      </c>
      <c r="L599" s="190">
        <v>8013</v>
      </c>
    </row>
    <row r="600" spans="1:12" ht="15.75" x14ac:dyDescent="0.25">
      <c r="A600" s="187" t="s">
        <v>358</v>
      </c>
      <c r="B600" s="188" t="s">
        <v>448</v>
      </c>
      <c r="C600" s="189" t="s">
        <v>449</v>
      </c>
      <c r="D600" s="187">
        <v>58</v>
      </c>
      <c r="E600" s="190">
        <v>3087850</v>
      </c>
      <c r="F600" s="191">
        <v>3059030</v>
      </c>
      <c r="G600" s="255" t="s">
        <v>153</v>
      </c>
      <c r="H600" s="190">
        <v>28820</v>
      </c>
      <c r="I600" s="190">
        <v>15442</v>
      </c>
      <c r="J600" s="190">
        <v>13765</v>
      </c>
      <c r="K600" s="190">
        <v>1677</v>
      </c>
      <c r="L600" s="190">
        <v>27143</v>
      </c>
    </row>
    <row r="601" spans="1:12" ht="15.75" x14ac:dyDescent="0.25">
      <c r="A601" s="187" t="s">
        <v>358</v>
      </c>
      <c r="B601" s="188" t="s">
        <v>419</v>
      </c>
      <c r="C601" s="189" t="s">
        <v>420</v>
      </c>
      <c r="D601" s="187">
        <v>308</v>
      </c>
      <c r="E601" s="190">
        <v>83236</v>
      </c>
      <c r="F601" s="191">
        <v>46217</v>
      </c>
      <c r="G601" s="255" t="s">
        <v>153</v>
      </c>
      <c r="H601" s="190">
        <v>37019</v>
      </c>
      <c r="I601" s="192">
        <v>0</v>
      </c>
      <c r="J601" s="192">
        <v>0</v>
      </c>
      <c r="K601" s="192">
        <v>0</v>
      </c>
      <c r="L601" s="190">
        <v>37019</v>
      </c>
    </row>
    <row r="602" spans="1:12" ht="15.75" customHeight="1" x14ac:dyDescent="0.25">
      <c r="A602" s="187" t="s">
        <v>358</v>
      </c>
      <c r="B602" s="188" t="s">
        <v>93</v>
      </c>
      <c r="C602" s="189" t="s">
        <v>75</v>
      </c>
      <c r="D602" s="187">
        <v>260</v>
      </c>
      <c r="E602" s="190">
        <v>18231549</v>
      </c>
      <c r="F602" s="191">
        <v>17200676</v>
      </c>
      <c r="G602" s="255" t="s">
        <v>153</v>
      </c>
      <c r="H602" s="190">
        <v>1030873</v>
      </c>
      <c r="I602" s="190">
        <v>608055</v>
      </c>
      <c r="J602" s="190">
        <v>608055</v>
      </c>
      <c r="K602" s="192">
        <v>0</v>
      </c>
      <c r="L602" s="190">
        <v>1030873</v>
      </c>
    </row>
    <row r="603" spans="1:12" ht="15.75" x14ac:dyDescent="0.25">
      <c r="A603" s="187" t="s">
        <v>358</v>
      </c>
      <c r="B603" s="188" t="s">
        <v>107</v>
      </c>
      <c r="C603" s="189" t="s">
        <v>108</v>
      </c>
      <c r="D603" s="187">
        <v>346</v>
      </c>
      <c r="E603" s="190">
        <v>7378</v>
      </c>
      <c r="F603" s="191">
        <v>1834</v>
      </c>
      <c r="G603" s="255" t="s">
        <v>153</v>
      </c>
      <c r="H603" s="190">
        <v>5544</v>
      </c>
      <c r="I603" s="192">
        <v>0</v>
      </c>
      <c r="J603" s="192">
        <v>0</v>
      </c>
      <c r="K603" s="192">
        <v>0</v>
      </c>
      <c r="L603" s="190">
        <v>5544</v>
      </c>
    </row>
    <row r="604" spans="1:12" ht="15.75" x14ac:dyDescent="0.25">
      <c r="A604" s="187" t="s">
        <v>358</v>
      </c>
      <c r="B604" s="188" t="s">
        <v>96</v>
      </c>
      <c r="C604" s="189" t="s">
        <v>97</v>
      </c>
      <c r="D604" s="187">
        <v>351</v>
      </c>
      <c r="E604" s="190">
        <v>52143</v>
      </c>
      <c r="F604" s="191">
        <v>47396</v>
      </c>
      <c r="G604" s="255" t="s">
        <v>153</v>
      </c>
      <c r="H604" s="190">
        <v>4747</v>
      </c>
      <c r="I604" s="192">
        <v>0</v>
      </c>
      <c r="J604" s="192">
        <v>0</v>
      </c>
      <c r="K604" s="192">
        <v>0</v>
      </c>
      <c r="L604" s="190">
        <v>4747</v>
      </c>
    </row>
    <row r="605" spans="1:12" ht="15.75" x14ac:dyDescent="0.25">
      <c r="A605" s="206" t="s">
        <v>387</v>
      </c>
      <c r="B605" s="258" t="s">
        <v>153</v>
      </c>
      <c r="C605" s="258" t="s">
        <v>153</v>
      </c>
      <c r="D605" s="258" t="s">
        <v>153</v>
      </c>
      <c r="E605" s="207">
        <f>SUBTOTAL(109,school200607[Program
Costs])</f>
        <v>453651870</v>
      </c>
      <c r="F605" s="216">
        <f>SUBTOTAL(109,school200607[Less: Net
 Payments and 
Offsets 2])</f>
        <v>394141865</v>
      </c>
      <c r="G605" s="256" t="s">
        <v>153</v>
      </c>
      <c r="H605" s="207">
        <f>SUBTOTAL(109,school200607[Accounts Payable
Balance])</f>
        <v>59510005</v>
      </c>
      <c r="I605" s="207">
        <f>SUBTOTAL(109,school200607[Established
Accounts Receivable])</f>
        <v>2341878</v>
      </c>
      <c r="J605" s="207">
        <f>SUBTOTAL(109,school200607[Less: 
Recovered 
Amount])</f>
        <v>1649405</v>
      </c>
      <c r="K605" s="207">
        <f>SUBTOTAL(109,school200607[Accounts Receivable
Balance])</f>
        <v>692473</v>
      </c>
      <c r="L605" s="207">
        <f>SUBTOTAL(109,school200607[Net
Balance])</f>
        <v>58817532</v>
      </c>
    </row>
    <row r="606" spans="1:12" ht="15.75" x14ac:dyDescent="0.25">
      <c r="A606" s="146" t="s">
        <v>181</v>
      </c>
      <c r="B606" s="221"/>
      <c r="C606" s="220"/>
      <c r="D606" s="222"/>
      <c r="E606" s="223"/>
      <c r="F606" s="224"/>
      <c r="G606" s="224"/>
      <c r="H606" s="223"/>
      <c r="I606" s="223"/>
      <c r="J606" s="223"/>
      <c r="K606" s="223"/>
      <c r="L606" s="223"/>
    </row>
    <row r="607" spans="1:12" ht="50.1" customHeight="1" x14ac:dyDescent="0.25">
      <c r="A607" s="34" t="s">
        <v>221</v>
      </c>
      <c r="B607" s="34" t="s">
        <v>268</v>
      </c>
      <c r="C607" s="28" t="s">
        <v>2</v>
      </c>
      <c r="D607" s="34" t="s">
        <v>280</v>
      </c>
      <c r="E607" s="194" t="s">
        <v>223</v>
      </c>
      <c r="F607" s="195" t="s">
        <v>509</v>
      </c>
      <c r="G607" s="252" t="s">
        <v>176</v>
      </c>
      <c r="H607" s="196" t="s">
        <v>270</v>
      </c>
      <c r="I607" s="156" t="s">
        <v>271</v>
      </c>
      <c r="J607" s="194" t="s">
        <v>282</v>
      </c>
      <c r="K607" s="196" t="s">
        <v>272</v>
      </c>
      <c r="L607" s="194" t="s">
        <v>273</v>
      </c>
    </row>
    <row r="608" spans="1:12" ht="15.75" x14ac:dyDescent="0.25">
      <c r="A608" s="187" t="s">
        <v>359</v>
      </c>
      <c r="B608" s="188" t="s">
        <v>407</v>
      </c>
      <c r="C608" s="210" t="s">
        <v>408</v>
      </c>
      <c r="D608" s="187">
        <v>305</v>
      </c>
      <c r="E608" s="190">
        <v>91574</v>
      </c>
      <c r="F608" s="191">
        <v>89307</v>
      </c>
      <c r="G608" s="255" t="s">
        <v>153</v>
      </c>
      <c r="H608" s="190">
        <v>2267</v>
      </c>
      <c r="I608" s="192">
        <v>0</v>
      </c>
      <c r="J608" s="192">
        <v>0</v>
      </c>
      <c r="K608" s="192">
        <v>0</v>
      </c>
      <c r="L608" s="190">
        <v>2267</v>
      </c>
    </row>
    <row r="609" spans="1:12" ht="15.75" x14ac:dyDescent="0.25">
      <c r="A609" s="187" t="s">
        <v>359</v>
      </c>
      <c r="B609" s="188" t="s">
        <v>440</v>
      </c>
      <c r="C609" s="189" t="s">
        <v>441</v>
      </c>
      <c r="D609" s="187">
        <v>269</v>
      </c>
      <c r="E609" s="190">
        <v>13832</v>
      </c>
      <c r="F609" s="191">
        <v>12143</v>
      </c>
      <c r="G609" s="255" t="s">
        <v>153</v>
      </c>
      <c r="H609" s="190">
        <v>1689</v>
      </c>
      <c r="I609" s="192">
        <v>0</v>
      </c>
      <c r="J609" s="192">
        <v>0</v>
      </c>
      <c r="K609" s="192">
        <v>0</v>
      </c>
      <c r="L609" s="190">
        <v>1689</v>
      </c>
    </row>
    <row r="610" spans="1:12" ht="30.75" x14ac:dyDescent="0.25">
      <c r="A610" s="187" t="s">
        <v>359</v>
      </c>
      <c r="B610" s="188" t="s">
        <v>53</v>
      </c>
      <c r="C610" s="189" t="s">
        <v>54</v>
      </c>
      <c r="D610" s="187">
        <v>250</v>
      </c>
      <c r="E610" s="190">
        <v>1529642</v>
      </c>
      <c r="F610" s="191">
        <v>1448507</v>
      </c>
      <c r="G610" s="255" t="s">
        <v>153</v>
      </c>
      <c r="H610" s="190">
        <v>81135</v>
      </c>
      <c r="I610" s="192">
        <v>0</v>
      </c>
      <c r="J610" s="192">
        <v>0</v>
      </c>
      <c r="K610" s="192">
        <v>0</v>
      </c>
      <c r="L610" s="190">
        <v>81135</v>
      </c>
    </row>
    <row r="611" spans="1:12" ht="30.75" x14ac:dyDescent="0.25">
      <c r="A611" s="187" t="s">
        <v>359</v>
      </c>
      <c r="B611" s="188" t="s">
        <v>434</v>
      </c>
      <c r="C611" s="189" t="s">
        <v>429</v>
      </c>
      <c r="D611" s="187">
        <v>348</v>
      </c>
      <c r="E611" s="190">
        <v>48538143</v>
      </c>
      <c r="F611" s="191">
        <v>42415623</v>
      </c>
      <c r="G611" s="255" t="s">
        <v>153</v>
      </c>
      <c r="H611" s="190">
        <v>6122520</v>
      </c>
      <c r="I611" s="192">
        <v>0</v>
      </c>
      <c r="J611" s="192">
        <v>0</v>
      </c>
      <c r="K611" s="192">
        <v>0</v>
      </c>
      <c r="L611" s="190">
        <v>6122520</v>
      </c>
    </row>
    <row r="612" spans="1:12" ht="30.75" x14ac:dyDescent="0.25">
      <c r="A612" s="187" t="s">
        <v>359</v>
      </c>
      <c r="B612" s="188" t="s">
        <v>422</v>
      </c>
      <c r="C612" s="189" t="s">
        <v>423</v>
      </c>
      <c r="D612" s="187">
        <v>286</v>
      </c>
      <c r="E612" s="190">
        <v>81632</v>
      </c>
      <c r="F612" s="191">
        <v>66048</v>
      </c>
      <c r="G612" s="255" t="s">
        <v>153</v>
      </c>
      <c r="H612" s="190">
        <v>15584</v>
      </c>
      <c r="I612" s="192">
        <v>0</v>
      </c>
      <c r="J612" s="192">
        <v>0</v>
      </c>
      <c r="K612" s="192">
        <v>0</v>
      </c>
      <c r="L612" s="190">
        <v>15584</v>
      </c>
    </row>
    <row r="613" spans="1:12" ht="30.75" x14ac:dyDescent="0.25">
      <c r="A613" s="187" t="s">
        <v>359</v>
      </c>
      <c r="B613" s="188" t="s">
        <v>57</v>
      </c>
      <c r="C613" s="189" t="s">
        <v>58</v>
      </c>
      <c r="D613" s="187">
        <v>172</v>
      </c>
      <c r="E613" s="190">
        <v>789966</v>
      </c>
      <c r="F613" s="191">
        <v>701787</v>
      </c>
      <c r="G613" s="255" t="s">
        <v>153</v>
      </c>
      <c r="H613" s="190">
        <v>88179</v>
      </c>
      <c r="I613" s="192">
        <v>0</v>
      </c>
      <c r="J613" s="192">
        <v>0</v>
      </c>
      <c r="K613" s="192">
        <v>0</v>
      </c>
      <c r="L613" s="190">
        <v>88179</v>
      </c>
    </row>
    <row r="614" spans="1:12" ht="15.75" x14ac:dyDescent="0.25">
      <c r="A614" s="187" t="s">
        <v>359</v>
      </c>
      <c r="B614" s="188" t="s">
        <v>459</v>
      </c>
      <c r="C614" s="189" t="s">
        <v>460</v>
      </c>
      <c r="D614" s="187">
        <v>249</v>
      </c>
      <c r="E614" s="190">
        <v>1894352</v>
      </c>
      <c r="F614" s="191">
        <v>1761720</v>
      </c>
      <c r="G614" s="255" t="s">
        <v>153</v>
      </c>
      <c r="H614" s="190">
        <v>132632</v>
      </c>
      <c r="I614" s="192">
        <v>0</v>
      </c>
      <c r="J614" s="192">
        <v>0</v>
      </c>
      <c r="K614" s="192">
        <v>0</v>
      </c>
      <c r="L614" s="190">
        <v>132632</v>
      </c>
    </row>
    <row r="615" spans="1:12" ht="30.75" x14ac:dyDescent="0.25">
      <c r="A615" s="187" t="s">
        <v>359</v>
      </c>
      <c r="B615" s="188" t="s">
        <v>50</v>
      </c>
      <c r="C615" s="189" t="s">
        <v>51</v>
      </c>
      <c r="D615" s="187">
        <v>11</v>
      </c>
      <c r="E615" s="190">
        <v>28118251</v>
      </c>
      <c r="F615" s="191">
        <v>27647949</v>
      </c>
      <c r="G615" s="255" t="s">
        <v>153</v>
      </c>
      <c r="H615" s="190">
        <v>470302</v>
      </c>
      <c r="I615" s="190">
        <v>6504563</v>
      </c>
      <c r="J615" s="190">
        <v>5420317</v>
      </c>
      <c r="K615" s="190">
        <v>1084246</v>
      </c>
      <c r="L615" s="190">
        <v>-613944</v>
      </c>
    </row>
    <row r="616" spans="1:12" ht="15.75" x14ac:dyDescent="0.25">
      <c r="A616" s="187" t="s">
        <v>359</v>
      </c>
      <c r="B616" s="188" t="s">
        <v>452</v>
      </c>
      <c r="C616" s="189" t="s">
        <v>60</v>
      </c>
      <c r="D616" s="187">
        <v>223</v>
      </c>
      <c r="E616" s="190">
        <v>4125253</v>
      </c>
      <c r="F616" s="191">
        <v>3957366</v>
      </c>
      <c r="G616" s="255" t="s">
        <v>153</v>
      </c>
      <c r="H616" s="190">
        <v>167887</v>
      </c>
      <c r="I616" s="192">
        <v>0</v>
      </c>
      <c r="J616" s="192">
        <v>0</v>
      </c>
      <c r="K616" s="192">
        <v>0</v>
      </c>
      <c r="L616" s="190">
        <v>167887</v>
      </c>
    </row>
    <row r="617" spans="1:12" ht="45.75" x14ac:dyDescent="0.25">
      <c r="A617" s="187" t="s">
        <v>359</v>
      </c>
      <c r="B617" s="188" t="s">
        <v>63</v>
      </c>
      <c r="C617" s="189" t="s">
        <v>64</v>
      </c>
      <c r="D617" s="187">
        <v>272</v>
      </c>
      <c r="E617" s="190">
        <v>8371175</v>
      </c>
      <c r="F617" s="191">
        <v>8200303</v>
      </c>
      <c r="G617" s="255" t="s">
        <v>153</v>
      </c>
      <c r="H617" s="190">
        <v>170872</v>
      </c>
      <c r="I617" s="192">
        <v>0</v>
      </c>
      <c r="J617" s="192">
        <v>0</v>
      </c>
      <c r="K617" s="192">
        <v>0</v>
      </c>
      <c r="L617" s="190">
        <v>170872</v>
      </c>
    </row>
    <row r="618" spans="1:12" ht="45.75" x14ac:dyDescent="0.25">
      <c r="A618" s="187" t="s">
        <v>359</v>
      </c>
      <c r="B618" s="188" t="s">
        <v>455</v>
      </c>
      <c r="C618" s="189" t="s">
        <v>456</v>
      </c>
      <c r="D618" s="187">
        <v>291</v>
      </c>
      <c r="E618" s="190">
        <v>221637</v>
      </c>
      <c r="F618" s="191">
        <v>135227</v>
      </c>
      <c r="G618" s="255" t="s">
        <v>153</v>
      </c>
      <c r="H618" s="190">
        <v>86410</v>
      </c>
      <c r="I618" s="192">
        <v>0</v>
      </c>
      <c r="J618" s="192">
        <v>0</v>
      </c>
      <c r="K618" s="192">
        <v>0</v>
      </c>
      <c r="L618" s="190">
        <v>86410</v>
      </c>
    </row>
    <row r="619" spans="1:12" ht="15" customHeight="1" x14ac:dyDescent="0.25">
      <c r="A619" s="187" t="s">
        <v>359</v>
      </c>
      <c r="B619" s="188" t="s">
        <v>69</v>
      </c>
      <c r="C619" s="189" t="s">
        <v>70</v>
      </c>
      <c r="D619" s="187">
        <v>209</v>
      </c>
      <c r="E619" s="190">
        <v>330968</v>
      </c>
      <c r="F619" s="191">
        <v>291805</v>
      </c>
      <c r="G619" s="255" t="s">
        <v>153</v>
      </c>
      <c r="H619" s="190">
        <v>39163</v>
      </c>
      <c r="I619" s="192">
        <v>0</v>
      </c>
      <c r="J619" s="192">
        <v>0</v>
      </c>
      <c r="K619" s="192">
        <v>0</v>
      </c>
      <c r="L619" s="190">
        <v>39163</v>
      </c>
    </row>
    <row r="620" spans="1:12" ht="15.75" x14ac:dyDescent="0.25">
      <c r="A620" s="187" t="s">
        <v>359</v>
      </c>
      <c r="B620" s="188" t="s">
        <v>71</v>
      </c>
      <c r="C620" s="189" t="s">
        <v>72</v>
      </c>
      <c r="D620" s="187">
        <v>183</v>
      </c>
      <c r="E620" s="190">
        <v>1053274</v>
      </c>
      <c r="F620" s="191">
        <v>1028420</v>
      </c>
      <c r="G620" s="255" t="s">
        <v>153</v>
      </c>
      <c r="H620" s="190">
        <v>24854</v>
      </c>
      <c r="I620" s="190">
        <v>324987</v>
      </c>
      <c r="J620" s="190">
        <v>324236</v>
      </c>
      <c r="K620" s="190">
        <v>751</v>
      </c>
      <c r="L620" s="190">
        <v>24103</v>
      </c>
    </row>
    <row r="621" spans="1:12" ht="15.75" customHeight="1" x14ac:dyDescent="0.25">
      <c r="A621" s="187" t="s">
        <v>359</v>
      </c>
      <c r="B621" s="188" t="s">
        <v>100</v>
      </c>
      <c r="C621" s="189" t="s">
        <v>101</v>
      </c>
      <c r="D621" s="187">
        <v>251</v>
      </c>
      <c r="E621" s="190">
        <v>345084</v>
      </c>
      <c r="F621" s="191">
        <v>339843</v>
      </c>
      <c r="G621" s="255" t="s">
        <v>153</v>
      </c>
      <c r="H621" s="190">
        <v>5241</v>
      </c>
      <c r="I621" s="192">
        <v>0</v>
      </c>
      <c r="J621" s="192">
        <v>0</v>
      </c>
      <c r="K621" s="192">
        <v>0</v>
      </c>
      <c r="L621" s="190">
        <v>5241</v>
      </c>
    </row>
    <row r="622" spans="1:12" ht="30.75" x14ac:dyDescent="0.25">
      <c r="A622" s="187" t="s">
        <v>359</v>
      </c>
      <c r="B622" s="188" t="s">
        <v>411</v>
      </c>
      <c r="C622" s="189" t="s">
        <v>62</v>
      </c>
      <c r="D622" s="187">
        <v>91</v>
      </c>
      <c r="E622" s="190">
        <v>11182</v>
      </c>
      <c r="F622" s="191">
        <v>10546</v>
      </c>
      <c r="G622" s="255" t="s">
        <v>153</v>
      </c>
      <c r="H622" s="190">
        <v>636</v>
      </c>
      <c r="I622" s="192">
        <v>0</v>
      </c>
      <c r="J622" s="192">
        <v>0</v>
      </c>
      <c r="K622" s="192">
        <v>0</v>
      </c>
      <c r="L622" s="190">
        <v>636</v>
      </c>
    </row>
    <row r="623" spans="1:12" ht="15.75" x14ac:dyDescent="0.25">
      <c r="A623" s="187" t="s">
        <v>359</v>
      </c>
      <c r="B623" s="188" t="s">
        <v>73</v>
      </c>
      <c r="C623" s="189" t="s">
        <v>52</v>
      </c>
      <c r="D623" s="187">
        <v>192</v>
      </c>
      <c r="E623" s="190">
        <v>345937</v>
      </c>
      <c r="F623" s="191">
        <v>317957</v>
      </c>
      <c r="G623" s="255" t="s">
        <v>153</v>
      </c>
      <c r="H623" s="190">
        <v>27980</v>
      </c>
      <c r="I623" s="192">
        <v>0</v>
      </c>
      <c r="J623" s="192">
        <v>0</v>
      </c>
      <c r="K623" s="192">
        <v>0</v>
      </c>
      <c r="L623" s="190">
        <v>27980</v>
      </c>
    </row>
    <row r="624" spans="1:12" ht="15.75" x14ac:dyDescent="0.25">
      <c r="A624" s="187" t="s">
        <v>359</v>
      </c>
      <c r="B624" s="188" t="s">
        <v>457</v>
      </c>
      <c r="C624" s="189" t="s">
        <v>75</v>
      </c>
      <c r="D624" s="187">
        <v>26</v>
      </c>
      <c r="E624" s="190">
        <v>43202517</v>
      </c>
      <c r="F624" s="191">
        <v>40579200</v>
      </c>
      <c r="G624" s="255" t="s">
        <v>153</v>
      </c>
      <c r="H624" s="190">
        <v>2623317</v>
      </c>
      <c r="I624" s="190">
        <v>2628221</v>
      </c>
      <c r="J624" s="190">
        <v>940748</v>
      </c>
      <c r="K624" s="190">
        <v>1687473</v>
      </c>
      <c r="L624" s="190">
        <v>935844</v>
      </c>
    </row>
    <row r="625" spans="1:12" ht="15" customHeight="1" x14ac:dyDescent="0.25">
      <c r="A625" s="187" t="s">
        <v>359</v>
      </c>
      <c r="B625" s="188" t="s">
        <v>74</v>
      </c>
      <c r="C625" s="189" t="s">
        <v>75</v>
      </c>
      <c r="D625" s="187">
        <v>297</v>
      </c>
      <c r="E625" s="190">
        <v>178572293</v>
      </c>
      <c r="F625" s="191">
        <v>149988236</v>
      </c>
      <c r="G625" s="255" t="s">
        <v>153</v>
      </c>
      <c r="H625" s="190">
        <v>28584057</v>
      </c>
      <c r="I625" s="192">
        <v>0</v>
      </c>
      <c r="J625" s="192">
        <v>0</v>
      </c>
      <c r="K625" s="192">
        <v>0</v>
      </c>
      <c r="L625" s="190">
        <v>28584057</v>
      </c>
    </row>
    <row r="626" spans="1:12" ht="15.75" customHeight="1" x14ac:dyDescent="0.25">
      <c r="A626" s="187" t="s">
        <v>359</v>
      </c>
      <c r="B626" s="188" t="s">
        <v>76</v>
      </c>
      <c r="C626" s="189" t="s">
        <v>77</v>
      </c>
      <c r="D626" s="187">
        <v>166</v>
      </c>
      <c r="E626" s="190">
        <v>6863320</v>
      </c>
      <c r="F626" s="191">
        <v>6312299</v>
      </c>
      <c r="G626" s="255" t="s">
        <v>153</v>
      </c>
      <c r="H626" s="190">
        <v>551021</v>
      </c>
      <c r="I626" s="192">
        <v>0</v>
      </c>
      <c r="J626" s="192">
        <v>0</v>
      </c>
      <c r="K626" s="192">
        <v>0</v>
      </c>
      <c r="L626" s="190">
        <v>551021</v>
      </c>
    </row>
    <row r="627" spans="1:12" ht="15.75" customHeight="1" x14ac:dyDescent="0.25">
      <c r="A627" s="187" t="s">
        <v>359</v>
      </c>
      <c r="B627" s="188" t="s">
        <v>412</v>
      </c>
      <c r="C627" s="189" t="s">
        <v>413</v>
      </c>
      <c r="D627" s="187">
        <v>268</v>
      </c>
      <c r="E627" s="190">
        <v>6928053</v>
      </c>
      <c r="F627" s="191">
        <v>5751723</v>
      </c>
      <c r="G627" s="255" t="s">
        <v>153</v>
      </c>
      <c r="H627" s="190">
        <v>1176330</v>
      </c>
      <c r="I627" s="192">
        <v>0</v>
      </c>
      <c r="J627" s="192">
        <v>0</v>
      </c>
      <c r="K627" s="192">
        <v>0</v>
      </c>
      <c r="L627" s="190">
        <v>1176330</v>
      </c>
    </row>
    <row r="628" spans="1:12" ht="15.75" x14ac:dyDescent="0.25">
      <c r="A628" s="187" t="s">
        <v>359</v>
      </c>
      <c r="B628" s="188" t="s">
        <v>78</v>
      </c>
      <c r="C628" s="189" t="s">
        <v>79</v>
      </c>
      <c r="D628" s="187">
        <v>32</v>
      </c>
      <c r="E628" s="190">
        <v>3940566</v>
      </c>
      <c r="F628" s="191">
        <v>3912544</v>
      </c>
      <c r="G628" s="255" t="s">
        <v>153</v>
      </c>
      <c r="H628" s="190">
        <v>28022</v>
      </c>
      <c r="I628" s="192">
        <v>0</v>
      </c>
      <c r="J628" s="192">
        <v>0</v>
      </c>
      <c r="K628" s="192">
        <v>0</v>
      </c>
      <c r="L628" s="190">
        <v>28022</v>
      </c>
    </row>
    <row r="629" spans="1:12" ht="15.75" x14ac:dyDescent="0.25">
      <c r="A629" s="187" t="s">
        <v>359</v>
      </c>
      <c r="B629" s="188" t="s">
        <v>430</v>
      </c>
      <c r="C629" s="189" t="s">
        <v>81</v>
      </c>
      <c r="D629" s="187">
        <v>230</v>
      </c>
      <c r="E629" s="190">
        <v>5033509</v>
      </c>
      <c r="F629" s="191">
        <v>5003200</v>
      </c>
      <c r="G629" s="255" t="s">
        <v>153</v>
      </c>
      <c r="H629" s="190">
        <v>30309</v>
      </c>
      <c r="I629" s="192">
        <v>0</v>
      </c>
      <c r="J629" s="192">
        <v>0</v>
      </c>
      <c r="K629" s="192">
        <v>0</v>
      </c>
      <c r="L629" s="190">
        <v>30309</v>
      </c>
    </row>
    <row r="630" spans="1:12" ht="15" customHeight="1" x14ac:dyDescent="0.25">
      <c r="A630" s="187" t="s">
        <v>359</v>
      </c>
      <c r="B630" s="188" t="s">
        <v>414</v>
      </c>
      <c r="C630" s="189" t="s">
        <v>415</v>
      </c>
      <c r="D630" s="187">
        <v>148</v>
      </c>
      <c r="E630" s="190">
        <v>14798</v>
      </c>
      <c r="F630" s="191">
        <v>11934</v>
      </c>
      <c r="G630" s="255" t="s">
        <v>153</v>
      </c>
      <c r="H630" s="190">
        <v>2864</v>
      </c>
      <c r="I630" s="192">
        <v>0</v>
      </c>
      <c r="J630" s="192">
        <v>0</v>
      </c>
      <c r="K630" s="192">
        <v>0</v>
      </c>
      <c r="L630" s="190">
        <v>2864</v>
      </c>
    </row>
    <row r="631" spans="1:12" ht="15.75" x14ac:dyDescent="0.25">
      <c r="A631" s="187" t="s">
        <v>359</v>
      </c>
      <c r="B631" s="188" t="s">
        <v>84</v>
      </c>
      <c r="C631" s="189" t="s">
        <v>85</v>
      </c>
      <c r="D631" s="187">
        <v>153</v>
      </c>
      <c r="E631" s="190">
        <v>4736153</v>
      </c>
      <c r="F631" s="191">
        <v>4678559</v>
      </c>
      <c r="G631" s="255" t="s">
        <v>153</v>
      </c>
      <c r="H631" s="190">
        <v>57594</v>
      </c>
      <c r="I631" s="190">
        <v>1319463</v>
      </c>
      <c r="J631" s="190">
        <v>1295960</v>
      </c>
      <c r="K631" s="190">
        <v>23503</v>
      </c>
      <c r="L631" s="190">
        <v>34091</v>
      </c>
    </row>
    <row r="632" spans="1:12" ht="15.75" x14ac:dyDescent="0.25">
      <c r="A632" s="187" t="s">
        <v>359</v>
      </c>
      <c r="B632" s="188" t="s">
        <v>102</v>
      </c>
      <c r="C632" s="189" t="s">
        <v>103</v>
      </c>
      <c r="D632" s="187">
        <v>155</v>
      </c>
      <c r="E632" s="190">
        <v>1185878</v>
      </c>
      <c r="F632" s="191">
        <v>1112778</v>
      </c>
      <c r="G632" s="255" t="s">
        <v>153</v>
      </c>
      <c r="H632" s="190">
        <v>73100</v>
      </c>
      <c r="I632" s="192">
        <v>0</v>
      </c>
      <c r="J632" s="192">
        <v>0</v>
      </c>
      <c r="K632" s="192">
        <v>0</v>
      </c>
      <c r="L632" s="190">
        <v>73100</v>
      </c>
    </row>
    <row r="633" spans="1:12" ht="15.75" x14ac:dyDescent="0.25">
      <c r="A633" s="187" t="s">
        <v>359</v>
      </c>
      <c r="B633" s="188" t="s">
        <v>464</v>
      </c>
      <c r="C633" s="189" t="s">
        <v>465</v>
      </c>
      <c r="D633" s="187">
        <v>157</v>
      </c>
      <c r="E633" s="190">
        <v>1550124</v>
      </c>
      <c r="F633" s="191">
        <v>1376323</v>
      </c>
      <c r="G633" s="255" t="s">
        <v>153</v>
      </c>
      <c r="H633" s="190">
        <v>173801</v>
      </c>
      <c r="I633" s="192">
        <v>0</v>
      </c>
      <c r="J633" s="192">
        <v>0</v>
      </c>
      <c r="K633" s="192">
        <v>0</v>
      </c>
      <c r="L633" s="190">
        <v>173801</v>
      </c>
    </row>
    <row r="634" spans="1:12" ht="15.75" x14ac:dyDescent="0.25">
      <c r="A634" s="187" t="s">
        <v>359</v>
      </c>
      <c r="B634" s="188" t="s">
        <v>305</v>
      </c>
      <c r="C634" s="189" t="s">
        <v>306</v>
      </c>
      <c r="D634" s="187">
        <v>42</v>
      </c>
      <c r="E634" s="190">
        <v>16466343</v>
      </c>
      <c r="F634" s="191">
        <v>15476282</v>
      </c>
      <c r="G634" s="255" t="s">
        <v>153</v>
      </c>
      <c r="H634" s="190">
        <v>990061</v>
      </c>
      <c r="I634" s="192">
        <v>0</v>
      </c>
      <c r="J634" s="192">
        <v>0</v>
      </c>
      <c r="K634" s="192">
        <v>0</v>
      </c>
      <c r="L634" s="190">
        <v>990061</v>
      </c>
    </row>
    <row r="635" spans="1:12" ht="45.75" x14ac:dyDescent="0.25">
      <c r="A635" s="187" t="s">
        <v>359</v>
      </c>
      <c r="B635" s="188" t="s">
        <v>453</v>
      </c>
      <c r="C635" s="189" t="s">
        <v>454</v>
      </c>
      <c r="D635" s="187">
        <v>265</v>
      </c>
      <c r="E635" s="190">
        <v>2861402</v>
      </c>
      <c r="F635" s="191">
        <v>2768647</v>
      </c>
      <c r="G635" s="255" t="s">
        <v>153</v>
      </c>
      <c r="H635" s="190">
        <v>92755</v>
      </c>
      <c r="I635" s="192">
        <v>0</v>
      </c>
      <c r="J635" s="192">
        <v>0</v>
      </c>
      <c r="K635" s="192">
        <v>0</v>
      </c>
      <c r="L635" s="190">
        <v>92755</v>
      </c>
    </row>
    <row r="636" spans="1:12" ht="15.75" x14ac:dyDescent="0.25">
      <c r="A636" s="187" t="s">
        <v>359</v>
      </c>
      <c r="B636" s="188" t="s">
        <v>86</v>
      </c>
      <c r="C636" s="189" t="s">
        <v>75</v>
      </c>
      <c r="D636" s="187">
        <v>48</v>
      </c>
      <c r="E636" s="190">
        <v>12433793</v>
      </c>
      <c r="F636" s="191">
        <v>11714663</v>
      </c>
      <c r="G636" s="255" t="s">
        <v>153</v>
      </c>
      <c r="H636" s="190">
        <v>719130</v>
      </c>
      <c r="I636" s="192">
        <v>0</v>
      </c>
      <c r="J636" s="192">
        <v>0</v>
      </c>
      <c r="K636" s="192">
        <v>0</v>
      </c>
      <c r="L636" s="190">
        <v>719130</v>
      </c>
    </row>
    <row r="637" spans="1:12" ht="30.75" x14ac:dyDescent="0.25">
      <c r="A637" s="187" t="s">
        <v>359</v>
      </c>
      <c r="B637" s="188" t="s">
        <v>458</v>
      </c>
      <c r="C637" s="189" t="s">
        <v>68</v>
      </c>
      <c r="D637" s="187">
        <v>150</v>
      </c>
      <c r="E637" s="190">
        <v>5726692</v>
      </c>
      <c r="F637" s="191">
        <v>5639598</v>
      </c>
      <c r="G637" s="255" t="s">
        <v>153</v>
      </c>
      <c r="H637" s="190">
        <v>87094</v>
      </c>
      <c r="I637" s="190">
        <v>1191913</v>
      </c>
      <c r="J637" s="190">
        <v>1172322</v>
      </c>
      <c r="K637" s="190">
        <v>19591</v>
      </c>
      <c r="L637" s="190">
        <v>67503</v>
      </c>
    </row>
    <row r="638" spans="1:12" ht="15.75" x14ac:dyDescent="0.25">
      <c r="A638" s="187" t="s">
        <v>359</v>
      </c>
      <c r="B638" s="188" t="s">
        <v>293</v>
      </c>
      <c r="C638" s="189" t="s">
        <v>294</v>
      </c>
      <c r="D638" s="187">
        <v>218</v>
      </c>
      <c r="E638" s="190">
        <v>3283340</v>
      </c>
      <c r="F638" s="191">
        <v>3000113</v>
      </c>
      <c r="G638" s="255" t="s">
        <v>153</v>
      </c>
      <c r="H638" s="190">
        <v>283227</v>
      </c>
      <c r="I638" s="192">
        <v>0</v>
      </c>
      <c r="J638" s="192">
        <v>0</v>
      </c>
      <c r="K638" s="192">
        <v>0</v>
      </c>
      <c r="L638" s="190">
        <v>283227</v>
      </c>
    </row>
    <row r="639" spans="1:12" ht="15" customHeight="1" x14ac:dyDescent="0.25">
      <c r="A639" s="187" t="s">
        <v>359</v>
      </c>
      <c r="B639" s="188" t="s">
        <v>467</v>
      </c>
      <c r="C639" s="189" t="s">
        <v>468</v>
      </c>
      <c r="D639" s="187">
        <v>151</v>
      </c>
      <c r="E639" s="192">
        <v>0</v>
      </c>
      <c r="F639" s="193">
        <v>0</v>
      </c>
      <c r="G639" s="255" t="s">
        <v>153</v>
      </c>
      <c r="H639" s="192">
        <v>0</v>
      </c>
      <c r="I639" s="190">
        <v>154522</v>
      </c>
      <c r="J639" s="190">
        <v>150626</v>
      </c>
      <c r="K639" s="190">
        <v>3896</v>
      </c>
      <c r="L639" s="190">
        <v>-3896</v>
      </c>
    </row>
    <row r="640" spans="1:12" ht="45.75" x14ac:dyDescent="0.25">
      <c r="A640" s="187" t="s">
        <v>359</v>
      </c>
      <c r="B640" s="188" t="s">
        <v>469</v>
      </c>
      <c r="C640" s="189" t="s">
        <v>62</v>
      </c>
      <c r="D640" s="187">
        <v>271</v>
      </c>
      <c r="E640" s="190">
        <v>4310781</v>
      </c>
      <c r="F640" s="191">
        <v>3965770</v>
      </c>
      <c r="G640" s="255" t="s">
        <v>153</v>
      </c>
      <c r="H640" s="190">
        <v>345011</v>
      </c>
      <c r="I640" s="192">
        <v>0</v>
      </c>
      <c r="J640" s="192">
        <v>0</v>
      </c>
      <c r="K640" s="192">
        <v>0</v>
      </c>
      <c r="L640" s="190">
        <v>345011</v>
      </c>
    </row>
    <row r="641" spans="1:12" ht="45.75" x14ac:dyDescent="0.25">
      <c r="A641" s="187" t="s">
        <v>359</v>
      </c>
      <c r="B641" s="188" t="s">
        <v>437</v>
      </c>
      <c r="C641" s="189" t="s">
        <v>438</v>
      </c>
      <c r="D641" s="187">
        <v>329</v>
      </c>
      <c r="E641" s="190">
        <v>824841</v>
      </c>
      <c r="F641" s="191">
        <v>761992</v>
      </c>
      <c r="G641" s="255" t="s">
        <v>153</v>
      </c>
      <c r="H641" s="190">
        <v>62849</v>
      </c>
      <c r="I641" s="192">
        <v>0</v>
      </c>
      <c r="J641" s="192">
        <v>0</v>
      </c>
      <c r="K641" s="192">
        <v>0</v>
      </c>
      <c r="L641" s="190">
        <v>62849</v>
      </c>
    </row>
    <row r="642" spans="1:12" ht="30.75" x14ac:dyDescent="0.25">
      <c r="A642" s="187" t="s">
        <v>359</v>
      </c>
      <c r="B642" s="188" t="s">
        <v>405</v>
      </c>
      <c r="C642" s="189" t="s">
        <v>406</v>
      </c>
      <c r="D642" s="187">
        <v>261</v>
      </c>
      <c r="E642" s="190">
        <v>1283024</v>
      </c>
      <c r="F642" s="191">
        <v>1278443</v>
      </c>
      <c r="G642" s="255" t="s">
        <v>153</v>
      </c>
      <c r="H642" s="190">
        <v>4581</v>
      </c>
      <c r="I642" s="192">
        <v>0</v>
      </c>
      <c r="J642" s="192">
        <v>0</v>
      </c>
      <c r="K642" s="192">
        <v>0</v>
      </c>
      <c r="L642" s="190">
        <v>4581</v>
      </c>
    </row>
    <row r="643" spans="1:12" ht="15.75" x14ac:dyDescent="0.25">
      <c r="A643" s="187" t="s">
        <v>359</v>
      </c>
      <c r="B643" s="188" t="s">
        <v>106</v>
      </c>
      <c r="C643" s="189" t="s">
        <v>92</v>
      </c>
      <c r="D643" s="187">
        <v>244</v>
      </c>
      <c r="E643" s="190">
        <v>3003669</v>
      </c>
      <c r="F643" s="191">
        <v>2979014</v>
      </c>
      <c r="G643" s="255" t="s">
        <v>153</v>
      </c>
      <c r="H643" s="190">
        <v>24655</v>
      </c>
      <c r="I643" s="192">
        <v>0</v>
      </c>
      <c r="J643" s="192">
        <v>0</v>
      </c>
      <c r="K643" s="192">
        <v>0</v>
      </c>
      <c r="L643" s="190">
        <v>24655</v>
      </c>
    </row>
    <row r="644" spans="1:12" ht="15.75" x14ac:dyDescent="0.25">
      <c r="A644" s="187" t="s">
        <v>359</v>
      </c>
      <c r="B644" s="188" t="s">
        <v>450</v>
      </c>
      <c r="C644" s="189" t="s">
        <v>451</v>
      </c>
      <c r="D644" s="187">
        <v>182</v>
      </c>
      <c r="E644" s="190">
        <v>283789</v>
      </c>
      <c r="F644" s="191">
        <v>7758</v>
      </c>
      <c r="G644" s="255" t="s">
        <v>153</v>
      </c>
      <c r="H644" s="190">
        <v>276031</v>
      </c>
      <c r="I644" s="192">
        <v>0</v>
      </c>
      <c r="J644" s="192">
        <v>0</v>
      </c>
      <c r="K644" s="192">
        <v>0</v>
      </c>
      <c r="L644" s="190">
        <v>276031</v>
      </c>
    </row>
    <row r="645" spans="1:12" ht="15.75" x14ac:dyDescent="0.25">
      <c r="A645" s="187" t="s">
        <v>359</v>
      </c>
      <c r="B645" s="188" t="s">
        <v>416</v>
      </c>
      <c r="C645" s="189" t="s">
        <v>75</v>
      </c>
      <c r="D645" s="187">
        <v>280</v>
      </c>
      <c r="E645" s="190">
        <v>10081</v>
      </c>
      <c r="F645" s="191">
        <v>8652</v>
      </c>
      <c r="G645" s="255" t="s">
        <v>153</v>
      </c>
      <c r="H645" s="190">
        <v>1429</v>
      </c>
      <c r="I645" s="192">
        <v>0</v>
      </c>
      <c r="J645" s="192">
        <v>0</v>
      </c>
      <c r="K645" s="192">
        <v>0</v>
      </c>
      <c r="L645" s="190">
        <v>1429</v>
      </c>
    </row>
    <row r="646" spans="1:12" ht="30.75" x14ac:dyDescent="0.25">
      <c r="A646" s="187" t="s">
        <v>359</v>
      </c>
      <c r="B646" s="188" t="s">
        <v>439</v>
      </c>
      <c r="C646" s="189" t="s">
        <v>62</v>
      </c>
      <c r="D646" s="187">
        <v>176</v>
      </c>
      <c r="E646" s="190">
        <v>3178106</v>
      </c>
      <c r="F646" s="191">
        <v>2910951</v>
      </c>
      <c r="G646" s="255" t="s">
        <v>153</v>
      </c>
      <c r="H646" s="190">
        <v>267155</v>
      </c>
      <c r="I646" s="190">
        <v>337</v>
      </c>
      <c r="J646" s="192">
        <v>0</v>
      </c>
      <c r="K646" s="190">
        <v>337</v>
      </c>
      <c r="L646" s="190">
        <v>266818</v>
      </c>
    </row>
    <row r="647" spans="1:12" ht="15.75" customHeight="1" x14ac:dyDescent="0.25">
      <c r="A647" s="187" t="s">
        <v>359</v>
      </c>
      <c r="B647" s="188" t="s">
        <v>446</v>
      </c>
      <c r="C647" s="189" t="s">
        <v>447</v>
      </c>
      <c r="D647" s="187">
        <v>57</v>
      </c>
      <c r="E647" s="190">
        <v>1056004</v>
      </c>
      <c r="F647" s="191">
        <v>948908</v>
      </c>
      <c r="G647" s="255" t="s">
        <v>153</v>
      </c>
      <c r="H647" s="190">
        <v>107096</v>
      </c>
      <c r="I647" s="192">
        <v>0</v>
      </c>
      <c r="J647" s="192">
        <v>0</v>
      </c>
      <c r="K647" s="192">
        <v>0</v>
      </c>
      <c r="L647" s="190">
        <v>107096</v>
      </c>
    </row>
    <row r="648" spans="1:12" ht="15.75" x14ac:dyDescent="0.25">
      <c r="A648" s="187" t="s">
        <v>359</v>
      </c>
      <c r="B648" s="188" t="s">
        <v>89</v>
      </c>
      <c r="C648" s="189" t="s">
        <v>90</v>
      </c>
      <c r="D648" s="187">
        <v>171</v>
      </c>
      <c r="E648" s="190">
        <v>1823009</v>
      </c>
      <c r="F648" s="191">
        <v>1710342</v>
      </c>
      <c r="G648" s="255" t="s">
        <v>153</v>
      </c>
      <c r="H648" s="190">
        <v>112667</v>
      </c>
      <c r="I648" s="192">
        <v>0</v>
      </c>
      <c r="J648" s="192">
        <v>0</v>
      </c>
      <c r="K648" s="192">
        <v>0</v>
      </c>
      <c r="L648" s="190">
        <v>112667</v>
      </c>
    </row>
    <row r="649" spans="1:12" ht="15.75" x14ac:dyDescent="0.25">
      <c r="A649" s="187" t="s">
        <v>359</v>
      </c>
      <c r="B649" s="188" t="s">
        <v>448</v>
      </c>
      <c r="C649" s="189" t="s">
        <v>449</v>
      </c>
      <c r="D649" s="187">
        <v>58</v>
      </c>
      <c r="E649" s="190">
        <v>2981606</v>
      </c>
      <c r="F649" s="191">
        <v>2966560</v>
      </c>
      <c r="G649" s="255" t="s">
        <v>153</v>
      </c>
      <c r="H649" s="190">
        <v>15046</v>
      </c>
      <c r="I649" s="192">
        <v>0</v>
      </c>
      <c r="J649" s="192">
        <v>0</v>
      </c>
      <c r="K649" s="192">
        <v>0</v>
      </c>
      <c r="L649" s="190">
        <v>15046</v>
      </c>
    </row>
    <row r="650" spans="1:12" ht="15.75" x14ac:dyDescent="0.25">
      <c r="A650" s="187" t="s">
        <v>359</v>
      </c>
      <c r="B650" s="188" t="s">
        <v>419</v>
      </c>
      <c r="C650" s="189" t="s">
        <v>420</v>
      </c>
      <c r="D650" s="187">
        <v>308</v>
      </c>
      <c r="E650" s="190">
        <v>68777</v>
      </c>
      <c r="F650" s="191">
        <v>28480</v>
      </c>
      <c r="G650" s="255" t="s">
        <v>153</v>
      </c>
      <c r="H650" s="190">
        <v>40297</v>
      </c>
      <c r="I650" s="192">
        <v>0</v>
      </c>
      <c r="J650" s="192">
        <v>0</v>
      </c>
      <c r="K650" s="192">
        <v>0</v>
      </c>
      <c r="L650" s="190">
        <v>40297</v>
      </c>
    </row>
    <row r="651" spans="1:12" ht="15.75" x14ac:dyDescent="0.25">
      <c r="A651" s="187" t="s">
        <v>359</v>
      </c>
      <c r="B651" s="188" t="s">
        <v>93</v>
      </c>
      <c r="C651" s="189" t="s">
        <v>75</v>
      </c>
      <c r="D651" s="187">
        <v>260</v>
      </c>
      <c r="E651" s="190">
        <v>19666966</v>
      </c>
      <c r="F651" s="191">
        <v>18822233</v>
      </c>
      <c r="G651" s="255" t="s">
        <v>153</v>
      </c>
      <c r="H651" s="190">
        <v>844733</v>
      </c>
      <c r="I651" s="190">
        <v>874947</v>
      </c>
      <c r="J651" s="190">
        <v>874947</v>
      </c>
      <c r="K651" s="192">
        <v>0</v>
      </c>
      <c r="L651" s="190">
        <v>844733</v>
      </c>
    </row>
    <row r="652" spans="1:12" ht="15.75" x14ac:dyDescent="0.25">
      <c r="A652" s="187" t="s">
        <v>359</v>
      </c>
      <c r="B652" s="188" t="s">
        <v>107</v>
      </c>
      <c r="C652" s="189" t="s">
        <v>108</v>
      </c>
      <c r="D652" s="187">
        <v>346</v>
      </c>
      <c r="E652" s="190">
        <v>6162</v>
      </c>
      <c r="F652" s="191">
        <v>4027</v>
      </c>
      <c r="G652" s="255" t="s">
        <v>153</v>
      </c>
      <c r="H652" s="190">
        <v>2135</v>
      </c>
      <c r="I652" s="192">
        <v>0</v>
      </c>
      <c r="J652" s="192">
        <v>0</v>
      </c>
      <c r="K652" s="192">
        <v>0</v>
      </c>
      <c r="L652" s="190">
        <v>2135</v>
      </c>
    </row>
    <row r="653" spans="1:12" ht="15.75" x14ac:dyDescent="0.25">
      <c r="A653" s="187" t="s">
        <v>359</v>
      </c>
      <c r="B653" s="188" t="s">
        <v>96</v>
      </c>
      <c r="C653" s="189" t="s">
        <v>97</v>
      </c>
      <c r="D653" s="187">
        <v>351</v>
      </c>
      <c r="E653" s="190">
        <v>49627</v>
      </c>
      <c r="F653" s="191">
        <v>46027</v>
      </c>
      <c r="G653" s="255" t="s">
        <v>153</v>
      </c>
      <c r="H653" s="190">
        <v>3600</v>
      </c>
      <c r="I653" s="192">
        <v>0</v>
      </c>
      <c r="J653" s="192">
        <v>0</v>
      </c>
      <c r="K653" s="192">
        <v>0</v>
      </c>
      <c r="L653" s="190">
        <v>3600</v>
      </c>
    </row>
    <row r="654" spans="1:12" ht="15.75" x14ac:dyDescent="0.25">
      <c r="A654" s="206" t="s">
        <v>388</v>
      </c>
      <c r="B654" s="258" t="s">
        <v>153</v>
      </c>
      <c r="C654" s="258" t="s">
        <v>153</v>
      </c>
      <c r="D654" s="258" t="s">
        <v>153</v>
      </c>
      <c r="E654" s="207">
        <f>SUBTOTAL(109,school200506[Program
Costs])</f>
        <v>427207125</v>
      </c>
      <c r="F654" s="216">
        <f>SUBTOTAL(109,school200506[Less: Net
 Payments and 
Offsets 2])</f>
        <v>382189807</v>
      </c>
      <c r="G654" s="256" t="s">
        <v>153</v>
      </c>
      <c r="H654" s="207">
        <f>SUBTOTAL(109,school200506[Accounts Payable
Balance])</f>
        <v>45017318</v>
      </c>
      <c r="I654" s="207">
        <f>SUBTOTAL(109,school200506[Established
Accounts Receivable])</f>
        <v>12998953</v>
      </c>
      <c r="J654" s="207">
        <f>SUBTOTAL(109,school200506[Less: 
Recovered 
Amount])</f>
        <v>10179156</v>
      </c>
      <c r="K654" s="207">
        <f>SUBTOTAL(109,school200506[Accounts Receivable
Balance])</f>
        <v>2819797</v>
      </c>
      <c r="L654" s="207">
        <f>SUBTOTAL(109,school200506[Net
Balance])</f>
        <v>42197521</v>
      </c>
    </row>
    <row r="655" spans="1:12" ht="15.75" x14ac:dyDescent="0.25">
      <c r="A655" s="146" t="s">
        <v>181</v>
      </c>
      <c r="B655" s="221"/>
      <c r="C655" s="220"/>
      <c r="D655" s="222"/>
      <c r="E655" s="223"/>
      <c r="F655" s="224"/>
      <c r="G655" s="224"/>
      <c r="H655" s="223"/>
      <c r="I655" s="223"/>
      <c r="J655" s="223"/>
      <c r="K655" s="223"/>
      <c r="L655" s="223"/>
    </row>
    <row r="656" spans="1:12" ht="50.1" customHeight="1" x14ac:dyDescent="0.25">
      <c r="A656" s="34" t="s">
        <v>221</v>
      </c>
      <c r="B656" s="34" t="s">
        <v>268</v>
      </c>
      <c r="C656" s="28" t="s">
        <v>2</v>
      </c>
      <c r="D656" s="34" t="s">
        <v>280</v>
      </c>
      <c r="E656" s="194" t="s">
        <v>223</v>
      </c>
      <c r="F656" s="195" t="s">
        <v>509</v>
      </c>
      <c r="G656" s="252" t="s">
        <v>176</v>
      </c>
      <c r="H656" s="196" t="s">
        <v>270</v>
      </c>
      <c r="I656" s="156" t="s">
        <v>271</v>
      </c>
      <c r="J656" s="194" t="s">
        <v>282</v>
      </c>
      <c r="K656" s="196" t="s">
        <v>272</v>
      </c>
      <c r="L656" s="194" t="s">
        <v>273</v>
      </c>
    </row>
    <row r="657" spans="1:12" ht="15.75" x14ac:dyDescent="0.25">
      <c r="A657" s="187" t="s">
        <v>360</v>
      </c>
      <c r="B657" s="188" t="s">
        <v>440</v>
      </c>
      <c r="C657" s="210" t="s">
        <v>441</v>
      </c>
      <c r="D657" s="187">
        <v>269</v>
      </c>
      <c r="E657" s="190">
        <v>11498</v>
      </c>
      <c r="F657" s="191">
        <v>10225</v>
      </c>
      <c r="G657" s="255" t="s">
        <v>153</v>
      </c>
      <c r="H657" s="190">
        <v>1273</v>
      </c>
      <c r="I657" s="192">
        <v>0</v>
      </c>
      <c r="J657" s="192">
        <v>0</v>
      </c>
      <c r="K657" s="192">
        <v>0</v>
      </c>
      <c r="L657" s="190">
        <v>1273</v>
      </c>
    </row>
    <row r="658" spans="1:12" ht="30.75" x14ac:dyDescent="0.25">
      <c r="A658" s="187" t="s">
        <v>360</v>
      </c>
      <c r="B658" s="188" t="s">
        <v>470</v>
      </c>
      <c r="C658" s="189" t="s">
        <v>471</v>
      </c>
      <c r="D658" s="187">
        <v>179</v>
      </c>
      <c r="E658" s="190">
        <v>35823</v>
      </c>
      <c r="F658" s="191">
        <v>35823</v>
      </c>
      <c r="G658" s="255" t="s">
        <v>153</v>
      </c>
      <c r="H658" s="192">
        <v>0</v>
      </c>
      <c r="I658" s="190">
        <v>1728</v>
      </c>
      <c r="J658" s="192">
        <v>0</v>
      </c>
      <c r="K658" s="190">
        <v>1728</v>
      </c>
      <c r="L658" s="190">
        <v>-1728</v>
      </c>
    </row>
    <row r="659" spans="1:12" ht="30.75" x14ac:dyDescent="0.25">
      <c r="A659" s="187" t="s">
        <v>360</v>
      </c>
      <c r="B659" s="188" t="s">
        <v>472</v>
      </c>
      <c r="C659" s="189" t="s">
        <v>64</v>
      </c>
      <c r="D659" s="187">
        <v>221</v>
      </c>
      <c r="E659" s="190">
        <v>6550640</v>
      </c>
      <c r="F659" s="191">
        <v>6550640</v>
      </c>
      <c r="G659" s="255" t="s">
        <v>153</v>
      </c>
      <c r="H659" s="192">
        <v>0</v>
      </c>
      <c r="I659" s="190">
        <v>11682</v>
      </c>
      <c r="J659" s="190">
        <v>1131</v>
      </c>
      <c r="K659" s="190">
        <v>10551</v>
      </c>
      <c r="L659" s="190">
        <v>-10551</v>
      </c>
    </row>
    <row r="660" spans="1:12" ht="30.75" x14ac:dyDescent="0.25">
      <c r="A660" s="187" t="s">
        <v>360</v>
      </c>
      <c r="B660" s="188" t="s">
        <v>434</v>
      </c>
      <c r="C660" s="189" t="s">
        <v>429</v>
      </c>
      <c r="D660" s="187">
        <v>348</v>
      </c>
      <c r="E660" s="190">
        <v>45784627</v>
      </c>
      <c r="F660" s="191">
        <v>40536570</v>
      </c>
      <c r="G660" s="255" t="s">
        <v>153</v>
      </c>
      <c r="H660" s="190">
        <v>5248057</v>
      </c>
      <c r="I660" s="192">
        <v>0</v>
      </c>
      <c r="J660" s="192">
        <v>0</v>
      </c>
      <c r="K660" s="192">
        <v>0</v>
      </c>
      <c r="L660" s="190">
        <v>5248057</v>
      </c>
    </row>
    <row r="661" spans="1:12" ht="30.75" x14ac:dyDescent="0.25">
      <c r="A661" s="187" t="s">
        <v>360</v>
      </c>
      <c r="B661" s="188" t="s">
        <v>422</v>
      </c>
      <c r="C661" s="189" t="s">
        <v>423</v>
      </c>
      <c r="D661" s="187">
        <v>286</v>
      </c>
      <c r="E661" s="190">
        <v>84930</v>
      </c>
      <c r="F661" s="191">
        <v>83406</v>
      </c>
      <c r="G661" s="255" t="s">
        <v>153</v>
      </c>
      <c r="H661" s="190">
        <v>1524</v>
      </c>
      <c r="I661" s="192">
        <v>0</v>
      </c>
      <c r="J661" s="192">
        <v>0</v>
      </c>
      <c r="K661" s="192">
        <v>0</v>
      </c>
      <c r="L661" s="190">
        <v>1524</v>
      </c>
    </row>
    <row r="662" spans="1:12" ht="30.75" customHeight="1" x14ac:dyDescent="0.25">
      <c r="A662" s="187" t="s">
        <v>360</v>
      </c>
      <c r="B662" s="188" t="s">
        <v>57</v>
      </c>
      <c r="C662" s="189" t="s">
        <v>58</v>
      </c>
      <c r="D662" s="187">
        <v>172</v>
      </c>
      <c r="E662" s="190">
        <v>862291</v>
      </c>
      <c r="F662" s="191">
        <v>862291</v>
      </c>
      <c r="G662" s="255" t="s">
        <v>153</v>
      </c>
      <c r="H662" s="192">
        <v>0</v>
      </c>
      <c r="I662" s="190">
        <v>8341</v>
      </c>
      <c r="J662" s="192">
        <v>0</v>
      </c>
      <c r="K662" s="190">
        <v>8341</v>
      </c>
      <c r="L662" s="190">
        <v>-8341</v>
      </c>
    </row>
    <row r="663" spans="1:12" ht="45.75" x14ac:dyDescent="0.25">
      <c r="A663" s="187" t="s">
        <v>360</v>
      </c>
      <c r="B663" s="188" t="s">
        <v>63</v>
      </c>
      <c r="C663" s="189" t="s">
        <v>64</v>
      </c>
      <c r="D663" s="187">
        <v>272</v>
      </c>
      <c r="E663" s="190">
        <v>3836796</v>
      </c>
      <c r="F663" s="191">
        <v>3836796</v>
      </c>
      <c r="G663" s="255" t="s">
        <v>153</v>
      </c>
      <c r="H663" s="192">
        <v>0</v>
      </c>
      <c r="I663" s="190">
        <v>232908</v>
      </c>
      <c r="J663" s="190">
        <v>228852</v>
      </c>
      <c r="K663" s="190">
        <v>4056</v>
      </c>
      <c r="L663" s="190">
        <v>-4056</v>
      </c>
    </row>
    <row r="664" spans="1:12" ht="45.75" x14ac:dyDescent="0.25">
      <c r="A664" s="187" t="s">
        <v>360</v>
      </c>
      <c r="B664" s="188" t="s">
        <v>455</v>
      </c>
      <c r="C664" s="189" t="s">
        <v>456</v>
      </c>
      <c r="D664" s="187">
        <v>291</v>
      </c>
      <c r="E664" s="190">
        <v>278636</v>
      </c>
      <c r="F664" s="191">
        <v>243156</v>
      </c>
      <c r="G664" s="255" t="s">
        <v>153</v>
      </c>
      <c r="H664" s="190">
        <v>35480</v>
      </c>
      <c r="I664" s="192">
        <v>0</v>
      </c>
      <c r="J664" s="192">
        <v>0</v>
      </c>
      <c r="K664" s="192">
        <v>0</v>
      </c>
      <c r="L664" s="190">
        <v>35480</v>
      </c>
    </row>
    <row r="665" spans="1:12" ht="15.75" x14ac:dyDescent="0.25">
      <c r="A665" s="187" t="s">
        <v>360</v>
      </c>
      <c r="B665" s="188" t="s">
        <v>71</v>
      </c>
      <c r="C665" s="189" t="s">
        <v>72</v>
      </c>
      <c r="D665" s="187">
        <v>183</v>
      </c>
      <c r="E665" s="190">
        <v>973469</v>
      </c>
      <c r="F665" s="191">
        <v>973469</v>
      </c>
      <c r="G665" s="255" t="s">
        <v>153</v>
      </c>
      <c r="H665" s="192">
        <v>0</v>
      </c>
      <c r="I665" s="190">
        <v>4109</v>
      </c>
      <c r="J665" s="190">
        <v>2598</v>
      </c>
      <c r="K665" s="190">
        <v>1511</v>
      </c>
      <c r="L665" s="190">
        <v>-1511</v>
      </c>
    </row>
    <row r="666" spans="1:12" ht="15.75" x14ac:dyDescent="0.25">
      <c r="A666" s="187" t="s">
        <v>360</v>
      </c>
      <c r="B666" s="188" t="s">
        <v>100</v>
      </c>
      <c r="C666" s="189" t="s">
        <v>101</v>
      </c>
      <c r="D666" s="187">
        <v>251</v>
      </c>
      <c r="E666" s="190">
        <v>410381</v>
      </c>
      <c r="F666" s="191">
        <v>410381</v>
      </c>
      <c r="G666" s="255" t="s">
        <v>153</v>
      </c>
      <c r="H666" s="192">
        <v>0</v>
      </c>
      <c r="I666" s="190">
        <v>13269</v>
      </c>
      <c r="J666" s="192">
        <v>0</v>
      </c>
      <c r="K666" s="190">
        <v>13269</v>
      </c>
      <c r="L666" s="190">
        <v>-13269</v>
      </c>
    </row>
    <row r="667" spans="1:12" ht="45.75" x14ac:dyDescent="0.25">
      <c r="A667" s="187" t="s">
        <v>360</v>
      </c>
      <c r="B667" s="188" t="s">
        <v>473</v>
      </c>
      <c r="C667" s="189" t="s">
        <v>474</v>
      </c>
      <c r="D667" s="187">
        <v>225</v>
      </c>
      <c r="E667" s="190">
        <v>7701246</v>
      </c>
      <c r="F667" s="191">
        <v>7701246</v>
      </c>
      <c r="G667" s="255" t="s">
        <v>153</v>
      </c>
      <c r="H667" s="192">
        <v>0</v>
      </c>
      <c r="I667" s="190">
        <v>2282478</v>
      </c>
      <c r="J667" s="190">
        <v>2230738</v>
      </c>
      <c r="K667" s="190">
        <v>51740</v>
      </c>
      <c r="L667" s="190">
        <v>-51740</v>
      </c>
    </row>
    <row r="668" spans="1:12" ht="15" customHeight="1" x14ac:dyDescent="0.25">
      <c r="A668" s="187" t="s">
        <v>360</v>
      </c>
      <c r="B668" s="188" t="s">
        <v>73</v>
      </c>
      <c r="C668" s="189" t="s">
        <v>52</v>
      </c>
      <c r="D668" s="187">
        <v>192</v>
      </c>
      <c r="E668" s="190">
        <v>326816</v>
      </c>
      <c r="F668" s="191">
        <v>326816</v>
      </c>
      <c r="G668" s="255" t="s">
        <v>153</v>
      </c>
      <c r="H668" s="192">
        <v>0</v>
      </c>
      <c r="I668" s="190">
        <v>28443</v>
      </c>
      <c r="J668" s="190">
        <v>16875</v>
      </c>
      <c r="K668" s="190">
        <v>11568</v>
      </c>
      <c r="L668" s="190">
        <v>-11568</v>
      </c>
    </row>
    <row r="669" spans="1:12" ht="15.75" x14ac:dyDescent="0.25">
      <c r="A669" s="187" t="s">
        <v>360</v>
      </c>
      <c r="B669" s="188" t="s">
        <v>457</v>
      </c>
      <c r="C669" s="189" t="s">
        <v>75</v>
      </c>
      <c r="D669" s="187">
        <v>26</v>
      </c>
      <c r="E669" s="190">
        <v>32114075</v>
      </c>
      <c r="F669" s="191">
        <v>29994233</v>
      </c>
      <c r="G669" s="255" t="s">
        <v>153</v>
      </c>
      <c r="H669" s="190">
        <v>2119842</v>
      </c>
      <c r="I669" s="190">
        <v>1642371</v>
      </c>
      <c r="J669" s="192">
        <v>0</v>
      </c>
      <c r="K669" s="190">
        <v>1642371</v>
      </c>
      <c r="L669" s="190">
        <v>477471</v>
      </c>
    </row>
    <row r="670" spans="1:12" ht="30.75" customHeight="1" x14ac:dyDescent="0.25">
      <c r="A670" s="187" t="s">
        <v>360</v>
      </c>
      <c r="B670" s="188" t="s">
        <v>475</v>
      </c>
      <c r="C670" s="189" t="s">
        <v>75</v>
      </c>
      <c r="D670" s="187">
        <v>296</v>
      </c>
      <c r="E670" s="190">
        <v>74192532</v>
      </c>
      <c r="F670" s="191">
        <v>69857272</v>
      </c>
      <c r="G670" s="255" t="s">
        <v>153</v>
      </c>
      <c r="H670" s="190">
        <v>4335260</v>
      </c>
      <c r="I670" s="192">
        <v>0</v>
      </c>
      <c r="J670" s="192">
        <v>0</v>
      </c>
      <c r="K670" s="192">
        <v>0</v>
      </c>
      <c r="L670" s="190">
        <v>4335260</v>
      </c>
    </row>
    <row r="671" spans="1:12" ht="30.75" customHeight="1" x14ac:dyDescent="0.25">
      <c r="A671" s="187" t="s">
        <v>360</v>
      </c>
      <c r="B671" s="188" t="s">
        <v>74</v>
      </c>
      <c r="C671" s="189" t="s">
        <v>75</v>
      </c>
      <c r="D671" s="187">
        <v>297</v>
      </c>
      <c r="E671" s="190">
        <v>98984746</v>
      </c>
      <c r="F671" s="191">
        <v>88044270</v>
      </c>
      <c r="G671" s="255" t="s">
        <v>153</v>
      </c>
      <c r="H671" s="190">
        <v>10940476</v>
      </c>
      <c r="I671" s="192">
        <v>0</v>
      </c>
      <c r="J671" s="192">
        <v>0</v>
      </c>
      <c r="K671" s="192">
        <v>0</v>
      </c>
      <c r="L671" s="190">
        <v>10940476</v>
      </c>
    </row>
    <row r="672" spans="1:12" ht="15" customHeight="1" x14ac:dyDescent="0.25">
      <c r="A672" s="187" t="s">
        <v>360</v>
      </c>
      <c r="B672" s="188" t="s">
        <v>76</v>
      </c>
      <c r="C672" s="189" t="s">
        <v>77</v>
      </c>
      <c r="D672" s="187">
        <v>166</v>
      </c>
      <c r="E672" s="190">
        <v>6520086</v>
      </c>
      <c r="F672" s="191">
        <v>6520086</v>
      </c>
      <c r="G672" s="255" t="s">
        <v>153</v>
      </c>
      <c r="H672" s="192">
        <v>0</v>
      </c>
      <c r="I672" s="190">
        <v>86788</v>
      </c>
      <c r="J672" s="190">
        <v>11989</v>
      </c>
      <c r="K672" s="190">
        <v>74799</v>
      </c>
      <c r="L672" s="190">
        <v>-74799</v>
      </c>
    </row>
    <row r="673" spans="1:12" ht="15.75" x14ac:dyDescent="0.25">
      <c r="A673" s="187" t="s">
        <v>360</v>
      </c>
      <c r="B673" s="188" t="s">
        <v>412</v>
      </c>
      <c r="C673" s="189" t="s">
        <v>413</v>
      </c>
      <c r="D673" s="187">
        <v>268</v>
      </c>
      <c r="E673" s="190">
        <v>3860641</v>
      </c>
      <c r="F673" s="191">
        <v>3406080</v>
      </c>
      <c r="G673" s="255" t="s">
        <v>153</v>
      </c>
      <c r="H673" s="190">
        <v>454561</v>
      </c>
      <c r="I673" s="192">
        <v>0</v>
      </c>
      <c r="J673" s="192">
        <v>0</v>
      </c>
      <c r="K673" s="192">
        <v>0</v>
      </c>
      <c r="L673" s="190">
        <v>454561</v>
      </c>
    </row>
    <row r="674" spans="1:12" ht="15.75" x14ac:dyDescent="0.25">
      <c r="A674" s="187" t="s">
        <v>360</v>
      </c>
      <c r="B674" s="188" t="s">
        <v>78</v>
      </c>
      <c r="C674" s="189" t="s">
        <v>79</v>
      </c>
      <c r="D674" s="187">
        <v>32</v>
      </c>
      <c r="E674" s="190">
        <v>3750504</v>
      </c>
      <c r="F674" s="191">
        <v>3750504</v>
      </c>
      <c r="G674" s="255" t="s">
        <v>153</v>
      </c>
      <c r="H674" s="192">
        <v>0</v>
      </c>
      <c r="I674" s="190">
        <v>7395</v>
      </c>
      <c r="J674" s="190">
        <v>5028</v>
      </c>
      <c r="K674" s="190">
        <v>2367</v>
      </c>
      <c r="L674" s="190">
        <v>-2367</v>
      </c>
    </row>
    <row r="675" spans="1:12" ht="15.75" x14ac:dyDescent="0.25">
      <c r="A675" s="187" t="s">
        <v>360</v>
      </c>
      <c r="B675" s="188" t="s">
        <v>430</v>
      </c>
      <c r="C675" s="189" t="s">
        <v>81</v>
      </c>
      <c r="D675" s="187">
        <v>230</v>
      </c>
      <c r="E675" s="190">
        <v>4852850</v>
      </c>
      <c r="F675" s="191">
        <v>4852850</v>
      </c>
      <c r="G675" s="255" t="s">
        <v>153</v>
      </c>
      <c r="H675" s="192">
        <v>0</v>
      </c>
      <c r="I675" s="190">
        <v>4855</v>
      </c>
      <c r="J675" s="190">
        <v>3446</v>
      </c>
      <c r="K675" s="190">
        <v>1409</v>
      </c>
      <c r="L675" s="190">
        <v>-1409</v>
      </c>
    </row>
    <row r="676" spans="1:12" ht="15.75" x14ac:dyDescent="0.25">
      <c r="A676" s="187" t="s">
        <v>360</v>
      </c>
      <c r="B676" s="188" t="s">
        <v>305</v>
      </c>
      <c r="C676" s="189" t="s">
        <v>306</v>
      </c>
      <c r="D676" s="187">
        <v>42</v>
      </c>
      <c r="E676" s="190">
        <v>16145396</v>
      </c>
      <c r="F676" s="191">
        <v>16145396</v>
      </c>
      <c r="G676" s="255" t="s">
        <v>153</v>
      </c>
      <c r="H676" s="192">
        <v>0</v>
      </c>
      <c r="I676" s="190">
        <v>182770</v>
      </c>
      <c r="J676" s="190">
        <v>2252</v>
      </c>
      <c r="K676" s="190">
        <v>180518</v>
      </c>
      <c r="L676" s="190">
        <v>-180518</v>
      </c>
    </row>
    <row r="677" spans="1:12" ht="45.75" x14ac:dyDescent="0.25">
      <c r="A677" s="187" t="s">
        <v>360</v>
      </c>
      <c r="B677" s="188" t="s">
        <v>453</v>
      </c>
      <c r="C677" s="189" t="s">
        <v>454</v>
      </c>
      <c r="D677" s="187">
        <v>265</v>
      </c>
      <c r="E677" s="190">
        <v>2009884</v>
      </c>
      <c r="F677" s="191">
        <v>1993510</v>
      </c>
      <c r="G677" s="255" t="s">
        <v>153</v>
      </c>
      <c r="H677" s="190">
        <v>16374</v>
      </c>
      <c r="I677" s="192">
        <v>0</v>
      </c>
      <c r="J677" s="192">
        <v>0</v>
      </c>
      <c r="K677" s="192">
        <v>0</v>
      </c>
      <c r="L677" s="190">
        <v>16374</v>
      </c>
    </row>
    <row r="678" spans="1:12" ht="15.75" x14ac:dyDescent="0.25">
      <c r="A678" s="187" t="s">
        <v>360</v>
      </c>
      <c r="B678" s="188" t="s">
        <v>86</v>
      </c>
      <c r="C678" s="189" t="s">
        <v>75</v>
      </c>
      <c r="D678" s="187">
        <v>48</v>
      </c>
      <c r="E678" s="190">
        <v>9725477</v>
      </c>
      <c r="F678" s="191">
        <v>9725477</v>
      </c>
      <c r="G678" s="255" t="s">
        <v>153</v>
      </c>
      <c r="H678" s="192">
        <v>0</v>
      </c>
      <c r="I678" s="190">
        <v>253984</v>
      </c>
      <c r="J678" s="190">
        <v>193565</v>
      </c>
      <c r="K678" s="190">
        <v>60419</v>
      </c>
      <c r="L678" s="190">
        <v>-60419</v>
      </c>
    </row>
    <row r="679" spans="1:12" ht="30.75" x14ac:dyDescent="0.25">
      <c r="A679" s="187" t="s">
        <v>360</v>
      </c>
      <c r="B679" s="188" t="s">
        <v>458</v>
      </c>
      <c r="C679" s="189" t="s">
        <v>68</v>
      </c>
      <c r="D679" s="187">
        <v>150</v>
      </c>
      <c r="E679" s="190">
        <v>5227141</v>
      </c>
      <c r="F679" s="191">
        <v>5227141</v>
      </c>
      <c r="G679" s="255" t="s">
        <v>153</v>
      </c>
      <c r="H679" s="192">
        <v>0</v>
      </c>
      <c r="I679" s="190">
        <v>1755</v>
      </c>
      <c r="J679" s="192">
        <v>0</v>
      </c>
      <c r="K679" s="190">
        <v>1755</v>
      </c>
      <c r="L679" s="190">
        <v>-1755</v>
      </c>
    </row>
    <row r="680" spans="1:12" ht="15.75" x14ac:dyDescent="0.25">
      <c r="A680" s="187" t="s">
        <v>360</v>
      </c>
      <c r="B680" s="188" t="s">
        <v>293</v>
      </c>
      <c r="C680" s="189" t="s">
        <v>294</v>
      </c>
      <c r="D680" s="187">
        <v>218</v>
      </c>
      <c r="E680" s="190">
        <v>5581677</v>
      </c>
      <c r="F680" s="191">
        <v>5355504</v>
      </c>
      <c r="G680" s="255" t="s">
        <v>153</v>
      </c>
      <c r="H680" s="190">
        <v>226173</v>
      </c>
      <c r="I680" s="192">
        <v>0</v>
      </c>
      <c r="J680" s="192">
        <v>0</v>
      </c>
      <c r="K680" s="192">
        <v>0</v>
      </c>
      <c r="L680" s="190">
        <v>226173</v>
      </c>
    </row>
    <row r="681" spans="1:12" ht="15.75" x14ac:dyDescent="0.25">
      <c r="A681" s="187" t="s">
        <v>360</v>
      </c>
      <c r="B681" s="188" t="s">
        <v>104</v>
      </c>
      <c r="C681" s="189" t="s">
        <v>105</v>
      </c>
      <c r="D681" s="187">
        <v>173</v>
      </c>
      <c r="E681" s="190">
        <v>1645083</v>
      </c>
      <c r="F681" s="191">
        <v>1645083</v>
      </c>
      <c r="G681" s="255" t="s">
        <v>153</v>
      </c>
      <c r="H681" s="192">
        <v>0</v>
      </c>
      <c r="I681" s="190">
        <v>16194</v>
      </c>
      <c r="J681" s="190">
        <v>2044</v>
      </c>
      <c r="K681" s="190">
        <v>14150</v>
      </c>
      <c r="L681" s="190">
        <v>-14150</v>
      </c>
    </row>
    <row r="682" spans="1:12" ht="15.75" x14ac:dyDescent="0.25">
      <c r="A682" s="187" t="s">
        <v>360</v>
      </c>
      <c r="B682" s="188" t="s">
        <v>432</v>
      </c>
      <c r="C682" s="189" t="s">
        <v>433</v>
      </c>
      <c r="D682" s="187">
        <v>335</v>
      </c>
      <c r="E682" s="190">
        <v>34552</v>
      </c>
      <c r="F682" s="191">
        <v>32163</v>
      </c>
      <c r="G682" s="255" t="s">
        <v>153</v>
      </c>
      <c r="H682" s="190">
        <v>2389</v>
      </c>
      <c r="I682" s="192">
        <v>0</v>
      </c>
      <c r="J682" s="192">
        <v>0</v>
      </c>
      <c r="K682" s="192">
        <v>0</v>
      </c>
      <c r="L682" s="190">
        <v>2389</v>
      </c>
    </row>
    <row r="683" spans="1:12" ht="15.75" x14ac:dyDescent="0.25">
      <c r="A683" s="187" t="s">
        <v>360</v>
      </c>
      <c r="B683" s="188" t="s">
        <v>467</v>
      </c>
      <c r="C683" s="189" t="s">
        <v>468</v>
      </c>
      <c r="D683" s="187">
        <v>151</v>
      </c>
      <c r="E683" s="190">
        <v>284214</v>
      </c>
      <c r="F683" s="191">
        <v>284214</v>
      </c>
      <c r="G683" s="255" t="s">
        <v>153</v>
      </c>
      <c r="H683" s="192">
        <v>0</v>
      </c>
      <c r="I683" s="190">
        <v>21795</v>
      </c>
      <c r="J683" s="192">
        <v>0</v>
      </c>
      <c r="K683" s="190">
        <v>21795</v>
      </c>
      <c r="L683" s="190">
        <v>-21795</v>
      </c>
    </row>
    <row r="684" spans="1:12" ht="15.75" customHeight="1" x14ac:dyDescent="0.25">
      <c r="A684" s="187" t="s">
        <v>360</v>
      </c>
      <c r="B684" s="188" t="s">
        <v>476</v>
      </c>
      <c r="C684" s="189" t="s">
        <v>477</v>
      </c>
      <c r="D684" s="187">
        <v>165</v>
      </c>
      <c r="E684" s="190">
        <v>2729603</v>
      </c>
      <c r="F684" s="191">
        <v>2729603</v>
      </c>
      <c r="G684" s="255" t="s">
        <v>153</v>
      </c>
      <c r="H684" s="192">
        <v>0</v>
      </c>
      <c r="I684" s="190">
        <v>3259</v>
      </c>
      <c r="J684" s="192">
        <v>0</v>
      </c>
      <c r="K684" s="190">
        <v>3259</v>
      </c>
      <c r="L684" s="190">
        <v>-3259</v>
      </c>
    </row>
    <row r="685" spans="1:12" ht="45.75" x14ac:dyDescent="0.25">
      <c r="A685" s="187" t="s">
        <v>360</v>
      </c>
      <c r="B685" s="188" t="s">
        <v>469</v>
      </c>
      <c r="C685" s="189" t="s">
        <v>62</v>
      </c>
      <c r="D685" s="187">
        <v>271</v>
      </c>
      <c r="E685" s="190">
        <v>3862106</v>
      </c>
      <c r="F685" s="191">
        <v>3774564</v>
      </c>
      <c r="G685" s="255" t="s">
        <v>153</v>
      </c>
      <c r="H685" s="190">
        <v>87542</v>
      </c>
      <c r="I685" s="192">
        <v>0</v>
      </c>
      <c r="J685" s="192">
        <v>0</v>
      </c>
      <c r="K685" s="192">
        <v>0</v>
      </c>
      <c r="L685" s="190">
        <v>87542</v>
      </c>
    </row>
    <row r="686" spans="1:12" ht="45.75" x14ac:dyDescent="0.25">
      <c r="A686" s="187" t="s">
        <v>360</v>
      </c>
      <c r="B686" s="188" t="s">
        <v>437</v>
      </c>
      <c r="C686" s="189" t="s">
        <v>438</v>
      </c>
      <c r="D686" s="187">
        <v>329</v>
      </c>
      <c r="E686" s="190">
        <v>797628</v>
      </c>
      <c r="F686" s="191">
        <v>728354</v>
      </c>
      <c r="G686" s="255" t="s">
        <v>153</v>
      </c>
      <c r="H686" s="190">
        <v>69274</v>
      </c>
      <c r="I686" s="192">
        <v>0</v>
      </c>
      <c r="J686" s="192">
        <v>0</v>
      </c>
      <c r="K686" s="192">
        <v>0</v>
      </c>
      <c r="L686" s="190">
        <v>69274</v>
      </c>
    </row>
    <row r="687" spans="1:12" ht="30.75" x14ac:dyDescent="0.25">
      <c r="A687" s="187" t="s">
        <v>360</v>
      </c>
      <c r="B687" s="188" t="s">
        <v>478</v>
      </c>
      <c r="C687" s="189" t="s">
        <v>406</v>
      </c>
      <c r="D687" s="187">
        <v>139</v>
      </c>
      <c r="E687" s="190">
        <v>357362</v>
      </c>
      <c r="F687" s="191">
        <v>357362</v>
      </c>
      <c r="G687" s="255" t="s">
        <v>153</v>
      </c>
      <c r="H687" s="192">
        <v>0</v>
      </c>
      <c r="I687" s="190">
        <v>160350</v>
      </c>
      <c r="J687" s="190">
        <v>1165</v>
      </c>
      <c r="K687" s="190">
        <v>159185</v>
      </c>
      <c r="L687" s="190">
        <v>-159185</v>
      </c>
    </row>
    <row r="688" spans="1:12" ht="15.75" x14ac:dyDescent="0.25">
      <c r="A688" s="187" t="s">
        <v>360</v>
      </c>
      <c r="B688" s="188" t="s">
        <v>106</v>
      </c>
      <c r="C688" s="189" t="s">
        <v>92</v>
      </c>
      <c r="D688" s="187">
        <v>244</v>
      </c>
      <c r="E688" s="190">
        <v>2403492</v>
      </c>
      <c r="F688" s="191">
        <v>2403492</v>
      </c>
      <c r="G688" s="255" t="s">
        <v>153</v>
      </c>
      <c r="H688" s="192">
        <v>0</v>
      </c>
      <c r="I688" s="190">
        <v>141792</v>
      </c>
      <c r="J688" s="190">
        <v>135246</v>
      </c>
      <c r="K688" s="190">
        <v>6546</v>
      </c>
      <c r="L688" s="190">
        <v>-6546</v>
      </c>
    </row>
    <row r="689" spans="1:12" ht="15.75" x14ac:dyDescent="0.25">
      <c r="A689" s="187" t="s">
        <v>360</v>
      </c>
      <c r="B689" s="188" t="s">
        <v>416</v>
      </c>
      <c r="C689" s="189" t="s">
        <v>75</v>
      </c>
      <c r="D689" s="187">
        <v>280</v>
      </c>
      <c r="E689" s="190">
        <v>6645</v>
      </c>
      <c r="F689" s="191">
        <v>5582</v>
      </c>
      <c r="G689" s="255" t="s">
        <v>153</v>
      </c>
      <c r="H689" s="190">
        <v>1063</v>
      </c>
      <c r="I689" s="192">
        <v>0</v>
      </c>
      <c r="J689" s="192">
        <v>0</v>
      </c>
      <c r="K689" s="192">
        <v>0</v>
      </c>
      <c r="L689" s="190">
        <v>1063</v>
      </c>
    </row>
    <row r="690" spans="1:12" ht="30.75" customHeight="1" x14ac:dyDescent="0.25">
      <c r="A690" s="187" t="s">
        <v>360</v>
      </c>
      <c r="B690" s="188" t="s">
        <v>439</v>
      </c>
      <c r="C690" s="189" t="s">
        <v>62</v>
      </c>
      <c r="D690" s="187">
        <v>176</v>
      </c>
      <c r="E690" s="190">
        <v>2348778</v>
      </c>
      <c r="F690" s="191">
        <v>2348778</v>
      </c>
      <c r="G690" s="255" t="s">
        <v>153</v>
      </c>
      <c r="H690" s="192">
        <v>0</v>
      </c>
      <c r="I690" s="190">
        <v>14847</v>
      </c>
      <c r="J690" s="190">
        <v>6905</v>
      </c>
      <c r="K690" s="190">
        <v>7942</v>
      </c>
      <c r="L690" s="190">
        <v>-7942</v>
      </c>
    </row>
    <row r="691" spans="1:12" ht="15.75" customHeight="1" x14ac:dyDescent="0.25">
      <c r="A691" s="187" t="s">
        <v>360</v>
      </c>
      <c r="B691" s="188" t="s">
        <v>446</v>
      </c>
      <c r="C691" s="189" t="s">
        <v>447</v>
      </c>
      <c r="D691" s="187">
        <v>57</v>
      </c>
      <c r="E691" s="190">
        <v>1056561</v>
      </c>
      <c r="F691" s="191">
        <v>1000245</v>
      </c>
      <c r="G691" s="255" t="s">
        <v>153</v>
      </c>
      <c r="H691" s="190">
        <v>56316</v>
      </c>
      <c r="I691" s="192">
        <v>0</v>
      </c>
      <c r="J691" s="192">
        <v>0</v>
      </c>
      <c r="K691" s="192">
        <v>0</v>
      </c>
      <c r="L691" s="190">
        <v>56316</v>
      </c>
    </row>
    <row r="692" spans="1:12" ht="15" customHeight="1" x14ac:dyDescent="0.25">
      <c r="A692" s="187" t="s">
        <v>360</v>
      </c>
      <c r="B692" s="188" t="s">
        <v>89</v>
      </c>
      <c r="C692" s="189" t="s">
        <v>90</v>
      </c>
      <c r="D692" s="187">
        <v>171</v>
      </c>
      <c r="E692" s="190">
        <v>3389554</v>
      </c>
      <c r="F692" s="191">
        <v>3389554</v>
      </c>
      <c r="G692" s="255" t="s">
        <v>153</v>
      </c>
      <c r="H692" s="192">
        <v>0</v>
      </c>
      <c r="I692" s="190">
        <v>93191</v>
      </c>
      <c r="J692" s="190">
        <v>1158</v>
      </c>
      <c r="K692" s="190">
        <v>92033</v>
      </c>
      <c r="L692" s="190">
        <v>-92033</v>
      </c>
    </row>
    <row r="693" spans="1:12" ht="30.75" x14ac:dyDescent="0.25">
      <c r="A693" s="187" t="s">
        <v>360</v>
      </c>
      <c r="B693" s="188" t="s">
        <v>479</v>
      </c>
      <c r="C693" s="189" t="s">
        <v>92</v>
      </c>
      <c r="D693" s="187">
        <v>211</v>
      </c>
      <c r="E693" s="190">
        <v>2257308</v>
      </c>
      <c r="F693" s="191">
        <v>2257308</v>
      </c>
      <c r="G693" s="255" t="s">
        <v>153</v>
      </c>
      <c r="H693" s="192">
        <v>0</v>
      </c>
      <c r="I693" s="190">
        <v>23731</v>
      </c>
      <c r="J693" s="190">
        <v>2908</v>
      </c>
      <c r="K693" s="190">
        <v>20823</v>
      </c>
      <c r="L693" s="190">
        <v>-20823</v>
      </c>
    </row>
    <row r="694" spans="1:12" ht="15.75" x14ac:dyDescent="0.25">
      <c r="A694" s="187" t="s">
        <v>360</v>
      </c>
      <c r="B694" s="188" t="s">
        <v>448</v>
      </c>
      <c r="C694" s="189" t="s">
        <v>449</v>
      </c>
      <c r="D694" s="187">
        <v>58</v>
      </c>
      <c r="E694" s="190">
        <v>2736820</v>
      </c>
      <c r="F694" s="191">
        <v>2736820</v>
      </c>
      <c r="G694" s="255" t="s">
        <v>153</v>
      </c>
      <c r="H694" s="192">
        <v>0</v>
      </c>
      <c r="I694" s="190">
        <v>6670</v>
      </c>
      <c r="J694" s="190">
        <v>5607</v>
      </c>
      <c r="K694" s="190">
        <v>1063</v>
      </c>
      <c r="L694" s="190">
        <v>-1063</v>
      </c>
    </row>
    <row r="695" spans="1:12" ht="15.75" x14ac:dyDescent="0.25">
      <c r="A695" s="187" t="s">
        <v>360</v>
      </c>
      <c r="B695" s="188" t="s">
        <v>419</v>
      </c>
      <c r="C695" s="189" t="s">
        <v>420</v>
      </c>
      <c r="D695" s="187">
        <v>308</v>
      </c>
      <c r="E695" s="190">
        <v>75037</v>
      </c>
      <c r="F695" s="191">
        <v>67868</v>
      </c>
      <c r="G695" s="255" t="s">
        <v>153</v>
      </c>
      <c r="H695" s="190">
        <v>7169</v>
      </c>
      <c r="I695" s="192">
        <v>0</v>
      </c>
      <c r="J695" s="192">
        <v>0</v>
      </c>
      <c r="K695" s="192">
        <v>0</v>
      </c>
      <c r="L695" s="190">
        <v>7169</v>
      </c>
    </row>
    <row r="696" spans="1:12" ht="15.75" x14ac:dyDescent="0.25">
      <c r="A696" s="187" t="s">
        <v>360</v>
      </c>
      <c r="B696" s="188" t="s">
        <v>93</v>
      </c>
      <c r="C696" s="189" t="s">
        <v>75</v>
      </c>
      <c r="D696" s="187">
        <v>260</v>
      </c>
      <c r="E696" s="190">
        <v>16948232</v>
      </c>
      <c r="F696" s="191">
        <v>16421195</v>
      </c>
      <c r="G696" s="255" t="s">
        <v>153</v>
      </c>
      <c r="H696" s="190">
        <v>527037</v>
      </c>
      <c r="I696" s="190">
        <v>857594</v>
      </c>
      <c r="J696" s="190">
        <v>857594</v>
      </c>
      <c r="K696" s="192">
        <v>0</v>
      </c>
      <c r="L696" s="190">
        <v>527037</v>
      </c>
    </row>
    <row r="697" spans="1:12" ht="15.75" x14ac:dyDescent="0.25">
      <c r="A697" s="206" t="s">
        <v>389</v>
      </c>
      <c r="B697" s="258" t="s">
        <v>153</v>
      </c>
      <c r="C697" s="258" t="s">
        <v>153</v>
      </c>
      <c r="D697" s="258" t="s">
        <v>153</v>
      </c>
      <c r="E697" s="207">
        <f>SUBTOTAL(109,school200405[Program
Costs])</f>
        <v>370755137</v>
      </c>
      <c r="F697" s="216">
        <f>SUBTOTAL(109,school200405[Less: Net
 Payments and 
Offsets 2])</f>
        <v>346625327</v>
      </c>
      <c r="G697" s="256" t="s">
        <v>153</v>
      </c>
      <c r="H697" s="207">
        <f>SUBTOTAL(109,school200405[Accounts Payable
Balance])</f>
        <v>24129810</v>
      </c>
      <c r="I697" s="207">
        <f>SUBTOTAL(109,school200405[Established
Accounts Receivable])</f>
        <v>6102299</v>
      </c>
      <c r="J697" s="207">
        <f>SUBTOTAL(109,school200405[Less: 
Recovered 
Amount])</f>
        <v>3709101</v>
      </c>
      <c r="K697" s="207">
        <f>SUBTOTAL(109,school200405[Accounts Receivable
Balance])</f>
        <v>2393198</v>
      </c>
      <c r="L697" s="207">
        <f>SUBTOTAL(109,school200405[Net
Balance])</f>
        <v>21736612</v>
      </c>
    </row>
    <row r="698" spans="1:12" ht="15.75" x14ac:dyDescent="0.25">
      <c r="A698" s="146" t="s">
        <v>181</v>
      </c>
      <c r="B698" s="221"/>
      <c r="C698" s="220"/>
      <c r="D698" s="222"/>
      <c r="E698" s="223"/>
      <c r="F698" s="224"/>
      <c r="G698" s="224"/>
      <c r="H698" s="223"/>
      <c r="I698" s="223"/>
      <c r="J698" s="223"/>
      <c r="K698" s="223"/>
      <c r="L698" s="223"/>
    </row>
    <row r="699" spans="1:12" ht="50.1" customHeight="1" x14ac:dyDescent="0.25">
      <c r="A699" s="34" t="s">
        <v>221</v>
      </c>
      <c r="B699" s="34" t="s">
        <v>268</v>
      </c>
      <c r="C699" s="28" t="s">
        <v>2</v>
      </c>
      <c r="D699" s="34" t="s">
        <v>280</v>
      </c>
      <c r="E699" s="194" t="s">
        <v>223</v>
      </c>
      <c r="F699" s="195" t="s">
        <v>509</v>
      </c>
      <c r="G699" s="252" t="s">
        <v>176</v>
      </c>
      <c r="H699" s="196" t="s">
        <v>270</v>
      </c>
      <c r="I699" s="156" t="s">
        <v>271</v>
      </c>
      <c r="J699" s="194" t="s">
        <v>282</v>
      </c>
      <c r="K699" s="196" t="s">
        <v>272</v>
      </c>
      <c r="L699" s="194" t="s">
        <v>273</v>
      </c>
    </row>
    <row r="700" spans="1:12" ht="30.75" customHeight="1" x14ac:dyDescent="0.25">
      <c r="A700" s="187" t="s">
        <v>49</v>
      </c>
      <c r="B700" s="219" t="s">
        <v>434</v>
      </c>
      <c r="C700" s="210" t="s">
        <v>429</v>
      </c>
      <c r="D700" s="187">
        <v>348</v>
      </c>
      <c r="E700" s="190">
        <v>43152140</v>
      </c>
      <c r="F700" s="191">
        <v>38771342</v>
      </c>
      <c r="G700" s="255" t="s">
        <v>153</v>
      </c>
      <c r="H700" s="190">
        <v>4380798</v>
      </c>
      <c r="I700" s="192">
        <v>0</v>
      </c>
      <c r="J700" s="192">
        <v>0</v>
      </c>
      <c r="K700" s="192">
        <v>0</v>
      </c>
      <c r="L700" s="190">
        <v>4380798</v>
      </c>
    </row>
    <row r="701" spans="1:12" ht="30.75" x14ac:dyDescent="0.25">
      <c r="A701" s="187" t="s">
        <v>49</v>
      </c>
      <c r="B701" s="188" t="s">
        <v>50</v>
      </c>
      <c r="C701" s="189" t="s">
        <v>51</v>
      </c>
      <c r="D701" s="187">
        <v>11</v>
      </c>
      <c r="E701" s="190">
        <v>28107019</v>
      </c>
      <c r="F701" s="191">
        <v>28107019</v>
      </c>
      <c r="G701" s="255" t="s">
        <v>153</v>
      </c>
      <c r="H701" s="192">
        <v>0</v>
      </c>
      <c r="I701" s="190">
        <v>517475</v>
      </c>
      <c r="J701" s="190">
        <v>433247</v>
      </c>
      <c r="K701" s="190">
        <v>84228</v>
      </c>
      <c r="L701" s="190">
        <v>-84228</v>
      </c>
    </row>
    <row r="702" spans="1:12" ht="45.75" x14ac:dyDescent="0.25">
      <c r="A702" s="187" t="s">
        <v>49</v>
      </c>
      <c r="B702" s="188" t="s">
        <v>455</v>
      </c>
      <c r="C702" s="189" t="s">
        <v>456</v>
      </c>
      <c r="D702" s="187">
        <v>291</v>
      </c>
      <c r="E702" s="190">
        <v>176468</v>
      </c>
      <c r="F702" s="191">
        <v>170016</v>
      </c>
      <c r="G702" s="255" t="s">
        <v>153</v>
      </c>
      <c r="H702" s="190">
        <v>6452</v>
      </c>
      <c r="I702" s="192">
        <v>0</v>
      </c>
      <c r="J702" s="192">
        <v>0</v>
      </c>
      <c r="K702" s="192">
        <v>0</v>
      </c>
      <c r="L702" s="190">
        <v>6452</v>
      </c>
    </row>
    <row r="703" spans="1:12" ht="30.75" x14ac:dyDescent="0.25">
      <c r="A703" s="187" t="s">
        <v>49</v>
      </c>
      <c r="B703" s="188" t="s">
        <v>480</v>
      </c>
      <c r="C703" s="189" t="s">
        <v>75</v>
      </c>
      <c r="D703" s="187">
        <v>295</v>
      </c>
      <c r="E703" s="190">
        <v>169671206</v>
      </c>
      <c r="F703" s="191">
        <v>160619456</v>
      </c>
      <c r="G703" s="255" t="s">
        <v>153</v>
      </c>
      <c r="H703" s="190">
        <v>9051750</v>
      </c>
      <c r="I703" s="192">
        <v>0</v>
      </c>
      <c r="J703" s="192">
        <v>0</v>
      </c>
      <c r="K703" s="192">
        <v>0</v>
      </c>
      <c r="L703" s="190">
        <v>9051750</v>
      </c>
    </row>
    <row r="704" spans="1:12" ht="15.75" x14ac:dyDescent="0.25">
      <c r="A704" s="187" t="s">
        <v>49</v>
      </c>
      <c r="B704" s="188" t="s">
        <v>76</v>
      </c>
      <c r="C704" s="189" t="s">
        <v>77</v>
      </c>
      <c r="D704" s="187">
        <v>166</v>
      </c>
      <c r="E704" s="190">
        <v>8305244</v>
      </c>
      <c r="F704" s="191">
        <v>8305244</v>
      </c>
      <c r="G704" s="255" t="s">
        <v>153</v>
      </c>
      <c r="H704" s="192">
        <v>0</v>
      </c>
      <c r="I704" s="190">
        <v>43849</v>
      </c>
      <c r="J704" s="190">
        <v>12058</v>
      </c>
      <c r="K704" s="190">
        <v>31791</v>
      </c>
      <c r="L704" s="190">
        <v>-31791</v>
      </c>
    </row>
    <row r="705" spans="1:12" ht="15.75" x14ac:dyDescent="0.25">
      <c r="A705" s="187" t="s">
        <v>49</v>
      </c>
      <c r="B705" s="188" t="s">
        <v>412</v>
      </c>
      <c r="C705" s="189" t="s">
        <v>413</v>
      </c>
      <c r="D705" s="187">
        <v>268</v>
      </c>
      <c r="E705" s="190">
        <v>3060717</v>
      </c>
      <c r="F705" s="191">
        <v>3007132</v>
      </c>
      <c r="G705" s="255" t="s">
        <v>153</v>
      </c>
      <c r="H705" s="190">
        <v>53585</v>
      </c>
      <c r="I705" s="192">
        <v>0</v>
      </c>
      <c r="J705" s="192">
        <v>0</v>
      </c>
      <c r="K705" s="192">
        <v>0</v>
      </c>
      <c r="L705" s="190">
        <v>53585</v>
      </c>
    </row>
    <row r="706" spans="1:12" ht="15.75" x14ac:dyDescent="0.25">
      <c r="A706" s="187" t="s">
        <v>49</v>
      </c>
      <c r="B706" s="188" t="s">
        <v>86</v>
      </c>
      <c r="C706" s="189" t="s">
        <v>75</v>
      </c>
      <c r="D706" s="187">
        <v>48</v>
      </c>
      <c r="E706" s="190">
        <v>8765818</v>
      </c>
      <c r="F706" s="191">
        <v>8765818</v>
      </c>
      <c r="G706" s="255" t="s">
        <v>153</v>
      </c>
      <c r="H706" s="192">
        <v>0</v>
      </c>
      <c r="I706" s="190">
        <v>1253345</v>
      </c>
      <c r="J706" s="190">
        <v>405483</v>
      </c>
      <c r="K706" s="190">
        <v>847862</v>
      </c>
      <c r="L706" s="190">
        <v>-847862</v>
      </c>
    </row>
    <row r="707" spans="1:12" ht="15.75" customHeight="1" x14ac:dyDescent="0.25">
      <c r="A707" s="187" t="s">
        <v>49</v>
      </c>
      <c r="B707" s="188" t="s">
        <v>293</v>
      </c>
      <c r="C707" s="189" t="s">
        <v>294</v>
      </c>
      <c r="D707" s="187">
        <v>218</v>
      </c>
      <c r="E707" s="190">
        <v>6179610</v>
      </c>
      <c r="F707" s="191">
        <v>6014690</v>
      </c>
      <c r="G707" s="255" t="s">
        <v>153</v>
      </c>
      <c r="H707" s="190">
        <v>164920</v>
      </c>
      <c r="I707" s="192">
        <v>0</v>
      </c>
      <c r="J707" s="192">
        <v>0</v>
      </c>
      <c r="K707" s="192">
        <v>0</v>
      </c>
      <c r="L707" s="190">
        <v>164920</v>
      </c>
    </row>
    <row r="708" spans="1:12" ht="45" customHeight="1" x14ac:dyDescent="0.25">
      <c r="A708" s="187" t="s">
        <v>49</v>
      </c>
      <c r="B708" s="188" t="s">
        <v>469</v>
      </c>
      <c r="C708" s="189" t="s">
        <v>62</v>
      </c>
      <c r="D708" s="187">
        <v>271</v>
      </c>
      <c r="E708" s="190">
        <v>3544682</v>
      </c>
      <c r="F708" s="191">
        <v>3484857</v>
      </c>
      <c r="G708" s="255" t="s">
        <v>153</v>
      </c>
      <c r="H708" s="190">
        <v>59825</v>
      </c>
      <c r="I708" s="192">
        <v>0</v>
      </c>
      <c r="J708" s="192">
        <v>0</v>
      </c>
      <c r="K708" s="192">
        <v>0</v>
      </c>
      <c r="L708" s="190">
        <v>59825</v>
      </c>
    </row>
    <row r="709" spans="1:12" ht="15" customHeight="1" x14ac:dyDescent="0.25">
      <c r="A709" s="187" t="s">
        <v>49</v>
      </c>
      <c r="B709" s="188" t="s">
        <v>437</v>
      </c>
      <c r="C709" s="189" t="s">
        <v>438</v>
      </c>
      <c r="D709" s="187">
        <v>329</v>
      </c>
      <c r="E709" s="190">
        <v>862300</v>
      </c>
      <c r="F709" s="191">
        <v>782015</v>
      </c>
      <c r="G709" s="255" t="s">
        <v>153</v>
      </c>
      <c r="H709" s="190">
        <v>80285</v>
      </c>
      <c r="I709" s="192">
        <v>0</v>
      </c>
      <c r="J709" s="192">
        <v>0</v>
      </c>
      <c r="K709" s="192">
        <v>0</v>
      </c>
      <c r="L709" s="190">
        <v>80285</v>
      </c>
    </row>
    <row r="710" spans="1:12" ht="30.75" x14ac:dyDescent="0.25">
      <c r="A710" s="187" t="s">
        <v>49</v>
      </c>
      <c r="B710" s="188" t="s">
        <v>478</v>
      </c>
      <c r="C710" s="189" t="s">
        <v>406</v>
      </c>
      <c r="D710" s="187">
        <v>139</v>
      </c>
      <c r="E710" s="190">
        <v>3233418</v>
      </c>
      <c r="F710" s="191">
        <v>3233418</v>
      </c>
      <c r="G710" s="255" t="s">
        <v>153</v>
      </c>
      <c r="H710" s="192">
        <v>0</v>
      </c>
      <c r="I710" s="190">
        <v>966463</v>
      </c>
      <c r="J710" s="192">
        <v>0</v>
      </c>
      <c r="K710" s="190">
        <v>966463</v>
      </c>
      <c r="L710" s="190">
        <v>-966463</v>
      </c>
    </row>
    <row r="711" spans="1:12" ht="15.75" x14ac:dyDescent="0.25">
      <c r="A711" s="187" t="s">
        <v>49</v>
      </c>
      <c r="B711" s="188" t="s">
        <v>416</v>
      </c>
      <c r="C711" s="189" t="s">
        <v>75</v>
      </c>
      <c r="D711" s="187">
        <v>280</v>
      </c>
      <c r="E711" s="190">
        <v>6634</v>
      </c>
      <c r="F711" s="191">
        <v>5624</v>
      </c>
      <c r="G711" s="255" t="s">
        <v>153</v>
      </c>
      <c r="H711" s="190">
        <v>1010</v>
      </c>
      <c r="I711" s="192">
        <v>0</v>
      </c>
      <c r="J711" s="192">
        <v>0</v>
      </c>
      <c r="K711" s="192">
        <v>0</v>
      </c>
      <c r="L711" s="190">
        <v>1010</v>
      </c>
    </row>
    <row r="712" spans="1:12" ht="15.75" x14ac:dyDescent="0.25">
      <c r="A712" s="187" t="s">
        <v>49</v>
      </c>
      <c r="B712" s="188" t="s">
        <v>446</v>
      </c>
      <c r="C712" s="189" t="s">
        <v>447</v>
      </c>
      <c r="D712" s="187">
        <v>57</v>
      </c>
      <c r="E712" s="190">
        <v>1112874</v>
      </c>
      <c r="F712" s="191">
        <v>1107374</v>
      </c>
      <c r="G712" s="255" t="s">
        <v>153</v>
      </c>
      <c r="H712" s="190">
        <v>5500</v>
      </c>
      <c r="I712" s="192">
        <v>0</v>
      </c>
      <c r="J712" s="192">
        <v>0</v>
      </c>
      <c r="K712" s="192">
        <v>0</v>
      </c>
      <c r="L712" s="190">
        <v>5500</v>
      </c>
    </row>
    <row r="713" spans="1:12" ht="15.75" x14ac:dyDescent="0.25">
      <c r="A713" s="187" t="s">
        <v>49</v>
      </c>
      <c r="B713" s="188" t="s">
        <v>481</v>
      </c>
      <c r="C713" s="189" t="s">
        <v>454</v>
      </c>
      <c r="D713" s="187">
        <v>208</v>
      </c>
      <c r="E713" s="190">
        <v>17151246</v>
      </c>
      <c r="F713" s="191">
        <v>16798479</v>
      </c>
      <c r="G713" s="255" t="s">
        <v>153</v>
      </c>
      <c r="H713" s="190">
        <v>352767</v>
      </c>
      <c r="I713" s="190">
        <v>25091</v>
      </c>
      <c r="J713" s="190">
        <v>25091</v>
      </c>
      <c r="K713" s="192">
        <v>0</v>
      </c>
      <c r="L713" s="190">
        <v>352767</v>
      </c>
    </row>
    <row r="714" spans="1:12" ht="15.75" x14ac:dyDescent="0.25">
      <c r="A714" s="187" t="s">
        <v>49</v>
      </c>
      <c r="B714" s="188" t="s">
        <v>419</v>
      </c>
      <c r="C714" s="189" t="s">
        <v>420</v>
      </c>
      <c r="D714" s="187">
        <v>308</v>
      </c>
      <c r="E714" s="190">
        <v>53294</v>
      </c>
      <c r="F714" s="191">
        <v>46597</v>
      </c>
      <c r="G714" s="255" t="s">
        <v>153</v>
      </c>
      <c r="H714" s="190">
        <v>6697</v>
      </c>
      <c r="I714" s="192">
        <v>0</v>
      </c>
      <c r="J714" s="192">
        <v>0</v>
      </c>
      <c r="K714" s="192">
        <v>0</v>
      </c>
      <c r="L714" s="190">
        <v>6697</v>
      </c>
    </row>
    <row r="715" spans="1:12" ht="15.75" x14ac:dyDescent="0.25">
      <c r="A715" s="187" t="s">
        <v>49</v>
      </c>
      <c r="B715" s="188" t="s">
        <v>93</v>
      </c>
      <c r="C715" s="189" t="s">
        <v>75</v>
      </c>
      <c r="D715" s="187">
        <v>260</v>
      </c>
      <c r="E715" s="190">
        <v>14398943</v>
      </c>
      <c r="F715" s="191">
        <v>14149465</v>
      </c>
      <c r="G715" s="255" t="s">
        <v>153</v>
      </c>
      <c r="H715" s="190">
        <v>249478</v>
      </c>
      <c r="I715" s="190">
        <v>744918</v>
      </c>
      <c r="J715" s="190">
        <v>744918</v>
      </c>
      <c r="K715" s="192">
        <v>0</v>
      </c>
      <c r="L715" s="190">
        <v>249478</v>
      </c>
    </row>
    <row r="716" spans="1:12" ht="15.75" x14ac:dyDescent="0.25">
      <c r="A716" s="206" t="s">
        <v>390</v>
      </c>
      <c r="B716" s="258" t="s">
        <v>153</v>
      </c>
      <c r="C716" s="258" t="s">
        <v>153</v>
      </c>
      <c r="D716" s="258" t="s">
        <v>153</v>
      </c>
      <c r="E716" s="207">
        <f>SUBTOTAL(109,school200304[Program
Costs])</f>
        <v>307781613</v>
      </c>
      <c r="F716" s="216">
        <f>SUBTOTAL(109,school200304[Less: Net
 Payments and 
Offsets 2])</f>
        <v>293368546</v>
      </c>
      <c r="G716" s="256" t="s">
        <v>153</v>
      </c>
      <c r="H716" s="207">
        <f>SUBTOTAL(109,school200304[Accounts Payable
Balance])</f>
        <v>14413067</v>
      </c>
      <c r="I716" s="207">
        <f>SUBTOTAL(109,school200304[Established
Accounts Receivable])</f>
        <v>3551141</v>
      </c>
      <c r="J716" s="207">
        <f>SUBTOTAL(109,school200304[Less: 
Recovered 
Amount])</f>
        <v>1620797</v>
      </c>
      <c r="K716" s="207">
        <f>SUBTOTAL(109,school200304[Accounts Receivable
Balance])</f>
        <v>1930344</v>
      </c>
      <c r="L716" s="207">
        <f>SUBTOTAL(109,school200304[Net
Balance])</f>
        <v>12482723</v>
      </c>
    </row>
    <row r="717" spans="1:12" ht="15.75" x14ac:dyDescent="0.25">
      <c r="A717" s="146" t="s">
        <v>181</v>
      </c>
      <c r="B717" s="221"/>
      <c r="C717" s="220"/>
      <c r="D717" s="222"/>
      <c r="E717" s="223"/>
      <c r="F717" s="224"/>
      <c r="G717" s="224"/>
      <c r="H717" s="223"/>
      <c r="I717" s="223"/>
      <c r="J717" s="223"/>
      <c r="K717" s="223"/>
      <c r="L717" s="223"/>
    </row>
    <row r="718" spans="1:12" ht="50.1" customHeight="1" x14ac:dyDescent="0.25">
      <c r="A718" s="34" t="s">
        <v>221</v>
      </c>
      <c r="B718" s="34" t="s">
        <v>268</v>
      </c>
      <c r="C718" s="28" t="s">
        <v>2</v>
      </c>
      <c r="D718" s="34" t="s">
        <v>280</v>
      </c>
      <c r="E718" s="194" t="s">
        <v>223</v>
      </c>
      <c r="F718" s="195" t="s">
        <v>509</v>
      </c>
      <c r="G718" s="252" t="s">
        <v>176</v>
      </c>
      <c r="H718" s="196" t="s">
        <v>270</v>
      </c>
      <c r="I718" s="156" t="s">
        <v>271</v>
      </c>
      <c r="J718" s="194" t="s">
        <v>282</v>
      </c>
      <c r="K718" s="196" t="s">
        <v>272</v>
      </c>
      <c r="L718" s="194" t="s">
        <v>273</v>
      </c>
    </row>
    <row r="719" spans="1:12" ht="30.75" customHeight="1" x14ac:dyDescent="0.25">
      <c r="A719" s="187" t="s">
        <v>361</v>
      </c>
      <c r="B719" s="219" t="s">
        <v>434</v>
      </c>
      <c r="C719" s="210" t="s">
        <v>429</v>
      </c>
      <c r="D719" s="187">
        <v>348</v>
      </c>
      <c r="E719" s="190">
        <v>41363154</v>
      </c>
      <c r="F719" s="191">
        <v>37738313</v>
      </c>
      <c r="G719" s="255" t="s">
        <v>153</v>
      </c>
      <c r="H719" s="190">
        <v>3624841</v>
      </c>
      <c r="I719" s="192">
        <v>0</v>
      </c>
      <c r="J719" s="192">
        <v>0</v>
      </c>
      <c r="K719" s="192">
        <v>0</v>
      </c>
      <c r="L719" s="190">
        <v>3624841</v>
      </c>
    </row>
    <row r="720" spans="1:12" ht="30.75" x14ac:dyDescent="0.25">
      <c r="A720" s="187" t="s">
        <v>361</v>
      </c>
      <c r="B720" s="188" t="s">
        <v>50</v>
      </c>
      <c r="C720" s="189" t="s">
        <v>51</v>
      </c>
      <c r="D720" s="187">
        <v>11</v>
      </c>
      <c r="E720" s="190">
        <v>30770605</v>
      </c>
      <c r="F720" s="191">
        <v>30770605</v>
      </c>
      <c r="G720" s="255" t="s">
        <v>153</v>
      </c>
      <c r="H720" s="192">
        <v>0</v>
      </c>
      <c r="I720" s="190">
        <v>867444</v>
      </c>
      <c r="J720" s="190">
        <v>826768</v>
      </c>
      <c r="K720" s="190">
        <v>40676</v>
      </c>
      <c r="L720" s="190">
        <v>-40676</v>
      </c>
    </row>
    <row r="721" spans="1:12" ht="30.75" x14ac:dyDescent="0.25">
      <c r="A721" s="187" t="s">
        <v>361</v>
      </c>
      <c r="B721" s="188" t="s">
        <v>480</v>
      </c>
      <c r="C721" s="189" t="s">
        <v>75</v>
      </c>
      <c r="D721" s="187">
        <v>295</v>
      </c>
      <c r="E721" s="190">
        <v>176566893</v>
      </c>
      <c r="F721" s="191">
        <v>172277694</v>
      </c>
      <c r="G721" s="255" t="s">
        <v>153</v>
      </c>
      <c r="H721" s="190">
        <v>4289199</v>
      </c>
      <c r="I721" s="192">
        <v>0</v>
      </c>
      <c r="J721" s="192">
        <v>0</v>
      </c>
      <c r="K721" s="192">
        <v>0</v>
      </c>
      <c r="L721" s="190">
        <v>4289199</v>
      </c>
    </row>
    <row r="722" spans="1:12" ht="15.75" x14ac:dyDescent="0.25">
      <c r="A722" s="187" t="s">
        <v>361</v>
      </c>
      <c r="B722" s="188" t="s">
        <v>76</v>
      </c>
      <c r="C722" s="189" t="s">
        <v>77</v>
      </c>
      <c r="D722" s="187">
        <v>166</v>
      </c>
      <c r="E722" s="190">
        <v>7157889</v>
      </c>
      <c r="F722" s="191">
        <v>7157889</v>
      </c>
      <c r="G722" s="255" t="s">
        <v>153</v>
      </c>
      <c r="H722" s="192">
        <v>0</v>
      </c>
      <c r="I722" s="190">
        <v>210086</v>
      </c>
      <c r="J722" s="190">
        <v>139673</v>
      </c>
      <c r="K722" s="190">
        <v>70413</v>
      </c>
      <c r="L722" s="190">
        <v>-70413</v>
      </c>
    </row>
    <row r="723" spans="1:12" ht="15.75" x14ac:dyDescent="0.25">
      <c r="A723" s="187" t="s">
        <v>361</v>
      </c>
      <c r="B723" s="188" t="s">
        <v>412</v>
      </c>
      <c r="C723" s="189" t="s">
        <v>413</v>
      </c>
      <c r="D723" s="187">
        <v>268</v>
      </c>
      <c r="E723" s="190">
        <v>2984780</v>
      </c>
      <c r="F723" s="191">
        <v>2976037</v>
      </c>
      <c r="G723" s="255" t="s">
        <v>153</v>
      </c>
      <c r="H723" s="190">
        <v>8743</v>
      </c>
      <c r="I723" s="192">
        <v>0</v>
      </c>
      <c r="J723" s="192">
        <v>0</v>
      </c>
      <c r="K723" s="192">
        <v>0</v>
      </c>
      <c r="L723" s="190">
        <v>8743</v>
      </c>
    </row>
    <row r="724" spans="1:12" ht="15.75" x14ac:dyDescent="0.25">
      <c r="A724" s="187" t="s">
        <v>361</v>
      </c>
      <c r="B724" s="188" t="s">
        <v>86</v>
      </c>
      <c r="C724" s="189" t="s">
        <v>75</v>
      </c>
      <c r="D724" s="187">
        <v>48</v>
      </c>
      <c r="E724" s="190">
        <v>7488914</v>
      </c>
      <c r="F724" s="191">
        <v>7488914</v>
      </c>
      <c r="G724" s="255" t="s">
        <v>153</v>
      </c>
      <c r="H724" s="192">
        <v>0</v>
      </c>
      <c r="I724" s="190">
        <v>895210</v>
      </c>
      <c r="J724" s="190">
        <v>357099</v>
      </c>
      <c r="K724" s="190">
        <v>538111</v>
      </c>
      <c r="L724" s="190">
        <v>-538111</v>
      </c>
    </row>
    <row r="725" spans="1:12" ht="15.75" x14ac:dyDescent="0.25">
      <c r="A725" s="187" t="s">
        <v>361</v>
      </c>
      <c r="B725" s="188" t="s">
        <v>293</v>
      </c>
      <c r="C725" s="189" t="s">
        <v>294</v>
      </c>
      <c r="D725" s="187">
        <v>218</v>
      </c>
      <c r="E725" s="190">
        <v>7119369</v>
      </c>
      <c r="F725" s="191">
        <v>7041267</v>
      </c>
      <c r="G725" s="255" t="s">
        <v>153</v>
      </c>
      <c r="H725" s="190">
        <v>78102</v>
      </c>
      <c r="I725" s="192">
        <v>0</v>
      </c>
      <c r="J725" s="192">
        <v>0</v>
      </c>
      <c r="K725" s="192">
        <v>0</v>
      </c>
      <c r="L725" s="190">
        <v>78102</v>
      </c>
    </row>
    <row r="726" spans="1:12" ht="45.75" x14ac:dyDescent="0.25">
      <c r="A726" s="187" t="s">
        <v>361</v>
      </c>
      <c r="B726" s="188" t="s">
        <v>469</v>
      </c>
      <c r="C726" s="189" t="s">
        <v>62</v>
      </c>
      <c r="D726" s="187">
        <v>271</v>
      </c>
      <c r="E726" s="190">
        <v>2711305</v>
      </c>
      <c r="F726" s="191">
        <v>2687237</v>
      </c>
      <c r="G726" s="255" t="s">
        <v>153</v>
      </c>
      <c r="H726" s="190">
        <v>24068</v>
      </c>
      <c r="I726" s="192">
        <v>0</v>
      </c>
      <c r="J726" s="192">
        <v>0</v>
      </c>
      <c r="K726" s="192">
        <v>0</v>
      </c>
      <c r="L726" s="190">
        <v>24068</v>
      </c>
    </row>
    <row r="727" spans="1:12" ht="45.75" x14ac:dyDescent="0.25">
      <c r="A727" s="187" t="s">
        <v>361</v>
      </c>
      <c r="B727" s="188" t="s">
        <v>437</v>
      </c>
      <c r="C727" s="189" t="s">
        <v>438</v>
      </c>
      <c r="D727" s="187">
        <v>329</v>
      </c>
      <c r="E727" s="190">
        <v>722675</v>
      </c>
      <c r="F727" s="191">
        <v>710144</v>
      </c>
      <c r="G727" s="255" t="s">
        <v>153</v>
      </c>
      <c r="H727" s="190">
        <v>12531</v>
      </c>
      <c r="I727" s="192">
        <v>0</v>
      </c>
      <c r="J727" s="192">
        <v>0</v>
      </c>
      <c r="K727" s="192">
        <v>0</v>
      </c>
      <c r="L727" s="190">
        <v>12531</v>
      </c>
    </row>
    <row r="728" spans="1:12" ht="30.75" x14ac:dyDescent="0.25">
      <c r="A728" s="187" t="s">
        <v>361</v>
      </c>
      <c r="B728" s="188" t="s">
        <v>478</v>
      </c>
      <c r="C728" s="189" t="s">
        <v>406</v>
      </c>
      <c r="D728" s="187">
        <v>139</v>
      </c>
      <c r="E728" s="190">
        <v>3491968</v>
      </c>
      <c r="F728" s="191">
        <v>3491968</v>
      </c>
      <c r="G728" s="255" t="s">
        <v>153</v>
      </c>
      <c r="H728" s="192">
        <v>0</v>
      </c>
      <c r="I728" s="190">
        <v>2397890</v>
      </c>
      <c r="J728" s="192">
        <v>0</v>
      </c>
      <c r="K728" s="190">
        <v>2397890</v>
      </c>
      <c r="L728" s="190">
        <v>-2397890</v>
      </c>
    </row>
    <row r="729" spans="1:12" ht="15.75" x14ac:dyDescent="0.25">
      <c r="A729" s="187" t="s">
        <v>361</v>
      </c>
      <c r="B729" s="188" t="s">
        <v>106</v>
      </c>
      <c r="C729" s="189" t="s">
        <v>92</v>
      </c>
      <c r="D729" s="187">
        <v>244</v>
      </c>
      <c r="E729" s="190">
        <v>1943938</v>
      </c>
      <c r="F729" s="191">
        <v>1943938</v>
      </c>
      <c r="G729" s="255" t="s">
        <v>153</v>
      </c>
      <c r="H729" s="192">
        <v>0</v>
      </c>
      <c r="I729" s="190">
        <v>25317281</v>
      </c>
      <c r="J729" s="190">
        <v>2721523</v>
      </c>
      <c r="K729" s="190">
        <v>22595758</v>
      </c>
      <c r="L729" s="190">
        <v>-22595758</v>
      </c>
    </row>
    <row r="730" spans="1:12" ht="15" customHeight="1" x14ac:dyDescent="0.25">
      <c r="A730" s="187" t="s">
        <v>361</v>
      </c>
      <c r="B730" s="188" t="s">
        <v>446</v>
      </c>
      <c r="C730" s="189" t="s">
        <v>447</v>
      </c>
      <c r="D730" s="187">
        <v>57</v>
      </c>
      <c r="E730" s="190">
        <v>1434260</v>
      </c>
      <c r="F730" s="191">
        <v>1415123</v>
      </c>
      <c r="G730" s="255" t="s">
        <v>153</v>
      </c>
      <c r="H730" s="190">
        <v>19137</v>
      </c>
      <c r="I730" s="192">
        <v>0</v>
      </c>
      <c r="J730" s="192">
        <v>0</v>
      </c>
      <c r="K730" s="192">
        <v>0</v>
      </c>
      <c r="L730" s="190">
        <v>19137</v>
      </c>
    </row>
    <row r="731" spans="1:12" ht="15.75" x14ac:dyDescent="0.25">
      <c r="A731" s="187" t="s">
        <v>361</v>
      </c>
      <c r="B731" s="188" t="s">
        <v>481</v>
      </c>
      <c r="C731" s="189" t="s">
        <v>454</v>
      </c>
      <c r="D731" s="187">
        <v>208</v>
      </c>
      <c r="E731" s="190">
        <v>23725715</v>
      </c>
      <c r="F731" s="191">
        <v>23579326</v>
      </c>
      <c r="G731" s="255" t="s">
        <v>153</v>
      </c>
      <c r="H731" s="190">
        <v>146389</v>
      </c>
      <c r="I731" s="190">
        <v>183082</v>
      </c>
      <c r="J731" s="190">
        <v>183082</v>
      </c>
      <c r="K731" s="192">
        <v>0</v>
      </c>
      <c r="L731" s="190">
        <v>146389</v>
      </c>
    </row>
    <row r="732" spans="1:12" ht="15.75" x14ac:dyDescent="0.25">
      <c r="A732" s="187" t="s">
        <v>361</v>
      </c>
      <c r="B732" s="188" t="s">
        <v>93</v>
      </c>
      <c r="C732" s="189" t="s">
        <v>75</v>
      </c>
      <c r="D732" s="187">
        <v>260</v>
      </c>
      <c r="E732" s="190">
        <v>13819545</v>
      </c>
      <c r="F732" s="191">
        <v>13759745</v>
      </c>
      <c r="G732" s="255" t="s">
        <v>153</v>
      </c>
      <c r="H732" s="190">
        <v>59800</v>
      </c>
      <c r="I732" s="190">
        <v>334584</v>
      </c>
      <c r="J732" s="190">
        <v>334584</v>
      </c>
      <c r="K732" s="192">
        <v>0</v>
      </c>
      <c r="L732" s="190">
        <v>59800</v>
      </c>
    </row>
    <row r="733" spans="1:12" ht="15.75" x14ac:dyDescent="0.25">
      <c r="A733" s="206" t="s">
        <v>391</v>
      </c>
      <c r="B733" s="258" t="s">
        <v>153</v>
      </c>
      <c r="C733" s="258" t="s">
        <v>153</v>
      </c>
      <c r="D733" s="258" t="s">
        <v>153</v>
      </c>
      <c r="E733" s="207">
        <f>SUBTOTAL(109,school200203[Program
Costs])</f>
        <v>321301010</v>
      </c>
      <c r="F733" s="216">
        <f>SUBTOTAL(109,school200203[Less: Net
 Payments and 
Offsets 2])</f>
        <v>313038200</v>
      </c>
      <c r="G733" s="256" t="s">
        <v>153</v>
      </c>
      <c r="H733" s="207">
        <f>SUBTOTAL(109,school200203[Accounts Payable
Balance])</f>
        <v>8262810</v>
      </c>
      <c r="I733" s="207">
        <f>SUBTOTAL(109,school200203[Established
Accounts Receivable])</f>
        <v>30205577</v>
      </c>
      <c r="J733" s="207">
        <f>SUBTOTAL(109,school200203[Less: 
Recovered 
Amount])</f>
        <v>4562729</v>
      </c>
      <c r="K733" s="207">
        <f>SUBTOTAL(109,school200203[Accounts Receivable
Balance])</f>
        <v>25642848</v>
      </c>
      <c r="L733" s="207">
        <f>SUBTOTAL(109,school200203[Net
Balance])</f>
        <v>-17380038</v>
      </c>
    </row>
    <row r="734" spans="1:12" ht="15.75" x14ac:dyDescent="0.25">
      <c r="A734" s="146" t="s">
        <v>181</v>
      </c>
      <c r="B734" s="188"/>
      <c r="C734" s="189"/>
      <c r="D734" s="187"/>
      <c r="E734" s="197"/>
      <c r="F734" s="198"/>
      <c r="G734" s="198"/>
      <c r="H734" s="197"/>
      <c r="I734" s="197"/>
      <c r="J734" s="197"/>
      <c r="K734" s="197"/>
      <c r="L734" s="199"/>
    </row>
    <row r="735" spans="1:12" ht="50.1" customHeight="1" x14ac:dyDescent="0.25">
      <c r="A735" s="34" t="s">
        <v>221</v>
      </c>
      <c r="B735" s="34" t="s">
        <v>268</v>
      </c>
      <c r="C735" s="28" t="s">
        <v>2</v>
      </c>
      <c r="D735" s="34" t="s">
        <v>280</v>
      </c>
      <c r="E735" s="194" t="s">
        <v>223</v>
      </c>
      <c r="F735" s="195" t="s">
        <v>509</v>
      </c>
      <c r="G735" s="252" t="s">
        <v>176</v>
      </c>
      <c r="H735" s="196" t="s">
        <v>270</v>
      </c>
      <c r="I735" s="156" t="s">
        <v>271</v>
      </c>
      <c r="J735" s="194" t="s">
        <v>282</v>
      </c>
      <c r="K735" s="196" t="s">
        <v>272</v>
      </c>
      <c r="L735" s="194" t="s">
        <v>273</v>
      </c>
    </row>
    <row r="736" spans="1:12" ht="15.75" x14ac:dyDescent="0.25">
      <c r="A736" s="187" t="s">
        <v>362</v>
      </c>
      <c r="B736" s="188" t="s">
        <v>482</v>
      </c>
      <c r="C736" s="210" t="s">
        <v>54</v>
      </c>
      <c r="D736" s="187">
        <v>123</v>
      </c>
      <c r="E736" s="190">
        <v>3563107</v>
      </c>
      <c r="F736" s="191">
        <v>3563107</v>
      </c>
      <c r="G736" s="255" t="s">
        <v>153</v>
      </c>
      <c r="H736" s="192">
        <v>0</v>
      </c>
      <c r="I736" s="190">
        <v>838033</v>
      </c>
      <c r="J736" s="190">
        <v>832320</v>
      </c>
      <c r="K736" s="190">
        <v>5713</v>
      </c>
      <c r="L736" s="190">
        <v>-5713</v>
      </c>
    </row>
    <row r="737" spans="1:12" ht="15" customHeight="1" x14ac:dyDescent="0.25">
      <c r="A737" s="187" t="s">
        <v>362</v>
      </c>
      <c r="B737" s="188" t="s">
        <v>434</v>
      </c>
      <c r="C737" s="189" t="s">
        <v>429</v>
      </c>
      <c r="D737" s="187">
        <v>348</v>
      </c>
      <c r="E737" s="190">
        <v>39009871</v>
      </c>
      <c r="F737" s="191">
        <v>35783447</v>
      </c>
      <c r="G737" s="255" t="s">
        <v>153</v>
      </c>
      <c r="H737" s="190">
        <v>3226424</v>
      </c>
      <c r="I737" s="192">
        <v>0</v>
      </c>
      <c r="J737" s="192">
        <v>0</v>
      </c>
      <c r="K737" s="192">
        <v>0</v>
      </c>
      <c r="L737" s="190">
        <v>3226424</v>
      </c>
    </row>
    <row r="738" spans="1:12" ht="15.75" customHeight="1" x14ac:dyDescent="0.25">
      <c r="A738" s="187" t="s">
        <v>362</v>
      </c>
      <c r="B738" s="188" t="s">
        <v>483</v>
      </c>
      <c r="C738" s="189" t="s">
        <v>404</v>
      </c>
      <c r="D738" s="187">
        <v>140</v>
      </c>
      <c r="E738" s="190">
        <v>2457131</v>
      </c>
      <c r="F738" s="191">
        <v>2457131</v>
      </c>
      <c r="G738" s="255" t="s">
        <v>153</v>
      </c>
      <c r="H738" s="192">
        <v>0</v>
      </c>
      <c r="I738" s="190">
        <v>237816</v>
      </c>
      <c r="J738" s="190">
        <v>226307</v>
      </c>
      <c r="K738" s="190">
        <v>11509</v>
      </c>
      <c r="L738" s="190">
        <v>-11509</v>
      </c>
    </row>
    <row r="739" spans="1:12" ht="30.75" customHeight="1" x14ac:dyDescent="0.25">
      <c r="A739" s="187" t="s">
        <v>362</v>
      </c>
      <c r="B739" s="188" t="s">
        <v>50</v>
      </c>
      <c r="C739" s="189" t="s">
        <v>51</v>
      </c>
      <c r="D739" s="187">
        <v>11</v>
      </c>
      <c r="E739" s="190">
        <v>34671017</v>
      </c>
      <c r="F739" s="191">
        <v>34671017</v>
      </c>
      <c r="G739" s="255" t="s">
        <v>153</v>
      </c>
      <c r="H739" s="192">
        <v>0</v>
      </c>
      <c r="I739" s="190">
        <v>7346372</v>
      </c>
      <c r="J739" s="190">
        <v>7327621</v>
      </c>
      <c r="K739" s="190">
        <v>18751</v>
      </c>
      <c r="L739" s="190">
        <v>-18751</v>
      </c>
    </row>
    <row r="740" spans="1:12" ht="15" customHeight="1" x14ac:dyDescent="0.25">
      <c r="A740" s="187" t="s">
        <v>362</v>
      </c>
      <c r="B740" s="188" t="s">
        <v>452</v>
      </c>
      <c r="C740" s="189" t="s">
        <v>60</v>
      </c>
      <c r="D740" s="187">
        <v>223</v>
      </c>
      <c r="E740" s="190">
        <v>5548278</v>
      </c>
      <c r="F740" s="191">
        <v>5548278</v>
      </c>
      <c r="G740" s="255" t="s">
        <v>153</v>
      </c>
      <c r="H740" s="192">
        <v>0</v>
      </c>
      <c r="I740" s="190">
        <v>14656</v>
      </c>
      <c r="J740" s="190">
        <v>9604</v>
      </c>
      <c r="K740" s="190">
        <v>5052</v>
      </c>
      <c r="L740" s="190">
        <v>-5052</v>
      </c>
    </row>
    <row r="741" spans="1:12" ht="15.75" x14ac:dyDescent="0.25">
      <c r="A741" s="187" t="s">
        <v>362</v>
      </c>
      <c r="B741" s="188" t="s">
        <v>71</v>
      </c>
      <c r="C741" s="189" t="s">
        <v>72</v>
      </c>
      <c r="D741" s="187">
        <v>183</v>
      </c>
      <c r="E741" s="190">
        <v>3258459</v>
      </c>
      <c r="F741" s="191">
        <v>3258459</v>
      </c>
      <c r="G741" s="255" t="s">
        <v>153</v>
      </c>
      <c r="H741" s="192">
        <v>0</v>
      </c>
      <c r="I741" s="190">
        <v>2332978</v>
      </c>
      <c r="J741" s="190">
        <v>2331773</v>
      </c>
      <c r="K741" s="190">
        <v>1205</v>
      </c>
      <c r="L741" s="190">
        <v>-1205</v>
      </c>
    </row>
    <row r="742" spans="1:12" ht="30.75" x14ac:dyDescent="0.25">
      <c r="A742" s="187" t="s">
        <v>362</v>
      </c>
      <c r="B742" s="188" t="s">
        <v>484</v>
      </c>
      <c r="C742" s="189" t="s">
        <v>474</v>
      </c>
      <c r="D742" s="187">
        <v>75</v>
      </c>
      <c r="E742" s="190">
        <v>15879587</v>
      </c>
      <c r="F742" s="191">
        <v>15879587</v>
      </c>
      <c r="G742" s="255" t="s">
        <v>153</v>
      </c>
      <c r="H742" s="192">
        <v>0</v>
      </c>
      <c r="I742" s="190">
        <v>4530020</v>
      </c>
      <c r="J742" s="190">
        <v>4529310</v>
      </c>
      <c r="K742" s="190">
        <v>710</v>
      </c>
      <c r="L742" s="190">
        <v>-710</v>
      </c>
    </row>
    <row r="743" spans="1:12" ht="15.75" x14ac:dyDescent="0.25">
      <c r="A743" s="187" t="s">
        <v>362</v>
      </c>
      <c r="B743" s="188" t="s">
        <v>457</v>
      </c>
      <c r="C743" s="189" t="s">
        <v>75</v>
      </c>
      <c r="D743" s="187">
        <v>26</v>
      </c>
      <c r="E743" s="190">
        <v>7958827</v>
      </c>
      <c r="F743" s="191">
        <v>7958827</v>
      </c>
      <c r="G743" s="255" t="s">
        <v>153</v>
      </c>
      <c r="H743" s="192">
        <v>0</v>
      </c>
      <c r="I743" s="190">
        <v>4858960</v>
      </c>
      <c r="J743" s="190">
        <v>4632636</v>
      </c>
      <c r="K743" s="190">
        <v>226324</v>
      </c>
      <c r="L743" s="190">
        <v>-226324</v>
      </c>
    </row>
    <row r="744" spans="1:12" ht="30.75" x14ac:dyDescent="0.25">
      <c r="A744" s="187" t="s">
        <v>362</v>
      </c>
      <c r="B744" s="188" t="s">
        <v>480</v>
      </c>
      <c r="C744" s="189" t="s">
        <v>75</v>
      </c>
      <c r="D744" s="187">
        <v>295</v>
      </c>
      <c r="E744" s="190">
        <v>166695626</v>
      </c>
      <c r="F744" s="191">
        <v>165084881</v>
      </c>
      <c r="G744" s="255" t="s">
        <v>153</v>
      </c>
      <c r="H744" s="190">
        <v>1610745</v>
      </c>
      <c r="I744" s="192">
        <v>0</v>
      </c>
      <c r="J744" s="192">
        <v>0</v>
      </c>
      <c r="K744" s="192">
        <v>0</v>
      </c>
      <c r="L744" s="190">
        <v>1610745</v>
      </c>
    </row>
    <row r="745" spans="1:12" ht="15.75" x14ac:dyDescent="0.25">
      <c r="A745" s="187" t="s">
        <v>362</v>
      </c>
      <c r="B745" s="188" t="s">
        <v>76</v>
      </c>
      <c r="C745" s="189" t="s">
        <v>77</v>
      </c>
      <c r="D745" s="187">
        <v>166</v>
      </c>
      <c r="E745" s="190">
        <v>7701749</v>
      </c>
      <c r="F745" s="191">
        <v>7701749</v>
      </c>
      <c r="G745" s="255" t="s">
        <v>153</v>
      </c>
      <c r="H745" s="192">
        <v>0</v>
      </c>
      <c r="I745" s="190">
        <v>2062132</v>
      </c>
      <c r="J745" s="190">
        <v>2062074</v>
      </c>
      <c r="K745" s="190">
        <v>58</v>
      </c>
      <c r="L745" s="190">
        <v>-58</v>
      </c>
    </row>
    <row r="746" spans="1:12" ht="15.75" x14ac:dyDescent="0.25">
      <c r="A746" s="187" t="s">
        <v>362</v>
      </c>
      <c r="B746" s="188" t="s">
        <v>412</v>
      </c>
      <c r="C746" s="189" t="s">
        <v>413</v>
      </c>
      <c r="D746" s="187">
        <v>268</v>
      </c>
      <c r="E746" s="190">
        <v>2150476</v>
      </c>
      <c r="F746" s="191">
        <v>2145443</v>
      </c>
      <c r="G746" s="255" t="s">
        <v>153</v>
      </c>
      <c r="H746" s="190">
        <v>5033</v>
      </c>
      <c r="I746" s="192">
        <v>0</v>
      </c>
      <c r="J746" s="192">
        <v>0</v>
      </c>
      <c r="K746" s="192">
        <v>0</v>
      </c>
      <c r="L746" s="190">
        <v>5033</v>
      </c>
    </row>
    <row r="747" spans="1:12" ht="15.75" x14ac:dyDescent="0.25">
      <c r="A747" s="187" t="s">
        <v>362</v>
      </c>
      <c r="B747" s="188" t="s">
        <v>414</v>
      </c>
      <c r="C747" s="189" t="s">
        <v>415</v>
      </c>
      <c r="D747" s="187">
        <v>148</v>
      </c>
      <c r="E747" s="190">
        <v>1807989</v>
      </c>
      <c r="F747" s="191">
        <v>1807989</v>
      </c>
      <c r="G747" s="255" t="s">
        <v>153</v>
      </c>
      <c r="H747" s="192">
        <v>0</v>
      </c>
      <c r="I747" s="190">
        <v>767144</v>
      </c>
      <c r="J747" s="190">
        <v>766547</v>
      </c>
      <c r="K747" s="190">
        <v>597</v>
      </c>
      <c r="L747" s="190">
        <v>-597</v>
      </c>
    </row>
    <row r="748" spans="1:12" ht="15.75" x14ac:dyDescent="0.25">
      <c r="A748" s="187" t="s">
        <v>362</v>
      </c>
      <c r="B748" s="188" t="s">
        <v>84</v>
      </c>
      <c r="C748" s="189" t="s">
        <v>85</v>
      </c>
      <c r="D748" s="187">
        <v>153</v>
      </c>
      <c r="E748" s="190">
        <v>8287926</v>
      </c>
      <c r="F748" s="191">
        <v>8287926</v>
      </c>
      <c r="G748" s="255" t="s">
        <v>153</v>
      </c>
      <c r="H748" s="192">
        <v>0</v>
      </c>
      <c r="I748" s="190">
        <v>1426115</v>
      </c>
      <c r="J748" s="190">
        <v>1425358</v>
      </c>
      <c r="K748" s="190">
        <v>757</v>
      </c>
      <c r="L748" s="190">
        <v>-757</v>
      </c>
    </row>
    <row r="749" spans="1:12" ht="15.75" x14ac:dyDescent="0.25">
      <c r="A749" s="187" t="s">
        <v>362</v>
      </c>
      <c r="B749" s="188" t="s">
        <v>102</v>
      </c>
      <c r="C749" s="189" t="s">
        <v>103</v>
      </c>
      <c r="D749" s="187">
        <v>155</v>
      </c>
      <c r="E749" s="190">
        <v>798088</v>
      </c>
      <c r="F749" s="191">
        <v>798088</v>
      </c>
      <c r="G749" s="255" t="s">
        <v>153</v>
      </c>
      <c r="H749" s="192">
        <v>0</v>
      </c>
      <c r="I749" s="190">
        <v>72371</v>
      </c>
      <c r="J749" s="190">
        <v>72080</v>
      </c>
      <c r="K749" s="190">
        <v>291</v>
      </c>
      <c r="L749" s="190">
        <v>-291</v>
      </c>
    </row>
    <row r="750" spans="1:12" ht="15.75" x14ac:dyDescent="0.25">
      <c r="A750" s="187" t="s">
        <v>362</v>
      </c>
      <c r="B750" s="188" t="s">
        <v>464</v>
      </c>
      <c r="C750" s="189" t="s">
        <v>465</v>
      </c>
      <c r="D750" s="187">
        <v>157</v>
      </c>
      <c r="E750" s="190">
        <v>1579905</v>
      </c>
      <c r="F750" s="191">
        <v>1579905</v>
      </c>
      <c r="G750" s="255" t="s">
        <v>153</v>
      </c>
      <c r="H750" s="192">
        <v>0</v>
      </c>
      <c r="I750" s="190">
        <v>818310</v>
      </c>
      <c r="J750" s="190">
        <v>816980</v>
      </c>
      <c r="K750" s="190">
        <v>1330</v>
      </c>
      <c r="L750" s="190">
        <v>-1330</v>
      </c>
    </row>
    <row r="751" spans="1:12" ht="15.75" x14ac:dyDescent="0.25">
      <c r="A751" s="187" t="s">
        <v>362</v>
      </c>
      <c r="B751" s="188" t="s">
        <v>305</v>
      </c>
      <c r="C751" s="189" t="s">
        <v>306</v>
      </c>
      <c r="D751" s="187">
        <v>42</v>
      </c>
      <c r="E751" s="190">
        <v>18517280</v>
      </c>
      <c r="F751" s="191">
        <v>18517280</v>
      </c>
      <c r="G751" s="255" t="s">
        <v>153</v>
      </c>
      <c r="H751" s="192">
        <v>0</v>
      </c>
      <c r="I751" s="190">
        <v>290709</v>
      </c>
      <c r="J751" s="190">
        <v>284043</v>
      </c>
      <c r="K751" s="190">
        <v>6666</v>
      </c>
      <c r="L751" s="190">
        <v>-6666</v>
      </c>
    </row>
    <row r="752" spans="1:12" ht="15.75" x14ac:dyDescent="0.25">
      <c r="A752" s="187" t="s">
        <v>362</v>
      </c>
      <c r="B752" s="188" t="s">
        <v>485</v>
      </c>
      <c r="C752" s="189" t="s">
        <v>294</v>
      </c>
      <c r="D752" s="187">
        <v>201</v>
      </c>
      <c r="E752" s="190">
        <v>556</v>
      </c>
      <c r="F752" s="191">
        <v>556</v>
      </c>
      <c r="G752" s="255" t="s">
        <v>153</v>
      </c>
      <c r="H752" s="192">
        <v>0</v>
      </c>
      <c r="I752" s="190">
        <v>63727</v>
      </c>
      <c r="J752" s="190">
        <v>62836</v>
      </c>
      <c r="K752" s="190">
        <v>891</v>
      </c>
      <c r="L752" s="190">
        <v>-891</v>
      </c>
    </row>
    <row r="753" spans="1:12" ht="15.75" x14ac:dyDescent="0.25">
      <c r="A753" s="187" t="s">
        <v>362</v>
      </c>
      <c r="B753" s="188" t="s">
        <v>293</v>
      </c>
      <c r="C753" s="189" t="s">
        <v>294</v>
      </c>
      <c r="D753" s="187">
        <v>218</v>
      </c>
      <c r="E753" s="190">
        <v>7304994</v>
      </c>
      <c r="F753" s="191">
        <v>7255320</v>
      </c>
      <c r="G753" s="255" t="s">
        <v>153</v>
      </c>
      <c r="H753" s="190">
        <v>49674</v>
      </c>
      <c r="I753" s="190">
        <v>441775</v>
      </c>
      <c r="J753" s="190">
        <v>437972</v>
      </c>
      <c r="K753" s="190">
        <v>3803</v>
      </c>
      <c r="L753" s="190">
        <v>45871</v>
      </c>
    </row>
    <row r="754" spans="1:12" ht="15.75" x14ac:dyDescent="0.25">
      <c r="A754" s="187" t="s">
        <v>362</v>
      </c>
      <c r="B754" s="188" t="s">
        <v>104</v>
      </c>
      <c r="C754" s="189" t="s">
        <v>105</v>
      </c>
      <c r="D754" s="187">
        <v>173</v>
      </c>
      <c r="E754" s="190">
        <v>2301476</v>
      </c>
      <c r="F754" s="191">
        <v>2301476</v>
      </c>
      <c r="G754" s="255" t="s">
        <v>153</v>
      </c>
      <c r="H754" s="192">
        <v>0</v>
      </c>
      <c r="I754" s="190">
        <v>299866</v>
      </c>
      <c r="J754" s="190">
        <v>299485</v>
      </c>
      <c r="K754" s="190">
        <v>381</v>
      </c>
      <c r="L754" s="190">
        <v>-381</v>
      </c>
    </row>
    <row r="755" spans="1:12" ht="15.75" x14ac:dyDescent="0.25">
      <c r="A755" s="187" t="s">
        <v>362</v>
      </c>
      <c r="B755" s="188" t="s">
        <v>467</v>
      </c>
      <c r="C755" s="189" t="s">
        <v>468</v>
      </c>
      <c r="D755" s="187">
        <v>151</v>
      </c>
      <c r="E755" s="190">
        <v>2589924</v>
      </c>
      <c r="F755" s="191">
        <v>2589924</v>
      </c>
      <c r="G755" s="255" t="s">
        <v>153</v>
      </c>
      <c r="H755" s="192">
        <v>0</v>
      </c>
      <c r="I755" s="190">
        <v>269837</v>
      </c>
      <c r="J755" s="190">
        <v>268611</v>
      </c>
      <c r="K755" s="190">
        <v>1226</v>
      </c>
      <c r="L755" s="190">
        <v>-1226</v>
      </c>
    </row>
    <row r="756" spans="1:12" ht="45.75" x14ac:dyDescent="0.25">
      <c r="A756" s="187" t="s">
        <v>362</v>
      </c>
      <c r="B756" s="188" t="s">
        <v>469</v>
      </c>
      <c r="C756" s="189" t="s">
        <v>62</v>
      </c>
      <c r="D756" s="187">
        <v>271</v>
      </c>
      <c r="E756" s="190">
        <v>2441052</v>
      </c>
      <c r="F756" s="191">
        <v>2438012</v>
      </c>
      <c r="G756" s="255" t="s">
        <v>153</v>
      </c>
      <c r="H756" s="190">
        <v>3040</v>
      </c>
      <c r="I756" s="192">
        <v>0</v>
      </c>
      <c r="J756" s="192">
        <v>0</v>
      </c>
      <c r="K756" s="192">
        <v>0</v>
      </c>
      <c r="L756" s="190">
        <v>3040</v>
      </c>
    </row>
    <row r="757" spans="1:12" ht="45.75" x14ac:dyDescent="0.25">
      <c r="A757" s="187" t="s">
        <v>362</v>
      </c>
      <c r="B757" s="188" t="s">
        <v>437</v>
      </c>
      <c r="C757" s="189" t="s">
        <v>438</v>
      </c>
      <c r="D757" s="187">
        <v>329</v>
      </c>
      <c r="E757" s="190">
        <v>456037</v>
      </c>
      <c r="F757" s="191">
        <v>450655</v>
      </c>
      <c r="G757" s="255" t="s">
        <v>153</v>
      </c>
      <c r="H757" s="190">
        <v>5382</v>
      </c>
      <c r="I757" s="192">
        <v>0</v>
      </c>
      <c r="J757" s="192">
        <v>0</v>
      </c>
      <c r="K757" s="192">
        <v>0</v>
      </c>
      <c r="L757" s="190">
        <v>5382</v>
      </c>
    </row>
    <row r="758" spans="1:12" ht="30.75" x14ac:dyDescent="0.25">
      <c r="A758" s="187" t="s">
        <v>362</v>
      </c>
      <c r="B758" s="188" t="s">
        <v>478</v>
      </c>
      <c r="C758" s="189" t="s">
        <v>406</v>
      </c>
      <c r="D758" s="187">
        <v>139</v>
      </c>
      <c r="E758" s="190">
        <v>4917998</v>
      </c>
      <c r="F758" s="191">
        <v>4917998</v>
      </c>
      <c r="G758" s="255" t="s">
        <v>153</v>
      </c>
      <c r="H758" s="192">
        <v>0</v>
      </c>
      <c r="I758" s="190">
        <v>647814</v>
      </c>
      <c r="J758" s="190">
        <v>646501</v>
      </c>
      <c r="K758" s="190">
        <v>1313</v>
      </c>
      <c r="L758" s="190">
        <v>-1313</v>
      </c>
    </row>
    <row r="759" spans="1:12" ht="15.75" x14ac:dyDescent="0.25">
      <c r="A759" s="187" t="s">
        <v>362</v>
      </c>
      <c r="B759" s="188" t="s">
        <v>106</v>
      </c>
      <c r="C759" s="189" t="s">
        <v>92</v>
      </c>
      <c r="D759" s="187">
        <v>244</v>
      </c>
      <c r="E759" s="190">
        <v>2162205</v>
      </c>
      <c r="F759" s="191">
        <v>2162205</v>
      </c>
      <c r="G759" s="255" t="s">
        <v>153</v>
      </c>
      <c r="H759" s="192">
        <v>0</v>
      </c>
      <c r="I759" s="190">
        <v>13814130</v>
      </c>
      <c r="J759" s="190">
        <v>654358</v>
      </c>
      <c r="K759" s="190">
        <v>13159772</v>
      </c>
      <c r="L759" s="190">
        <v>-13159772</v>
      </c>
    </row>
    <row r="760" spans="1:12" ht="30.75" x14ac:dyDescent="0.25">
      <c r="A760" s="187" t="s">
        <v>362</v>
      </c>
      <c r="B760" s="188" t="s">
        <v>439</v>
      </c>
      <c r="C760" s="189" t="s">
        <v>62</v>
      </c>
      <c r="D760" s="187">
        <v>176</v>
      </c>
      <c r="E760" s="190">
        <v>3499900</v>
      </c>
      <c r="F760" s="191">
        <v>3499900</v>
      </c>
      <c r="G760" s="255" t="s">
        <v>153</v>
      </c>
      <c r="H760" s="192">
        <v>0</v>
      </c>
      <c r="I760" s="190">
        <v>1707693</v>
      </c>
      <c r="J760" s="190">
        <v>1706945</v>
      </c>
      <c r="K760" s="190">
        <v>748</v>
      </c>
      <c r="L760" s="190">
        <v>-748</v>
      </c>
    </row>
    <row r="761" spans="1:12" ht="15.75" x14ac:dyDescent="0.25">
      <c r="A761" s="187" t="s">
        <v>362</v>
      </c>
      <c r="B761" s="188" t="s">
        <v>446</v>
      </c>
      <c r="C761" s="189" t="s">
        <v>447</v>
      </c>
      <c r="D761" s="187">
        <v>57</v>
      </c>
      <c r="E761" s="190">
        <v>1491266</v>
      </c>
      <c r="F761" s="191">
        <v>1489175</v>
      </c>
      <c r="G761" s="255" t="s">
        <v>153</v>
      </c>
      <c r="H761" s="190">
        <v>2091</v>
      </c>
      <c r="I761" s="190">
        <v>548259</v>
      </c>
      <c r="J761" s="190">
        <v>548259</v>
      </c>
      <c r="K761" s="192">
        <v>0</v>
      </c>
      <c r="L761" s="190">
        <v>2091</v>
      </c>
    </row>
    <row r="762" spans="1:12" ht="15.75" x14ac:dyDescent="0.25">
      <c r="A762" s="187" t="s">
        <v>362</v>
      </c>
      <c r="B762" s="188" t="s">
        <v>89</v>
      </c>
      <c r="C762" s="189" t="s">
        <v>90</v>
      </c>
      <c r="D762" s="187">
        <v>171</v>
      </c>
      <c r="E762" s="190">
        <v>4549931</v>
      </c>
      <c r="F762" s="191">
        <v>4549931</v>
      </c>
      <c r="G762" s="255" t="s">
        <v>153</v>
      </c>
      <c r="H762" s="192">
        <v>0</v>
      </c>
      <c r="I762" s="190">
        <v>420875</v>
      </c>
      <c r="J762" s="190">
        <v>420292</v>
      </c>
      <c r="K762" s="190">
        <v>583</v>
      </c>
      <c r="L762" s="190">
        <v>-583</v>
      </c>
    </row>
    <row r="763" spans="1:12" ht="15" customHeight="1" x14ac:dyDescent="0.25">
      <c r="A763" s="187" t="s">
        <v>362</v>
      </c>
      <c r="B763" s="188" t="s">
        <v>486</v>
      </c>
      <c r="C763" s="189" t="s">
        <v>487</v>
      </c>
      <c r="D763" s="187">
        <v>156</v>
      </c>
      <c r="E763" s="190">
        <v>5797583</v>
      </c>
      <c r="F763" s="191">
        <v>5797583</v>
      </c>
      <c r="G763" s="255" t="s">
        <v>153</v>
      </c>
      <c r="H763" s="192">
        <v>0</v>
      </c>
      <c r="I763" s="190">
        <v>3639998</v>
      </c>
      <c r="J763" s="190">
        <v>3571501</v>
      </c>
      <c r="K763" s="190">
        <v>68497</v>
      </c>
      <c r="L763" s="190">
        <v>-68497</v>
      </c>
    </row>
    <row r="764" spans="1:12" ht="15.75" x14ac:dyDescent="0.25">
      <c r="A764" s="187" t="s">
        <v>362</v>
      </c>
      <c r="B764" s="188" t="s">
        <v>488</v>
      </c>
      <c r="C764" s="189" t="s">
        <v>489</v>
      </c>
      <c r="D764" s="187">
        <v>146</v>
      </c>
      <c r="E764" s="190">
        <v>1738242</v>
      </c>
      <c r="F764" s="191">
        <v>1738242</v>
      </c>
      <c r="G764" s="255" t="s">
        <v>153</v>
      </c>
      <c r="H764" s="192">
        <v>0</v>
      </c>
      <c r="I764" s="190">
        <v>250700</v>
      </c>
      <c r="J764" s="190">
        <v>250499</v>
      </c>
      <c r="K764" s="190">
        <v>201</v>
      </c>
      <c r="L764" s="190">
        <v>-201</v>
      </c>
    </row>
    <row r="765" spans="1:12" ht="15.75" x14ac:dyDescent="0.25">
      <c r="A765" s="187" t="s">
        <v>362</v>
      </c>
      <c r="B765" s="188" t="s">
        <v>481</v>
      </c>
      <c r="C765" s="189" t="s">
        <v>454</v>
      </c>
      <c r="D765" s="187">
        <v>208</v>
      </c>
      <c r="E765" s="190">
        <v>25057181</v>
      </c>
      <c r="F765" s="191">
        <v>24937249</v>
      </c>
      <c r="G765" s="255" t="s">
        <v>153</v>
      </c>
      <c r="H765" s="190">
        <v>119932</v>
      </c>
      <c r="I765" s="190">
        <v>1138703</v>
      </c>
      <c r="J765" s="190">
        <v>1138703</v>
      </c>
      <c r="K765" s="192">
        <v>0</v>
      </c>
      <c r="L765" s="190">
        <v>119932</v>
      </c>
    </row>
    <row r="766" spans="1:12" ht="15.75" x14ac:dyDescent="0.25">
      <c r="A766" s="187" t="s">
        <v>362</v>
      </c>
      <c r="B766" s="188" t="s">
        <v>93</v>
      </c>
      <c r="C766" s="189" t="s">
        <v>75</v>
      </c>
      <c r="D766" s="187">
        <v>260</v>
      </c>
      <c r="E766" s="190">
        <v>12903346</v>
      </c>
      <c r="F766" s="191">
        <v>12891060</v>
      </c>
      <c r="G766" s="255" t="s">
        <v>153</v>
      </c>
      <c r="H766" s="190">
        <v>12286</v>
      </c>
      <c r="I766" s="190">
        <v>796556</v>
      </c>
      <c r="J766" s="190">
        <v>796556</v>
      </c>
      <c r="K766" s="192">
        <v>0</v>
      </c>
      <c r="L766" s="190">
        <v>12286</v>
      </c>
    </row>
    <row r="767" spans="1:12" ht="15.75" x14ac:dyDescent="0.25">
      <c r="A767" s="206" t="s">
        <v>392</v>
      </c>
      <c r="B767" s="258" t="s">
        <v>153</v>
      </c>
      <c r="C767" s="258" t="s">
        <v>153</v>
      </c>
      <c r="D767" s="258" t="s">
        <v>153</v>
      </c>
      <c r="E767" s="207">
        <f>SUBTOTAL(109,school200102[Program
Costs])</f>
        <v>397097007</v>
      </c>
      <c r="F767" s="216">
        <f>SUBTOTAL(109,school200102[Less: Net
 Payments and 
Offsets 2])</f>
        <v>392062400</v>
      </c>
      <c r="G767" s="256" t="s">
        <v>153</v>
      </c>
      <c r="H767" s="207">
        <f>SUBTOTAL(109,school200102[Accounts Payable
Balance])</f>
        <v>5034607</v>
      </c>
      <c r="I767" s="207">
        <f>SUBTOTAL(109,school200102[Established
Accounts Receivable])</f>
        <v>49635549</v>
      </c>
      <c r="J767" s="207">
        <f>SUBTOTAL(109,school200102[Less: 
Recovered 
Amount])</f>
        <v>36119171</v>
      </c>
      <c r="K767" s="207">
        <f>SUBTOTAL(109,school200102[Accounts Receivable
Balance])</f>
        <v>13516378</v>
      </c>
      <c r="L767" s="207">
        <f>SUBTOTAL(109,school200102[Net
Balance])</f>
        <v>-8481771</v>
      </c>
    </row>
    <row r="768" spans="1:12" ht="15.75" x14ac:dyDescent="0.25">
      <c r="A768" s="146" t="s">
        <v>181</v>
      </c>
      <c r="B768" s="221"/>
      <c r="C768" s="220"/>
      <c r="D768" s="222"/>
      <c r="E768" s="223"/>
      <c r="F768" s="224"/>
      <c r="G768" s="224"/>
      <c r="H768" s="223"/>
      <c r="I768" s="223"/>
      <c r="J768" s="223"/>
      <c r="K768" s="223"/>
      <c r="L768" s="223"/>
    </row>
    <row r="769" spans="1:12" ht="50.1" customHeight="1" x14ac:dyDescent="0.25">
      <c r="A769" s="34" t="s">
        <v>221</v>
      </c>
      <c r="B769" s="34" t="s">
        <v>268</v>
      </c>
      <c r="C769" s="28" t="s">
        <v>2</v>
      </c>
      <c r="D769" s="34" t="s">
        <v>280</v>
      </c>
      <c r="E769" s="194" t="s">
        <v>223</v>
      </c>
      <c r="F769" s="195" t="s">
        <v>509</v>
      </c>
      <c r="G769" s="252" t="s">
        <v>176</v>
      </c>
      <c r="H769" s="196" t="s">
        <v>270</v>
      </c>
      <c r="I769" s="156" t="s">
        <v>271</v>
      </c>
      <c r="J769" s="194" t="s">
        <v>282</v>
      </c>
      <c r="K769" s="196" t="s">
        <v>272</v>
      </c>
      <c r="L769" s="194" t="s">
        <v>273</v>
      </c>
    </row>
    <row r="770" spans="1:12" s="231" customFormat="1" ht="30.75" customHeight="1" x14ac:dyDescent="0.25">
      <c r="A770" s="187" t="s">
        <v>365</v>
      </c>
      <c r="B770" s="188" t="s">
        <v>434</v>
      </c>
      <c r="C770" s="210" t="s">
        <v>429</v>
      </c>
      <c r="D770" s="187">
        <v>348</v>
      </c>
      <c r="E770" s="191">
        <v>37507169</v>
      </c>
      <c r="F770" s="191">
        <v>34737941</v>
      </c>
      <c r="G770" s="255" t="s">
        <v>153</v>
      </c>
      <c r="H770" s="191">
        <v>2769228</v>
      </c>
      <c r="I770" s="193">
        <v>0</v>
      </c>
      <c r="J770" s="193">
        <v>0</v>
      </c>
      <c r="K770" s="193">
        <v>0</v>
      </c>
      <c r="L770" s="191">
        <v>2769228</v>
      </c>
    </row>
    <row r="771" spans="1:12" ht="15.75" x14ac:dyDescent="0.25">
      <c r="A771" s="187" t="s">
        <v>365</v>
      </c>
      <c r="B771" s="188" t="s">
        <v>483</v>
      </c>
      <c r="C771" s="189" t="s">
        <v>404</v>
      </c>
      <c r="D771" s="187">
        <v>140</v>
      </c>
      <c r="E771" s="190">
        <v>4273725</v>
      </c>
      <c r="F771" s="191">
        <v>4273725</v>
      </c>
      <c r="G771" s="255" t="s">
        <v>153</v>
      </c>
      <c r="H771" s="192">
        <v>0</v>
      </c>
      <c r="I771" s="190">
        <v>84006</v>
      </c>
      <c r="J771" s="190">
        <v>82254</v>
      </c>
      <c r="K771" s="190">
        <v>1752</v>
      </c>
      <c r="L771" s="190">
        <v>-1752</v>
      </c>
    </row>
    <row r="772" spans="1:12" ht="15.75" x14ac:dyDescent="0.25">
      <c r="A772" s="187" t="s">
        <v>365</v>
      </c>
      <c r="B772" s="188" t="s">
        <v>71</v>
      </c>
      <c r="C772" s="189" t="s">
        <v>72</v>
      </c>
      <c r="D772" s="187">
        <v>183</v>
      </c>
      <c r="E772" s="190">
        <v>5005920</v>
      </c>
      <c r="F772" s="191">
        <v>5005920</v>
      </c>
      <c r="G772" s="255" t="s">
        <v>153</v>
      </c>
      <c r="H772" s="192">
        <v>0</v>
      </c>
      <c r="I772" s="190">
        <v>743465</v>
      </c>
      <c r="J772" s="190">
        <v>741868</v>
      </c>
      <c r="K772" s="190">
        <v>1597</v>
      </c>
      <c r="L772" s="190">
        <v>-1597</v>
      </c>
    </row>
    <row r="773" spans="1:12" ht="15.75" x14ac:dyDescent="0.25">
      <c r="A773" s="187" t="s">
        <v>365</v>
      </c>
      <c r="B773" s="188" t="s">
        <v>457</v>
      </c>
      <c r="C773" s="189" t="s">
        <v>75</v>
      </c>
      <c r="D773" s="187">
        <v>26</v>
      </c>
      <c r="E773" s="190">
        <v>9008998</v>
      </c>
      <c r="F773" s="191">
        <v>9008998</v>
      </c>
      <c r="G773" s="255" t="s">
        <v>153</v>
      </c>
      <c r="H773" s="192">
        <v>0</v>
      </c>
      <c r="I773" s="190">
        <v>6745209</v>
      </c>
      <c r="J773" s="190">
        <v>6707289</v>
      </c>
      <c r="K773" s="190">
        <v>37920</v>
      </c>
      <c r="L773" s="190">
        <v>-37920</v>
      </c>
    </row>
    <row r="774" spans="1:12" ht="30.75" x14ac:dyDescent="0.25">
      <c r="A774" s="187" t="s">
        <v>365</v>
      </c>
      <c r="B774" s="188" t="s">
        <v>480</v>
      </c>
      <c r="C774" s="189" t="s">
        <v>75</v>
      </c>
      <c r="D774" s="187">
        <v>295</v>
      </c>
      <c r="E774" s="190">
        <v>156326089</v>
      </c>
      <c r="F774" s="191">
        <v>155700922</v>
      </c>
      <c r="G774" s="255" t="s">
        <v>153</v>
      </c>
      <c r="H774" s="190">
        <v>625167</v>
      </c>
      <c r="I774" s="192">
        <v>0</v>
      </c>
      <c r="J774" s="192">
        <v>0</v>
      </c>
      <c r="K774" s="192">
        <v>0</v>
      </c>
      <c r="L774" s="190">
        <v>625167</v>
      </c>
    </row>
    <row r="775" spans="1:12" ht="15.75" x14ac:dyDescent="0.25">
      <c r="A775" s="187" t="s">
        <v>365</v>
      </c>
      <c r="B775" s="188" t="s">
        <v>76</v>
      </c>
      <c r="C775" s="189" t="s">
        <v>77</v>
      </c>
      <c r="D775" s="187">
        <v>166</v>
      </c>
      <c r="E775" s="190">
        <v>8137909</v>
      </c>
      <c r="F775" s="191">
        <v>8137909</v>
      </c>
      <c r="G775" s="255" t="s">
        <v>153</v>
      </c>
      <c r="H775" s="192">
        <v>0</v>
      </c>
      <c r="I775" s="190">
        <v>2391214</v>
      </c>
      <c r="J775" s="190">
        <v>2385214</v>
      </c>
      <c r="K775" s="190">
        <v>6000</v>
      </c>
      <c r="L775" s="190">
        <v>-6000</v>
      </c>
    </row>
    <row r="776" spans="1:12" ht="15.75" x14ac:dyDescent="0.25">
      <c r="A776" s="187" t="s">
        <v>365</v>
      </c>
      <c r="B776" s="188" t="s">
        <v>84</v>
      </c>
      <c r="C776" s="189" t="s">
        <v>85</v>
      </c>
      <c r="D776" s="187">
        <v>153</v>
      </c>
      <c r="E776" s="190">
        <v>9807270</v>
      </c>
      <c r="F776" s="191">
        <v>9807270</v>
      </c>
      <c r="G776" s="255" t="s">
        <v>153</v>
      </c>
      <c r="H776" s="192">
        <v>0</v>
      </c>
      <c r="I776" s="190">
        <v>1636613</v>
      </c>
      <c r="J776" s="190">
        <v>1636463</v>
      </c>
      <c r="K776" s="190">
        <v>150</v>
      </c>
      <c r="L776" s="190">
        <v>-150</v>
      </c>
    </row>
    <row r="777" spans="1:12" ht="15.75" x14ac:dyDescent="0.25">
      <c r="A777" s="187" t="s">
        <v>365</v>
      </c>
      <c r="B777" s="188" t="s">
        <v>363</v>
      </c>
      <c r="C777" s="189" t="s">
        <v>364</v>
      </c>
      <c r="D777" s="187">
        <v>169</v>
      </c>
      <c r="E777" s="190">
        <v>231880</v>
      </c>
      <c r="F777" s="191">
        <v>231880</v>
      </c>
      <c r="G777" s="255" t="s">
        <v>153</v>
      </c>
      <c r="H777" s="192">
        <v>0</v>
      </c>
      <c r="I777" s="190">
        <v>56171</v>
      </c>
      <c r="J777" s="190">
        <v>54892</v>
      </c>
      <c r="K777" s="190">
        <v>1279</v>
      </c>
      <c r="L777" s="190">
        <v>-1279</v>
      </c>
    </row>
    <row r="778" spans="1:12" ht="15.75" x14ac:dyDescent="0.25">
      <c r="A778" s="187" t="s">
        <v>365</v>
      </c>
      <c r="B778" s="188" t="s">
        <v>305</v>
      </c>
      <c r="C778" s="189" t="s">
        <v>306</v>
      </c>
      <c r="D778" s="187">
        <v>42</v>
      </c>
      <c r="E778" s="190">
        <v>15900354</v>
      </c>
      <c r="F778" s="191">
        <v>15900354</v>
      </c>
      <c r="G778" s="255" t="s">
        <v>153</v>
      </c>
      <c r="H778" s="192">
        <v>0</v>
      </c>
      <c r="I778" s="190">
        <v>488975</v>
      </c>
      <c r="J778" s="190">
        <v>487057</v>
      </c>
      <c r="K778" s="190">
        <v>1918</v>
      </c>
      <c r="L778" s="190">
        <v>-1918</v>
      </c>
    </row>
    <row r="779" spans="1:12" ht="15.75" x14ac:dyDescent="0.25">
      <c r="A779" s="187" t="s">
        <v>365</v>
      </c>
      <c r="B779" s="188" t="s">
        <v>370</v>
      </c>
      <c r="C779" s="189" t="s">
        <v>294</v>
      </c>
      <c r="D779" s="187">
        <v>92</v>
      </c>
      <c r="E779" s="190">
        <v>2854</v>
      </c>
      <c r="F779" s="191">
        <v>2854</v>
      </c>
      <c r="G779" s="255" t="s">
        <v>153</v>
      </c>
      <c r="H779" s="192">
        <v>0</v>
      </c>
      <c r="I779" s="190">
        <v>37398</v>
      </c>
      <c r="J779" s="190">
        <v>30346</v>
      </c>
      <c r="K779" s="190">
        <v>7052</v>
      </c>
      <c r="L779" s="190">
        <v>-7052</v>
      </c>
    </row>
    <row r="780" spans="1:12" ht="15.75" x14ac:dyDescent="0.25">
      <c r="A780" s="187" t="s">
        <v>365</v>
      </c>
      <c r="B780" s="188" t="s">
        <v>485</v>
      </c>
      <c r="C780" s="189" t="s">
        <v>294</v>
      </c>
      <c r="D780" s="187">
        <v>201</v>
      </c>
      <c r="E780" s="190">
        <v>10104090</v>
      </c>
      <c r="F780" s="191">
        <v>10093674</v>
      </c>
      <c r="G780" s="255" t="s">
        <v>153</v>
      </c>
      <c r="H780" s="190">
        <v>10416</v>
      </c>
      <c r="I780" s="190">
        <v>124736</v>
      </c>
      <c r="J780" s="190">
        <v>119796</v>
      </c>
      <c r="K780" s="190">
        <v>4940</v>
      </c>
      <c r="L780" s="190">
        <v>5476</v>
      </c>
    </row>
    <row r="781" spans="1:12" ht="15.75" x14ac:dyDescent="0.25">
      <c r="A781" s="187" t="s">
        <v>365</v>
      </c>
      <c r="B781" s="188" t="s">
        <v>293</v>
      </c>
      <c r="C781" s="189" t="s">
        <v>294</v>
      </c>
      <c r="D781" s="187">
        <v>218</v>
      </c>
      <c r="E781" s="190">
        <v>635471</v>
      </c>
      <c r="F781" s="191">
        <v>629646</v>
      </c>
      <c r="G781" s="255" t="s">
        <v>153</v>
      </c>
      <c r="H781" s="190">
        <v>5825</v>
      </c>
      <c r="I781" s="192">
        <v>0</v>
      </c>
      <c r="J781" s="192">
        <v>0</v>
      </c>
      <c r="K781" s="192">
        <v>0</v>
      </c>
      <c r="L781" s="190">
        <v>5825</v>
      </c>
    </row>
    <row r="782" spans="1:12" ht="15.75" x14ac:dyDescent="0.25">
      <c r="A782" s="187" t="s">
        <v>365</v>
      </c>
      <c r="B782" s="188" t="s">
        <v>104</v>
      </c>
      <c r="C782" s="189" t="s">
        <v>105</v>
      </c>
      <c r="D782" s="187">
        <v>173</v>
      </c>
      <c r="E782" s="190">
        <v>2328624</v>
      </c>
      <c r="F782" s="191">
        <v>2328624</v>
      </c>
      <c r="G782" s="255" t="s">
        <v>153</v>
      </c>
      <c r="H782" s="192">
        <v>0</v>
      </c>
      <c r="I782" s="190">
        <v>237134</v>
      </c>
      <c r="J782" s="190">
        <v>236756</v>
      </c>
      <c r="K782" s="190">
        <v>378</v>
      </c>
      <c r="L782" s="190">
        <v>-378</v>
      </c>
    </row>
    <row r="783" spans="1:12" ht="45.75" x14ac:dyDescent="0.25">
      <c r="A783" s="187" t="s">
        <v>365</v>
      </c>
      <c r="B783" s="188" t="s">
        <v>490</v>
      </c>
      <c r="C783" s="189" t="s">
        <v>491</v>
      </c>
      <c r="D783" s="187">
        <v>328</v>
      </c>
      <c r="E783" s="190">
        <v>367657</v>
      </c>
      <c r="F783" s="191">
        <v>366383</v>
      </c>
      <c r="G783" s="255" t="s">
        <v>153</v>
      </c>
      <c r="H783" s="190">
        <v>1274</v>
      </c>
      <c r="I783" s="192">
        <v>0</v>
      </c>
      <c r="J783" s="192">
        <v>0</v>
      </c>
      <c r="K783" s="192">
        <v>0</v>
      </c>
      <c r="L783" s="190">
        <v>1274</v>
      </c>
    </row>
    <row r="784" spans="1:12" ht="30.75" x14ac:dyDescent="0.25">
      <c r="A784" s="187" t="s">
        <v>365</v>
      </c>
      <c r="B784" s="188" t="s">
        <v>478</v>
      </c>
      <c r="C784" s="189" t="s">
        <v>406</v>
      </c>
      <c r="D784" s="187">
        <v>139</v>
      </c>
      <c r="E784" s="190">
        <v>5226049</v>
      </c>
      <c r="F784" s="191">
        <v>5226049</v>
      </c>
      <c r="G784" s="255" t="s">
        <v>153</v>
      </c>
      <c r="H784" s="192">
        <v>0</v>
      </c>
      <c r="I784" s="190">
        <v>301477</v>
      </c>
      <c r="J784" s="190">
        <v>300847</v>
      </c>
      <c r="K784" s="190">
        <v>630</v>
      </c>
      <c r="L784" s="190">
        <v>-630</v>
      </c>
    </row>
    <row r="785" spans="1:12" ht="15.75" x14ac:dyDescent="0.25">
      <c r="A785" s="187" t="s">
        <v>365</v>
      </c>
      <c r="B785" s="188" t="s">
        <v>446</v>
      </c>
      <c r="C785" s="189" t="s">
        <v>447</v>
      </c>
      <c r="D785" s="187">
        <v>57</v>
      </c>
      <c r="E785" s="190">
        <v>1047563</v>
      </c>
      <c r="F785" s="191">
        <v>1047255</v>
      </c>
      <c r="G785" s="255" t="s">
        <v>153</v>
      </c>
      <c r="H785" s="190">
        <v>308</v>
      </c>
      <c r="I785" s="190">
        <v>780671</v>
      </c>
      <c r="J785" s="190">
        <v>780671</v>
      </c>
      <c r="K785" s="192">
        <v>0</v>
      </c>
      <c r="L785" s="190">
        <v>308</v>
      </c>
    </row>
    <row r="786" spans="1:12" ht="15.75" x14ac:dyDescent="0.25">
      <c r="A786" s="187" t="s">
        <v>365</v>
      </c>
      <c r="B786" s="188" t="s">
        <v>492</v>
      </c>
      <c r="C786" s="189" t="s">
        <v>493</v>
      </c>
      <c r="D786" s="187">
        <v>184</v>
      </c>
      <c r="E786" s="190">
        <v>2769154</v>
      </c>
      <c r="F786" s="191">
        <v>2765894</v>
      </c>
      <c r="G786" s="255" t="s">
        <v>153</v>
      </c>
      <c r="H786" s="190">
        <v>3260</v>
      </c>
      <c r="I786" s="190">
        <v>2356</v>
      </c>
      <c r="J786" s="190">
        <v>2356</v>
      </c>
      <c r="K786" s="192">
        <v>0</v>
      </c>
      <c r="L786" s="190">
        <v>3260</v>
      </c>
    </row>
    <row r="787" spans="1:12" ht="30.75" x14ac:dyDescent="0.25">
      <c r="A787" s="187" t="s">
        <v>365</v>
      </c>
      <c r="B787" s="188" t="s">
        <v>486</v>
      </c>
      <c r="C787" s="189" t="s">
        <v>487</v>
      </c>
      <c r="D787" s="187">
        <v>156</v>
      </c>
      <c r="E787" s="190">
        <v>2951587</v>
      </c>
      <c r="F787" s="191">
        <v>2951587</v>
      </c>
      <c r="G787" s="255" t="s">
        <v>153</v>
      </c>
      <c r="H787" s="192">
        <v>0</v>
      </c>
      <c r="I787" s="190">
        <v>4502407</v>
      </c>
      <c r="J787" s="190">
        <v>4444654</v>
      </c>
      <c r="K787" s="190">
        <v>57753</v>
      </c>
      <c r="L787" s="190">
        <v>-57753</v>
      </c>
    </row>
    <row r="788" spans="1:12" ht="15.75" x14ac:dyDescent="0.25">
      <c r="A788" s="187" t="s">
        <v>365</v>
      </c>
      <c r="B788" s="188" t="s">
        <v>448</v>
      </c>
      <c r="C788" s="189" t="s">
        <v>449</v>
      </c>
      <c r="D788" s="187">
        <v>58</v>
      </c>
      <c r="E788" s="190">
        <v>2597892</v>
      </c>
      <c r="F788" s="191">
        <v>2597892</v>
      </c>
      <c r="G788" s="255" t="s">
        <v>153</v>
      </c>
      <c r="H788" s="192">
        <v>0</v>
      </c>
      <c r="I788" s="190">
        <v>227843</v>
      </c>
      <c r="J788" s="190">
        <v>227326</v>
      </c>
      <c r="K788" s="190">
        <v>517</v>
      </c>
      <c r="L788" s="190">
        <v>-517</v>
      </c>
    </row>
    <row r="789" spans="1:12" ht="15.75" x14ac:dyDescent="0.25">
      <c r="A789" s="187" t="s">
        <v>365</v>
      </c>
      <c r="B789" s="188" t="s">
        <v>481</v>
      </c>
      <c r="C789" s="189" t="s">
        <v>454</v>
      </c>
      <c r="D789" s="187">
        <v>208</v>
      </c>
      <c r="E789" s="190">
        <v>21601815</v>
      </c>
      <c r="F789" s="191">
        <v>21537808</v>
      </c>
      <c r="G789" s="255" t="s">
        <v>153</v>
      </c>
      <c r="H789" s="190">
        <v>64007</v>
      </c>
      <c r="I789" s="190">
        <v>1912828</v>
      </c>
      <c r="J789" s="190">
        <v>1912828</v>
      </c>
      <c r="K789" s="192">
        <v>0</v>
      </c>
      <c r="L789" s="190">
        <v>64007</v>
      </c>
    </row>
    <row r="790" spans="1:12" ht="15.75" x14ac:dyDescent="0.25">
      <c r="A790" s="187" t="s">
        <v>365</v>
      </c>
      <c r="B790" s="188" t="s">
        <v>93</v>
      </c>
      <c r="C790" s="189" t="s">
        <v>75</v>
      </c>
      <c r="D790" s="187">
        <v>260</v>
      </c>
      <c r="E790" s="190">
        <v>10398943</v>
      </c>
      <c r="F790" s="191">
        <v>10397070</v>
      </c>
      <c r="G790" s="255" t="s">
        <v>153</v>
      </c>
      <c r="H790" s="190">
        <v>1873</v>
      </c>
      <c r="I790" s="190">
        <v>940785</v>
      </c>
      <c r="J790" s="190">
        <v>940785</v>
      </c>
      <c r="K790" s="192">
        <v>0</v>
      </c>
      <c r="L790" s="190">
        <v>1873</v>
      </c>
    </row>
    <row r="791" spans="1:12" ht="15.75" x14ac:dyDescent="0.25">
      <c r="A791" s="206" t="s">
        <v>393</v>
      </c>
      <c r="B791" s="258" t="s">
        <v>153</v>
      </c>
      <c r="C791" s="258" t="s">
        <v>153</v>
      </c>
      <c r="D791" s="258" t="s">
        <v>153</v>
      </c>
      <c r="E791" s="207">
        <f>SUBTOTAL(109,school200001[Program
Costs])</f>
        <v>306231013</v>
      </c>
      <c r="F791" s="216">
        <f>SUBTOTAL(109,school200001[Less: Net
 Payments and 
Offsets 2])</f>
        <v>302749655</v>
      </c>
      <c r="G791" s="256" t="s">
        <v>153</v>
      </c>
      <c r="H791" s="207">
        <f>SUBTOTAL(109,school200001[Accounts Payable
Balance])</f>
        <v>3481358</v>
      </c>
      <c r="I791" s="207">
        <f>SUBTOTAL(109,school200001[Established
Accounts Receivable])</f>
        <v>21213288</v>
      </c>
      <c r="J791" s="207">
        <f>SUBTOTAL(109,school200001[Less: 
Recovered 
Amount])</f>
        <v>21091402</v>
      </c>
      <c r="K791" s="207">
        <f>SUBTOTAL(109,school200001[Accounts Receivable
Balance])</f>
        <v>121886</v>
      </c>
      <c r="L791" s="207">
        <f>SUBTOTAL(109,school200001[Net
Balance])</f>
        <v>3359472</v>
      </c>
    </row>
    <row r="792" spans="1:12" ht="15.75" x14ac:dyDescent="0.25">
      <c r="A792" s="146" t="s">
        <v>181</v>
      </c>
      <c r="B792" s="221"/>
      <c r="C792" s="220"/>
      <c r="D792" s="222"/>
      <c r="E792" s="230"/>
      <c r="F792" s="225"/>
      <c r="G792" s="225"/>
      <c r="H792" s="230"/>
      <c r="I792" s="230"/>
      <c r="J792" s="230"/>
      <c r="K792" s="230"/>
      <c r="L792" s="223"/>
    </row>
    <row r="793" spans="1:12" ht="50.1" customHeight="1" x14ac:dyDescent="0.25">
      <c r="A793" s="34" t="s">
        <v>221</v>
      </c>
      <c r="B793" s="34" t="s">
        <v>268</v>
      </c>
      <c r="C793" s="28" t="s">
        <v>2</v>
      </c>
      <c r="D793" s="34" t="s">
        <v>280</v>
      </c>
      <c r="E793" s="194" t="s">
        <v>223</v>
      </c>
      <c r="F793" s="195" t="s">
        <v>509</v>
      </c>
      <c r="G793" s="252" t="s">
        <v>176</v>
      </c>
      <c r="H793" s="196" t="s">
        <v>270</v>
      </c>
      <c r="I793" s="156" t="s">
        <v>271</v>
      </c>
      <c r="J793" s="194" t="s">
        <v>282</v>
      </c>
      <c r="K793" s="196" t="s">
        <v>272</v>
      </c>
      <c r="L793" s="194" t="s">
        <v>273</v>
      </c>
    </row>
    <row r="794" spans="1:12" ht="30.75" customHeight="1" x14ac:dyDescent="0.25">
      <c r="A794" s="187" t="s">
        <v>366</v>
      </c>
      <c r="B794" s="188" t="s">
        <v>434</v>
      </c>
      <c r="C794" s="210" t="s">
        <v>429</v>
      </c>
      <c r="D794" s="187">
        <v>348</v>
      </c>
      <c r="E794" s="190">
        <v>35228511</v>
      </c>
      <c r="F794" s="191">
        <v>32753841</v>
      </c>
      <c r="G794" s="255" t="s">
        <v>153</v>
      </c>
      <c r="H794" s="190">
        <v>2474670</v>
      </c>
      <c r="I794" s="192">
        <v>0</v>
      </c>
      <c r="J794" s="192">
        <v>0</v>
      </c>
      <c r="K794" s="192">
        <v>0</v>
      </c>
      <c r="L794" s="190">
        <v>2474670</v>
      </c>
    </row>
    <row r="795" spans="1:12" ht="15.75" x14ac:dyDescent="0.25">
      <c r="A795" s="187" t="s">
        <v>366</v>
      </c>
      <c r="B795" s="188" t="s">
        <v>483</v>
      </c>
      <c r="C795" s="189" t="s">
        <v>404</v>
      </c>
      <c r="D795" s="187">
        <v>140</v>
      </c>
      <c r="E795" s="190">
        <v>3780229</v>
      </c>
      <c r="F795" s="191">
        <v>3780229</v>
      </c>
      <c r="G795" s="255" t="s">
        <v>153</v>
      </c>
      <c r="H795" s="192">
        <v>0</v>
      </c>
      <c r="I795" s="190">
        <v>66628</v>
      </c>
      <c r="J795" s="190">
        <v>64889</v>
      </c>
      <c r="K795" s="190">
        <v>1739</v>
      </c>
      <c r="L795" s="190">
        <v>-1739</v>
      </c>
    </row>
    <row r="796" spans="1:12" ht="30.75" x14ac:dyDescent="0.25">
      <c r="A796" s="187" t="s">
        <v>366</v>
      </c>
      <c r="B796" s="188" t="s">
        <v>50</v>
      </c>
      <c r="C796" s="189" t="s">
        <v>51</v>
      </c>
      <c r="D796" s="187">
        <v>11</v>
      </c>
      <c r="E796" s="190">
        <v>43276594</v>
      </c>
      <c r="F796" s="191">
        <v>43276594</v>
      </c>
      <c r="G796" s="255" t="s">
        <v>153</v>
      </c>
      <c r="H796" s="192">
        <v>0</v>
      </c>
      <c r="I796" s="190">
        <v>5245736</v>
      </c>
      <c r="J796" s="190">
        <v>5240272</v>
      </c>
      <c r="K796" s="190">
        <v>5464</v>
      </c>
      <c r="L796" s="190">
        <v>-5464</v>
      </c>
    </row>
    <row r="797" spans="1:12" ht="15.75" x14ac:dyDescent="0.25">
      <c r="A797" s="187" t="s">
        <v>366</v>
      </c>
      <c r="B797" s="188" t="s">
        <v>457</v>
      </c>
      <c r="C797" s="189" t="s">
        <v>75</v>
      </c>
      <c r="D797" s="187">
        <v>26</v>
      </c>
      <c r="E797" s="190">
        <v>7457120</v>
      </c>
      <c r="F797" s="191">
        <v>7457120</v>
      </c>
      <c r="G797" s="255" t="s">
        <v>153</v>
      </c>
      <c r="H797" s="192">
        <v>0</v>
      </c>
      <c r="I797" s="190">
        <v>1014331</v>
      </c>
      <c r="J797" s="190">
        <v>983829</v>
      </c>
      <c r="K797" s="190">
        <v>30502</v>
      </c>
      <c r="L797" s="190">
        <v>-30502</v>
      </c>
    </row>
    <row r="798" spans="1:12" ht="30.75" x14ac:dyDescent="0.25">
      <c r="A798" s="187" t="s">
        <v>366</v>
      </c>
      <c r="B798" s="188" t="s">
        <v>480</v>
      </c>
      <c r="C798" s="189" t="s">
        <v>75</v>
      </c>
      <c r="D798" s="187">
        <v>295</v>
      </c>
      <c r="E798" s="190">
        <v>136367742</v>
      </c>
      <c r="F798" s="191">
        <v>135960581</v>
      </c>
      <c r="G798" s="255" t="s">
        <v>153</v>
      </c>
      <c r="H798" s="190">
        <v>407161</v>
      </c>
      <c r="I798" s="192">
        <v>0</v>
      </c>
      <c r="J798" s="192">
        <v>0</v>
      </c>
      <c r="K798" s="192">
        <v>0</v>
      </c>
      <c r="L798" s="190">
        <v>407161</v>
      </c>
    </row>
    <row r="799" spans="1:12" ht="15.75" x14ac:dyDescent="0.25">
      <c r="A799" s="187" t="s">
        <v>366</v>
      </c>
      <c r="B799" s="188" t="s">
        <v>305</v>
      </c>
      <c r="C799" s="189" t="s">
        <v>306</v>
      </c>
      <c r="D799" s="187">
        <v>42</v>
      </c>
      <c r="E799" s="190">
        <v>14287192</v>
      </c>
      <c r="F799" s="191">
        <v>14287192</v>
      </c>
      <c r="G799" s="255" t="s">
        <v>153</v>
      </c>
      <c r="H799" s="192">
        <v>0</v>
      </c>
      <c r="I799" s="190">
        <v>111664</v>
      </c>
      <c r="J799" s="190">
        <v>111537</v>
      </c>
      <c r="K799" s="190">
        <v>127</v>
      </c>
      <c r="L799" s="190">
        <v>-127</v>
      </c>
    </row>
    <row r="800" spans="1:12" ht="15.75" x14ac:dyDescent="0.25">
      <c r="A800" s="187" t="s">
        <v>366</v>
      </c>
      <c r="B800" s="188" t="s">
        <v>370</v>
      </c>
      <c r="C800" s="189" t="s">
        <v>294</v>
      </c>
      <c r="D800" s="187">
        <v>92</v>
      </c>
      <c r="E800" s="190">
        <v>4416671</v>
      </c>
      <c r="F800" s="191">
        <v>4416671</v>
      </c>
      <c r="G800" s="255" t="s">
        <v>153</v>
      </c>
      <c r="H800" s="192">
        <v>0</v>
      </c>
      <c r="I800" s="190">
        <v>67236</v>
      </c>
      <c r="J800" s="190">
        <v>67019</v>
      </c>
      <c r="K800" s="190">
        <v>217</v>
      </c>
      <c r="L800" s="190">
        <v>-217</v>
      </c>
    </row>
    <row r="801" spans="1:12" ht="15.75" x14ac:dyDescent="0.25">
      <c r="A801" s="187" t="s">
        <v>366</v>
      </c>
      <c r="B801" s="188" t="s">
        <v>293</v>
      </c>
      <c r="C801" s="189" t="s">
        <v>294</v>
      </c>
      <c r="D801" s="187">
        <v>218</v>
      </c>
      <c r="E801" s="190">
        <v>222400</v>
      </c>
      <c r="F801" s="191">
        <v>219969</v>
      </c>
      <c r="G801" s="255" t="s">
        <v>153</v>
      </c>
      <c r="H801" s="190">
        <v>2431</v>
      </c>
      <c r="I801" s="192">
        <v>0</v>
      </c>
      <c r="J801" s="192">
        <v>0</v>
      </c>
      <c r="K801" s="192">
        <v>0</v>
      </c>
      <c r="L801" s="190">
        <v>2431</v>
      </c>
    </row>
    <row r="802" spans="1:12" ht="15.75" x14ac:dyDescent="0.25">
      <c r="A802" s="187" t="s">
        <v>366</v>
      </c>
      <c r="B802" s="188" t="s">
        <v>494</v>
      </c>
      <c r="C802" s="189" t="s">
        <v>493</v>
      </c>
      <c r="D802" s="187">
        <v>137</v>
      </c>
      <c r="E802" s="190">
        <v>242</v>
      </c>
      <c r="F802" s="191">
        <v>242</v>
      </c>
      <c r="G802" s="255" t="s">
        <v>153</v>
      </c>
      <c r="H802" s="192">
        <v>0</v>
      </c>
      <c r="I802" s="190">
        <v>5578</v>
      </c>
      <c r="J802" s="190">
        <v>5336</v>
      </c>
      <c r="K802" s="190">
        <v>242</v>
      </c>
      <c r="L802" s="190">
        <v>-242</v>
      </c>
    </row>
    <row r="803" spans="1:12" ht="15.75" x14ac:dyDescent="0.25">
      <c r="A803" s="187" t="s">
        <v>366</v>
      </c>
      <c r="B803" s="188" t="s">
        <v>492</v>
      </c>
      <c r="C803" s="189" t="s">
        <v>493</v>
      </c>
      <c r="D803" s="187">
        <v>184</v>
      </c>
      <c r="E803" s="190">
        <v>3567570</v>
      </c>
      <c r="F803" s="191">
        <v>3567570</v>
      </c>
      <c r="G803" s="255" t="s">
        <v>153</v>
      </c>
      <c r="H803" s="192">
        <v>0</v>
      </c>
      <c r="I803" s="190">
        <v>21765</v>
      </c>
      <c r="J803" s="190">
        <v>21752</v>
      </c>
      <c r="K803" s="190">
        <v>13</v>
      </c>
      <c r="L803" s="190">
        <v>-13</v>
      </c>
    </row>
    <row r="804" spans="1:12" ht="15.75" x14ac:dyDescent="0.25">
      <c r="A804" s="187" t="s">
        <v>366</v>
      </c>
      <c r="B804" s="188" t="s">
        <v>481</v>
      </c>
      <c r="C804" s="189" t="s">
        <v>454</v>
      </c>
      <c r="D804" s="187">
        <v>208</v>
      </c>
      <c r="E804" s="190">
        <v>23284241</v>
      </c>
      <c r="F804" s="191">
        <v>23249938</v>
      </c>
      <c r="G804" s="255" t="s">
        <v>153</v>
      </c>
      <c r="H804" s="190">
        <v>34303</v>
      </c>
      <c r="I804" s="190">
        <v>1272821</v>
      </c>
      <c r="J804" s="190">
        <v>1272821</v>
      </c>
      <c r="K804" s="192">
        <v>0</v>
      </c>
      <c r="L804" s="190">
        <v>34303</v>
      </c>
    </row>
    <row r="805" spans="1:12" ht="15.75" x14ac:dyDescent="0.25">
      <c r="A805" s="236" t="s">
        <v>394</v>
      </c>
      <c r="B805" s="258" t="s">
        <v>153</v>
      </c>
      <c r="C805" s="258" t="s">
        <v>153</v>
      </c>
      <c r="D805" s="258" t="s">
        <v>153</v>
      </c>
      <c r="E805" s="216">
        <f>SUBTOTAL(109,school199900[Program
Costs])</f>
        <v>271888512</v>
      </c>
      <c r="F805" s="216">
        <f>SUBTOTAL(109,school199900[Less: Net
 Payments and 
Offsets 2])</f>
        <v>268969947</v>
      </c>
      <c r="G805" s="256" t="s">
        <v>153</v>
      </c>
      <c r="H805" s="216">
        <f>SUBTOTAL(109,school199900[Accounts Payable
Balance])</f>
        <v>2918565</v>
      </c>
      <c r="I805" s="216">
        <f>SUBTOTAL(109,school199900[Established
Accounts Receivable])</f>
        <v>7805759</v>
      </c>
      <c r="J805" s="216">
        <f>SUBTOTAL(109,school199900[Less: 
Recovered 
Amount])</f>
        <v>7767455</v>
      </c>
      <c r="K805" s="216">
        <f>SUBTOTAL(109,school199900[Accounts Receivable
Balance])</f>
        <v>38304</v>
      </c>
      <c r="L805" s="216">
        <f>SUBTOTAL(109,school199900[Net
Balance])</f>
        <v>2880261</v>
      </c>
    </row>
    <row r="806" spans="1:12" ht="15.75" x14ac:dyDescent="0.25">
      <c r="A806" s="146" t="s">
        <v>181</v>
      </c>
      <c r="B806" s="233"/>
      <c r="C806" s="232"/>
      <c r="D806" s="232"/>
      <c r="E806" s="234"/>
      <c r="F806" s="234"/>
      <c r="G806" s="234"/>
      <c r="H806" s="234"/>
      <c r="I806" s="234"/>
      <c r="J806" s="234"/>
      <c r="K806" s="234"/>
      <c r="L806" s="235"/>
    </row>
    <row r="807" spans="1:12" ht="50.1" customHeight="1" x14ac:dyDescent="0.25">
      <c r="A807" s="34" t="s">
        <v>221</v>
      </c>
      <c r="B807" s="34" t="s">
        <v>268</v>
      </c>
      <c r="C807" s="28" t="s">
        <v>2</v>
      </c>
      <c r="D807" s="34" t="s">
        <v>280</v>
      </c>
      <c r="E807" s="194" t="s">
        <v>223</v>
      </c>
      <c r="F807" s="195" t="s">
        <v>509</v>
      </c>
      <c r="G807" s="252" t="s">
        <v>176</v>
      </c>
      <c r="H807" s="196" t="s">
        <v>270</v>
      </c>
      <c r="I807" s="156" t="s">
        <v>271</v>
      </c>
      <c r="J807" s="194" t="s">
        <v>282</v>
      </c>
      <c r="K807" s="196" t="s">
        <v>272</v>
      </c>
      <c r="L807" s="194" t="s">
        <v>273</v>
      </c>
    </row>
    <row r="808" spans="1:12" ht="30.75" customHeight="1" x14ac:dyDescent="0.25">
      <c r="A808" s="187" t="s">
        <v>369</v>
      </c>
      <c r="B808" s="188" t="s">
        <v>434</v>
      </c>
      <c r="C808" s="210" t="s">
        <v>429</v>
      </c>
      <c r="D808" s="187">
        <v>348</v>
      </c>
      <c r="E808" s="190">
        <v>33439820</v>
      </c>
      <c r="F808" s="191">
        <v>31066839</v>
      </c>
      <c r="G808" s="255" t="s">
        <v>153</v>
      </c>
      <c r="H808" s="190">
        <v>2372981</v>
      </c>
      <c r="I808" s="192">
        <v>0</v>
      </c>
      <c r="J808" s="192">
        <v>0</v>
      </c>
      <c r="K808" s="192">
        <v>0</v>
      </c>
      <c r="L808" s="190">
        <v>2372981</v>
      </c>
    </row>
    <row r="809" spans="1:12" ht="30.75" x14ac:dyDescent="0.25">
      <c r="A809" s="187" t="s">
        <v>369</v>
      </c>
      <c r="B809" s="188" t="s">
        <v>50</v>
      </c>
      <c r="C809" s="189" t="s">
        <v>51</v>
      </c>
      <c r="D809" s="187">
        <v>11</v>
      </c>
      <c r="E809" s="190">
        <v>44841220</v>
      </c>
      <c r="F809" s="191">
        <v>44841220</v>
      </c>
      <c r="G809" s="255" t="s">
        <v>153</v>
      </c>
      <c r="H809" s="192">
        <v>0</v>
      </c>
      <c r="I809" s="190">
        <v>4763751</v>
      </c>
      <c r="J809" s="190">
        <v>4753555</v>
      </c>
      <c r="K809" s="190">
        <v>10196</v>
      </c>
      <c r="L809" s="190">
        <v>-10196</v>
      </c>
    </row>
    <row r="810" spans="1:12" ht="30.75" x14ac:dyDescent="0.25">
      <c r="A810" s="187" t="s">
        <v>369</v>
      </c>
      <c r="B810" s="188" t="s">
        <v>480</v>
      </c>
      <c r="C810" s="189" t="s">
        <v>75</v>
      </c>
      <c r="D810" s="187">
        <v>295</v>
      </c>
      <c r="E810" s="190">
        <v>113120944</v>
      </c>
      <c r="F810" s="191">
        <v>113117899</v>
      </c>
      <c r="G810" s="255" t="s">
        <v>153</v>
      </c>
      <c r="H810" s="190">
        <v>3045</v>
      </c>
      <c r="I810" s="192">
        <v>0</v>
      </c>
      <c r="J810" s="192">
        <v>0</v>
      </c>
      <c r="K810" s="192">
        <v>0</v>
      </c>
      <c r="L810" s="190">
        <v>3045</v>
      </c>
    </row>
    <row r="811" spans="1:12" ht="15.75" x14ac:dyDescent="0.25">
      <c r="A811" s="187" t="s">
        <v>369</v>
      </c>
      <c r="B811" s="188" t="s">
        <v>305</v>
      </c>
      <c r="C811" s="189" t="s">
        <v>306</v>
      </c>
      <c r="D811" s="187">
        <v>42</v>
      </c>
      <c r="E811" s="190">
        <v>11713000</v>
      </c>
      <c r="F811" s="191">
        <v>11713000</v>
      </c>
      <c r="G811" s="255" t="s">
        <v>153</v>
      </c>
      <c r="H811" s="192">
        <v>0</v>
      </c>
      <c r="I811" s="190">
        <v>1237169</v>
      </c>
      <c r="J811" s="190">
        <v>1236569</v>
      </c>
      <c r="K811" s="190">
        <v>600</v>
      </c>
      <c r="L811" s="190">
        <v>-600</v>
      </c>
    </row>
    <row r="812" spans="1:12" ht="15.75" x14ac:dyDescent="0.25">
      <c r="A812" s="187" t="s">
        <v>369</v>
      </c>
      <c r="B812" s="188" t="s">
        <v>106</v>
      </c>
      <c r="C812" s="189" t="s">
        <v>92</v>
      </c>
      <c r="D812" s="187">
        <v>244</v>
      </c>
      <c r="E812" s="190">
        <v>860408</v>
      </c>
      <c r="F812" s="191">
        <v>860408</v>
      </c>
      <c r="G812" s="255" t="s">
        <v>153</v>
      </c>
      <c r="H812" s="192">
        <v>0</v>
      </c>
      <c r="I812" s="190">
        <v>3186168</v>
      </c>
      <c r="J812" s="190">
        <v>1861377</v>
      </c>
      <c r="K812" s="190">
        <v>1324791</v>
      </c>
      <c r="L812" s="190">
        <v>-1324791</v>
      </c>
    </row>
    <row r="813" spans="1:12" ht="15.75" x14ac:dyDescent="0.25">
      <c r="A813" s="187" t="s">
        <v>369</v>
      </c>
      <c r="B813" s="188" t="s">
        <v>89</v>
      </c>
      <c r="C813" s="189" t="s">
        <v>90</v>
      </c>
      <c r="D813" s="187">
        <v>171</v>
      </c>
      <c r="E813" s="190">
        <v>2804864</v>
      </c>
      <c r="F813" s="191">
        <v>2804864</v>
      </c>
      <c r="G813" s="255" t="s">
        <v>153</v>
      </c>
      <c r="H813" s="192">
        <v>0</v>
      </c>
      <c r="I813" s="190">
        <v>484721</v>
      </c>
      <c r="J813" s="190">
        <v>484421</v>
      </c>
      <c r="K813" s="190">
        <v>300</v>
      </c>
      <c r="L813" s="190">
        <v>-300</v>
      </c>
    </row>
    <row r="814" spans="1:12" ht="15" customHeight="1" x14ac:dyDescent="0.25">
      <c r="A814" s="206" t="s">
        <v>395</v>
      </c>
      <c r="B814" s="258" t="s">
        <v>153</v>
      </c>
      <c r="C814" s="258" t="s">
        <v>153</v>
      </c>
      <c r="D814" s="258" t="s">
        <v>153</v>
      </c>
      <c r="E814" s="207">
        <f>SUBTOTAL(109,school199899[Program
Costs])</f>
        <v>206780256</v>
      </c>
      <c r="F814" s="216">
        <f>SUBTOTAL(109,school199899[Less: Net
 Payments and 
Offsets 2])</f>
        <v>204404230</v>
      </c>
      <c r="G814" s="256" t="s">
        <v>153</v>
      </c>
      <c r="H814" s="207">
        <f>SUBTOTAL(109,school199899[Accounts Payable
Balance])</f>
        <v>2376026</v>
      </c>
      <c r="I814" s="207">
        <f>SUBTOTAL(109,school199899[Established
Accounts Receivable])</f>
        <v>9671809</v>
      </c>
      <c r="J814" s="207">
        <f>SUBTOTAL(109,school199899[Less: 
Recovered 
Amount])</f>
        <v>8335922</v>
      </c>
      <c r="K814" s="207">
        <f>SUBTOTAL(109,school199899[Accounts Receivable
Balance])</f>
        <v>1335887</v>
      </c>
      <c r="L814" s="207">
        <f>SUBTOTAL(109,school199899[Net
Balance])</f>
        <v>1040139</v>
      </c>
    </row>
    <row r="815" spans="1:12" ht="15" customHeight="1" x14ac:dyDescent="0.25">
      <c r="A815" s="146" t="s">
        <v>181</v>
      </c>
      <c r="B815" s="221"/>
      <c r="C815" s="220"/>
      <c r="D815" s="222"/>
      <c r="E815" s="223"/>
      <c r="F815" s="224"/>
      <c r="G815" s="224"/>
      <c r="H815" s="223"/>
      <c r="I815" s="223"/>
      <c r="J815" s="223"/>
      <c r="K815" s="223"/>
      <c r="L815" s="223"/>
    </row>
    <row r="816" spans="1:12" ht="50.1" customHeight="1" x14ac:dyDescent="0.25">
      <c r="A816" s="34" t="s">
        <v>221</v>
      </c>
      <c r="B816" s="34" t="s">
        <v>268</v>
      </c>
      <c r="C816" s="28" t="s">
        <v>2</v>
      </c>
      <c r="D816" s="34" t="s">
        <v>280</v>
      </c>
      <c r="E816" s="194" t="s">
        <v>223</v>
      </c>
      <c r="F816" s="195" t="s">
        <v>509</v>
      </c>
      <c r="G816" s="252" t="s">
        <v>176</v>
      </c>
      <c r="H816" s="196" t="s">
        <v>270</v>
      </c>
      <c r="I816" s="156" t="s">
        <v>271</v>
      </c>
      <c r="J816" s="194" t="s">
        <v>282</v>
      </c>
      <c r="K816" s="196" t="s">
        <v>272</v>
      </c>
      <c r="L816" s="194" t="s">
        <v>273</v>
      </c>
    </row>
    <row r="817" spans="1:12" ht="30.75" customHeight="1" x14ac:dyDescent="0.25">
      <c r="A817" s="187" t="s">
        <v>373</v>
      </c>
      <c r="B817" s="188" t="s">
        <v>434</v>
      </c>
      <c r="C817" s="210" t="s">
        <v>429</v>
      </c>
      <c r="D817" s="187">
        <v>348</v>
      </c>
      <c r="E817" s="190">
        <v>32997398</v>
      </c>
      <c r="F817" s="191">
        <v>30671594</v>
      </c>
      <c r="G817" s="255" t="s">
        <v>153</v>
      </c>
      <c r="H817" s="190">
        <v>2325804</v>
      </c>
      <c r="I817" s="192">
        <v>0</v>
      </c>
      <c r="J817" s="192">
        <v>0</v>
      </c>
      <c r="K817" s="192">
        <v>0</v>
      </c>
      <c r="L817" s="190">
        <v>2325804</v>
      </c>
    </row>
    <row r="818" spans="1:12" ht="30.75" x14ac:dyDescent="0.25">
      <c r="A818" s="187" t="s">
        <v>373</v>
      </c>
      <c r="B818" s="188" t="s">
        <v>50</v>
      </c>
      <c r="C818" s="189" t="s">
        <v>51</v>
      </c>
      <c r="D818" s="187">
        <v>11</v>
      </c>
      <c r="E818" s="190">
        <v>36462408</v>
      </c>
      <c r="F818" s="191">
        <v>36462408</v>
      </c>
      <c r="G818" s="255" t="s">
        <v>153</v>
      </c>
      <c r="H818" s="192">
        <v>0</v>
      </c>
      <c r="I818" s="190">
        <v>6956351</v>
      </c>
      <c r="J818" s="190">
        <v>6947061</v>
      </c>
      <c r="K818" s="190">
        <v>9290</v>
      </c>
      <c r="L818" s="190">
        <v>-9290</v>
      </c>
    </row>
    <row r="819" spans="1:12" ht="30.75" x14ac:dyDescent="0.25">
      <c r="A819" s="187" t="s">
        <v>373</v>
      </c>
      <c r="B819" s="188" t="s">
        <v>484</v>
      </c>
      <c r="C819" s="189" t="s">
        <v>474</v>
      </c>
      <c r="D819" s="187">
        <v>75</v>
      </c>
      <c r="E819" s="190">
        <v>21038713</v>
      </c>
      <c r="F819" s="191">
        <v>21038713</v>
      </c>
      <c r="G819" s="255" t="s">
        <v>153</v>
      </c>
      <c r="H819" s="192">
        <v>0</v>
      </c>
      <c r="I819" s="190">
        <v>1479796</v>
      </c>
      <c r="J819" s="190">
        <v>1479331</v>
      </c>
      <c r="K819" s="190">
        <v>465</v>
      </c>
      <c r="L819" s="190">
        <v>-465</v>
      </c>
    </row>
    <row r="820" spans="1:12" ht="15.75" x14ac:dyDescent="0.25">
      <c r="A820" s="187" t="s">
        <v>373</v>
      </c>
      <c r="B820" s="188" t="s">
        <v>414</v>
      </c>
      <c r="C820" s="189" t="s">
        <v>415</v>
      </c>
      <c r="D820" s="187">
        <v>148</v>
      </c>
      <c r="E820" s="190">
        <v>1779879</v>
      </c>
      <c r="F820" s="191">
        <v>1779879</v>
      </c>
      <c r="G820" s="255" t="s">
        <v>153</v>
      </c>
      <c r="H820" s="192">
        <v>0</v>
      </c>
      <c r="I820" s="190">
        <v>249145</v>
      </c>
      <c r="J820" s="190">
        <v>248887</v>
      </c>
      <c r="K820" s="190">
        <v>258</v>
      </c>
      <c r="L820" s="190">
        <v>-258</v>
      </c>
    </row>
    <row r="821" spans="1:12" ht="30.75" x14ac:dyDescent="0.25">
      <c r="A821" s="187" t="s">
        <v>373</v>
      </c>
      <c r="B821" s="188" t="s">
        <v>495</v>
      </c>
      <c r="C821" s="189" t="s">
        <v>415</v>
      </c>
      <c r="D821" s="187">
        <v>149</v>
      </c>
      <c r="E821" s="190">
        <v>1091525</v>
      </c>
      <c r="F821" s="191">
        <v>1091525</v>
      </c>
      <c r="G821" s="255" t="s">
        <v>153</v>
      </c>
      <c r="H821" s="192">
        <v>0</v>
      </c>
      <c r="I821" s="190">
        <v>437671</v>
      </c>
      <c r="J821" s="190">
        <v>436936</v>
      </c>
      <c r="K821" s="190">
        <v>735</v>
      </c>
      <c r="L821" s="190">
        <v>-735</v>
      </c>
    </row>
    <row r="822" spans="1:12" ht="15.75" x14ac:dyDescent="0.25">
      <c r="A822" s="187" t="s">
        <v>373</v>
      </c>
      <c r="B822" s="188" t="s">
        <v>370</v>
      </c>
      <c r="C822" s="189" t="s">
        <v>294</v>
      </c>
      <c r="D822" s="187">
        <v>92</v>
      </c>
      <c r="E822" s="190">
        <v>3396990</v>
      </c>
      <c r="F822" s="191">
        <v>3396990</v>
      </c>
      <c r="G822" s="255" t="s">
        <v>153</v>
      </c>
      <c r="H822" s="192">
        <v>0</v>
      </c>
      <c r="I822" s="190">
        <v>223087</v>
      </c>
      <c r="J822" s="190">
        <v>220400</v>
      </c>
      <c r="K822" s="190">
        <v>2687</v>
      </c>
      <c r="L822" s="190">
        <v>-2687</v>
      </c>
    </row>
    <row r="823" spans="1:12" ht="15.75" x14ac:dyDescent="0.25">
      <c r="A823" s="236" t="s">
        <v>396</v>
      </c>
      <c r="B823" s="258" t="s">
        <v>153</v>
      </c>
      <c r="C823" s="258" t="s">
        <v>153</v>
      </c>
      <c r="D823" s="258" t="s">
        <v>153</v>
      </c>
      <c r="E823" s="216">
        <f>SUBTOTAL(109,school199798[Program
Costs])</f>
        <v>96766913</v>
      </c>
      <c r="F823" s="216">
        <f>SUBTOTAL(109,school199798[Less: Net
 Payments and 
Offsets 2])</f>
        <v>94441109</v>
      </c>
      <c r="G823" s="256" t="s">
        <v>153</v>
      </c>
      <c r="H823" s="216">
        <f>SUBTOTAL(109,school199798[Accounts Payable
Balance])</f>
        <v>2325804</v>
      </c>
      <c r="I823" s="216">
        <f>SUBTOTAL(109,school199798[Established
Accounts Receivable])</f>
        <v>9346050</v>
      </c>
      <c r="J823" s="216">
        <f>SUBTOTAL(109,school199798[Less: 
Recovered 
Amount])</f>
        <v>9332615</v>
      </c>
      <c r="K823" s="216">
        <f>SUBTOTAL(109,school199798[Accounts Receivable
Balance])</f>
        <v>13435</v>
      </c>
      <c r="L823" s="216">
        <f>SUBTOTAL(109,school199798[Net
Balance])</f>
        <v>2312369</v>
      </c>
    </row>
    <row r="824" spans="1:12" ht="15.75" x14ac:dyDescent="0.25">
      <c r="A824" s="146" t="s">
        <v>181</v>
      </c>
      <c r="B824" s="221"/>
      <c r="C824" s="238"/>
      <c r="D824" s="238"/>
      <c r="E824" s="224"/>
      <c r="F824" s="224"/>
      <c r="G824" s="224"/>
      <c r="H824" s="224"/>
      <c r="I824" s="224"/>
      <c r="J824" s="224"/>
      <c r="K824" s="224"/>
      <c r="L824" s="224"/>
    </row>
    <row r="825" spans="1:12" ht="50.1" customHeight="1" x14ac:dyDescent="0.25">
      <c r="A825" s="34" t="s">
        <v>221</v>
      </c>
      <c r="B825" s="34" t="s">
        <v>268</v>
      </c>
      <c r="C825" s="28" t="s">
        <v>2</v>
      </c>
      <c r="D825" s="34" t="s">
        <v>280</v>
      </c>
      <c r="E825" s="194" t="s">
        <v>223</v>
      </c>
      <c r="F825" s="195" t="s">
        <v>509</v>
      </c>
      <c r="G825" s="252" t="s">
        <v>176</v>
      </c>
      <c r="H825" s="196" t="s">
        <v>270</v>
      </c>
      <c r="I825" s="156" t="s">
        <v>271</v>
      </c>
      <c r="J825" s="194" t="s">
        <v>282</v>
      </c>
      <c r="K825" s="196" t="s">
        <v>272</v>
      </c>
      <c r="L825" s="194" t="s">
        <v>273</v>
      </c>
    </row>
    <row r="826" spans="1:12" ht="30.75" customHeight="1" x14ac:dyDescent="0.25">
      <c r="A826" s="187" t="s">
        <v>374</v>
      </c>
      <c r="B826" s="188" t="s">
        <v>434</v>
      </c>
      <c r="C826" s="210" t="s">
        <v>429</v>
      </c>
      <c r="D826" s="187">
        <v>348</v>
      </c>
      <c r="E826" s="190">
        <v>31728592</v>
      </c>
      <c r="F826" s="191">
        <v>29479003</v>
      </c>
      <c r="G826" s="255" t="s">
        <v>153</v>
      </c>
      <c r="H826" s="190">
        <v>2249589</v>
      </c>
      <c r="I826" s="192">
        <v>0</v>
      </c>
      <c r="J826" s="192">
        <v>0</v>
      </c>
      <c r="K826" s="192">
        <v>0</v>
      </c>
      <c r="L826" s="190">
        <v>2249589</v>
      </c>
    </row>
    <row r="827" spans="1:12" ht="30.75" x14ac:dyDescent="0.25">
      <c r="A827" s="187" t="s">
        <v>374</v>
      </c>
      <c r="B827" s="188" t="s">
        <v>50</v>
      </c>
      <c r="C827" s="189" t="s">
        <v>51</v>
      </c>
      <c r="D827" s="187">
        <v>11</v>
      </c>
      <c r="E827" s="190">
        <v>35731370</v>
      </c>
      <c r="F827" s="191">
        <v>35731370</v>
      </c>
      <c r="G827" s="255" t="s">
        <v>153</v>
      </c>
      <c r="H827" s="192">
        <v>0</v>
      </c>
      <c r="I827" s="190">
        <v>8222200</v>
      </c>
      <c r="J827" s="190">
        <v>8207235</v>
      </c>
      <c r="K827" s="190">
        <v>14965</v>
      </c>
      <c r="L827" s="190">
        <v>-14965</v>
      </c>
    </row>
    <row r="828" spans="1:12" ht="15.75" x14ac:dyDescent="0.25">
      <c r="A828" s="187" t="s">
        <v>374</v>
      </c>
      <c r="B828" s="188" t="s">
        <v>370</v>
      </c>
      <c r="C828" s="189" t="s">
        <v>294</v>
      </c>
      <c r="D828" s="187">
        <v>92</v>
      </c>
      <c r="E828" s="190">
        <v>2713598</v>
      </c>
      <c r="F828" s="191">
        <v>2713598</v>
      </c>
      <c r="G828" s="255" t="s">
        <v>153</v>
      </c>
      <c r="H828" s="192">
        <v>0</v>
      </c>
      <c r="I828" s="190">
        <v>217201</v>
      </c>
      <c r="J828" s="190">
        <v>217050</v>
      </c>
      <c r="K828" s="190">
        <v>151</v>
      </c>
      <c r="L828" s="190">
        <v>-151</v>
      </c>
    </row>
    <row r="829" spans="1:12" ht="30.75" x14ac:dyDescent="0.25">
      <c r="A829" s="187" t="s">
        <v>374</v>
      </c>
      <c r="B829" s="188" t="s">
        <v>486</v>
      </c>
      <c r="C829" s="189" t="s">
        <v>487</v>
      </c>
      <c r="D829" s="187">
        <v>156</v>
      </c>
      <c r="E829" s="190">
        <v>5772216</v>
      </c>
      <c r="F829" s="191">
        <v>5772216</v>
      </c>
      <c r="G829" s="255" t="s">
        <v>153</v>
      </c>
      <c r="H829" s="192">
        <v>0</v>
      </c>
      <c r="I829" s="190">
        <v>136699</v>
      </c>
      <c r="J829" s="190">
        <v>136651</v>
      </c>
      <c r="K829" s="190">
        <v>48</v>
      </c>
      <c r="L829" s="190">
        <v>-48</v>
      </c>
    </row>
    <row r="830" spans="1:12" ht="15.75" x14ac:dyDescent="0.25">
      <c r="A830" s="187" t="s">
        <v>374</v>
      </c>
      <c r="B830" s="188" t="s">
        <v>448</v>
      </c>
      <c r="C830" s="189" t="s">
        <v>449</v>
      </c>
      <c r="D830" s="187">
        <v>58</v>
      </c>
      <c r="E830" s="190">
        <v>2051761</v>
      </c>
      <c r="F830" s="191">
        <v>2051761</v>
      </c>
      <c r="G830" s="255" t="s">
        <v>153</v>
      </c>
      <c r="H830" s="192">
        <v>0</v>
      </c>
      <c r="I830" s="190">
        <v>64789</v>
      </c>
      <c r="J830" s="190">
        <v>64485</v>
      </c>
      <c r="K830" s="190">
        <v>304</v>
      </c>
      <c r="L830" s="190">
        <v>-304</v>
      </c>
    </row>
    <row r="831" spans="1:12" ht="15.75" x14ac:dyDescent="0.25">
      <c r="A831" s="206" t="s">
        <v>397</v>
      </c>
      <c r="B831" s="258" t="s">
        <v>153</v>
      </c>
      <c r="C831" s="258" t="s">
        <v>153</v>
      </c>
      <c r="D831" s="258" t="s">
        <v>153</v>
      </c>
      <c r="E831" s="207">
        <f>SUBTOTAL(109,school199697[Program
Costs])</f>
        <v>77997537</v>
      </c>
      <c r="F831" s="216">
        <f>SUBTOTAL(109,school199697[Less: Net
 Payments and 
Offsets 2])</f>
        <v>75747948</v>
      </c>
      <c r="G831" s="256" t="s">
        <v>153</v>
      </c>
      <c r="H831" s="207">
        <f>SUBTOTAL(109,school199697[Accounts Payable
Balance])</f>
        <v>2249589</v>
      </c>
      <c r="I831" s="207">
        <f>SUBTOTAL(109,school199697[Established
Accounts Receivable])</f>
        <v>8640889</v>
      </c>
      <c r="J831" s="207">
        <f>SUBTOTAL(109,school199697[Less: 
Recovered 
Amount])</f>
        <v>8625421</v>
      </c>
      <c r="K831" s="207">
        <f>SUBTOTAL(109,school199697[Accounts Receivable
Balance])</f>
        <v>15468</v>
      </c>
      <c r="L831" s="207">
        <f>SUBTOTAL(109,school199697[Net
Balance])</f>
        <v>2234121</v>
      </c>
    </row>
    <row r="832" spans="1:12" ht="15.75" x14ac:dyDescent="0.25">
      <c r="A832" s="146" t="s">
        <v>181</v>
      </c>
      <c r="B832" s="188"/>
      <c r="C832" s="189"/>
      <c r="D832" s="187"/>
      <c r="E832" s="197"/>
      <c r="F832" s="198"/>
      <c r="G832" s="198"/>
      <c r="H832" s="197"/>
      <c r="I832" s="197"/>
      <c r="J832" s="197"/>
      <c r="K832" s="197"/>
      <c r="L832" s="199"/>
    </row>
    <row r="833" spans="1:12" ht="50.1" customHeight="1" x14ac:dyDescent="0.25">
      <c r="A833" s="34" t="s">
        <v>221</v>
      </c>
      <c r="B833" s="34" t="s">
        <v>268</v>
      </c>
      <c r="C833" s="28" t="s">
        <v>2</v>
      </c>
      <c r="D833" s="34" t="s">
        <v>280</v>
      </c>
      <c r="E833" s="194" t="s">
        <v>223</v>
      </c>
      <c r="F833" s="195" t="s">
        <v>509</v>
      </c>
      <c r="G833" s="252" t="s">
        <v>176</v>
      </c>
      <c r="H833" s="196" t="s">
        <v>270</v>
      </c>
      <c r="I833" s="156" t="s">
        <v>271</v>
      </c>
      <c r="J833" s="194" t="s">
        <v>282</v>
      </c>
      <c r="K833" s="196" t="s">
        <v>272</v>
      </c>
      <c r="L833" s="194" t="s">
        <v>273</v>
      </c>
    </row>
    <row r="834" spans="1:12" ht="15.75" x14ac:dyDescent="0.25">
      <c r="A834" s="187" t="s">
        <v>375</v>
      </c>
      <c r="B834" s="188" t="s">
        <v>482</v>
      </c>
      <c r="C834" s="210" t="s">
        <v>54</v>
      </c>
      <c r="D834" s="187">
        <v>123</v>
      </c>
      <c r="E834" s="190">
        <v>2063016</v>
      </c>
      <c r="F834" s="191">
        <v>2063016</v>
      </c>
      <c r="G834" s="255" t="s">
        <v>153</v>
      </c>
      <c r="H834" s="192">
        <v>0</v>
      </c>
      <c r="I834" s="190">
        <v>691837</v>
      </c>
      <c r="J834" s="190">
        <v>691774</v>
      </c>
      <c r="K834" s="190">
        <v>63</v>
      </c>
      <c r="L834" s="190">
        <v>-63</v>
      </c>
    </row>
    <row r="835" spans="1:12" ht="30.75" x14ac:dyDescent="0.25">
      <c r="A835" s="187" t="s">
        <v>375</v>
      </c>
      <c r="B835" s="188" t="s">
        <v>434</v>
      </c>
      <c r="C835" s="189" t="s">
        <v>429</v>
      </c>
      <c r="D835" s="187">
        <v>348</v>
      </c>
      <c r="E835" s="190">
        <v>30064772</v>
      </c>
      <c r="F835" s="191">
        <v>27948374</v>
      </c>
      <c r="G835" s="255" t="s">
        <v>153</v>
      </c>
      <c r="H835" s="190">
        <v>2116398</v>
      </c>
      <c r="I835" s="192">
        <v>0</v>
      </c>
      <c r="J835" s="192">
        <v>0</v>
      </c>
      <c r="K835" s="192">
        <v>0</v>
      </c>
      <c r="L835" s="190">
        <v>2116398</v>
      </c>
    </row>
    <row r="836" spans="1:12" ht="30.75" x14ac:dyDescent="0.25">
      <c r="A836" s="187" t="s">
        <v>375</v>
      </c>
      <c r="B836" s="188" t="s">
        <v>50</v>
      </c>
      <c r="C836" s="189" t="s">
        <v>51</v>
      </c>
      <c r="D836" s="187">
        <v>11</v>
      </c>
      <c r="E836" s="190">
        <v>31593705</v>
      </c>
      <c r="F836" s="191">
        <v>31593705</v>
      </c>
      <c r="G836" s="255" t="s">
        <v>153</v>
      </c>
      <c r="H836" s="192">
        <v>0</v>
      </c>
      <c r="I836" s="190">
        <v>9201086</v>
      </c>
      <c r="J836" s="190">
        <v>9191407</v>
      </c>
      <c r="K836" s="190">
        <v>9679</v>
      </c>
      <c r="L836" s="190">
        <v>-9679</v>
      </c>
    </row>
    <row r="837" spans="1:12" ht="15.75" x14ac:dyDescent="0.25">
      <c r="A837" s="187" t="s">
        <v>375</v>
      </c>
      <c r="B837" s="188" t="s">
        <v>496</v>
      </c>
      <c r="C837" s="189" t="s">
        <v>497</v>
      </c>
      <c r="D837" s="187">
        <v>79</v>
      </c>
      <c r="E837" s="190">
        <v>2929406</v>
      </c>
      <c r="F837" s="191">
        <v>2929406</v>
      </c>
      <c r="G837" s="255" t="s">
        <v>153</v>
      </c>
      <c r="H837" s="192">
        <v>0</v>
      </c>
      <c r="I837" s="190">
        <v>60858</v>
      </c>
      <c r="J837" s="190">
        <v>60790</v>
      </c>
      <c r="K837" s="190">
        <v>68</v>
      </c>
      <c r="L837" s="190">
        <v>-68</v>
      </c>
    </row>
    <row r="838" spans="1:12" ht="30.75" x14ac:dyDescent="0.25">
      <c r="A838" s="187" t="s">
        <v>375</v>
      </c>
      <c r="B838" s="188" t="s">
        <v>484</v>
      </c>
      <c r="C838" s="189" t="s">
        <v>474</v>
      </c>
      <c r="D838" s="187">
        <v>75</v>
      </c>
      <c r="E838" s="190">
        <v>7354211</v>
      </c>
      <c r="F838" s="191">
        <v>7354211</v>
      </c>
      <c r="G838" s="255" t="s">
        <v>153</v>
      </c>
      <c r="H838" s="192">
        <v>0</v>
      </c>
      <c r="I838" s="190">
        <v>62469</v>
      </c>
      <c r="J838" s="190">
        <v>62179</v>
      </c>
      <c r="K838" s="190">
        <v>290</v>
      </c>
      <c r="L838" s="190">
        <v>-290</v>
      </c>
    </row>
    <row r="839" spans="1:12" ht="15" customHeight="1" x14ac:dyDescent="0.25">
      <c r="A839" s="187" t="s">
        <v>375</v>
      </c>
      <c r="B839" s="188" t="s">
        <v>370</v>
      </c>
      <c r="C839" s="189" t="s">
        <v>294</v>
      </c>
      <c r="D839" s="187">
        <v>92</v>
      </c>
      <c r="E839" s="190">
        <v>1774560</v>
      </c>
      <c r="F839" s="191">
        <v>1774560</v>
      </c>
      <c r="G839" s="255" t="s">
        <v>153</v>
      </c>
      <c r="H839" s="192">
        <v>0</v>
      </c>
      <c r="I839" s="190">
        <v>208523</v>
      </c>
      <c r="J839" s="190">
        <v>208225</v>
      </c>
      <c r="K839" s="190">
        <v>298</v>
      </c>
      <c r="L839" s="190">
        <v>-298</v>
      </c>
    </row>
    <row r="840" spans="1:12" ht="30.75" x14ac:dyDescent="0.25">
      <c r="A840" s="187" t="s">
        <v>375</v>
      </c>
      <c r="B840" s="188" t="s">
        <v>486</v>
      </c>
      <c r="C840" s="189" t="s">
        <v>487</v>
      </c>
      <c r="D840" s="187">
        <v>156</v>
      </c>
      <c r="E840" s="190">
        <v>4726009</v>
      </c>
      <c r="F840" s="191">
        <v>4726009</v>
      </c>
      <c r="G840" s="255" t="s">
        <v>153</v>
      </c>
      <c r="H840" s="192">
        <v>0</v>
      </c>
      <c r="I840" s="190">
        <v>86368</v>
      </c>
      <c r="J840" s="190">
        <v>86324</v>
      </c>
      <c r="K840" s="190">
        <v>44</v>
      </c>
      <c r="L840" s="190">
        <v>-44</v>
      </c>
    </row>
    <row r="841" spans="1:12" ht="15.75" customHeight="1" x14ac:dyDescent="0.25">
      <c r="A841" s="187" t="s">
        <v>375</v>
      </c>
      <c r="B841" s="188" t="s">
        <v>498</v>
      </c>
      <c r="C841" s="189" t="s">
        <v>499</v>
      </c>
      <c r="D841" s="187">
        <v>115</v>
      </c>
      <c r="E841" s="190">
        <v>562926</v>
      </c>
      <c r="F841" s="191">
        <v>562926</v>
      </c>
      <c r="G841" s="255" t="s">
        <v>153</v>
      </c>
      <c r="H841" s="192">
        <v>0</v>
      </c>
      <c r="I841" s="190">
        <v>219834</v>
      </c>
      <c r="J841" s="190">
        <v>219565</v>
      </c>
      <c r="K841" s="190">
        <v>269</v>
      </c>
      <c r="L841" s="190">
        <v>-269</v>
      </c>
    </row>
    <row r="842" spans="1:12" ht="15.75" x14ac:dyDescent="0.25">
      <c r="A842" s="236" t="s">
        <v>398</v>
      </c>
      <c r="B842" s="258" t="s">
        <v>153</v>
      </c>
      <c r="C842" s="258" t="s">
        <v>153</v>
      </c>
      <c r="D842" s="258" t="s">
        <v>153</v>
      </c>
      <c r="E842" s="216">
        <f>SUBTOTAL(109,school199596[Program
Costs])</f>
        <v>81068605</v>
      </c>
      <c r="F842" s="216">
        <f>SUBTOTAL(109,school199596[Less: Net
 Payments and 
Offsets 2])</f>
        <v>78952207</v>
      </c>
      <c r="G842" s="256" t="s">
        <v>153</v>
      </c>
      <c r="H842" s="208">
        <f>SUBTOTAL(109,school199596[Accounts Payable
Balance])</f>
        <v>2116398</v>
      </c>
      <c r="I842" s="216">
        <f>SUBTOTAL(109,school199596[Established
Accounts Receivable])</f>
        <v>10530975</v>
      </c>
      <c r="J842" s="216">
        <f>SUBTOTAL(109,school199596[Less: 
Recovered 
Amount])</f>
        <v>10520264</v>
      </c>
      <c r="K842" s="216">
        <f>SUBTOTAL(109,school199596[Accounts Receivable
Balance])</f>
        <v>10711</v>
      </c>
      <c r="L842" s="216">
        <f>SUBTOTAL(109,school199596[Net
Balance])</f>
        <v>2105687</v>
      </c>
    </row>
    <row r="843" spans="1:12" ht="15.75" x14ac:dyDescent="0.25">
      <c r="A843" s="146" t="s">
        <v>181</v>
      </c>
      <c r="B843" s="221"/>
      <c r="C843" s="238"/>
      <c r="D843" s="238"/>
      <c r="E843" s="225"/>
      <c r="F843" s="225"/>
      <c r="G843" s="225"/>
      <c r="H843" s="225"/>
      <c r="I843" s="225"/>
      <c r="J843" s="225"/>
      <c r="K843" s="225"/>
      <c r="L843" s="224"/>
    </row>
    <row r="844" spans="1:12" ht="50.1" customHeight="1" x14ac:dyDescent="0.25">
      <c r="A844" s="34" t="s">
        <v>221</v>
      </c>
      <c r="B844" s="34" t="s">
        <v>268</v>
      </c>
      <c r="C844" s="28" t="s">
        <v>2</v>
      </c>
      <c r="D844" s="34" t="s">
        <v>280</v>
      </c>
      <c r="E844" s="194" t="s">
        <v>223</v>
      </c>
      <c r="F844" s="195" t="s">
        <v>509</v>
      </c>
      <c r="G844" s="252" t="s">
        <v>176</v>
      </c>
      <c r="H844" s="196" t="s">
        <v>270</v>
      </c>
      <c r="I844" s="156" t="s">
        <v>271</v>
      </c>
      <c r="J844" s="194" t="s">
        <v>282</v>
      </c>
      <c r="K844" s="196" t="s">
        <v>272</v>
      </c>
      <c r="L844" s="194" t="s">
        <v>273</v>
      </c>
    </row>
    <row r="845" spans="1:12" ht="30.75" x14ac:dyDescent="0.25">
      <c r="A845" s="187" t="s">
        <v>376</v>
      </c>
      <c r="B845" s="217" t="s">
        <v>434</v>
      </c>
      <c r="C845" s="189" t="s">
        <v>429</v>
      </c>
      <c r="D845" s="187">
        <v>348</v>
      </c>
      <c r="E845" s="190">
        <v>28400653</v>
      </c>
      <c r="F845" s="191">
        <v>26404035</v>
      </c>
      <c r="G845" s="255" t="s">
        <v>153</v>
      </c>
      <c r="H845" s="190">
        <v>1996618</v>
      </c>
      <c r="I845" s="192">
        <v>0</v>
      </c>
      <c r="J845" s="192">
        <v>0</v>
      </c>
      <c r="K845" s="192">
        <v>0</v>
      </c>
      <c r="L845" s="190">
        <v>1996618</v>
      </c>
    </row>
    <row r="846" spans="1:12" s="180" customFormat="1" ht="15.75" x14ac:dyDescent="0.25">
      <c r="A846" s="187" t="s">
        <v>376</v>
      </c>
      <c r="B846" s="188" t="s">
        <v>370</v>
      </c>
      <c r="C846" s="189" t="s">
        <v>294</v>
      </c>
      <c r="D846" s="187">
        <v>92</v>
      </c>
      <c r="E846" s="190">
        <v>1128612</v>
      </c>
      <c r="F846" s="191">
        <v>1128612</v>
      </c>
      <c r="G846" s="255" t="s">
        <v>153</v>
      </c>
      <c r="H846" s="192">
        <v>0</v>
      </c>
      <c r="I846" s="190">
        <v>2880</v>
      </c>
      <c r="J846" s="190">
        <v>2634</v>
      </c>
      <c r="K846" s="190">
        <v>246</v>
      </c>
      <c r="L846" s="190">
        <v>-246</v>
      </c>
    </row>
    <row r="847" spans="1:12" ht="15.75" customHeight="1" x14ac:dyDescent="0.25">
      <c r="A847" s="187" t="s">
        <v>376</v>
      </c>
      <c r="B847" s="188" t="s">
        <v>467</v>
      </c>
      <c r="C847" s="189" t="s">
        <v>468</v>
      </c>
      <c r="D847" s="187">
        <v>151</v>
      </c>
      <c r="E847" s="190">
        <v>544631</v>
      </c>
      <c r="F847" s="191">
        <v>544631</v>
      </c>
      <c r="G847" s="255" t="s">
        <v>153</v>
      </c>
      <c r="H847" s="192">
        <v>0</v>
      </c>
      <c r="I847" s="190">
        <v>3055</v>
      </c>
      <c r="J847" s="190">
        <v>2643</v>
      </c>
      <c r="K847" s="190">
        <v>412</v>
      </c>
      <c r="L847" s="190">
        <v>-412</v>
      </c>
    </row>
    <row r="848" spans="1:12" ht="30.75" x14ac:dyDescent="0.25">
      <c r="A848" s="187" t="s">
        <v>376</v>
      </c>
      <c r="B848" s="188" t="s">
        <v>486</v>
      </c>
      <c r="C848" s="189" t="s">
        <v>487</v>
      </c>
      <c r="D848" s="187">
        <v>156</v>
      </c>
      <c r="E848" s="190">
        <v>4230530</v>
      </c>
      <c r="F848" s="191">
        <v>4230530</v>
      </c>
      <c r="G848" s="255" t="s">
        <v>153</v>
      </c>
      <c r="H848" s="192">
        <v>0</v>
      </c>
      <c r="I848" s="190">
        <v>73525</v>
      </c>
      <c r="J848" s="190">
        <v>73477</v>
      </c>
      <c r="K848" s="190">
        <v>48</v>
      </c>
      <c r="L848" s="190">
        <v>-48</v>
      </c>
    </row>
    <row r="849" spans="1:12" ht="15.75" x14ac:dyDescent="0.25">
      <c r="A849" s="236" t="s">
        <v>399</v>
      </c>
      <c r="B849" s="258" t="s">
        <v>153</v>
      </c>
      <c r="C849" s="258" t="s">
        <v>153</v>
      </c>
      <c r="D849" s="258" t="s">
        <v>153</v>
      </c>
      <c r="E849" s="207">
        <f>SUBTOTAL(109,school199495[Program
Costs])</f>
        <v>34304426</v>
      </c>
      <c r="F849" s="216">
        <f>SUBTOTAL(109,school199495[Less: Net
 Payments and 
Offsets 2])</f>
        <v>32307808</v>
      </c>
      <c r="G849" s="256" t="s">
        <v>153</v>
      </c>
      <c r="H849" s="207">
        <f>SUBTOTAL(109,school199495[Accounts Payable
Balance])</f>
        <v>1996618</v>
      </c>
      <c r="I849" s="207">
        <f>SUBTOTAL(109,school199495[Established
Accounts Receivable])</f>
        <v>79460</v>
      </c>
      <c r="J849" s="207">
        <f>SUBTOTAL(109,school199495[Less: 
Recovered 
Amount])</f>
        <v>78754</v>
      </c>
      <c r="K849" s="207">
        <f>SUBTOTAL(109,school199495[Accounts Receivable
Balance])</f>
        <v>706</v>
      </c>
      <c r="L849" s="207">
        <f>SUBTOTAL(109,school199495[Net
Balance])</f>
        <v>1995912</v>
      </c>
    </row>
    <row r="850" spans="1:12" ht="15.75" x14ac:dyDescent="0.25">
      <c r="A850" s="146" t="s">
        <v>181</v>
      </c>
      <c r="B850" s="221"/>
      <c r="C850" s="220"/>
      <c r="D850" s="222"/>
      <c r="E850" s="230"/>
      <c r="F850" s="225"/>
      <c r="G850" s="225"/>
      <c r="H850" s="230"/>
      <c r="I850" s="230"/>
      <c r="J850" s="230"/>
      <c r="K850" s="230"/>
      <c r="L850" s="223"/>
    </row>
    <row r="851" spans="1:12" ht="50.1" customHeight="1" x14ac:dyDescent="0.25">
      <c r="A851" s="34" t="s">
        <v>221</v>
      </c>
      <c r="B851" s="34" t="s">
        <v>268</v>
      </c>
      <c r="C851" s="28" t="s">
        <v>2</v>
      </c>
      <c r="D851" s="34" t="s">
        <v>280</v>
      </c>
      <c r="E851" s="194" t="s">
        <v>223</v>
      </c>
      <c r="F851" s="195" t="s">
        <v>509</v>
      </c>
      <c r="G851" s="252" t="s">
        <v>176</v>
      </c>
      <c r="H851" s="196" t="s">
        <v>270</v>
      </c>
      <c r="I851" s="156" t="s">
        <v>271</v>
      </c>
      <c r="J851" s="194" t="s">
        <v>282</v>
      </c>
      <c r="K851" s="196" t="s">
        <v>272</v>
      </c>
      <c r="L851" s="194" t="s">
        <v>273</v>
      </c>
    </row>
    <row r="852" spans="1:12" ht="30.75" x14ac:dyDescent="0.25">
      <c r="A852" s="187" t="s">
        <v>500</v>
      </c>
      <c r="B852" s="188" t="s">
        <v>434</v>
      </c>
      <c r="C852" s="210" t="s">
        <v>429</v>
      </c>
      <c r="D852" s="187">
        <v>348</v>
      </c>
      <c r="E852" s="190">
        <v>27596496</v>
      </c>
      <c r="F852" s="191">
        <v>25255912</v>
      </c>
      <c r="G852" s="255" t="s">
        <v>153</v>
      </c>
      <c r="H852" s="190">
        <v>2340584</v>
      </c>
      <c r="I852" s="192">
        <v>0</v>
      </c>
      <c r="J852" s="192">
        <v>0</v>
      </c>
      <c r="K852" s="192">
        <v>0</v>
      </c>
      <c r="L852" s="190">
        <v>2340584</v>
      </c>
    </row>
    <row r="853" spans="1:12" ht="30.75" x14ac:dyDescent="0.25">
      <c r="A853" s="187" t="s">
        <v>500</v>
      </c>
      <c r="B853" s="188" t="s">
        <v>50</v>
      </c>
      <c r="C853" s="189" t="s">
        <v>51</v>
      </c>
      <c r="D853" s="187">
        <v>11</v>
      </c>
      <c r="E853" s="190">
        <v>29969495</v>
      </c>
      <c r="F853" s="191">
        <v>29969495</v>
      </c>
      <c r="G853" s="255" t="s">
        <v>153</v>
      </c>
      <c r="H853" s="192">
        <v>0</v>
      </c>
      <c r="I853" s="190">
        <v>3859762</v>
      </c>
      <c r="J853" s="190">
        <v>3792203</v>
      </c>
      <c r="K853" s="190">
        <v>67559</v>
      </c>
      <c r="L853" s="190">
        <v>-67559</v>
      </c>
    </row>
    <row r="854" spans="1:12" ht="15.75" x14ac:dyDescent="0.25">
      <c r="A854" s="187" t="s">
        <v>500</v>
      </c>
      <c r="B854" s="188" t="s">
        <v>370</v>
      </c>
      <c r="C854" s="189" t="s">
        <v>294</v>
      </c>
      <c r="D854" s="187">
        <v>92</v>
      </c>
      <c r="E854" s="190">
        <v>748308</v>
      </c>
      <c r="F854" s="191">
        <v>748308</v>
      </c>
      <c r="G854" s="255" t="s">
        <v>153</v>
      </c>
      <c r="H854" s="192">
        <v>0</v>
      </c>
      <c r="I854" s="190">
        <v>551</v>
      </c>
      <c r="J854" s="192">
        <v>0</v>
      </c>
      <c r="K854" s="190">
        <v>551</v>
      </c>
      <c r="L854" s="190">
        <v>-551</v>
      </c>
    </row>
    <row r="855" spans="1:12" ht="30.75" x14ac:dyDescent="0.25">
      <c r="A855" s="187" t="s">
        <v>500</v>
      </c>
      <c r="B855" s="188" t="s">
        <v>486</v>
      </c>
      <c r="C855" s="189" t="s">
        <v>487</v>
      </c>
      <c r="D855" s="187">
        <v>156</v>
      </c>
      <c r="E855" s="190">
        <v>2184496</v>
      </c>
      <c r="F855" s="191">
        <v>2184496</v>
      </c>
      <c r="G855" s="255" t="s">
        <v>153</v>
      </c>
      <c r="H855" s="192">
        <v>0</v>
      </c>
      <c r="I855" s="190">
        <v>32867</v>
      </c>
      <c r="J855" s="190">
        <v>32835</v>
      </c>
      <c r="K855" s="190">
        <v>32</v>
      </c>
      <c r="L855" s="190">
        <v>-32</v>
      </c>
    </row>
    <row r="856" spans="1:12" ht="15.75" x14ac:dyDescent="0.25">
      <c r="A856" s="206" t="s">
        <v>512</v>
      </c>
      <c r="B856" s="258" t="s">
        <v>153</v>
      </c>
      <c r="C856" s="258" t="s">
        <v>153</v>
      </c>
      <c r="D856" s="258" t="s">
        <v>153</v>
      </c>
      <c r="E856" s="207">
        <f>SUBTOTAL(109,school199394[Program
Costs])</f>
        <v>60498795</v>
      </c>
      <c r="F856" s="216">
        <f>SUBTOTAL(109,school199394[Less: Net
 Payments and 
Offsets 2])</f>
        <v>58158211</v>
      </c>
      <c r="G856" s="256" t="s">
        <v>153</v>
      </c>
      <c r="H856" s="207">
        <f>SUBTOTAL(109,school199394[Accounts Payable
Balance])</f>
        <v>2340584</v>
      </c>
      <c r="I856" s="207">
        <f>SUBTOTAL(109,school199394[Established
Accounts Receivable])</f>
        <v>3893180</v>
      </c>
      <c r="J856" s="241">
        <f>SUBTOTAL(109,school199394[Less: 
Recovered 
Amount])</f>
        <v>3825038</v>
      </c>
      <c r="K856" s="207">
        <f>SUBTOTAL(109,school199394[Accounts Receivable
Balance])</f>
        <v>68142</v>
      </c>
      <c r="L856" s="207">
        <f>SUBTOTAL(109,school199394[Net
Balance])</f>
        <v>2272442</v>
      </c>
    </row>
    <row r="857" spans="1:12" ht="15.75" x14ac:dyDescent="0.25">
      <c r="A857" s="146" t="s">
        <v>181</v>
      </c>
      <c r="B857" s="221"/>
      <c r="C857" s="220"/>
      <c r="D857" s="222"/>
      <c r="E857" s="223"/>
      <c r="F857" s="224"/>
      <c r="G857" s="224"/>
      <c r="H857" s="223"/>
      <c r="I857" s="223"/>
      <c r="J857" s="242"/>
      <c r="K857" s="223"/>
      <c r="L857" s="223"/>
    </row>
    <row r="858" spans="1:12" ht="50.1" customHeight="1" x14ac:dyDescent="0.25">
      <c r="A858" s="34" t="s">
        <v>221</v>
      </c>
      <c r="B858" s="34" t="s">
        <v>268</v>
      </c>
      <c r="C858" s="28" t="s">
        <v>2</v>
      </c>
      <c r="D858" s="34" t="s">
        <v>280</v>
      </c>
      <c r="E858" s="194" t="s">
        <v>223</v>
      </c>
      <c r="F858" s="195" t="s">
        <v>509</v>
      </c>
      <c r="G858" s="252" t="s">
        <v>176</v>
      </c>
      <c r="H858" s="196" t="s">
        <v>270</v>
      </c>
      <c r="I858" s="156" t="s">
        <v>271</v>
      </c>
      <c r="J858" s="194" t="s">
        <v>282</v>
      </c>
      <c r="K858" s="196" t="s">
        <v>272</v>
      </c>
      <c r="L858" s="194" t="s">
        <v>273</v>
      </c>
    </row>
    <row r="859" spans="1:12" ht="15.75" x14ac:dyDescent="0.25">
      <c r="A859" s="187" t="s">
        <v>377</v>
      </c>
      <c r="B859" s="217" t="s">
        <v>501</v>
      </c>
      <c r="C859" s="189" t="s">
        <v>502</v>
      </c>
      <c r="D859" s="187">
        <v>114</v>
      </c>
      <c r="E859" s="190">
        <v>11846195</v>
      </c>
      <c r="F859" s="191">
        <v>11846195</v>
      </c>
      <c r="G859" s="255" t="s">
        <v>153</v>
      </c>
      <c r="H859" s="192">
        <v>0</v>
      </c>
      <c r="I859" s="190">
        <v>1179938</v>
      </c>
      <c r="J859" s="190">
        <v>1179552</v>
      </c>
      <c r="K859" s="190">
        <v>386</v>
      </c>
      <c r="L859" s="190">
        <v>-386</v>
      </c>
    </row>
    <row r="860" spans="1:12" ht="30.75" x14ac:dyDescent="0.25">
      <c r="A860" s="187" t="s">
        <v>377</v>
      </c>
      <c r="B860" s="188" t="s">
        <v>50</v>
      </c>
      <c r="C860" s="189" t="s">
        <v>51</v>
      </c>
      <c r="D860" s="187">
        <v>11</v>
      </c>
      <c r="E860" s="190">
        <v>29309462</v>
      </c>
      <c r="F860" s="191">
        <v>29309462</v>
      </c>
      <c r="G860" s="255" t="s">
        <v>153</v>
      </c>
      <c r="H860" s="192">
        <v>0</v>
      </c>
      <c r="I860" s="190">
        <v>3004258</v>
      </c>
      <c r="J860" s="190">
        <v>2983106</v>
      </c>
      <c r="K860" s="190">
        <v>21152</v>
      </c>
      <c r="L860" s="190">
        <v>-21152</v>
      </c>
    </row>
    <row r="861" spans="1:12" ht="15.75" x14ac:dyDescent="0.25">
      <c r="A861" s="187" t="s">
        <v>377</v>
      </c>
      <c r="B861" s="188" t="s">
        <v>496</v>
      </c>
      <c r="C861" s="189" t="s">
        <v>497</v>
      </c>
      <c r="D861" s="187">
        <v>79</v>
      </c>
      <c r="E861" s="190">
        <v>1853410</v>
      </c>
      <c r="F861" s="191">
        <v>1853410</v>
      </c>
      <c r="G861" s="255" t="s">
        <v>153</v>
      </c>
      <c r="H861" s="192">
        <v>0</v>
      </c>
      <c r="I861" s="190">
        <v>654070</v>
      </c>
      <c r="J861" s="190">
        <v>649037</v>
      </c>
      <c r="K861" s="190">
        <v>5033</v>
      </c>
      <c r="L861" s="190">
        <v>-5033</v>
      </c>
    </row>
    <row r="862" spans="1:12" ht="15.75" x14ac:dyDescent="0.25">
      <c r="A862" s="206" t="s">
        <v>400</v>
      </c>
      <c r="B862" s="258" t="s">
        <v>153</v>
      </c>
      <c r="C862" s="258" t="s">
        <v>153</v>
      </c>
      <c r="D862" s="258" t="s">
        <v>153</v>
      </c>
      <c r="E862" s="207">
        <f>SUBTOTAL(109,school199293[Program
Costs])</f>
        <v>43009067</v>
      </c>
      <c r="F862" s="216">
        <f>SUBTOTAL(109,school199293[Less: Net
 Payments and 
Offsets 2])</f>
        <v>43009067</v>
      </c>
      <c r="G862" s="256" t="s">
        <v>153</v>
      </c>
      <c r="H862" s="209">
        <f>SUBTOTAL(109,school199293[Accounts Payable
Balance])</f>
        <v>0</v>
      </c>
      <c r="I862" s="207">
        <f>SUBTOTAL(109,school199293[Established
Accounts Receivable])</f>
        <v>4838266</v>
      </c>
      <c r="J862" s="207">
        <f>SUBTOTAL(109,school199293[Less: 
Recovered 
Amount])</f>
        <v>4811695</v>
      </c>
      <c r="K862" s="207">
        <f>SUBTOTAL(109,school199293[Accounts Receivable
Balance])</f>
        <v>26571</v>
      </c>
      <c r="L862" s="207">
        <f>SUBTOTAL(109,school199293[Net
Balance])</f>
        <v>-26571</v>
      </c>
    </row>
    <row r="863" spans="1:12" ht="15.75" x14ac:dyDescent="0.25">
      <c r="A863" s="146" t="s">
        <v>181</v>
      </c>
      <c r="B863" s="239"/>
      <c r="C863" s="203"/>
      <c r="D863" s="201"/>
      <c r="E863" s="227"/>
      <c r="F863" s="205"/>
      <c r="G863" s="205"/>
      <c r="H863" s="227"/>
      <c r="I863" s="227"/>
      <c r="J863" s="227"/>
      <c r="K863" s="227"/>
      <c r="L863" s="204"/>
    </row>
    <row r="864" spans="1:12" ht="50.1" customHeight="1" x14ac:dyDescent="0.25">
      <c r="A864" s="34" t="s">
        <v>221</v>
      </c>
      <c r="B864" s="34" t="s">
        <v>268</v>
      </c>
      <c r="C864" s="28" t="s">
        <v>2</v>
      </c>
      <c r="D864" s="34" t="s">
        <v>280</v>
      </c>
      <c r="E864" s="194" t="s">
        <v>223</v>
      </c>
      <c r="F864" s="195" t="s">
        <v>509</v>
      </c>
      <c r="G864" s="252" t="s">
        <v>176</v>
      </c>
      <c r="H864" s="196" t="s">
        <v>270</v>
      </c>
      <c r="I864" s="156" t="s">
        <v>271</v>
      </c>
      <c r="J864" s="194" t="s">
        <v>282</v>
      </c>
      <c r="K864" s="196" t="s">
        <v>272</v>
      </c>
      <c r="L864" s="194" t="s">
        <v>273</v>
      </c>
    </row>
    <row r="865" spans="1:12" ht="15.75" x14ac:dyDescent="0.25">
      <c r="A865" s="187" t="s">
        <v>380</v>
      </c>
      <c r="B865" s="217" t="s">
        <v>501</v>
      </c>
      <c r="C865" s="189" t="s">
        <v>502</v>
      </c>
      <c r="D865" s="187">
        <v>114</v>
      </c>
      <c r="E865" s="190">
        <v>10650345</v>
      </c>
      <c r="F865" s="191">
        <v>10650345</v>
      </c>
      <c r="G865" s="255" t="s">
        <v>153</v>
      </c>
      <c r="H865" s="192">
        <v>0</v>
      </c>
      <c r="I865" s="190">
        <v>1058329</v>
      </c>
      <c r="J865" s="190">
        <v>1057915</v>
      </c>
      <c r="K865" s="190">
        <v>414</v>
      </c>
      <c r="L865" s="190">
        <v>-414</v>
      </c>
    </row>
    <row r="866" spans="1:12" ht="15.75" x14ac:dyDescent="0.25">
      <c r="A866" s="187" t="s">
        <v>380</v>
      </c>
      <c r="B866" s="188" t="s">
        <v>370</v>
      </c>
      <c r="C866" s="189" t="s">
        <v>294</v>
      </c>
      <c r="D866" s="187">
        <v>92</v>
      </c>
      <c r="E866" s="190">
        <v>869812</v>
      </c>
      <c r="F866" s="191">
        <v>869812</v>
      </c>
      <c r="G866" s="255" t="s">
        <v>153</v>
      </c>
      <c r="H866" s="192">
        <v>0</v>
      </c>
      <c r="I866" s="190">
        <v>302710</v>
      </c>
      <c r="J866" s="190">
        <v>302634</v>
      </c>
      <c r="K866" s="190">
        <v>76</v>
      </c>
      <c r="L866" s="190">
        <v>-76</v>
      </c>
    </row>
    <row r="867" spans="1:12" ht="15.75" x14ac:dyDescent="0.25">
      <c r="A867" s="236" t="s">
        <v>401</v>
      </c>
      <c r="B867" s="258" t="s">
        <v>153</v>
      </c>
      <c r="C867" s="258" t="s">
        <v>153</v>
      </c>
      <c r="D867" s="258" t="s">
        <v>153</v>
      </c>
      <c r="E867" s="207">
        <f>SUBTOTAL(109,school199192[Program
Costs])</f>
        <v>11520157</v>
      </c>
      <c r="F867" s="216">
        <f>SUBTOTAL(109,school199192[Less: Net
 Payments and 
Offsets 2])</f>
        <v>11520157</v>
      </c>
      <c r="G867" s="256" t="s">
        <v>153</v>
      </c>
      <c r="H867" s="209">
        <f>SUBTOTAL(109,school199192[Accounts Payable
Balance])</f>
        <v>0</v>
      </c>
      <c r="I867" s="207">
        <f>SUBTOTAL(109,school199192[Established
Accounts Receivable])</f>
        <v>1361039</v>
      </c>
      <c r="J867" s="207">
        <f>SUBTOTAL(109,school199192[Less: 
Recovered 
Amount])</f>
        <v>1360549</v>
      </c>
      <c r="K867" s="207">
        <f>SUBTOTAL(109,school199192[Accounts Receivable
Balance])</f>
        <v>490</v>
      </c>
      <c r="L867" s="207">
        <f>SUBTOTAL(109,school199192[Net
Balance])</f>
        <v>-490</v>
      </c>
    </row>
    <row r="868" spans="1:12" ht="15.75" x14ac:dyDescent="0.25">
      <c r="A868" s="146" t="s">
        <v>181</v>
      </c>
      <c r="B868" s="243"/>
      <c r="C868" s="244"/>
      <c r="D868" s="66"/>
      <c r="E868" s="245"/>
      <c r="F868" s="234"/>
      <c r="G868" s="234"/>
      <c r="H868" s="245"/>
      <c r="I868" s="245"/>
      <c r="J868" s="245"/>
      <c r="K868" s="245"/>
      <c r="L868" s="246"/>
    </row>
    <row r="869" spans="1:12" ht="50.1" customHeight="1" x14ac:dyDescent="0.25">
      <c r="A869" s="34" t="s">
        <v>221</v>
      </c>
      <c r="B869" s="34" t="s">
        <v>268</v>
      </c>
      <c r="C869" s="28" t="s">
        <v>2</v>
      </c>
      <c r="D869" s="34" t="s">
        <v>280</v>
      </c>
      <c r="E869" s="194" t="s">
        <v>223</v>
      </c>
      <c r="F869" s="195" t="s">
        <v>509</v>
      </c>
      <c r="G869" s="252" t="s">
        <v>176</v>
      </c>
      <c r="H869" s="196" t="s">
        <v>270</v>
      </c>
      <c r="I869" s="156" t="s">
        <v>271</v>
      </c>
      <c r="J869" s="194" t="s">
        <v>282</v>
      </c>
      <c r="K869" s="196" t="s">
        <v>272</v>
      </c>
      <c r="L869" s="194" t="s">
        <v>273</v>
      </c>
    </row>
    <row r="870" spans="1:12" ht="15.75" x14ac:dyDescent="0.25">
      <c r="A870" s="187" t="s">
        <v>503</v>
      </c>
      <c r="B870" s="188" t="s">
        <v>501</v>
      </c>
      <c r="C870" s="210" t="s">
        <v>502</v>
      </c>
      <c r="D870" s="187">
        <v>114</v>
      </c>
      <c r="E870" s="190">
        <v>9961940</v>
      </c>
      <c r="F870" s="191">
        <v>9961940</v>
      </c>
      <c r="G870" s="255" t="s">
        <v>153</v>
      </c>
      <c r="H870" s="192">
        <v>0</v>
      </c>
      <c r="I870" s="190">
        <v>1019995</v>
      </c>
      <c r="J870" s="190">
        <v>1019595</v>
      </c>
      <c r="K870" s="190">
        <v>400</v>
      </c>
      <c r="L870" s="190">
        <v>-400</v>
      </c>
    </row>
    <row r="871" spans="1:12" ht="15.75" x14ac:dyDescent="0.25">
      <c r="A871" s="187" t="s">
        <v>503</v>
      </c>
      <c r="B871" s="188" t="s">
        <v>457</v>
      </c>
      <c r="C871" s="189" t="s">
        <v>75</v>
      </c>
      <c r="D871" s="187">
        <v>26</v>
      </c>
      <c r="E871" s="190">
        <v>5435894</v>
      </c>
      <c r="F871" s="191">
        <v>5435894</v>
      </c>
      <c r="G871" s="255" t="s">
        <v>153</v>
      </c>
      <c r="H871" s="192">
        <v>0</v>
      </c>
      <c r="I871" s="190">
        <v>2940929</v>
      </c>
      <c r="J871" s="190">
        <v>2591660</v>
      </c>
      <c r="K871" s="190">
        <v>349269</v>
      </c>
      <c r="L871" s="190">
        <v>-349269</v>
      </c>
    </row>
    <row r="872" spans="1:12" ht="15.75" x14ac:dyDescent="0.25">
      <c r="A872" s="206" t="s">
        <v>513</v>
      </c>
      <c r="B872" s="258" t="s">
        <v>153</v>
      </c>
      <c r="C872" s="258" t="s">
        <v>153</v>
      </c>
      <c r="D872" s="258" t="s">
        <v>153</v>
      </c>
      <c r="E872" s="207">
        <f>SUBTOTAL(109,school199091[Program
Costs])</f>
        <v>15397834</v>
      </c>
      <c r="F872" s="216">
        <f>SUBTOTAL(109,school199091[Less: Net
 Payments and 
Offsets 2])</f>
        <v>15397834</v>
      </c>
      <c r="G872" s="256" t="s">
        <v>153</v>
      </c>
      <c r="H872" s="209">
        <f>SUBTOTAL(109,school199091[Accounts Payable
Balance])</f>
        <v>0</v>
      </c>
      <c r="I872" s="207">
        <f>SUBTOTAL(109,school199091[Established
Accounts Receivable])</f>
        <v>3960924</v>
      </c>
      <c r="J872" s="207">
        <f>SUBTOTAL(109,school199091[Less: 
Recovered 
Amount])</f>
        <v>3611255</v>
      </c>
      <c r="K872" s="207">
        <f>SUBTOTAL(109,school199091[Accounts Receivable
Balance])</f>
        <v>349669</v>
      </c>
      <c r="L872" s="207">
        <f>SUBTOTAL(109,school199091[Net
Balance])</f>
        <v>-349669</v>
      </c>
    </row>
    <row r="873" spans="1:12" ht="15.75" x14ac:dyDescent="0.25">
      <c r="A873" s="146" t="s">
        <v>181</v>
      </c>
      <c r="B873" s="221"/>
      <c r="C873" s="247"/>
      <c r="D873" s="222"/>
      <c r="E873" s="230"/>
      <c r="F873" s="225"/>
      <c r="G873" s="225"/>
      <c r="H873" s="230"/>
      <c r="I873" s="230"/>
      <c r="J873" s="230"/>
      <c r="K873" s="230"/>
      <c r="L873" s="223"/>
    </row>
    <row r="874" spans="1:12" ht="50.1" customHeight="1" x14ac:dyDescent="0.25">
      <c r="A874" s="34" t="s">
        <v>221</v>
      </c>
      <c r="B874" s="34" t="s">
        <v>268</v>
      </c>
      <c r="C874" s="28" t="s">
        <v>2</v>
      </c>
      <c r="D874" s="34" t="s">
        <v>280</v>
      </c>
      <c r="E874" s="194" t="s">
        <v>223</v>
      </c>
      <c r="F874" s="195" t="s">
        <v>509</v>
      </c>
      <c r="G874" s="252" t="s">
        <v>176</v>
      </c>
      <c r="H874" s="196" t="s">
        <v>270</v>
      </c>
      <c r="I874" s="156" t="s">
        <v>271</v>
      </c>
      <c r="J874" s="194" t="s">
        <v>282</v>
      </c>
      <c r="K874" s="196" t="s">
        <v>272</v>
      </c>
      <c r="L874" s="194" t="s">
        <v>273</v>
      </c>
    </row>
    <row r="875" spans="1:12" ht="15.75" x14ac:dyDescent="0.25">
      <c r="A875" s="187" t="s">
        <v>504</v>
      </c>
      <c r="B875" s="188" t="s">
        <v>501</v>
      </c>
      <c r="C875" s="210" t="s">
        <v>502</v>
      </c>
      <c r="D875" s="187">
        <v>114</v>
      </c>
      <c r="E875" s="190">
        <v>9684270</v>
      </c>
      <c r="F875" s="191">
        <v>9684270</v>
      </c>
      <c r="G875" s="255" t="s">
        <v>153</v>
      </c>
      <c r="H875" s="192">
        <v>0</v>
      </c>
      <c r="I875" s="190">
        <v>954100</v>
      </c>
      <c r="J875" s="190">
        <v>953623</v>
      </c>
      <c r="K875" s="190">
        <v>477</v>
      </c>
      <c r="L875" s="190">
        <v>-477</v>
      </c>
    </row>
    <row r="876" spans="1:12" ht="15.75" x14ac:dyDescent="0.25">
      <c r="A876" s="187" t="s">
        <v>504</v>
      </c>
      <c r="B876" s="188" t="s">
        <v>457</v>
      </c>
      <c r="C876" s="189" t="s">
        <v>75</v>
      </c>
      <c r="D876" s="187">
        <v>26</v>
      </c>
      <c r="E876" s="190">
        <v>8260170</v>
      </c>
      <c r="F876" s="191">
        <v>8260170</v>
      </c>
      <c r="G876" s="255" t="s">
        <v>153</v>
      </c>
      <c r="H876" s="192">
        <v>0</v>
      </c>
      <c r="I876" s="190">
        <v>611477</v>
      </c>
      <c r="J876" s="190">
        <v>571387</v>
      </c>
      <c r="K876" s="190">
        <v>40090</v>
      </c>
      <c r="L876" s="190">
        <v>-40090</v>
      </c>
    </row>
    <row r="877" spans="1:12" ht="15.75" x14ac:dyDescent="0.25">
      <c r="A877" s="206" t="s">
        <v>514</v>
      </c>
      <c r="B877" s="258" t="s">
        <v>153</v>
      </c>
      <c r="C877" s="258" t="s">
        <v>153</v>
      </c>
      <c r="D877" s="258" t="s">
        <v>153</v>
      </c>
      <c r="E877" s="207">
        <f>SUBTOTAL(109,school198990[Program
Costs])</f>
        <v>17944440</v>
      </c>
      <c r="F877" s="216">
        <f>SUBTOTAL(109,school198990[Less: Net
 Payments and 
Offsets 2])</f>
        <v>17944440</v>
      </c>
      <c r="G877" s="256" t="s">
        <v>153</v>
      </c>
      <c r="H877" s="209">
        <f>SUBTOTAL(109,school198990[Accounts Payable
Balance])</f>
        <v>0</v>
      </c>
      <c r="I877" s="207">
        <f>SUBTOTAL(109,school198990[Established
Accounts Receivable])</f>
        <v>1565577</v>
      </c>
      <c r="J877" s="207">
        <f>SUBTOTAL(109,school198990[Less: 
Recovered 
Amount])</f>
        <v>1525010</v>
      </c>
      <c r="K877" s="207">
        <f>SUBTOTAL(109,school198990[Accounts Receivable
Balance])</f>
        <v>40567</v>
      </c>
      <c r="L877" s="207">
        <f>SUBTOTAL(109,school198990[Net
Balance])</f>
        <v>-40567</v>
      </c>
    </row>
    <row r="878" spans="1:12" ht="15.75" x14ac:dyDescent="0.25">
      <c r="A878" s="146" t="s">
        <v>181</v>
      </c>
      <c r="B878" s="221"/>
      <c r="C878" s="247"/>
      <c r="D878" s="222"/>
      <c r="E878" s="223"/>
      <c r="F878" s="224"/>
      <c r="G878" s="225"/>
      <c r="H878" s="226"/>
      <c r="I878" s="223"/>
      <c r="J878" s="223"/>
      <c r="K878" s="223"/>
      <c r="L878" s="223"/>
    </row>
    <row r="879" spans="1:12" ht="50.1" customHeight="1" x14ac:dyDescent="0.25">
      <c r="A879" s="34" t="s">
        <v>221</v>
      </c>
      <c r="B879" s="34" t="s">
        <v>268</v>
      </c>
      <c r="C879" s="28" t="s">
        <v>2</v>
      </c>
      <c r="D879" s="34" t="s">
        <v>280</v>
      </c>
      <c r="E879" s="194" t="s">
        <v>223</v>
      </c>
      <c r="F879" s="195" t="s">
        <v>509</v>
      </c>
      <c r="G879" s="252" t="s">
        <v>176</v>
      </c>
      <c r="H879" s="196" t="s">
        <v>270</v>
      </c>
      <c r="I879" s="156" t="s">
        <v>271</v>
      </c>
      <c r="J879" s="194" t="s">
        <v>282</v>
      </c>
      <c r="K879" s="196" t="s">
        <v>272</v>
      </c>
      <c r="L879" s="194" t="s">
        <v>273</v>
      </c>
    </row>
    <row r="880" spans="1:12" ht="15.75" x14ac:dyDescent="0.25">
      <c r="A880" s="187" t="s">
        <v>505</v>
      </c>
      <c r="B880" s="188" t="s">
        <v>501</v>
      </c>
      <c r="C880" s="210" t="s">
        <v>502</v>
      </c>
      <c r="D880" s="187">
        <v>114</v>
      </c>
      <c r="E880" s="190">
        <v>8195968</v>
      </c>
      <c r="F880" s="191">
        <v>8195968</v>
      </c>
      <c r="G880" s="255" t="s">
        <v>153</v>
      </c>
      <c r="H880" s="192">
        <v>0</v>
      </c>
      <c r="I880" s="190">
        <v>880183</v>
      </c>
      <c r="J880" s="190">
        <v>879682</v>
      </c>
      <c r="K880" s="190">
        <v>501</v>
      </c>
      <c r="L880" s="190">
        <v>-501</v>
      </c>
    </row>
    <row r="881" spans="1:12" ht="15.75" x14ac:dyDescent="0.25">
      <c r="A881" s="206" t="s">
        <v>515</v>
      </c>
      <c r="B881" s="258" t="s">
        <v>153</v>
      </c>
      <c r="C881" s="258" t="s">
        <v>153</v>
      </c>
      <c r="D881" s="258" t="s">
        <v>153</v>
      </c>
      <c r="E881" s="207">
        <f>SUBTOTAL(109,school198889[Program
Costs])</f>
        <v>8195968</v>
      </c>
      <c r="F881" s="216">
        <f>SUBTOTAL(109,school198889[Less: Net
 Payments and 
Offsets 2])</f>
        <v>8195968</v>
      </c>
      <c r="G881" s="256" t="s">
        <v>153</v>
      </c>
      <c r="H881" s="209">
        <f>SUBTOTAL(109,school198889[Accounts Payable
Balance])</f>
        <v>0</v>
      </c>
      <c r="I881" s="207">
        <f>SUBTOTAL(109,school198889[Established
Accounts Receivable])</f>
        <v>880183</v>
      </c>
      <c r="J881" s="207">
        <f>SUBTOTAL(109,school198889[Less: 
Recovered 
Amount])</f>
        <v>879682</v>
      </c>
      <c r="K881" s="207">
        <f>SUBTOTAL(109,school198889[Accounts Receivable
Balance])</f>
        <v>501</v>
      </c>
      <c r="L881" s="207">
        <f>SUBTOTAL(109,school198889[Net
Balance])</f>
        <v>-501</v>
      </c>
    </row>
    <row r="882" spans="1:12" ht="15.75" x14ac:dyDescent="0.25">
      <c r="A882" s="146" t="s">
        <v>181</v>
      </c>
      <c r="B882" s="221"/>
      <c r="C882" s="238"/>
      <c r="D882" s="222"/>
      <c r="E882" s="230"/>
      <c r="F882" s="225"/>
      <c r="G882" s="225"/>
      <c r="H882" s="230"/>
      <c r="I882" s="230"/>
      <c r="J882" s="230"/>
      <c r="K882" s="230"/>
      <c r="L882" s="223"/>
    </row>
    <row r="883" spans="1:12" ht="50.1" customHeight="1" x14ac:dyDescent="0.25">
      <c r="A883" s="34" t="s">
        <v>221</v>
      </c>
      <c r="B883" s="34" t="s">
        <v>268</v>
      </c>
      <c r="C883" s="28" t="s">
        <v>2</v>
      </c>
      <c r="D883" s="34" t="s">
        <v>280</v>
      </c>
      <c r="E883" s="194" t="s">
        <v>223</v>
      </c>
      <c r="F883" s="195" t="s">
        <v>509</v>
      </c>
      <c r="G883" s="252" t="s">
        <v>176</v>
      </c>
      <c r="H883" s="196" t="s">
        <v>270</v>
      </c>
      <c r="I883" s="156" t="s">
        <v>271</v>
      </c>
      <c r="J883" s="194" t="s">
        <v>282</v>
      </c>
      <c r="K883" s="196" t="s">
        <v>272</v>
      </c>
      <c r="L883" s="194" t="s">
        <v>273</v>
      </c>
    </row>
    <row r="884" spans="1:12" ht="15.75" x14ac:dyDescent="0.25">
      <c r="A884" s="187" t="s">
        <v>506</v>
      </c>
      <c r="B884" s="188" t="s">
        <v>501</v>
      </c>
      <c r="C884" s="210" t="s">
        <v>502</v>
      </c>
      <c r="D884" s="187">
        <v>114</v>
      </c>
      <c r="E884" s="190">
        <v>8055062</v>
      </c>
      <c r="F884" s="191">
        <v>8055062</v>
      </c>
      <c r="G884" s="255" t="s">
        <v>153</v>
      </c>
      <c r="H884" s="192">
        <v>0</v>
      </c>
      <c r="I884" s="190">
        <v>803598</v>
      </c>
      <c r="J884" s="190">
        <v>803123</v>
      </c>
      <c r="K884" s="190">
        <v>475</v>
      </c>
      <c r="L884" s="190">
        <v>-475</v>
      </c>
    </row>
    <row r="885" spans="1:12" ht="15.75" x14ac:dyDescent="0.25">
      <c r="A885" s="206" t="s">
        <v>516</v>
      </c>
      <c r="B885" s="258" t="s">
        <v>153</v>
      </c>
      <c r="C885" s="258" t="s">
        <v>153</v>
      </c>
      <c r="D885" s="258" t="s">
        <v>153</v>
      </c>
      <c r="E885" s="207">
        <f>SUBTOTAL(109,school198788[Program
Costs])</f>
        <v>8055062</v>
      </c>
      <c r="F885" s="216">
        <f>SUBTOTAL(109,school198788[Less: Net
 Payments and 
Offsets 2])</f>
        <v>8055062</v>
      </c>
      <c r="G885" s="256" t="s">
        <v>153</v>
      </c>
      <c r="H885" s="209">
        <f>SUBTOTAL(109,school198788[Accounts Payable
Balance])</f>
        <v>0</v>
      </c>
      <c r="I885" s="207">
        <f>SUBTOTAL(109,school198788[Established
Accounts Receivable])</f>
        <v>803598</v>
      </c>
      <c r="J885" s="207">
        <f>SUBTOTAL(109,school198788[Less: 
Recovered 
Amount])</f>
        <v>803123</v>
      </c>
      <c r="K885" s="207">
        <f>SUBTOTAL(109,school198788[Accounts Receivable
Balance])</f>
        <v>475</v>
      </c>
      <c r="L885" s="207">
        <f>SUBTOTAL(109,school198788[Net
Balance])</f>
        <v>-475</v>
      </c>
    </row>
    <row r="886" spans="1:12" ht="15.75" x14ac:dyDescent="0.25">
      <c r="A886" s="146" t="s">
        <v>181</v>
      </c>
      <c r="B886" s="202"/>
      <c r="C886" s="237"/>
      <c r="D886" s="201"/>
      <c r="E886" s="227"/>
      <c r="F886" s="205"/>
      <c r="G886" s="205"/>
      <c r="H886" s="227"/>
      <c r="I886" s="227"/>
      <c r="J886" s="227"/>
      <c r="K886" s="227"/>
      <c r="L886" s="204"/>
    </row>
    <row r="887" spans="1:12" ht="50.1" customHeight="1" x14ac:dyDescent="0.25">
      <c r="A887" s="34" t="s">
        <v>221</v>
      </c>
      <c r="B887" s="34" t="s">
        <v>268</v>
      </c>
      <c r="C887" s="28" t="s">
        <v>2</v>
      </c>
      <c r="D887" s="34" t="s">
        <v>280</v>
      </c>
      <c r="E887" s="194" t="s">
        <v>223</v>
      </c>
      <c r="F887" s="195" t="s">
        <v>509</v>
      </c>
      <c r="G887" s="252" t="s">
        <v>176</v>
      </c>
      <c r="H887" s="196" t="s">
        <v>270</v>
      </c>
      <c r="I887" s="156" t="s">
        <v>271</v>
      </c>
      <c r="J887" s="194" t="s">
        <v>282</v>
      </c>
      <c r="K887" s="196" t="s">
        <v>272</v>
      </c>
      <c r="L887" s="194" t="s">
        <v>273</v>
      </c>
    </row>
    <row r="888" spans="1:12" ht="15.75" x14ac:dyDescent="0.25">
      <c r="A888" s="187" t="s">
        <v>507</v>
      </c>
      <c r="B888" s="188" t="s">
        <v>501</v>
      </c>
      <c r="C888" s="210" t="s">
        <v>502</v>
      </c>
      <c r="D888" s="187">
        <v>114</v>
      </c>
      <c r="E888" s="190">
        <v>7376797</v>
      </c>
      <c r="F888" s="191">
        <v>7376797</v>
      </c>
      <c r="G888" s="255" t="s">
        <v>153</v>
      </c>
      <c r="H888" s="192">
        <v>0</v>
      </c>
      <c r="I888" s="190">
        <v>727817</v>
      </c>
      <c r="J888" s="190">
        <v>726917</v>
      </c>
      <c r="K888" s="190">
        <v>900</v>
      </c>
      <c r="L888" s="190">
        <v>-900</v>
      </c>
    </row>
    <row r="889" spans="1:12" ht="15.75" x14ac:dyDescent="0.25">
      <c r="A889" s="206" t="s">
        <v>517</v>
      </c>
      <c r="B889" s="258" t="s">
        <v>153</v>
      </c>
      <c r="C889" s="258" t="s">
        <v>153</v>
      </c>
      <c r="D889" s="258" t="s">
        <v>153</v>
      </c>
      <c r="E889" s="207">
        <f>SUBTOTAL(109,school198687[Program
Costs])</f>
        <v>7376797</v>
      </c>
      <c r="F889" s="216">
        <f>SUBTOTAL(109,school198687[Less: Net
 Payments and 
Offsets 2])</f>
        <v>7376797</v>
      </c>
      <c r="G889" s="256" t="s">
        <v>153</v>
      </c>
      <c r="H889" s="209">
        <f>SUBTOTAL(109,school198687[Accounts Payable
Balance])</f>
        <v>0</v>
      </c>
      <c r="I889" s="207">
        <f>SUBTOTAL(109,school198687[Established
Accounts Receivable])</f>
        <v>727817</v>
      </c>
      <c r="J889" s="207">
        <f>SUBTOTAL(109,school198687[Less: 
Recovered 
Amount])</f>
        <v>726917</v>
      </c>
      <c r="K889" s="207">
        <f>SUBTOTAL(109,school198687[Accounts Receivable
Balance])</f>
        <v>900</v>
      </c>
      <c r="L889" s="207">
        <f>SUBTOTAL(109,school198687[Net
Balance])</f>
        <v>-900</v>
      </c>
    </row>
    <row r="890" spans="1:12" ht="15.75" x14ac:dyDescent="0.25">
      <c r="A890" s="146" t="s">
        <v>181</v>
      </c>
      <c r="B890" s="221"/>
      <c r="C890" s="238"/>
      <c r="D890" s="222"/>
      <c r="E890" s="223"/>
      <c r="F890" s="224"/>
      <c r="G890" s="225"/>
      <c r="H890" s="226"/>
      <c r="I890" s="223"/>
      <c r="J890" s="223"/>
      <c r="K890" s="223"/>
      <c r="L890" s="223"/>
    </row>
    <row r="891" spans="1:12" ht="50.1" customHeight="1" x14ac:dyDescent="0.25">
      <c r="A891" s="34" t="s">
        <v>221</v>
      </c>
      <c r="B891" s="34" t="s">
        <v>268</v>
      </c>
      <c r="C891" s="28" t="s">
        <v>2</v>
      </c>
      <c r="D891" s="34" t="s">
        <v>280</v>
      </c>
      <c r="E891" s="194" t="s">
        <v>223</v>
      </c>
      <c r="F891" s="195" t="s">
        <v>509</v>
      </c>
      <c r="G891" s="252" t="s">
        <v>176</v>
      </c>
      <c r="H891" s="196" t="s">
        <v>270</v>
      </c>
      <c r="I891" s="156" t="s">
        <v>271</v>
      </c>
      <c r="J891" s="194" t="s">
        <v>282</v>
      </c>
      <c r="K891" s="196" t="s">
        <v>272</v>
      </c>
      <c r="L891" s="194" t="s">
        <v>273</v>
      </c>
    </row>
    <row r="892" spans="1:12" ht="15.75" x14ac:dyDescent="0.25">
      <c r="A892" s="187" t="s">
        <v>508</v>
      </c>
      <c r="B892" s="188" t="s">
        <v>501</v>
      </c>
      <c r="C892" s="210" t="s">
        <v>502</v>
      </c>
      <c r="D892" s="187">
        <v>114</v>
      </c>
      <c r="E892" s="190">
        <v>7513308</v>
      </c>
      <c r="F892" s="191">
        <v>7513308</v>
      </c>
      <c r="G892" s="255" t="s">
        <v>153</v>
      </c>
      <c r="H892" s="192">
        <v>0</v>
      </c>
      <c r="I892" s="190">
        <v>588899</v>
      </c>
      <c r="J892" s="190">
        <v>588367</v>
      </c>
      <c r="K892" s="190">
        <v>532</v>
      </c>
      <c r="L892" s="190">
        <v>-532</v>
      </c>
    </row>
    <row r="893" spans="1:12" ht="15.75" x14ac:dyDescent="0.25">
      <c r="A893" s="206" t="s">
        <v>518</v>
      </c>
      <c r="B893" s="258" t="s">
        <v>153</v>
      </c>
      <c r="C893" s="258" t="s">
        <v>153</v>
      </c>
      <c r="D893" s="258" t="s">
        <v>153</v>
      </c>
      <c r="E893" s="207">
        <f>SUBTOTAL(109,school198586[Program
Costs])</f>
        <v>7513308</v>
      </c>
      <c r="F893" s="216">
        <f>SUBTOTAL(109,school198586[Less: Net
 Payments and 
Offsets 2])</f>
        <v>7513308</v>
      </c>
      <c r="G893" s="256" t="s">
        <v>153</v>
      </c>
      <c r="H893" s="209">
        <f>SUBTOTAL(109,school198586[Accounts Payable
Balance])</f>
        <v>0</v>
      </c>
      <c r="I893" s="207">
        <f>SUBTOTAL(109,school198586[Established
Accounts Receivable])</f>
        <v>588899</v>
      </c>
      <c r="J893" s="207">
        <f>SUBTOTAL(109,school198586[Less: 
Recovered 
Amount])</f>
        <v>588367</v>
      </c>
      <c r="K893" s="207">
        <f>SUBTOTAL(109,school198586[Accounts Receivable
Balance])</f>
        <v>532</v>
      </c>
      <c r="L893" s="207">
        <f>SUBTOTAL(109,school198586[Net
Balance])</f>
        <v>-532</v>
      </c>
    </row>
    <row r="894" spans="1:12" ht="15.75" x14ac:dyDescent="0.25">
      <c r="A894" s="146" t="s">
        <v>181</v>
      </c>
      <c r="B894" s="221"/>
      <c r="C894" s="238"/>
      <c r="D894" s="222"/>
      <c r="E894" s="230"/>
      <c r="F894" s="225"/>
      <c r="G894" s="225"/>
      <c r="H894" s="230"/>
      <c r="I894" s="230"/>
      <c r="J894" s="230"/>
      <c r="K894" s="230"/>
      <c r="L894" s="223"/>
    </row>
    <row r="895" spans="1:12" ht="50.1" customHeight="1" x14ac:dyDescent="0.25">
      <c r="A895" s="34" t="s">
        <v>221</v>
      </c>
      <c r="B895" s="34" t="s">
        <v>268</v>
      </c>
      <c r="C895" s="28" t="s">
        <v>2</v>
      </c>
      <c r="D895" s="34" t="s">
        <v>280</v>
      </c>
      <c r="E895" s="194" t="s">
        <v>223</v>
      </c>
      <c r="F895" s="195" t="s">
        <v>509</v>
      </c>
      <c r="G895" s="252" t="s">
        <v>176</v>
      </c>
      <c r="H895" s="196" t="s">
        <v>270</v>
      </c>
      <c r="I895" s="156" t="s">
        <v>271</v>
      </c>
      <c r="J895" s="194" t="s">
        <v>282</v>
      </c>
      <c r="K895" s="196" t="s">
        <v>272</v>
      </c>
      <c r="L895" s="194" t="s">
        <v>273</v>
      </c>
    </row>
    <row r="896" spans="1:12" s="249" customFormat="1" ht="15.75" customHeight="1" x14ac:dyDescent="0.25">
      <c r="A896" s="248" t="s">
        <v>274</v>
      </c>
      <c r="B896" s="255" t="s">
        <v>153</v>
      </c>
      <c r="C896" s="255" t="s">
        <v>153</v>
      </c>
      <c r="D896" s="255" t="s">
        <v>153</v>
      </c>
      <c r="E896" s="337">
        <f>school201920[[#Totals],[Program
Costs]]</f>
        <v>3804293</v>
      </c>
      <c r="F896" s="338">
        <f>school201920[[#Totals],[Less: Net
 Payments and 
Offsets 2]]</f>
        <v>0</v>
      </c>
      <c r="G896" s="339" t="s">
        <v>153</v>
      </c>
      <c r="H896" s="340">
        <f>school201920[[#Totals],[Accounts Payable
Balance]]</f>
        <v>3804293</v>
      </c>
      <c r="I896" s="338">
        <f>school201920[[#Totals],[Established
Accounts Receivable]]</f>
        <v>0</v>
      </c>
      <c r="J896" s="341">
        <f>school201920[[#Totals],[Less: 
Recovered 
Amount]]</f>
        <v>0</v>
      </c>
      <c r="K896" s="338">
        <f>school201920[[#Totals],[Accounts Receivable
Balance]]</f>
        <v>0</v>
      </c>
      <c r="L896" s="337">
        <f>school201920[[#Totals],[Net
Balance]]</f>
        <v>3804293</v>
      </c>
    </row>
    <row r="897" spans="1:12" s="249" customFormat="1" ht="15.75" customHeight="1" x14ac:dyDescent="0.25">
      <c r="A897" s="248" t="s">
        <v>43</v>
      </c>
      <c r="B897" s="255" t="s">
        <v>153</v>
      </c>
      <c r="C897" s="255" t="s">
        <v>153</v>
      </c>
      <c r="D897" s="255" t="s">
        <v>153</v>
      </c>
      <c r="E897" s="337">
        <f>school201819[[#Totals],[Program
Costs]]</f>
        <v>4130891</v>
      </c>
      <c r="F897" s="342">
        <f>school201819[[#Totals],[Less: Net
 Payments and 
Offsets 2]]</f>
        <v>31000</v>
      </c>
      <c r="G897" s="339" t="s">
        <v>153</v>
      </c>
      <c r="H897" s="340">
        <f>school201819[[#Totals],[Accounts Payable
Balance]]</f>
        <v>4099891</v>
      </c>
      <c r="I897" s="338">
        <f>school201819[[#Totals],[Established
Accounts Receivable]]</f>
        <v>0</v>
      </c>
      <c r="J897" s="341">
        <f>school201819[[#Totals],[Less: 
Recovered 
Amount]]</f>
        <v>0</v>
      </c>
      <c r="K897" s="338">
        <f>school201819[[#Totals],[Accounts Receivable
Balance]]</f>
        <v>0</v>
      </c>
      <c r="L897" s="337">
        <f>school201819[[#Totals],[Net
Balance]]</f>
        <v>4099891</v>
      </c>
    </row>
    <row r="898" spans="1:12" s="249" customFormat="1" ht="15.75" customHeight="1" x14ac:dyDescent="0.25">
      <c r="A898" s="248" t="s">
        <v>44</v>
      </c>
      <c r="B898" s="255" t="s">
        <v>153</v>
      </c>
      <c r="C898" s="255" t="s">
        <v>153</v>
      </c>
      <c r="D898" s="255" t="s">
        <v>153</v>
      </c>
      <c r="E898" s="337">
        <f>school201718[[#Totals],[Program
Costs]]</f>
        <v>5358461</v>
      </c>
      <c r="F898" s="342">
        <f>school201718[[#Totals],[Less: Net
 Payments and 
Offsets 2]]</f>
        <v>43444</v>
      </c>
      <c r="G898" s="339" t="s">
        <v>153</v>
      </c>
      <c r="H898" s="340">
        <f>school201718[[#Totals],[Accounts Payable
Balance]]</f>
        <v>5315017</v>
      </c>
      <c r="I898" s="338">
        <f>school201718[[#Totals],[Established
Accounts Receivable]]</f>
        <v>0</v>
      </c>
      <c r="J898" s="341">
        <f>school201718[[#Totals],[Less: 
Recovered 
Amount]]</f>
        <v>0</v>
      </c>
      <c r="K898" s="338">
        <f>school201718[[#Totals],[Accounts Receivable
Balance]]</f>
        <v>0</v>
      </c>
      <c r="L898" s="337">
        <f>school201718[[#Totals],[Net
Balance]]</f>
        <v>5315017</v>
      </c>
    </row>
    <row r="899" spans="1:12" s="249" customFormat="1" ht="15.75" customHeight="1" x14ac:dyDescent="0.25">
      <c r="A899" s="248" t="s">
        <v>45</v>
      </c>
      <c r="B899" s="255" t="s">
        <v>153</v>
      </c>
      <c r="C899" s="255" t="s">
        <v>153</v>
      </c>
      <c r="D899" s="255" t="s">
        <v>153</v>
      </c>
      <c r="E899" s="337">
        <f>school201617[[#Totals],[Program
Costs]]</f>
        <v>20772109</v>
      </c>
      <c r="F899" s="342">
        <f>school201617[[#Totals],[Less: Net
 Payments and 
Offsets 2]]</f>
        <v>11121570</v>
      </c>
      <c r="G899" s="339" t="s">
        <v>153</v>
      </c>
      <c r="H899" s="340">
        <f>school201617[[#Totals],[Accounts Payable
Balance]]</f>
        <v>9650539</v>
      </c>
      <c r="I899" s="338">
        <f>school201617[[#Totals],[Established
Accounts Receivable]]</f>
        <v>0</v>
      </c>
      <c r="J899" s="341">
        <f>school201617[[#Totals],[Less: 
Recovered 
Amount]]</f>
        <v>0</v>
      </c>
      <c r="K899" s="338">
        <f>school201617[[#Totals],[Accounts Receivable
Balance]]</f>
        <v>0</v>
      </c>
      <c r="L899" s="337">
        <f>school201617[[#Totals],[Net
Balance]]</f>
        <v>9650539</v>
      </c>
    </row>
    <row r="900" spans="1:12" s="249" customFormat="1" ht="15.75" customHeight="1" x14ac:dyDescent="0.25">
      <c r="A900" s="248" t="s">
        <v>46</v>
      </c>
      <c r="B900" s="255" t="s">
        <v>153</v>
      </c>
      <c r="C900" s="255" t="s">
        <v>153</v>
      </c>
      <c r="D900" s="255" t="s">
        <v>153</v>
      </c>
      <c r="E900" s="337">
        <f>school201516[[#Totals],[Program
Costs]]</f>
        <v>41365764</v>
      </c>
      <c r="F900" s="342">
        <f>school201516[[#Totals],[Less: Net
 Payments and 
Offsets 2]]</f>
        <v>27991123</v>
      </c>
      <c r="G900" s="339" t="s">
        <v>153</v>
      </c>
      <c r="H900" s="340">
        <f>school201516[[#Totals],[Accounts Payable
Balance]]</f>
        <v>13374641</v>
      </c>
      <c r="I900" s="342">
        <f>school201516[[#Totals],[Established
Accounts Receivable]]</f>
        <v>1000</v>
      </c>
      <c r="J900" s="341">
        <f>school201516[[#Totals],[Less: 
Recovered 
Amount]]</f>
        <v>0</v>
      </c>
      <c r="K900" s="340">
        <f>school201516[[#Totals],[Accounts Receivable
Balance]]</f>
        <v>1000</v>
      </c>
      <c r="L900" s="337">
        <f>school201516[[#Totals],[Net
Balance]]</f>
        <v>13373641</v>
      </c>
    </row>
    <row r="901" spans="1:12" s="249" customFormat="1" ht="15.75" customHeight="1" x14ac:dyDescent="0.25">
      <c r="A901" s="248" t="s">
        <v>47</v>
      </c>
      <c r="B901" s="255" t="s">
        <v>153</v>
      </c>
      <c r="C901" s="255" t="s">
        <v>153</v>
      </c>
      <c r="D901" s="255" t="s">
        <v>153</v>
      </c>
      <c r="E901" s="337">
        <f>school201415[[#Totals],[Program
Costs]]</f>
        <v>75092884</v>
      </c>
      <c r="F901" s="342">
        <f>school201415[[#Totals],[Less: Net
 Payments and 
Offsets 2]]</f>
        <v>52201812</v>
      </c>
      <c r="G901" s="339" t="s">
        <v>153</v>
      </c>
      <c r="H901" s="340">
        <f>school201415[[#Totals],[Accounts Payable
Balance]]</f>
        <v>22891072</v>
      </c>
      <c r="I901" s="342">
        <f>school201415[[#Totals],[Established
Accounts Receivable]]</f>
        <v>416801</v>
      </c>
      <c r="J901" s="337">
        <f>school201415[[#Totals],[Less: 
Recovered 
Amount]]</f>
        <v>416801</v>
      </c>
      <c r="K901" s="338">
        <f>school201415[[#Totals],[Accounts Receivable
Balance]]</f>
        <v>0</v>
      </c>
      <c r="L901" s="337">
        <f>school201415[[#Totals],[Net
Balance]]</f>
        <v>22891072</v>
      </c>
    </row>
    <row r="902" spans="1:12" s="249" customFormat="1" ht="15.75" customHeight="1" x14ac:dyDescent="0.25">
      <c r="A902" s="248" t="s">
        <v>288</v>
      </c>
      <c r="B902" s="255" t="s">
        <v>153</v>
      </c>
      <c r="C902" s="255" t="s">
        <v>153</v>
      </c>
      <c r="D902" s="255" t="s">
        <v>153</v>
      </c>
      <c r="E902" s="337">
        <f>school201314[[#Totals],[Program
Costs]]</f>
        <v>97556264</v>
      </c>
      <c r="F902" s="342">
        <f>school201314[[#Totals],[Less: Net
 Payments and 
Offsets 2]]</f>
        <v>76061480</v>
      </c>
      <c r="G902" s="339" t="s">
        <v>153</v>
      </c>
      <c r="H902" s="340">
        <f>school201314[[#Totals],[Accounts Payable
Balance]]</f>
        <v>21494784</v>
      </c>
      <c r="I902" s="338">
        <f>school201314[[#Totals],[Established
Accounts Receivable]]</f>
        <v>0</v>
      </c>
      <c r="J902" s="341">
        <f>school201314[[#Totals],[Less: 
Recovered 
Amount]]</f>
        <v>0</v>
      </c>
      <c r="K902" s="338">
        <f>school201314[[#Totals],[Accounts Receivable
Balance]]</f>
        <v>0</v>
      </c>
      <c r="L902" s="337">
        <f>school201314[[#Totals],[Net
Balance]]</f>
        <v>21494784</v>
      </c>
    </row>
    <row r="903" spans="1:12" s="249" customFormat="1" ht="15.75" customHeight="1" x14ac:dyDescent="0.25">
      <c r="A903" s="248" t="s">
        <v>290</v>
      </c>
      <c r="B903" s="255" t="s">
        <v>153</v>
      </c>
      <c r="C903" s="255" t="s">
        <v>153</v>
      </c>
      <c r="D903" s="255" t="s">
        <v>153</v>
      </c>
      <c r="E903" s="337">
        <f>school201213[[#Totals],[Program
Costs]]</f>
        <v>257181148</v>
      </c>
      <c r="F903" s="342">
        <f>school201213[[#Totals],[Less: Net
 Payments and 
Offsets 2]]</f>
        <v>143344942</v>
      </c>
      <c r="G903" s="339" t="s">
        <v>153</v>
      </c>
      <c r="H903" s="340">
        <f>school201213[[#Totals],[Accounts Payable
Balance]]</f>
        <v>113836206</v>
      </c>
      <c r="I903" s="342">
        <f>school201213[[#Totals],[Established
Accounts Receivable]]</f>
        <v>1000</v>
      </c>
      <c r="J903" s="337">
        <f>school201213[[#Totals],[Less: 
Recovered 
Amount]]</f>
        <v>1000</v>
      </c>
      <c r="K903" s="338">
        <f>school201213[[#Totals],[Accounts Receivable
Balance]]</f>
        <v>0</v>
      </c>
      <c r="L903" s="337">
        <f>school201213[[#Totals],[Net
Balance]]</f>
        <v>113836206</v>
      </c>
    </row>
    <row r="904" spans="1:12" s="249" customFormat="1" ht="15.75" customHeight="1" x14ac:dyDescent="0.25">
      <c r="A904" s="248" t="s">
        <v>292</v>
      </c>
      <c r="B904" s="255" t="s">
        <v>153</v>
      </c>
      <c r="C904" s="255" t="s">
        <v>153</v>
      </c>
      <c r="D904" s="255" t="s">
        <v>153</v>
      </c>
      <c r="E904" s="337">
        <f>school201112[[#Totals],[Program
Costs]]</f>
        <v>417214426</v>
      </c>
      <c r="F904" s="342">
        <f>school201112[[#Totals],[Less: Net
 Payments and 
Offsets 2]]</f>
        <v>279527311</v>
      </c>
      <c r="G904" s="339" t="s">
        <v>153</v>
      </c>
      <c r="H904" s="340">
        <f>school201112[[#Totals],[Accounts Payable
Balance]]</f>
        <v>137687115</v>
      </c>
      <c r="I904" s="338">
        <f>school201112[[#Totals],[Established
Accounts Receivable]]</f>
        <v>0</v>
      </c>
      <c r="J904" s="341">
        <f>school201112[[#Totals],[Less: 
Recovered 
Amount]]</f>
        <v>0</v>
      </c>
      <c r="K904" s="338">
        <f>school201112[[#Totals],[Accounts Receivable
Balance]]</f>
        <v>0</v>
      </c>
      <c r="L904" s="337">
        <f>school201112[[#Totals],[Net
Balance]]</f>
        <v>137687115</v>
      </c>
    </row>
    <row r="905" spans="1:12" s="249" customFormat="1" ht="15.75" customHeight="1" x14ac:dyDescent="0.25">
      <c r="A905" s="248" t="s">
        <v>296</v>
      </c>
      <c r="B905" s="255" t="s">
        <v>153</v>
      </c>
      <c r="C905" s="255" t="s">
        <v>153</v>
      </c>
      <c r="D905" s="255" t="s">
        <v>153</v>
      </c>
      <c r="E905" s="337">
        <f>school201011[[#Totals],[Program
Costs]]</f>
        <v>426537951</v>
      </c>
      <c r="F905" s="342">
        <f>school201011[[#Totals],[Less: Net
 Payments and 
Offsets 2]]</f>
        <v>301477254</v>
      </c>
      <c r="G905" s="339" t="s">
        <v>153</v>
      </c>
      <c r="H905" s="340">
        <f>school201011[[#Totals],[Accounts Payable
Balance]]</f>
        <v>125060697</v>
      </c>
      <c r="I905" s="338">
        <f>school201011[[#Totals],[Established
Accounts Receivable]]</f>
        <v>0</v>
      </c>
      <c r="J905" s="341">
        <f>school201011[[#Totals],[Less: 
Recovered 
Amount]]</f>
        <v>0</v>
      </c>
      <c r="K905" s="338">
        <f>school201011[[#Totals],[Accounts Receivable
Balance]]</f>
        <v>0</v>
      </c>
      <c r="L905" s="337">
        <f>school201011[[#Totals],[Net
Balance]]</f>
        <v>125060697</v>
      </c>
    </row>
    <row r="906" spans="1:12" s="249" customFormat="1" ht="15.75" customHeight="1" x14ac:dyDescent="0.25">
      <c r="A906" s="248" t="s">
        <v>1</v>
      </c>
      <c r="B906" s="255" t="s">
        <v>153</v>
      </c>
      <c r="C906" s="255" t="s">
        <v>153</v>
      </c>
      <c r="D906" s="255" t="s">
        <v>153</v>
      </c>
      <c r="E906" s="337">
        <f>school200910[[#Totals],[Program
Costs]]</f>
        <v>470276090</v>
      </c>
      <c r="F906" s="342">
        <f>school200910[[#Totals],[Less: Net
 Payments and 
Offsets 2]]</f>
        <v>363490392</v>
      </c>
      <c r="G906" s="339" t="s">
        <v>153</v>
      </c>
      <c r="H906" s="340">
        <f>school200910[[#Totals],[Accounts Payable
Balance]]</f>
        <v>106785698</v>
      </c>
      <c r="I906" s="342">
        <f>school200910[[#Totals],[Established
Accounts Receivable]]</f>
        <v>740238</v>
      </c>
      <c r="J906" s="337">
        <f>school200910[[#Totals],[Less: 
Recovered 
Amount]]</f>
        <v>33523</v>
      </c>
      <c r="K906" s="340">
        <f>school200910[[#Totals],[Accounts Receivable
Balance]]</f>
        <v>706715</v>
      </c>
      <c r="L906" s="337">
        <f>school200910[[#Totals],[Net
Balance]]</f>
        <v>106078983</v>
      </c>
    </row>
    <row r="907" spans="1:12" s="249" customFormat="1" ht="15.75" customHeight="1" x14ac:dyDescent="0.25">
      <c r="A907" s="248" t="s">
        <v>48</v>
      </c>
      <c r="B907" s="255" t="s">
        <v>153</v>
      </c>
      <c r="C907" s="255" t="s">
        <v>153</v>
      </c>
      <c r="D907" s="255" t="s">
        <v>153</v>
      </c>
      <c r="E907" s="337">
        <f>school200809[[#Totals],[Program
Costs]]</f>
        <v>479114940</v>
      </c>
      <c r="F907" s="342">
        <f>school200809[[#Totals],[Less: Net
 Payments and 
Offsets 2]]</f>
        <v>380599458</v>
      </c>
      <c r="G907" s="339" t="s">
        <v>153</v>
      </c>
      <c r="H907" s="340">
        <f>school200809[[#Totals],[Accounts Payable
Balance]]</f>
        <v>98515482</v>
      </c>
      <c r="I907" s="342">
        <f>school200809[[#Totals],[Established
Accounts Receivable]]</f>
        <v>2272295</v>
      </c>
      <c r="J907" s="337">
        <f>school200809[[#Totals],[Less: 
Recovered 
Amount]]</f>
        <v>295119</v>
      </c>
      <c r="K907" s="340">
        <f>school200809[[#Totals],[Accounts Receivable
Balance]]</f>
        <v>1977176</v>
      </c>
      <c r="L907" s="337">
        <f>school200809[[#Totals],[Net
Balance]]</f>
        <v>96538306</v>
      </c>
    </row>
    <row r="908" spans="1:12" s="249" customFormat="1" ht="15.75" customHeight="1" x14ac:dyDescent="0.25">
      <c r="A908" s="248" t="s">
        <v>353</v>
      </c>
      <c r="B908" s="255" t="s">
        <v>153</v>
      </c>
      <c r="C908" s="255" t="s">
        <v>153</v>
      </c>
      <c r="D908" s="255" t="s">
        <v>153</v>
      </c>
      <c r="E908" s="337">
        <f>school200708[[#Totals],[Program
Costs]]</f>
        <v>479521182</v>
      </c>
      <c r="F908" s="342">
        <f>school200708[[#Totals],[Less: Net
 Payments and 
Offsets 2]]</f>
        <v>392806553</v>
      </c>
      <c r="G908" s="339" t="s">
        <v>153</v>
      </c>
      <c r="H908" s="340">
        <f>school200708[[#Totals],[Accounts Payable
Balance]]</f>
        <v>86714629</v>
      </c>
      <c r="I908" s="342">
        <f>school200708[[#Totals],[Established
Accounts Receivable]]</f>
        <v>1087600</v>
      </c>
      <c r="J908" s="337">
        <f>school200708[[#Totals],[Less: 
Recovered 
Amount]]</f>
        <v>1086573</v>
      </c>
      <c r="K908" s="340">
        <f>school200708[[#Totals],[Accounts Receivable
Balance]]</f>
        <v>1027</v>
      </c>
      <c r="L908" s="337">
        <f>school200708[[#Totals],[Net
Balance]]</f>
        <v>86713602</v>
      </c>
    </row>
    <row r="909" spans="1:12" s="249" customFormat="1" ht="15.75" customHeight="1" x14ac:dyDescent="0.25">
      <c r="A909" s="248" t="s">
        <v>358</v>
      </c>
      <c r="B909" s="255" t="s">
        <v>153</v>
      </c>
      <c r="C909" s="255" t="s">
        <v>153</v>
      </c>
      <c r="D909" s="255" t="s">
        <v>153</v>
      </c>
      <c r="E909" s="337">
        <f>school200607[[#Totals],[Program
Costs]]</f>
        <v>453651870</v>
      </c>
      <c r="F909" s="342">
        <f>school200607[[#Totals],[Less: Net
 Payments and 
Offsets 2]]</f>
        <v>394141865</v>
      </c>
      <c r="G909" s="339" t="s">
        <v>153</v>
      </c>
      <c r="H909" s="340">
        <f>school200607[[#Totals],[Accounts Payable
Balance]]</f>
        <v>59510005</v>
      </c>
      <c r="I909" s="342">
        <f>school200607[[#Totals],[Established
Accounts Receivable]]</f>
        <v>2341878</v>
      </c>
      <c r="J909" s="337">
        <f>school200607[[#Totals],[Less: 
Recovered 
Amount]]</f>
        <v>1649405</v>
      </c>
      <c r="K909" s="340">
        <f>school200607[[#Totals],[Accounts Receivable
Balance]]</f>
        <v>692473</v>
      </c>
      <c r="L909" s="337">
        <f>school200607[[#Totals],[Net
Balance]]</f>
        <v>58817532</v>
      </c>
    </row>
    <row r="910" spans="1:12" s="249" customFormat="1" ht="15.75" customHeight="1" x14ac:dyDescent="0.25">
      <c r="A910" s="248" t="s">
        <v>359</v>
      </c>
      <c r="B910" s="255" t="s">
        <v>153</v>
      </c>
      <c r="C910" s="255" t="s">
        <v>153</v>
      </c>
      <c r="D910" s="255" t="s">
        <v>153</v>
      </c>
      <c r="E910" s="337">
        <f>school200506[[#Totals],[Program
Costs]]</f>
        <v>427207125</v>
      </c>
      <c r="F910" s="342">
        <f>school200506[[#Totals],[Less: Net
 Payments and 
Offsets 2]]</f>
        <v>382189807</v>
      </c>
      <c r="G910" s="339" t="s">
        <v>153</v>
      </c>
      <c r="H910" s="340">
        <f>school200506[[#Totals],[Accounts Payable
Balance]]</f>
        <v>45017318</v>
      </c>
      <c r="I910" s="342">
        <f>school200506[[#Totals],[Established
Accounts Receivable]]</f>
        <v>12998953</v>
      </c>
      <c r="J910" s="337">
        <f>school200506[[#Totals],[Less: 
Recovered 
Amount]]</f>
        <v>10179156</v>
      </c>
      <c r="K910" s="340">
        <f>school200506[[#Totals],[Accounts Receivable
Balance]]</f>
        <v>2819797</v>
      </c>
      <c r="L910" s="337">
        <f>school200506[[#Totals],[Net
Balance]]</f>
        <v>42197521</v>
      </c>
    </row>
    <row r="911" spans="1:12" s="249" customFormat="1" ht="15.75" customHeight="1" x14ac:dyDescent="0.25">
      <c r="A911" s="248" t="s">
        <v>360</v>
      </c>
      <c r="B911" s="255" t="s">
        <v>153</v>
      </c>
      <c r="C911" s="255" t="s">
        <v>153</v>
      </c>
      <c r="D911" s="255" t="s">
        <v>153</v>
      </c>
      <c r="E911" s="337">
        <f>school200405[[#Totals],[Program
Costs]]</f>
        <v>370755137</v>
      </c>
      <c r="F911" s="342">
        <f>school200405[[#Totals],[Less: Net
 Payments and 
Offsets 2]]</f>
        <v>346625327</v>
      </c>
      <c r="G911" s="339" t="s">
        <v>153</v>
      </c>
      <c r="H911" s="340">
        <f>school200405[[#Totals],[Accounts Payable
Balance]]</f>
        <v>24129810</v>
      </c>
      <c r="I911" s="342">
        <f>school200405[[#Totals],[Established
Accounts Receivable]]</f>
        <v>6102299</v>
      </c>
      <c r="J911" s="337">
        <f>school200405[[#Totals],[Less: 
Recovered 
Amount]]</f>
        <v>3709101</v>
      </c>
      <c r="K911" s="340">
        <f>school200405[[#Totals],[Accounts Receivable
Balance]]</f>
        <v>2393198</v>
      </c>
      <c r="L911" s="337">
        <f>school200405[[#Totals],[Net
Balance]]</f>
        <v>21736612</v>
      </c>
    </row>
    <row r="912" spans="1:12" s="249" customFormat="1" ht="15.75" customHeight="1" x14ac:dyDescent="0.25">
      <c r="A912" s="248" t="s">
        <v>49</v>
      </c>
      <c r="B912" s="255" t="s">
        <v>153</v>
      </c>
      <c r="C912" s="255" t="s">
        <v>153</v>
      </c>
      <c r="D912" s="255" t="s">
        <v>153</v>
      </c>
      <c r="E912" s="337">
        <f>school200304[[#Totals],[Program
Costs]]</f>
        <v>307781613</v>
      </c>
      <c r="F912" s="342">
        <f>school200304[[#Totals],[Less: Net
 Payments and 
Offsets 2]]</f>
        <v>293368546</v>
      </c>
      <c r="G912" s="339" t="s">
        <v>153</v>
      </c>
      <c r="H912" s="340">
        <f>school200304[[#Totals],[Accounts Payable
Balance]]</f>
        <v>14413067</v>
      </c>
      <c r="I912" s="342">
        <f>school200304[[#Totals],[Established
Accounts Receivable]]</f>
        <v>3551141</v>
      </c>
      <c r="J912" s="337">
        <f>school200304[[#Totals],[Less: 
Recovered 
Amount]]</f>
        <v>1620797</v>
      </c>
      <c r="K912" s="340">
        <f>school200304[[#Totals],[Accounts Receivable
Balance]]</f>
        <v>1930344</v>
      </c>
      <c r="L912" s="337">
        <f>school200304[[#Totals],[Net
Balance]]</f>
        <v>12482723</v>
      </c>
    </row>
    <row r="913" spans="1:12" s="249" customFormat="1" ht="15.75" customHeight="1" x14ac:dyDescent="0.25">
      <c r="A913" s="248" t="s">
        <v>361</v>
      </c>
      <c r="B913" s="255" t="s">
        <v>153</v>
      </c>
      <c r="C913" s="255" t="s">
        <v>153</v>
      </c>
      <c r="D913" s="255" t="s">
        <v>153</v>
      </c>
      <c r="E913" s="337">
        <f>school200203[[#Totals],[Program
Costs]]</f>
        <v>321301010</v>
      </c>
      <c r="F913" s="342">
        <f>school200203[[#Totals],[Less: Net
 Payments and 
Offsets 2]]</f>
        <v>313038200</v>
      </c>
      <c r="G913" s="339" t="s">
        <v>153</v>
      </c>
      <c r="H913" s="340">
        <f>school200203[[#Totals],[Accounts Payable
Balance]]</f>
        <v>8262810</v>
      </c>
      <c r="I913" s="342">
        <f>school200203[[#Totals],[Established
Accounts Receivable]]</f>
        <v>30205577</v>
      </c>
      <c r="J913" s="337">
        <f>school200203[[#Totals],[Less: 
Recovered 
Amount]]</f>
        <v>4562729</v>
      </c>
      <c r="K913" s="340">
        <f>school200203[[#Totals],[Accounts Receivable
Balance]]</f>
        <v>25642848</v>
      </c>
      <c r="L913" s="337">
        <f>school200203[[#Totals],[Net
Balance]]</f>
        <v>-17380038</v>
      </c>
    </row>
    <row r="914" spans="1:12" s="249" customFormat="1" ht="15.75" customHeight="1" x14ac:dyDescent="0.25">
      <c r="A914" s="248" t="s">
        <v>362</v>
      </c>
      <c r="B914" s="255" t="s">
        <v>153</v>
      </c>
      <c r="C914" s="255" t="s">
        <v>153</v>
      </c>
      <c r="D914" s="255" t="s">
        <v>153</v>
      </c>
      <c r="E914" s="337">
        <f>school200102[[#Totals],[Program
Costs]]</f>
        <v>397097007</v>
      </c>
      <c r="F914" s="342">
        <f>school200102[[#Totals],[Less: Net
 Payments and 
Offsets 2]]</f>
        <v>392062400</v>
      </c>
      <c r="G914" s="339" t="s">
        <v>153</v>
      </c>
      <c r="H914" s="340">
        <f>school200102[[#Totals],[Accounts Payable
Balance]]</f>
        <v>5034607</v>
      </c>
      <c r="I914" s="342">
        <f>school200102[[#Totals],[Established
Accounts Receivable]]</f>
        <v>49635549</v>
      </c>
      <c r="J914" s="337">
        <f>school200102[[#Totals],[Less: 
Recovered 
Amount]]</f>
        <v>36119171</v>
      </c>
      <c r="K914" s="340">
        <f>school200102[[#Totals],[Accounts Receivable
Balance]]</f>
        <v>13516378</v>
      </c>
      <c r="L914" s="337">
        <f>school200102[[#Totals],[Net
Balance]]</f>
        <v>-8481771</v>
      </c>
    </row>
    <row r="915" spans="1:12" s="249" customFormat="1" ht="15.75" customHeight="1" x14ac:dyDescent="0.25">
      <c r="A915" s="248" t="s">
        <v>365</v>
      </c>
      <c r="B915" s="255" t="s">
        <v>153</v>
      </c>
      <c r="C915" s="255" t="s">
        <v>153</v>
      </c>
      <c r="D915" s="255" t="s">
        <v>153</v>
      </c>
      <c r="E915" s="337">
        <f>school200001[[#Totals],[Program
Costs]]</f>
        <v>306231013</v>
      </c>
      <c r="F915" s="342">
        <f>school200001[[#Totals],[Less: Net
 Payments and 
Offsets 2]]</f>
        <v>302749655</v>
      </c>
      <c r="G915" s="339" t="s">
        <v>153</v>
      </c>
      <c r="H915" s="340">
        <f>school200001[[#Totals],[Accounts Payable
Balance]]</f>
        <v>3481358</v>
      </c>
      <c r="I915" s="342">
        <f>school200001[[#Totals],[Established
Accounts Receivable]]</f>
        <v>21213288</v>
      </c>
      <c r="J915" s="337">
        <f>school200001[[#Totals],[Less: 
Recovered 
Amount]]</f>
        <v>21091402</v>
      </c>
      <c r="K915" s="340">
        <f>school200001[[#Totals],[Accounts Receivable
Balance]]</f>
        <v>121886</v>
      </c>
      <c r="L915" s="337">
        <f>school200001[[#Totals],[Net
Balance]]</f>
        <v>3359472</v>
      </c>
    </row>
    <row r="916" spans="1:12" s="249" customFormat="1" ht="15.75" customHeight="1" x14ac:dyDescent="0.25">
      <c r="A916" s="248" t="s">
        <v>366</v>
      </c>
      <c r="B916" s="255" t="s">
        <v>153</v>
      </c>
      <c r="C916" s="255" t="s">
        <v>153</v>
      </c>
      <c r="D916" s="255" t="s">
        <v>153</v>
      </c>
      <c r="E916" s="337">
        <f>school199900[[#Totals],[Program
Costs]]</f>
        <v>271888512</v>
      </c>
      <c r="F916" s="342">
        <f>school199900[[#Totals],[Less: Net
 Payments and 
Offsets 2]]</f>
        <v>268969947</v>
      </c>
      <c r="G916" s="339" t="s">
        <v>153</v>
      </c>
      <c r="H916" s="340">
        <f>school199900[[#Totals],[Accounts Payable
Balance]]</f>
        <v>2918565</v>
      </c>
      <c r="I916" s="342">
        <f>school199900[[#Totals],[Established
Accounts Receivable]]</f>
        <v>7805759</v>
      </c>
      <c r="J916" s="337">
        <f>school199900[[#Totals],[Less: 
Recovered 
Amount]]</f>
        <v>7767455</v>
      </c>
      <c r="K916" s="340">
        <f>school199900[[#Totals],[Accounts Receivable
Balance]]</f>
        <v>38304</v>
      </c>
      <c r="L916" s="337">
        <f>school199900[[#Totals],[Net
Balance]]</f>
        <v>2880261</v>
      </c>
    </row>
    <row r="917" spans="1:12" s="249" customFormat="1" ht="15.75" customHeight="1" x14ac:dyDescent="0.25">
      <c r="A917" s="248" t="s">
        <v>369</v>
      </c>
      <c r="B917" s="255" t="s">
        <v>153</v>
      </c>
      <c r="C917" s="255" t="s">
        <v>153</v>
      </c>
      <c r="D917" s="255" t="s">
        <v>153</v>
      </c>
      <c r="E917" s="337">
        <f>school199899[[#Totals],[Program
Costs]]</f>
        <v>206780256</v>
      </c>
      <c r="F917" s="342">
        <f>school199899[[#Totals],[Less: Net
 Payments and 
Offsets 2]]</f>
        <v>204404230</v>
      </c>
      <c r="G917" s="339" t="s">
        <v>153</v>
      </c>
      <c r="H917" s="340">
        <f>school199899[[#Totals],[Accounts Payable
Balance]]</f>
        <v>2376026</v>
      </c>
      <c r="I917" s="342">
        <f>school199899[[#Totals],[Established
Accounts Receivable]]</f>
        <v>9671809</v>
      </c>
      <c r="J917" s="337">
        <f>school199899[[#Totals],[Less: 
Recovered 
Amount]]</f>
        <v>8335922</v>
      </c>
      <c r="K917" s="340">
        <f>school199899[[#Totals],[Accounts Receivable
Balance]]</f>
        <v>1335887</v>
      </c>
      <c r="L917" s="337">
        <f>school199899[[#Totals],[Net
Balance]]</f>
        <v>1040139</v>
      </c>
    </row>
    <row r="918" spans="1:12" s="249" customFormat="1" ht="15.75" customHeight="1" x14ac:dyDescent="0.25">
      <c r="A918" s="248" t="s">
        <v>373</v>
      </c>
      <c r="B918" s="255" t="s">
        <v>153</v>
      </c>
      <c r="C918" s="255" t="s">
        <v>153</v>
      </c>
      <c r="D918" s="255" t="s">
        <v>153</v>
      </c>
      <c r="E918" s="337">
        <f>school199798[[#Totals],[Program
Costs]]</f>
        <v>96766913</v>
      </c>
      <c r="F918" s="342">
        <f>school199798[[#Totals],[Less: Net
 Payments and 
Offsets 2]]</f>
        <v>94441109</v>
      </c>
      <c r="G918" s="339" t="s">
        <v>153</v>
      </c>
      <c r="H918" s="340">
        <f>school199798[[#Totals],[Accounts Payable
Balance]]</f>
        <v>2325804</v>
      </c>
      <c r="I918" s="342">
        <f>school199798[[#Totals],[Established
Accounts Receivable]]</f>
        <v>9346050</v>
      </c>
      <c r="J918" s="337">
        <f>school199798[[#Totals],[Less: 
Recovered 
Amount]]</f>
        <v>9332615</v>
      </c>
      <c r="K918" s="340">
        <f>school199798[[#Totals],[Accounts Receivable
Balance]]</f>
        <v>13435</v>
      </c>
      <c r="L918" s="337">
        <f>school199798[[#Totals],[Net
Balance]]</f>
        <v>2312369</v>
      </c>
    </row>
    <row r="919" spans="1:12" s="249" customFormat="1" ht="15.75" customHeight="1" x14ac:dyDescent="0.25">
      <c r="A919" s="248" t="s">
        <v>374</v>
      </c>
      <c r="B919" s="255" t="s">
        <v>153</v>
      </c>
      <c r="C919" s="255" t="s">
        <v>153</v>
      </c>
      <c r="D919" s="255" t="s">
        <v>153</v>
      </c>
      <c r="E919" s="337">
        <f>school199697[[#Totals],[Program
Costs]]</f>
        <v>77997537</v>
      </c>
      <c r="F919" s="342">
        <f>school199697[[#Totals],[Less: Net
 Payments and 
Offsets 2]]</f>
        <v>75747948</v>
      </c>
      <c r="G919" s="339" t="s">
        <v>153</v>
      </c>
      <c r="H919" s="340">
        <f>school199697[[#Totals],[Accounts Payable
Balance]]</f>
        <v>2249589</v>
      </c>
      <c r="I919" s="342">
        <f>school199697[[#Totals],[Established
Accounts Receivable]]</f>
        <v>8640889</v>
      </c>
      <c r="J919" s="337">
        <f>school199697[[#Totals],[Less: 
Recovered 
Amount]]</f>
        <v>8625421</v>
      </c>
      <c r="K919" s="340">
        <f>school199697[[#Totals],[Accounts Receivable
Balance]]</f>
        <v>15468</v>
      </c>
      <c r="L919" s="337">
        <f>school199697[[#Totals],[Net
Balance]]</f>
        <v>2234121</v>
      </c>
    </row>
    <row r="920" spans="1:12" s="249" customFormat="1" ht="15.75" customHeight="1" x14ac:dyDescent="0.25">
      <c r="A920" s="248" t="s">
        <v>375</v>
      </c>
      <c r="B920" s="255" t="s">
        <v>153</v>
      </c>
      <c r="C920" s="255" t="s">
        <v>153</v>
      </c>
      <c r="D920" s="255" t="s">
        <v>153</v>
      </c>
      <c r="E920" s="337">
        <f>school199596[[#Totals],[Program
Costs]]</f>
        <v>81068605</v>
      </c>
      <c r="F920" s="342">
        <f>school199596[[#Totals],[Less: Net
 Payments and 
Offsets 2]]</f>
        <v>78952207</v>
      </c>
      <c r="G920" s="339" t="s">
        <v>153</v>
      </c>
      <c r="H920" s="340">
        <f>school199596[[#Totals],[Accounts Payable
Balance]]</f>
        <v>2116398</v>
      </c>
      <c r="I920" s="342">
        <f>school199596[[#Totals],[Established
Accounts Receivable]]</f>
        <v>10530975</v>
      </c>
      <c r="J920" s="337">
        <f>school199596[[#Totals],[Less: 
Recovered 
Amount]]</f>
        <v>10520264</v>
      </c>
      <c r="K920" s="340">
        <f>school199596[[#Totals],[Accounts Receivable
Balance]]</f>
        <v>10711</v>
      </c>
      <c r="L920" s="337">
        <f>school199596[[#Totals],[Net
Balance]]</f>
        <v>2105687</v>
      </c>
    </row>
    <row r="921" spans="1:12" s="249" customFormat="1" ht="15.75" customHeight="1" x14ac:dyDescent="0.25">
      <c r="A921" s="248" t="s">
        <v>376</v>
      </c>
      <c r="B921" s="255" t="s">
        <v>153</v>
      </c>
      <c r="C921" s="255" t="s">
        <v>153</v>
      </c>
      <c r="D921" s="255" t="s">
        <v>153</v>
      </c>
      <c r="E921" s="337">
        <f>school199495[[#Totals],[Program
Costs]]</f>
        <v>34304426</v>
      </c>
      <c r="F921" s="342">
        <f>school199495[[#Totals],[Less: Net
 Payments and 
Offsets 2]]</f>
        <v>32307808</v>
      </c>
      <c r="G921" s="339" t="s">
        <v>153</v>
      </c>
      <c r="H921" s="340">
        <f>school199495[[#Totals],[Accounts Payable
Balance]]</f>
        <v>1996618</v>
      </c>
      <c r="I921" s="342">
        <f>school199495[[#Totals],[Established
Accounts Receivable]]</f>
        <v>79460</v>
      </c>
      <c r="J921" s="337">
        <f>school199495[[#Totals],[Less: 
Recovered 
Amount]]</f>
        <v>78754</v>
      </c>
      <c r="K921" s="340">
        <f>school199495[[#Totals],[Accounts Receivable
Balance]]</f>
        <v>706</v>
      </c>
      <c r="L921" s="337">
        <f>school199495[[#Totals],[Net
Balance]]</f>
        <v>1995912</v>
      </c>
    </row>
    <row r="922" spans="1:12" s="249" customFormat="1" ht="15.75" customHeight="1" x14ac:dyDescent="0.25">
      <c r="A922" s="248" t="s">
        <v>500</v>
      </c>
      <c r="B922" s="255" t="s">
        <v>153</v>
      </c>
      <c r="C922" s="255" t="s">
        <v>153</v>
      </c>
      <c r="D922" s="255" t="s">
        <v>153</v>
      </c>
      <c r="E922" s="337">
        <f>school199394[[#Totals],[Program
Costs]]</f>
        <v>60498795</v>
      </c>
      <c r="F922" s="342">
        <f>school199394[[#Totals],[Less: Net
 Payments and 
Offsets 2]]</f>
        <v>58158211</v>
      </c>
      <c r="G922" s="339" t="s">
        <v>153</v>
      </c>
      <c r="H922" s="340">
        <f>school199394[[#Totals],[Accounts Payable
Balance]]</f>
        <v>2340584</v>
      </c>
      <c r="I922" s="342">
        <f>school199394[[#Totals],[Established
Accounts Receivable]]</f>
        <v>3893180</v>
      </c>
      <c r="J922" s="337">
        <f>school199394[[#Totals],[Less: 
Recovered 
Amount]]</f>
        <v>3825038</v>
      </c>
      <c r="K922" s="340">
        <f>school199394[[#Totals],[Accounts Receivable
Balance]]</f>
        <v>68142</v>
      </c>
      <c r="L922" s="337">
        <f>school199394[[#Totals],[Net
Balance]]</f>
        <v>2272442</v>
      </c>
    </row>
    <row r="923" spans="1:12" s="249" customFormat="1" ht="15.75" customHeight="1" x14ac:dyDescent="0.25">
      <c r="A923" s="248" t="s">
        <v>377</v>
      </c>
      <c r="B923" s="255" t="s">
        <v>153</v>
      </c>
      <c r="C923" s="255" t="s">
        <v>153</v>
      </c>
      <c r="D923" s="255" t="s">
        <v>153</v>
      </c>
      <c r="E923" s="337">
        <f>school199293[[#Totals],[Program
Costs]]</f>
        <v>43009067</v>
      </c>
      <c r="F923" s="342">
        <f>school199293[[#Totals],[Less: Net
 Payments and 
Offsets 2]]</f>
        <v>43009067</v>
      </c>
      <c r="G923" s="339" t="s">
        <v>153</v>
      </c>
      <c r="H923" s="343">
        <f>school199293[[#Totals],[Accounts Payable
Balance]]</f>
        <v>0</v>
      </c>
      <c r="I923" s="342">
        <f>school199293[[#Totals],[Established
Accounts Receivable]]</f>
        <v>4838266</v>
      </c>
      <c r="J923" s="337">
        <f>school199293[[#Totals],[Less: 
Recovered 
Amount]]</f>
        <v>4811695</v>
      </c>
      <c r="K923" s="340">
        <f>school199293[[#Totals],[Accounts Receivable
Balance]]</f>
        <v>26571</v>
      </c>
      <c r="L923" s="337">
        <f>school199293[[#Totals],[Net
Balance]]</f>
        <v>-26571</v>
      </c>
    </row>
    <row r="924" spans="1:12" s="249" customFormat="1" ht="15.75" customHeight="1" x14ac:dyDescent="0.25">
      <c r="A924" s="248" t="s">
        <v>380</v>
      </c>
      <c r="B924" s="255" t="s">
        <v>153</v>
      </c>
      <c r="C924" s="255" t="s">
        <v>153</v>
      </c>
      <c r="D924" s="255" t="s">
        <v>153</v>
      </c>
      <c r="E924" s="337">
        <f>school199192[[#Totals],[Program
Costs]]</f>
        <v>11520157</v>
      </c>
      <c r="F924" s="342">
        <f>school199192[[#Totals],[Less: Net
 Payments and 
Offsets 2]]</f>
        <v>11520157</v>
      </c>
      <c r="G924" s="339" t="s">
        <v>153</v>
      </c>
      <c r="H924" s="343">
        <f>school199192[[#Totals],[Accounts Payable
Balance]]</f>
        <v>0</v>
      </c>
      <c r="I924" s="342">
        <f>school199192[[#Totals],[Established
Accounts Receivable]]</f>
        <v>1361039</v>
      </c>
      <c r="J924" s="337">
        <f>school199192[[#Totals],[Less: 
Recovered 
Amount]]</f>
        <v>1360549</v>
      </c>
      <c r="K924" s="340">
        <f>school199192[[#Totals],[Accounts Receivable
Balance]]</f>
        <v>490</v>
      </c>
      <c r="L924" s="337">
        <f>school199192[[#Totals],[Net
Balance]]</f>
        <v>-490</v>
      </c>
    </row>
    <row r="925" spans="1:12" s="249" customFormat="1" ht="15.75" customHeight="1" x14ac:dyDescent="0.25">
      <c r="A925" s="248" t="s">
        <v>503</v>
      </c>
      <c r="B925" s="255" t="s">
        <v>153</v>
      </c>
      <c r="C925" s="255" t="s">
        <v>153</v>
      </c>
      <c r="D925" s="255" t="s">
        <v>153</v>
      </c>
      <c r="E925" s="337">
        <f>school199091[[#Totals],[Program
Costs]]</f>
        <v>15397834</v>
      </c>
      <c r="F925" s="342">
        <f>school199091[[#Totals],[Less: Net
 Payments and 
Offsets 2]]</f>
        <v>15397834</v>
      </c>
      <c r="G925" s="339" t="s">
        <v>153</v>
      </c>
      <c r="H925" s="343">
        <f>school199091[[#Totals],[Accounts Payable
Balance]]</f>
        <v>0</v>
      </c>
      <c r="I925" s="342">
        <f>school199091[[#Totals],[Established
Accounts Receivable]]</f>
        <v>3960924</v>
      </c>
      <c r="J925" s="337">
        <f>school199091[[#Totals],[Less: 
Recovered 
Amount]]</f>
        <v>3611255</v>
      </c>
      <c r="K925" s="340">
        <f>school199091[[#Totals],[Accounts Receivable
Balance]]</f>
        <v>349669</v>
      </c>
      <c r="L925" s="337">
        <f>school199091[[#Totals],[Net
Balance]]</f>
        <v>-349669</v>
      </c>
    </row>
    <row r="926" spans="1:12" s="249" customFormat="1" ht="15.75" customHeight="1" x14ac:dyDescent="0.25">
      <c r="A926" s="248" t="s">
        <v>504</v>
      </c>
      <c r="B926" s="255" t="s">
        <v>153</v>
      </c>
      <c r="C926" s="255" t="s">
        <v>153</v>
      </c>
      <c r="D926" s="255" t="s">
        <v>153</v>
      </c>
      <c r="E926" s="337">
        <f>school198990[[#Totals],[Program
Costs]]</f>
        <v>17944440</v>
      </c>
      <c r="F926" s="342">
        <f>school198990[[#Totals],[Less: Net
 Payments and 
Offsets 2]]</f>
        <v>17944440</v>
      </c>
      <c r="G926" s="339" t="s">
        <v>153</v>
      </c>
      <c r="H926" s="343">
        <f>school198990[[#Totals],[Accounts Payable
Balance]]</f>
        <v>0</v>
      </c>
      <c r="I926" s="342">
        <f>school198990[[#Totals],[Established
Accounts Receivable]]</f>
        <v>1565577</v>
      </c>
      <c r="J926" s="337">
        <f>school198990[[#Totals],[Less: 
Recovered 
Amount]]</f>
        <v>1525010</v>
      </c>
      <c r="K926" s="340">
        <f>school198990[[#Totals],[Accounts Receivable
Balance]]</f>
        <v>40567</v>
      </c>
      <c r="L926" s="337">
        <f>school198990[[#Totals],[Net
Balance]]</f>
        <v>-40567</v>
      </c>
    </row>
    <row r="927" spans="1:12" s="249" customFormat="1" ht="15.75" customHeight="1" x14ac:dyDescent="0.25">
      <c r="A927" s="248" t="s">
        <v>505</v>
      </c>
      <c r="B927" s="255" t="s">
        <v>153</v>
      </c>
      <c r="C927" s="255" t="s">
        <v>153</v>
      </c>
      <c r="D927" s="255" t="s">
        <v>153</v>
      </c>
      <c r="E927" s="337">
        <f>school198889[[#Totals],[Program
Costs]]</f>
        <v>8195968</v>
      </c>
      <c r="F927" s="342">
        <f>school198889[[#Totals],[Less: Net
 Payments and 
Offsets 2]]</f>
        <v>8195968</v>
      </c>
      <c r="G927" s="339" t="s">
        <v>153</v>
      </c>
      <c r="H927" s="343">
        <f>school198889[[#Totals],[Accounts Payable
Balance]]</f>
        <v>0</v>
      </c>
      <c r="I927" s="342">
        <f>school198889[[#Totals],[Established
Accounts Receivable]]</f>
        <v>880183</v>
      </c>
      <c r="J927" s="337">
        <f>school198889[[#Totals],[Less: 
Recovered 
Amount]]</f>
        <v>879682</v>
      </c>
      <c r="K927" s="340">
        <f>school198889[[#Totals],[Accounts Receivable
Balance]]</f>
        <v>501</v>
      </c>
      <c r="L927" s="337">
        <f>school198889[[#Totals],[Net
Balance]]</f>
        <v>-501</v>
      </c>
    </row>
    <row r="928" spans="1:12" s="249" customFormat="1" ht="15.75" customHeight="1" x14ac:dyDescent="0.25">
      <c r="A928" s="248" t="s">
        <v>506</v>
      </c>
      <c r="B928" s="255" t="s">
        <v>153</v>
      </c>
      <c r="C928" s="255" t="s">
        <v>153</v>
      </c>
      <c r="D928" s="255" t="s">
        <v>153</v>
      </c>
      <c r="E928" s="337">
        <f>school198788[[#Totals],[Program
Costs]]</f>
        <v>8055062</v>
      </c>
      <c r="F928" s="342">
        <f>school198788[[#Totals],[Less: Net
 Payments and 
Offsets 2]]</f>
        <v>8055062</v>
      </c>
      <c r="G928" s="339" t="s">
        <v>153</v>
      </c>
      <c r="H928" s="343">
        <f>school198788[[#Totals],[Accounts Payable
Balance]]</f>
        <v>0</v>
      </c>
      <c r="I928" s="342">
        <f>school198788[[#Totals],[Established
Accounts Receivable]]</f>
        <v>803598</v>
      </c>
      <c r="J928" s="337">
        <f>school198788[[#Totals],[Less: 
Recovered 
Amount]]</f>
        <v>803123</v>
      </c>
      <c r="K928" s="340">
        <f>school198788[[#Totals],[Accounts Receivable
Balance]]</f>
        <v>475</v>
      </c>
      <c r="L928" s="337">
        <f>school198788[[#Totals],[Net
Balance]]</f>
        <v>-475</v>
      </c>
    </row>
    <row r="929" spans="1:29" s="249" customFormat="1" ht="15.75" customHeight="1" x14ac:dyDescent="0.25">
      <c r="A929" s="248" t="s">
        <v>507</v>
      </c>
      <c r="B929" s="255" t="s">
        <v>153</v>
      </c>
      <c r="C929" s="255" t="s">
        <v>153</v>
      </c>
      <c r="D929" s="255" t="s">
        <v>153</v>
      </c>
      <c r="E929" s="337">
        <f>school198687[[#Totals],[Program
Costs]]</f>
        <v>7376797</v>
      </c>
      <c r="F929" s="342">
        <f>school198687[[#Totals],[Less: Net
 Payments and 
Offsets 2]]</f>
        <v>7376797</v>
      </c>
      <c r="G929" s="339" t="s">
        <v>153</v>
      </c>
      <c r="H929" s="343">
        <f>school198687[[#Totals],[Accounts Payable
Balance]]</f>
        <v>0</v>
      </c>
      <c r="I929" s="342">
        <f>school198687[[#Totals],[Established
Accounts Receivable]]</f>
        <v>727817</v>
      </c>
      <c r="J929" s="337">
        <f>school198687[[#Totals],[Less: 
Recovered 
Amount]]</f>
        <v>726917</v>
      </c>
      <c r="K929" s="340">
        <f>school198687[[#Totals],[Accounts Receivable
Balance]]</f>
        <v>900</v>
      </c>
      <c r="L929" s="337">
        <f>school198687[[#Totals],[Net
Balance]]</f>
        <v>-900</v>
      </c>
    </row>
    <row r="930" spans="1:29" s="249" customFormat="1" ht="15.75" customHeight="1" x14ac:dyDescent="0.25">
      <c r="A930" s="248" t="s">
        <v>508</v>
      </c>
      <c r="B930" s="255" t="s">
        <v>153</v>
      </c>
      <c r="C930" s="255" t="s">
        <v>153</v>
      </c>
      <c r="D930" s="255" t="s">
        <v>153</v>
      </c>
      <c r="E930" s="337">
        <f>school198586[[#Totals],[Program
Costs]]</f>
        <v>7513308</v>
      </c>
      <c r="F930" s="342">
        <f>school198586[[#Totals],[Less: Net
 Payments and 
Offsets 2]]</f>
        <v>7513308</v>
      </c>
      <c r="G930" s="339" t="s">
        <v>153</v>
      </c>
      <c r="H930" s="343">
        <f>school198586[[#Totals],[Accounts Payable
Balance]]</f>
        <v>0</v>
      </c>
      <c r="I930" s="342">
        <f>school198586[[#Totals],[Established
Accounts Receivable]]</f>
        <v>588899</v>
      </c>
      <c r="J930" s="337">
        <f>school198586[[#Totals],[Less: 
Recovered 
Amount]]</f>
        <v>588367</v>
      </c>
      <c r="K930" s="340">
        <f>school198586[[#Totals],[Accounts Receivable
Balance]]</f>
        <v>532</v>
      </c>
      <c r="L930" s="337">
        <f>school198586[[#Totals],[Net
Balance]]</f>
        <v>-532</v>
      </c>
    </row>
    <row r="931" spans="1:29" ht="18.75" customHeight="1" x14ac:dyDescent="0.25">
      <c r="A931" s="206" t="s">
        <v>109</v>
      </c>
      <c r="B931" s="257" t="s">
        <v>153</v>
      </c>
      <c r="C931" s="257" t="s">
        <v>153</v>
      </c>
      <c r="D931" s="257" t="s">
        <v>153</v>
      </c>
      <c r="E931" s="344">
        <f>SUBTOTAL(109,schoolgrandtotal[Program
Costs])</f>
        <v>6310268855</v>
      </c>
      <c r="F931" s="345">
        <f>SUBTOTAL(109,schoolgrandtotal[Less: Net
 Payments and 
Offsets 2])</f>
        <v>5384866232</v>
      </c>
      <c r="G931" s="346" t="s">
        <v>153</v>
      </c>
      <c r="H931" s="347">
        <f>SUBTOTAL(109,schoolgrandtotal[Accounts Payable
Balance])</f>
        <v>925402623</v>
      </c>
      <c r="I931" s="348">
        <f>SUBTOTAL(109,schoolgrandtotal[Established
Accounts Receivable])</f>
        <v>195262044</v>
      </c>
      <c r="J931" s="344">
        <f>SUBTOTAL(109,schoolgrandtotal[Less: 
Recovered 
Amount])</f>
        <v>143556844</v>
      </c>
      <c r="K931" s="347">
        <f>SUBTOTAL(109,schoolgrandtotal[Accounts Receivable
Balance])</f>
        <v>51705200</v>
      </c>
      <c r="L931" s="344">
        <f>SUBTOTAL(109,schoolgrandtotal[Net
Balance])</f>
        <v>873697423</v>
      </c>
      <c r="W931" s="249"/>
      <c r="X931" s="249"/>
      <c r="Y931" s="249"/>
      <c r="Z931" s="249"/>
      <c r="AA931" s="249"/>
      <c r="AB931" s="249"/>
      <c r="AC931" s="249"/>
    </row>
    <row r="932" spans="1:29" ht="15.75" x14ac:dyDescent="0.25">
      <c r="A932" s="164" t="s">
        <v>402</v>
      </c>
      <c r="B932" s="176"/>
      <c r="C932" s="176"/>
      <c r="D932" s="176"/>
      <c r="E932" s="176"/>
      <c r="F932" s="176"/>
      <c r="G932" s="176"/>
      <c r="H932" s="176"/>
      <c r="I932" s="176"/>
      <c r="J932" s="176"/>
      <c r="K932" s="176"/>
      <c r="L932" s="176"/>
    </row>
    <row r="933" spans="1:29" ht="18.75" x14ac:dyDescent="0.25">
      <c r="A933" s="189" t="s">
        <v>510</v>
      </c>
      <c r="B933" s="176"/>
      <c r="C933" s="176"/>
      <c r="D933" s="176"/>
      <c r="E933" s="176"/>
      <c r="F933" s="176"/>
      <c r="G933" s="176"/>
      <c r="H933" s="176"/>
      <c r="I933" s="176"/>
      <c r="J933" s="176"/>
      <c r="K933" s="176"/>
      <c r="L933" s="176"/>
    </row>
    <row r="934" spans="1:29" x14ac:dyDescent="0.25">
      <c r="F934" s="180"/>
      <c r="G934" s="180"/>
    </row>
    <row r="937" spans="1:29" x14ac:dyDescent="0.25">
      <c r="F937" s="180"/>
      <c r="G937" s="180"/>
    </row>
  </sheetData>
  <hyperlinks>
    <hyperlink ref="F2" location="'Schedule B1-Schools'!A932" tooltip="This hyperlink will take you to the referenced footnote-footnote 2" display="'Schedule B1-Schools'!A932"/>
  </hyperlinks>
  <printOptions horizontalCentered="1" gridLines="1"/>
  <pageMargins left="0.3" right="0.3" top="1.1000000000000001" bottom="0.75" header="0.3" footer="0.1"/>
  <pageSetup scale="60" fitToHeight="0" orientation="landscape" r:id="rId1"/>
  <headerFooter>
    <oddHeader>&amp;C&amp;"-,Bold"&amp;12State Controller's Office
Schedule B1: Detail of Funded State-Mandated Programs by Fiscal Year
As of April 1, 2021</oddHeader>
    <oddFooter>&amp;LSchedule B1: Detail of Funded State-Mandated Programs by Fiscal Year
School Districts&amp;RPage &amp;P of &amp;N</oddFooter>
  </headerFooter>
  <rowBreaks count="5" manualBreakCount="5">
    <brk id="29" max="11" man="1"/>
    <brk id="501" max="11" man="1"/>
    <brk id="531" max="11" man="1"/>
    <brk id="850" max="11" man="1"/>
    <brk id="882" max="11" man="1"/>
  </rowBreaks>
  <legacyDrawing r:id="rId2"/>
  <tableParts count="36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  <tablePart r:id="rId35"/>
    <tablePart r:id="rId36"/>
    <tablePart r:id="rId37"/>
    <tablePart r:id="rId38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XFD146"/>
  <sheetViews>
    <sheetView view="pageLayout" zoomScale="90" zoomScaleNormal="80" zoomScalePageLayoutView="90" workbookViewId="0">
      <selection activeCell="E1" sqref="E1"/>
    </sheetView>
  </sheetViews>
  <sheetFormatPr defaultColWidth="9.140625" defaultRowHeight="15" outlineLevelRow="1" x14ac:dyDescent="0.25"/>
  <cols>
    <col min="1" max="1" width="37" style="259" customWidth="1"/>
    <col min="2" max="2" width="35.7109375" style="260" customWidth="1"/>
    <col min="3" max="3" width="12.5703125" style="261" customWidth="1"/>
    <col min="4" max="4" width="14.5703125" style="259" customWidth="1"/>
    <col min="5" max="6" width="18.5703125" style="262" customWidth="1"/>
    <col min="7" max="7" width="2.5703125" style="311" customWidth="1"/>
    <col min="8" max="8" width="17.5703125" style="262" customWidth="1"/>
    <col min="9" max="10" width="16.5703125" style="262" customWidth="1"/>
    <col min="11" max="11" width="17.5703125" style="262" customWidth="1"/>
    <col min="12" max="12" width="18.5703125" style="262" customWidth="1"/>
    <col min="13" max="13" width="9.140625" style="239"/>
    <col min="14" max="14" width="10.85546875" style="239" bestFit="1" customWidth="1"/>
    <col min="15" max="16384" width="9.140625" style="239"/>
  </cols>
  <sheetData>
    <row r="1" spans="1:12" ht="54" customHeight="1" x14ac:dyDescent="0.3">
      <c r="A1" s="20" t="s">
        <v>267</v>
      </c>
      <c r="B1" s="264"/>
      <c r="C1" s="265"/>
      <c r="D1" s="265"/>
      <c r="E1" s="266"/>
      <c r="F1" s="266"/>
      <c r="G1" s="304"/>
      <c r="H1" s="266"/>
      <c r="I1" s="266"/>
      <c r="J1" s="266"/>
      <c r="K1" s="266"/>
      <c r="L1" s="266"/>
    </row>
    <row r="2" spans="1:12" s="349" customFormat="1" ht="50.1" customHeight="1" x14ac:dyDescent="0.25">
      <c r="A2" s="211" t="s">
        <v>221</v>
      </c>
      <c r="B2" s="211" t="s">
        <v>268</v>
      </c>
      <c r="C2" s="21" t="s">
        <v>2</v>
      </c>
      <c r="D2" s="211" t="s">
        <v>280</v>
      </c>
      <c r="E2" s="212" t="s">
        <v>223</v>
      </c>
      <c r="F2" s="168" t="s">
        <v>520</v>
      </c>
      <c r="G2" s="252" t="s">
        <v>244</v>
      </c>
      <c r="H2" s="214" t="s">
        <v>270</v>
      </c>
      <c r="I2" s="151" t="s">
        <v>271</v>
      </c>
      <c r="J2" s="212" t="s">
        <v>282</v>
      </c>
      <c r="K2" s="214" t="s">
        <v>272</v>
      </c>
      <c r="L2" s="212" t="s">
        <v>273</v>
      </c>
    </row>
    <row r="3" spans="1:12" ht="30.75" customHeight="1" x14ac:dyDescent="0.25">
      <c r="A3" s="24" t="s">
        <v>47</v>
      </c>
      <c r="B3" s="152" t="s">
        <v>50</v>
      </c>
      <c r="C3" s="115" t="s">
        <v>51</v>
      </c>
      <c r="D3" s="24">
        <v>232</v>
      </c>
      <c r="E3" s="268">
        <v>54721</v>
      </c>
      <c r="F3" s="268">
        <v>8356</v>
      </c>
      <c r="G3" s="303" t="s">
        <v>153</v>
      </c>
      <c r="H3" s="268">
        <v>46365</v>
      </c>
      <c r="I3" s="269">
        <v>0</v>
      </c>
      <c r="J3" s="269">
        <v>0</v>
      </c>
      <c r="K3" s="269">
        <v>0</v>
      </c>
      <c r="L3" s="268">
        <v>46365</v>
      </c>
    </row>
    <row r="4" spans="1:12" ht="30.75" customHeight="1" x14ac:dyDescent="0.25">
      <c r="A4" s="24" t="s">
        <v>47</v>
      </c>
      <c r="B4" s="267" t="s">
        <v>521</v>
      </c>
      <c r="C4" s="115" t="s">
        <v>427</v>
      </c>
      <c r="D4" s="24">
        <v>267</v>
      </c>
      <c r="E4" s="268">
        <v>321143</v>
      </c>
      <c r="F4" s="268">
        <v>121251</v>
      </c>
      <c r="G4" s="303" t="s">
        <v>153</v>
      </c>
      <c r="H4" s="268">
        <v>199892</v>
      </c>
      <c r="I4" s="269">
        <v>0</v>
      </c>
      <c r="J4" s="269">
        <v>0</v>
      </c>
      <c r="K4" s="269">
        <v>0</v>
      </c>
      <c r="L4" s="268">
        <v>199892</v>
      </c>
    </row>
    <row r="5" spans="1:12" ht="15.75" customHeight="1" x14ac:dyDescent="0.25">
      <c r="A5" s="24" t="s">
        <v>47</v>
      </c>
      <c r="B5" s="267" t="s">
        <v>522</v>
      </c>
      <c r="C5" s="115" t="s">
        <v>523</v>
      </c>
      <c r="D5" s="24">
        <v>347</v>
      </c>
      <c r="E5" s="269">
        <v>0</v>
      </c>
      <c r="F5" s="269">
        <v>0</v>
      </c>
      <c r="G5" s="303" t="s">
        <v>153</v>
      </c>
      <c r="H5" s="269">
        <v>0</v>
      </c>
      <c r="I5" s="268">
        <v>1000</v>
      </c>
      <c r="J5" s="269">
        <v>0</v>
      </c>
      <c r="K5" s="268">
        <v>1000</v>
      </c>
      <c r="L5" s="268">
        <v>-1000</v>
      </c>
    </row>
    <row r="6" spans="1:12" s="106" customFormat="1" ht="15.75" customHeight="1" x14ac:dyDescent="0.25">
      <c r="A6" s="165" t="s">
        <v>287</v>
      </c>
      <c r="B6" s="302" t="s">
        <v>153</v>
      </c>
      <c r="C6" s="302" t="s">
        <v>153</v>
      </c>
      <c r="D6" s="302" t="s">
        <v>153</v>
      </c>
      <c r="E6" s="277">
        <f>SUBTOTAL(109,college201415[Program
Costs])</f>
        <v>375864</v>
      </c>
      <c r="F6" s="277">
        <f>SUBTOTAL(109,college201415[Less: Net
 Payments and 
Offsets 2])</f>
        <v>129607</v>
      </c>
      <c r="G6" s="302" t="s">
        <v>153</v>
      </c>
      <c r="H6" s="277">
        <f>SUBTOTAL(109,college201415[Accounts Payable
Balance])</f>
        <v>246257</v>
      </c>
      <c r="I6" s="277">
        <f>SUBTOTAL(109,college201415[Established
Accounts Receivable])</f>
        <v>1000</v>
      </c>
      <c r="J6" s="279">
        <f>SUBTOTAL(109,college201415[Less: 
Recovered 
Amount])</f>
        <v>0</v>
      </c>
      <c r="K6" s="277">
        <f>SUBTOTAL(109,college201415[Accounts Receivable
Balance])</f>
        <v>1000</v>
      </c>
      <c r="L6" s="277">
        <f>SUBTOTAL(109,college201415[Net
Balance])</f>
        <v>245257</v>
      </c>
    </row>
    <row r="7" spans="1:12" ht="15.75" customHeight="1" x14ac:dyDescent="0.25">
      <c r="A7" s="146" t="s">
        <v>181</v>
      </c>
      <c r="B7" s="352"/>
      <c r="C7" s="115"/>
      <c r="D7" s="24"/>
      <c r="E7" s="272"/>
      <c r="F7" s="272"/>
      <c r="G7" s="305"/>
      <c r="H7" s="272"/>
      <c r="I7" s="272"/>
      <c r="J7" s="270"/>
      <c r="K7" s="272"/>
      <c r="L7" s="271"/>
    </row>
    <row r="8" spans="1:12" s="349" customFormat="1" ht="50.1" customHeight="1" x14ac:dyDescent="0.25">
      <c r="A8" s="211" t="s">
        <v>221</v>
      </c>
      <c r="B8" s="211" t="s">
        <v>268</v>
      </c>
      <c r="C8" s="21" t="s">
        <v>2</v>
      </c>
      <c r="D8" s="211" t="s">
        <v>280</v>
      </c>
      <c r="E8" s="212" t="s">
        <v>223</v>
      </c>
      <c r="F8" s="21" t="s">
        <v>509</v>
      </c>
      <c r="G8" s="350" t="s">
        <v>176</v>
      </c>
      <c r="H8" s="214" t="s">
        <v>270</v>
      </c>
      <c r="I8" s="151" t="s">
        <v>271</v>
      </c>
      <c r="J8" s="212" t="s">
        <v>282</v>
      </c>
      <c r="K8" s="214" t="s">
        <v>272</v>
      </c>
      <c r="L8" s="212" t="s">
        <v>273</v>
      </c>
    </row>
    <row r="9" spans="1:12" ht="30.75" customHeight="1" x14ac:dyDescent="0.25">
      <c r="A9" s="24" t="s">
        <v>288</v>
      </c>
      <c r="B9" s="152" t="s">
        <v>50</v>
      </c>
      <c r="C9" s="115" t="s">
        <v>51</v>
      </c>
      <c r="D9" s="24">
        <v>232</v>
      </c>
      <c r="E9" s="268">
        <v>488941</v>
      </c>
      <c r="F9" s="268">
        <v>439154</v>
      </c>
      <c r="G9" s="303" t="s">
        <v>153</v>
      </c>
      <c r="H9" s="268">
        <v>49787</v>
      </c>
      <c r="I9" s="269">
        <v>0</v>
      </c>
      <c r="J9" s="269">
        <v>0</v>
      </c>
      <c r="K9" s="269">
        <v>0</v>
      </c>
      <c r="L9" s="268">
        <v>49787</v>
      </c>
    </row>
    <row r="10" spans="1:12" ht="30.75" customHeight="1" x14ac:dyDescent="0.25">
      <c r="A10" s="24" t="s">
        <v>288</v>
      </c>
      <c r="B10" s="267" t="s">
        <v>521</v>
      </c>
      <c r="C10" s="115" t="s">
        <v>427</v>
      </c>
      <c r="D10" s="24">
        <v>267</v>
      </c>
      <c r="E10" s="268">
        <v>390536</v>
      </c>
      <c r="F10" s="268">
        <v>241191</v>
      </c>
      <c r="G10" s="303" t="s">
        <v>153</v>
      </c>
      <c r="H10" s="268">
        <v>149345</v>
      </c>
      <c r="I10" s="269">
        <v>0</v>
      </c>
      <c r="J10" s="269">
        <v>0</v>
      </c>
      <c r="K10" s="269">
        <v>0</v>
      </c>
      <c r="L10" s="268">
        <v>149345</v>
      </c>
    </row>
    <row r="11" spans="1:12" ht="15.75" customHeight="1" x14ac:dyDescent="0.25">
      <c r="A11" s="24" t="s">
        <v>288</v>
      </c>
      <c r="B11" s="267" t="s">
        <v>522</v>
      </c>
      <c r="C11" s="115" t="s">
        <v>523</v>
      </c>
      <c r="D11" s="24">
        <v>347</v>
      </c>
      <c r="E11" s="269">
        <v>0</v>
      </c>
      <c r="F11" s="269">
        <v>0</v>
      </c>
      <c r="G11" s="303" t="s">
        <v>153</v>
      </c>
      <c r="H11" s="269">
        <v>0</v>
      </c>
      <c r="I11" s="268">
        <v>1000</v>
      </c>
      <c r="J11" s="269">
        <v>0</v>
      </c>
      <c r="K11" s="268">
        <v>1000</v>
      </c>
      <c r="L11" s="268">
        <v>-1000</v>
      </c>
    </row>
    <row r="12" spans="1:12" ht="15.75" customHeight="1" x14ac:dyDescent="0.25">
      <c r="A12" s="165" t="s">
        <v>289</v>
      </c>
      <c r="B12" s="302" t="s">
        <v>153</v>
      </c>
      <c r="C12" s="302" t="s">
        <v>153</v>
      </c>
      <c r="D12" s="302" t="s">
        <v>153</v>
      </c>
      <c r="E12" s="42">
        <f>SUBTOTAL(109,college201314[Program
Costs])</f>
        <v>879477</v>
      </c>
      <c r="F12" s="42">
        <f>SUBTOTAL(109,college201314[Less: Net
 Payments and 
Offsets 2])</f>
        <v>680345</v>
      </c>
      <c r="G12" s="302" t="s">
        <v>153</v>
      </c>
      <c r="H12" s="42">
        <f>SUBTOTAL(109,college201314[Accounts Payable
Balance])</f>
        <v>199132</v>
      </c>
      <c r="I12" s="42">
        <f>SUBTOTAL(109,college201314[Established
Accounts Receivable])</f>
        <v>1000</v>
      </c>
      <c r="J12" s="279">
        <f>SUBTOTAL(109,college201314[Less: 
Recovered 
Amount])</f>
        <v>0</v>
      </c>
      <c r="K12" s="42">
        <f>SUBTOTAL(109,college201314[Accounts Receivable
Balance])</f>
        <v>1000</v>
      </c>
      <c r="L12" s="277">
        <f>SUBTOTAL(109,college201314[Net
Balance])</f>
        <v>198132</v>
      </c>
    </row>
    <row r="13" spans="1:12" ht="15.75" customHeight="1" x14ac:dyDescent="0.25">
      <c r="A13" s="146" t="s">
        <v>181</v>
      </c>
      <c r="B13" s="352"/>
      <c r="C13" s="115"/>
      <c r="D13" s="24"/>
      <c r="E13"/>
      <c r="F13"/>
      <c r="G13" s="305"/>
      <c r="H13"/>
      <c r="I13"/>
      <c r="J13" s="270"/>
      <c r="K13"/>
      <c r="L13" s="271"/>
    </row>
    <row r="14" spans="1:12" s="312" customFormat="1" ht="50.1" customHeight="1" x14ac:dyDescent="0.25">
      <c r="A14" s="34" t="s">
        <v>221</v>
      </c>
      <c r="B14" s="34" t="s">
        <v>268</v>
      </c>
      <c r="C14" s="28" t="s">
        <v>2</v>
      </c>
      <c r="D14" s="34" t="s">
        <v>280</v>
      </c>
      <c r="E14" s="194" t="s">
        <v>223</v>
      </c>
      <c r="F14" s="21" t="s">
        <v>509</v>
      </c>
      <c r="G14" s="252" t="s">
        <v>176</v>
      </c>
      <c r="H14" s="196" t="s">
        <v>270</v>
      </c>
      <c r="I14" s="156" t="s">
        <v>271</v>
      </c>
      <c r="J14" s="194" t="s">
        <v>282</v>
      </c>
      <c r="K14" s="196" t="s">
        <v>272</v>
      </c>
      <c r="L14" s="194" t="s">
        <v>273</v>
      </c>
    </row>
    <row r="15" spans="1:12" ht="45.75" x14ac:dyDescent="0.25">
      <c r="A15" s="24" t="s">
        <v>290</v>
      </c>
      <c r="B15" s="152" t="s">
        <v>50</v>
      </c>
      <c r="C15" s="115" t="s">
        <v>51</v>
      </c>
      <c r="D15" s="24">
        <v>232</v>
      </c>
      <c r="E15" s="268">
        <v>233153</v>
      </c>
      <c r="F15" s="268">
        <v>161629</v>
      </c>
      <c r="G15" s="303" t="s">
        <v>153</v>
      </c>
      <c r="H15" s="268">
        <v>71524</v>
      </c>
      <c r="I15" s="269">
        <v>0</v>
      </c>
      <c r="J15" s="269">
        <v>0</v>
      </c>
      <c r="K15" s="269">
        <v>0</v>
      </c>
      <c r="L15" s="268">
        <v>71524</v>
      </c>
    </row>
    <row r="16" spans="1:12" ht="30.75" customHeight="1" x14ac:dyDescent="0.25">
      <c r="A16" s="24" t="s">
        <v>290</v>
      </c>
      <c r="B16" s="267" t="s">
        <v>521</v>
      </c>
      <c r="C16" s="115" t="s">
        <v>427</v>
      </c>
      <c r="D16" s="24">
        <v>267</v>
      </c>
      <c r="E16" s="268">
        <v>536777</v>
      </c>
      <c r="F16" s="268">
        <v>237059</v>
      </c>
      <c r="G16" s="303" t="s">
        <v>153</v>
      </c>
      <c r="H16" s="268">
        <v>299718</v>
      </c>
      <c r="I16" s="269">
        <v>0</v>
      </c>
      <c r="J16" s="269">
        <v>0</v>
      </c>
      <c r="K16" s="269">
        <v>0</v>
      </c>
      <c r="L16" s="268">
        <v>299718</v>
      </c>
    </row>
    <row r="17" spans="1:12" ht="15.75" customHeight="1" x14ac:dyDescent="0.25">
      <c r="A17" s="24" t="s">
        <v>290</v>
      </c>
      <c r="B17" s="152" t="s">
        <v>431</v>
      </c>
      <c r="C17" s="115" t="s">
        <v>306</v>
      </c>
      <c r="D17" s="24">
        <v>320</v>
      </c>
      <c r="E17" s="268">
        <v>75416</v>
      </c>
      <c r="F17" s="268">
        <v>57555</v>
      </c>
      <c r="G17" s="303" t="s">
        <v>153</v>
      </c>
      <c r="H17" s="268">
        <v>17861</v>
      </c>
      <c r="I17" s="269">
        <v>0</v>
      </c>
      <c r="J17" s="269">
        <v>0</v>
      </c>
      <c r="K17" s="269">
        <v>0</v>
      </c>
      <c r="L17" s="268">
        <v>17861</v>
      </c>
    </row>
    <row r="18" spans="1:12" ht="15.75" customHeight="1" x14ac:dyDescent="0.25">
      <c r="A18" s="24" t="s">
        <v>290</v>
      </c>
      <c r="B18" s="267" t="s">
        <v>522</v>
      </c>
      <c r="C18" s="115" t="s">
        <v>523</v>
      </c>
      <c r="D18" s="24">
        <v>347</v>
      </c>
      <c r="E18" s="269">
        <v>0</v>
      </c>
      <c r="F18" s="269">
        <v>0</v>
      </c>
      <c r="G18" s="303" t="s">
        <v>153</v>
      </c>
      <c r="H18" s="269">
        <v>0</v>
      </c>
      <c r="I18" s="268">
        <v>1000</v>
      </c>
      <c r="J18" s="269">
        <v>0</v>
      </c>
      <c r="K18" s="268">
        <v>1000</v>
      </c>
      <c r="L18" s="268">
        <v>-1000</v>
      </c>
    </row>
    <row r="19" spans="1:12" ht="15.75" customHeight="1" x14ac:dyDescent="0.25">
      <c r="A19" s="24" t="s">
        <v>290</v>
      </c>
      <c r="B19" s="267" t="s">
        <v>524</v>
      </c>
      <c r="C19" s="115" t="s">
        <v>294</v>
      </c>
      <c r="D19" s="24">
        <v>238</v>
      </c>
      <c r="E19" s="268">
        <v>77295</v>
      </c>
      <c r="F19" s="268">
        <v>69101</v>
      </c>
      <c r="G19" s="303" t="s">
        <v>153</v>
      </c>
      <c r="H19" s="268">
        <v>8194</v>
      </c>
      <c r="I19" s="269">
        <v>0</v>
      </c>
      <c r="J19" s="269">
        <v>0</v>
      </c>
      <c r="K19" s="269">
        <v>0</v>
      </c>
      <c r="L19" s="268">
        <v>8194</v>
      </c>
    </row>
    <row r="20" spans="1:12" ht="15.75" customHeight="1" x14ac:dyDescent="0.25">
      <c r="A20" s="162" t="s">
        <v>291</v>
      </c>
      <c r="B20" s="302" t="s">
        <v>153</v>
      </c>
      <c r="C20" s="302" t="s">
        <v>153</v>
      </c>
      <c r="D20" s="302" t="s">
        <v>153</v>
      </c>
      <c r="E20" s="163">
        <f>SUBTOTAL(109,college201213[Program
Costs])</f>
        <v>922641</v>
      </c>
      <c r="F20" s="163">
        <f>SUBTOTAL(109,college201213[Less: Net
 Payments and 
Offsets 2])</f>
        <v>525344</v>
      </c>
      <c r="G20" s="302" t="s">
        <v>153</v>
      </c>
      <c r="H20" s="163">
        <f>SUBTOTAL(109,college201213[Accounts Payable
Balance])</f>
        <v>397297</v>
      </c>
      <c r="I20" s="163">
        <f>SUBTOTAL(109,college201213[Established
Accounts Receivable])</f>
        <v>1000</v>
      </c>
      <c r="J20" s="284">
        <f>SUBTOTAL(109,college201213[Less: 
Recovered 
Amount])</f>
        <v>0</v>
      </c>
      <c r="K20" s="163">
        <f>SUBTOTAL(109,college201213[Accounts Receivable
Balance])</f>
        <v>1000</v>
      </c>
      <c r="L20" s="163">
        <f>SUBTOTAL(109,college201213[Net
Balance])</f>
        <v>396297</v>
      </c>
    </row>
    <row r="21" spans="1:12" ht="15.75" customHeight="1" x14ac:dyDescent="0.25">
      <c r="A21" s="146" t="s">
        <v>181</v>
      </c>
      <c r="B21" s="267"/>
      <c r="C21" s="115"/>
      <c r="D21" s="24"/>
      <c r="E21" s="270"/>
      <c r="F21" s="270"/>
      <c r="G21" s="305"/>
      <c r="H21" s="270"/>
      <c r="I21" s="270"/>
      <c r="J21" s="270"/>
      <c r="K21" s="270"/>
      <c r="L21" s="271"/>
    </row>
    <row r="22" spans="1:12" s="312" customFormat="1" ht="50.1" customHeight="1" x14ac:dyDescent="0.25">
      <c r="A22" s="34" t="s">
        <v>221</v>
      </c>
      <c r="B22" s="34" t="s">
        <v>268</v>
      </c>
      <c r="C22" s="28" t="s">
        <v>2</v>
      </c>
      <c r="D22" s="34" t="s">
        <v>280</v>
      </c>
      <c r="E22" s="194" t="s">
        <v>223</v>
      </c>
      <c r="F22" s="21" t="s">
        <v>509</v>
      </c>
      <c r="G22" s="252" t="s">
        <v>176</v>
      </c>
      <c r="H22" s="196" t="s">
        <v>270</v>
      </c>
      <c r="I22" s="156" t="s">
        <v>271</v>
      </c>
      <c r="J22" s="194" t="s">
        <v>282</v>
      </c>
      <c r="K22" s="196" t="s">
        <v>272</v>
      </c>
      <c r="L22" s="194" t="s">
        <v>273</v>
      </c>
    </row>
    <row r="23" spans="1:12" ht="45.75" x14ac:dyDescent="0.25">
      <c r="A23" s="24" t="s">
        <v>292</v>
      </c>
      <c r="B23" s="152" t="s">
        <v>50</v>
      </c>
      <c r="C23" s="115" t="s">
        <v>51</v>
      </c>
      <c r="D23" s="24">
        <v>232</v>
      </c>
      <c r="E23" s="268">
        <v>3644350</v>
      </c>
      <c r="F23" s="268">
        <v>3444323</v>
      </c>
      <c r="G23" s="303" t="s">
        <v>153</v>
      </c>
      <c r="H23" s="268">
        <v>200027</v>
      </c>
      <c r="I23" s="269">
        <v>0</v>
      </c>
      <c r="J23" s="269">
        <v>0</v>
      </c>
      <c r="K23" s="269">
        <v>0</v>
      </c>
      <c r="L23" s="268">
        <v>200027</v>
      </c>
    </row>
    <row r="24" spans="1:12" ht="15.75" x14ac:dyDescent="0.25">
      <c r="A24" s="24" t="s">
        <v>292</v>
      </c>
      <c r="B24" s="267" t="s">
        <v>525</v>
      </c>
      <c r="C24" s="115" t="s">
        <v>526</v>
      </c>
      <c r="D24" s="24">
        <v>332</v>
      </c>
      <c r="E24" s="268">
        <v>141970</v>
      </c>
      <c r="F24" s="268">
        <v>86745</v>
      </c>
      <c r="G24" s="303" t="s">
        <v>153</v>
      </c>
      <c r="H24" s="268">
        <v>55225</v>
      </c>
      <c r="I24" s="269">
        <v>0</v>
      </c>
      <c r="J24" s="269">
        <v>0</v>
      </c>
      <c r="K24" s="269">
        <v>0</v>
      </c>
      <c r="L24" s="268">
        <v>55225</v>
      </c>
    </row>
    <row r="25" spans="1:12" ht="30.75" customHeight="1" x14ac:dyDescent="0.25">
      <c r="A25" s="24" t="s">
        <v>292</v>
      </c>
      <c r="B25" s="267" t="s">
        <v>521</v>
      </c>
      <c r="C25" s="115" t="s">
        <v>427</v>
      </c>
      <c r="D25" s="24">
        <v>267</v>
      </c>
      <c r="E25" s="268">
        <v>3224800</v>
      </c>
      <c r="F25" s="268">
        <v>2793676</v>
      </c>
      <c r="G25" s="303" t="s">
        <v>153</v>
      </c>
      <c r="H25" s="268">
        <v>431124</v>
      </c>
      <c r="I25" s="269">
        <v>0</v>
      </c>
      <c r="J25" s="269">
        <v>0</v>
      </c>
      <c r="K25" s="269">
        <v>0</v>
      </c>
      <c r="L25" s="268">
        <v>431124</v>
      </c>
    </row>
    <row r="26" spans="1:12" ht="30.75" customHeight="1" x14ac:dyDescent="0.25">
      <c r="A26" s="24" t="s">
        <v>292</v>
      </c>
      <c r="B26" s="267" t="s">
        <v>527</v>
      </c>
      <c r="C26" s="115" t="s">
        <v>528</v>
      </c>
      <c r="D26" s="24">
        <v>234</v>
      </c>
      <c r="E26" s="268">
        <v>5088326</v>
      </c>
      <c r="F26" s="268">
        <v>4654500</v>
      </c>
      <c r="G26" s="303" t="s">
        <v>153</v>
      </c>
      <c r="H26" s="268">
        <v>433826</v>
      </c>
      <c r="I26" s="269">
        <v>0</v>
      </c>
      <c r="J26" s="269">
        <v>0</v>
      </c>
      <c r="K26" s="269">
        <v>0</v>
      </c>
      <c r="L26" s="268">
        <v>433826</v>
      </c>
    </row>
    <row r="27" spans="1:12" ht="15.75" customHeight="1" x14ac:dyDescent="0.25">
      <c r="A27" s="24" t="s">
        <v>292</v>
      </c>
      <c r="B27" s="152" t="s">
        <v>431</v>
      </c>
      <c r="C27" s="115" t="s">
        <v>306</v>
      </c>
      <c r="D27" s="24">
        <v>320</v>
      </c>
      <c r="E27" s="268">
        <v>594187</v>
      </c>
      <c r="F27" s="268">
        <v>543655</v>
      </c>
      <c r="G27" s="303" t="s">
        <v>153</v>
      </c>
      <c r="H27" s="268">
        <v>50532</v>
      </c>
      <c r="I27" s="269">
        <v>0</v>
      </c>
      <c r="J27" s="269">
        <v>0</v>
      </c>
      <c r="K27" s="269">
        <v>0</v>
      </c>
      <c r="L27" s="268">
        <v>50532</v>
      </c>
    </row>
    <row r="28" spans="1:12" ht="15.75" customHeight="1" x14ac:dyDescent="0.25">
      <c r="A28" s="24" t="s">
        <v>292</v>
      </c>
      <c r="B28" s="267" t="s">
        <v>522</v>
      </c>
      <c r="C28" s="115" t="s">
        <v>523</v>
      </c>
      <c r="D28" s="24">
        <v>347</v>
      </c>
      <c r="E28" s="268">
        <v>5570956</v>
      </c>
      <c r="F28" s="268">
        <v>3907483</v>
      </c>
      <c r="G28" s="303" t="s">
        <v>153</v>
      </c>
      <c r="H28" s="268">
        <v>1663473</v>
      </c>
      <c r="I28" s="269">
        <v>0</v>
      </c>
      <c r="J28" s="269">
        <v>0</v>
      </c>
      <c r="K28" s="269">
        <v>0</v>
      </c>
      <c r="L28" s="268">
        <v>1663473</v>
      </c>
    </row>
    <row r="29" spans="1:12" ht="30.75" customHeight="1" x14ac:dyDescent="0.25">
      <c r="A29" s="24" t="s">
        <v>292</v>
      </c>
      <c r="B29" s="267" t="s">
        <v>524</v>
      </c>
      <c r="C29" s="115" t="s">
        <v>294</v>
      </c>
      <c r="D29" s="24">
        <v>238</v>
      </c>
      <c r="E29" s="268">
        <v>1362137</v>
      </c>
      <c r="F29" s="268">
        <v>1191354</v>
      </c>
      <c r="G29" s="303" t="s">
        <v>153</v>
      </c>
      <c r="H29" s="268">
        <v>170783</v>
      </c>
      <c r="I29" s="269">
        <v>0</v>
      </c>
      <c r="J29" s="269">
        <v>0</v>
      </c>
      <c r="K29" s="269">
        <v>0</v>
      </c>
      <c r="L29" s="268">
        <v>170783</v>
      </c>
    </row>
    <row r="30" spans="1:12" ht="15.75" customHeight="1" x14ac:dyDescent="0.25">
      <c r="A30" s="24" t="s">
        <v>292</v>
      </c>
      <c r="B30" s="267" t="s">
        <v>529</v>
      </c>
      <c r="C30" s="115" t="s">
        <v>52</v>
      </c>
      <c r="D30" s="24">
        <v>301</v>
      </c>
      <c r="E30" s="268">
        <v>705908</v>
      </c>
      <c r="F30" s="268">
        <v>664522</v>
      </c>
      <c r="G30" s="303" t="s">
        <v>153</v>
      </c>
      <c r="H30" s="268">
        <v>41386</v>
      </c>
      <c r="I30" s="269">
        <v>0</v>
      </c>
      <c r="J30" s="269">
        <v>0</v>
      </c>
      <c r="K30" s="269">
        <v>0</v>
      </c>
      <c r="L30" s="268">
        <v>41386</v>
      </c>
    </row>
    <row r="31" spans="1:12" ht="15.75" customHeight="1" x14ac:dyDescent="0.25">
      <c r="A31" s="165" t="s">
        <v>295</v>
      </c>
      <c r="B31" s="302" t="s">
        <v>153</v>
      </c>
      <c r="C31" s="302" t="s">
        <v>153</v>
      </c>
      <c r="D31" s="302" t="s">
        <v>153</v>
      </c>
      <c r="E31" s="277">
        <f>SUBTOTAL(109,college201112[Program
Costs])</f>
        <v>20332634</v>
      </c>
      <c r="F31" s="277">
        <f>SUBTOTAL(109,college201112[Less: Net
 Payments and 
Offsets 2])</f>
        <v>17286258</v>
      </c>
      <c r="G31" s="302" t="s">
        <v>153</v>
      </c>
      <c r="H31" s="277">
        <f>SUBTOTAL(109,college201112[Accounts Payable
Balance])</f>
        <v>3046376</v>
      </c>
      <c r="I31" s="279">
        <f>SUBTOTAL(109,college201112[Established
Accounts Receivable])</f>
        <v>0</v>
      </c>
      <c r="J31" s="279">
        <f>SUBTOTAL(109,college201112[Less: 
Recovered 
Amount])</f>
        <v>0</v>
      </c>
      <c r="K31" s="279">
        <f>SUBTOTAL(109,college201112[Accounts Receivable
Balance])</f>
        <v>0</v>
      </c>
      <c r="L31" s="277">
        <f>SUBTOTAL(109,college201112[Net
Balance])</f>
        <v>3046376</v>
      </c>
    </row>
    <row r="32" spans="1:12" ht="15.75" customHeight="1" x14ac:dyDescent="0.25">
      <c r="A32" s="146" t="s">
        <v>181</v>
      </c>
      <c r="B32" s="267"/>
      <c r="C32" s="115"/>
      <c r="D32" s="24"/>
      <c r="E32" s="270"/>
      <c r="F32" s="270"/>
      <c r="G32" s="305"/>
      <c r="H32" s="270"/>
      <c r="I32" s="270"/>
      <c r="J32" s="270"/>
      <c r="K32" s="270"/>
      <c r="L32" s="271"/>
    </row>
    <row r="33" spans="1:13" s="312" customFormat="1" ht="50.1" customHeight="1" x14ac:dyDescent="0.25">
      <c r="A33" s="34" t="s">
        <v>221</v>
      </c>
      <c r="B33" s="34" t="s">
        <v>268</v>
      </c>
      <c r="C33" s="28" t="s">
        <v>2</v>
      </c>
      <c r="D33" s="34" t="s">
        <v>280</v>
      </c>
      <c r="E33" s="194" t="s">
        <v>223</v>
      </c>
      <c r="F33" s="21" t="s">
        <v>509</v>
      </c>
      <c r="G33" s="252" t="s">
        <v>176</v>
      </c>
      <c r="H33" s="196" t="s">
        <v>270</v>
      </c>
      <c r="I33" s="156" t="s">
        <v>271</v>
      </c>
      <c r="J33" s="194" t="s">
        <v>282</v>
      </c>
      <c r="K33" s="196" t="s">
        <v>272</v>
      </c>
      <c r="L33" s="194" t="s">
        <v>273</v>
      </c>
    </row>
    <row r="34" spans="1:13" ht="15.75" customHeight="1" x14ac:dyDescent="0.25">
      <c r="A34" s="24" t="s">
        <v>296</v>
      </c>
      <c r="B34" s="152" t="s">
        <v>50</v>
      </c>
      <c r="C34" s="115" t="s">
        <v>51</v>
      </c>
      <c r="D34" s="24">
        <v>232</v>
      </c>
      <c r="E34" s="268">
        <v>3804239</v>
      </c>
      <c r="F34" s="268">
        <v>3701869</v>
      </c>
      <c r="G34" s="303" t="s">
        <v>153</v>
      </c>
      <c r="H34" s="268">
        <v>102370</v>
      </c>
      <c r="I34" s="269">
        <v>0</v>
      </c>
      <c r="J34" s="269">
        <v>0</v>
      </c>
      <c r="K34" s="269">
        <v>0</v>
      </c>
      <c r="L34" s="268">
        <v>102370</v>
      </c>
    </row>
    <row r="35" spans="1:13" ht="30.75" customHeight="1" x14ac:dyDescent="0.25">
      <c r="A35" s="24" t="s">
        <v>296</v>
      </c>
      <c r="B35" s="267" t="s">
        <v>521</v>
      </c>
      <c r="C35" s="115" t="s">
        <v>427</v>
      </c>
      <c r="D35" s="24">
        <v>267</v>
      </c>
      <c r="E35" s="268">
        <v>5522032</v>
      </c>
      <c r="F35" s="268">
        <v>4696717</v>
      </c>
      <c r="G35" s="303" t="s">
        <v>153</v>
      </c>
      <c r="H35" s="268">
        <v>825315</v>
      </c>
      <c r="I35" s="269">
        <v>0</v>
      </c>
      <c r="J35" s="269">
        <v>0</v>
      </c>
      <c r="K35" s="269">
        <v>0</v>
      </c>
      <c r="L35" s="268">
        <v>825315</v>
      </c>
    </row>
    <row r="36" spans="1:13" ht="15.75" customHeight="1" x14ac:dyDescent="0.25">
      <c r="A36" s="24" t="s">
        <v>296</v>
      </c>
      <c r="B36" s="267" t="s">
        <v>530</v>
      </c>
      <c r="C36" s="115" t="s">
        <v>531</v>
      </c>
      <c r="D36" s="24">
        <v>256</v>
      </c>
      <c r="E36" s="268">
        <v>292934</v>
      </c>
      <c r="F36" s="268">
        <v>269889</v>
      </c>
      <c r="G36" s="303" t="s">
        <v>153</v>
      </c>
      <c r="H36" s="268">
        <v>23045</v>
      </c>
      <c r="I36" s="269">
        <v>0</v>
      </c>
      <c r="J36" s="269">
        <v>0</v>
      </c>
      <c r="K36" s="269">
        <v>0</v>
      </c>
      <c r="L36" s="268">
        <v>23045</v>
      </c>
    </row>
    <row r="37" spans="1:13" ht="30.75" customHeight="1" x14ac:dyDescent="0.25">
      <c r="A37" s="24" t="s">
        <v>296</v>
      </c>
      <c r="B37" s="267" t="s">
        <v>305</v>
      </c>
      <c r="C37" s="115" t="s">
        <v>306</v>
      </c>
      <c r="D37" s="24">
        <v>237</v>
      </c>
      <c r="E37" s="268">
        <v>676281</v>
      </c>
      <c r="F37" s="268">
        <v>650651</v>
      </c>
      <c r="G37" s="303" t="s">
        <v>153</v>
      </c>
      <c r="H37" s="268">
        <v>25630</v>
      </c>
      <c r="I37" s="269">
        <v>0</v>
      </c>
      <c r="J37" s="269">
        <v>0</v>
      </c>
      <c r="K37" s="269">
        <v>0</v>
      </c>
      <c r="L37" s="268">
        <v>25630</v>
      </c>
    </row>
    <row r="38" spans="1:13" ht="15.75" x14ac:dyDescent="0.25">
      <c r="A38" s="24" t="s">
        <v>296</v>
      </c>
      <c r="B38" s="267" t="s">
        <v>522</v>
      </c>
      <c r="C38" s="115" t="s">
        <v>523</v>
      </c>
      <c r="D38" s="24">
        <v>347</v>
      </c>
      <c r="E38" s="268">
        <v>5189154</v>
      </c>
      <c r="F38" s="268">
        <v>4698840</v>
      </c>
      <c r="G38" s="303" t="s">
        <v>153</v>
      </c>
      <c r="H38" s="268">
        <v>490314</v>
      </c>
      <c r="I38" s="269">
        <v>0</v>
      </c>
      <c r="J38" s="269">
        <v>0</v>
      </c>
      <c r="K38" s="269">
        <v>0</v>
      </c>
      <c r="L38" s="268">
        <v>490314</v>
      </c>
    </row>
    <row r="39" spans="1:13" ht="15.75" customHeight="1" x14ac:dyDescent="0.25">
      <c r="A39" s="24" t="s">
        <v>296</v>
      </c>
      <c r="B39" s="267" t="s">
        <v>524</v>
      </c>
      <c r="C39" s="115" t="s">
        <v>294</v>
      </c>
      <c r="D39" s="24">
        <v>238</v>
      </c>
      <c r="E39" s="268">
        <v>1420015</v>
      </c>
      <c r="F39" s="268">
        <v>1398983</v>
      </c>
      <c r="G39" s="303" t="s">
        <v>153</v>
      </c>
      <c r="H39" s="268">
        <v>21032</v>
      </c>
      <c r="I39" s="269">
        <v>0</v>
      </c>
      <c r="J39" s="269">
        <v>0</v>
      </c>
      <c r="K39" s="269">
        <v>0</v>
      </c>
      <c r="L39" s="268">
        <v>21032</v>
      </c>
    </row>
    <row r="40" spans="1:13" ht="15.75" customHeight="1" x14ac:dyDescent="0.25">
      <c r="A40" s="162" t="s">
        <v>383</v>
      </c>
      <c r="B40" s="302" t="s">
        <v>153</v>
      </c>
      <c r="C40" s="302" t="s">
        <v>153</v>
      </c>
      <c r="D40" s="302" t="s">
        <v>153</v>
      </c>
      <c r="E40" s="163">
        <f>SUBTOTAL(109,college201011[Program
Costs])</f>
        <v>16904655</v>
      </c>
      <c r="F40" s="163">
        <f>SUBTOTAL(109,college201011[Less: Net
 Payments and 
Offsets 2])</f>
        <v>15416949</v>
      </c>
      <c r="G40" s="302" t="s">
        <v>153</v>
      </c>
      <c r="H40" s="163">
        <f>SUBTOTAL(109,college201011[Accounts Payable
Balance])</f>
        <v>1487706</v>
      </c>
      <c r="I40" s="284">
        <f>SUBTOTAL(109,college201011[Established
Accounts Receivable])</f>
        <v>0</v>
      </c>
      <c r="J40" s="284">
        <f>SUBTOTAL(109,college201011[Less: 
Recovered 
Amount])</f>
        <v>0</v>
      </c>
      <c r="K40" s="284">
        <f>SUBTOTAL(109,college201011[Accounts Receivable
Balance])</f>
        <v>0</v>
      </c>
      <c r="L40" s="163">
        <f>SUBTOTAL(109,college201011[Net
Balance])</f>
        <v>1487706</v>
      </c>
    </row>
    <row r="41" spans="1:13" ht="15.75" customHeight="1" x14ac:dyDescent="0.25">
      <c r="A41" s="146" t="s">
        <v>181</v>
      </c>
      <c r="B41" s="267"/>
      <c r="C41" s="115"/>
      <c r="D41" s="24"/>
      <c r="E41" s="270"/>
      <c r="F41" s="270"/>
      <c r="G41" s="305"/>
      <c r="H41" s="270"/>
      <c r="I41" s="270"/>
      <c r="J41" s="270"/>
      <c r="K41" s="270"/>
      <c r="L41" s="271"/>
    </row>
    <row r="42" spans="1:13" s="312" customFormat="1" ht="50.1" customHeight="1" x14ac:dyDescent="0.25">
      <c r="A42" s="34" t="s">
        <v>221</v>
      </c>
      <c r="B42" s="34" t="s">
        <v>268</v>
      </c>
      <c r="C42" s="28" t="s">
        <v>2</v>
      </c>
      <c r="D42" s="34" t="s">
        <v>280</v>
      </c>
      <c r="E42" s="194" t="s">
        <v>223</v>
      </c>
      <c r="F42" s="21" t="s">
        <v>509</v>
      </c>
      <c r="G42" s="252" t="s">
        <v>176</v>
      </c>
      <c r="H42" s="196" t="s">
        <v>270</v>
      </c>
      <c r="I42" s="156" t="s">
        <v>271</v>
      </c>
      <c r="J42" s="194" t="s">
        <v>282</v>
      </c>
      <c r="K42" s="196" t="s">
        <v>272</v>
      </c>
      <c r="L42" s="194" t="s">
        <v>273</v>
      </c>
    </row>
    <row r="43" spans="1:13" ht="15.75" customHeight="1" x14ac:dyDescent="0.25">
      <c r="A43" s="24" t="s">
        <v>1</v>
      </c>
      <c r="B43" s="152" t="s">
        <v>50</v>
      </c>
      <c r="C43" s="115" t="s">
        <v>51</v>
      </c>
      <c r="D43" s="24">
        <v>232</v>
      </c>
      <c r="E43" s="268">
        <v>4586540</v>
      </c>
      <c r="F43" s="268">
        <v>4468686</v>
      </c>
      <c r="G43" s="303" t="s">
        <v>153</v>
      </c>
      <c r="H43" s="268">
        <v>117854</v>
      </c>
      <c r="I43" s="268">
        <v>4602</v>
      </c>
      <c r="J43" s="269">
        <v>0</v>
      </c>
      <c r="K43" s="268">
        <v>4602</v>
      </c>
      <c r="L43" s="268">
        <v>113252</v>
      </c>
    </row>
    <row r="44" spans="1:13" ht="30.75" customHeight="1" x14ac:dyDescent="0.25">
      <c r="A44" s="24" t="s">
        <v>1</v>
      </c>
      <c r="B44" s="267" t="s">
        <v>521</v>
      </c>
      <c r="C44" s="115" t="s">
        <v>427</v>
      </c>
      <c r="D44" s="24">
        <v>267</v>
      </c>
      <c r="E44" s="268">
        <v>7294856</v>
      </c>
      <c r="F44" s="268">
        <v>6709311</v>
      </c>
      <c r="G44" s="303" t="s">
        <v>153</v>
      </c>
      <c r="H44" s="268">
        <v>585545</v>
      </c>
      <c r="I44" s="268">
        <v>1598277</v>
      </c>
      <c r="J44" s="269">
        <v>0</v>
      </c>
      <c r="K44" s="268">
        <v>1598277</v>
      </c>
      <c r="L44" s="268">
        <v>-1012732</v>
      </c>
    </row>
    <row r="45" spans="1:13" ht="30.75" customHeight="1" x14ac:dyDescent="0.25">
      <c r="A45" s="24" t="s">
        <v>1</v>
      </c>
      <c r="B45" s="267" t="s">
        <v>527</v>
      </c>
      <c r="C45" s="115" t="s">
        <v>528</v>
      </c>
      <c r="D45" s="24">
        <v>234</v>
      </c>
      <c r="E45" s="268">
        <v>3066366</v>
      </c>
      <c r="F45" s="268">
        <v>3066366</v>
      </c>
      <c r="G45" s="303" t="s">
        <v>153</v>
      </c>
      <c r="H45" s="269">
        <v>0</v>
      </c>
      <c r="I45" s="268">
        <v>1619834</v>
      </c>
      <c r="J45" s="268">
        <v>258603</v>
      </c>
      <c r="K45" s="268">
        <v>1361231</v>
      </c>
      <c r="L45" s="268">
        <v>-1361231</v>
      </c>
    </row>
    <row r="46" spans="1:13" ht="15.75" customHeight="1" x14ac:dyDescent="0.25">
      <c r="A46" s="24" t="s">
        <v>1</v>
      </c>
      <c r="B46" s="267" t="s">
        <v>530</v>
      </c>
      <c r="C46" s="115" t="s">
        <v>531</v>
      </c>
      <c r="D46" s="24">
        <v>256</v>
      </c>
      <c r="E46" s="268">
        <v>1006042</v>
      </c>
      <c r="F46" s="268">
        <v>922624</v>
      </c>
      <c r="G46" s="303" t="s">
        <v>153</v>
      </c>
      <c r="H46" s="268">
        <v>83418</v>
      </c>
      <c r="I46" s="269">
        <v>0</v>
      </c>
      <c r="J46" s="269">
        <v>0</v>
      </c>
      <c r="K46" s="269">
        <v>0</v>
      </c>
      <c r="L46" s="268">
        <v>83418</v>
      </c>
      <c r="M46" s="247"/>
    </row>
    <row r="47" spans="1:13" ht="30.75" customHeight="1" x14ac:dyDescent="0.25">
      <c r="A47" s="24" t="s">
        <v>1</v>
      </c>
      <c r="B47" s="267" t="s">
        <v>305</v>
      </c>
      <c r="C47" s="115" t="s">
        <v>306</v>
      </c>
      <c r="D47" s="24">
        <v>237</v>
      </c>
      <c r="E47" s="268">
        <v>684534</v>
      </c>
      <c r="F47" s="268">
        <v>664641</v>
      </c>
      <c r="G47" s="303" t="s">
        <v>153</v>
      </c>
      <c r="H47" s="268">
        <v>19893</v>
      </c>
      <c r="I47" s="269">
        <v>0</v>
      </c>
      <c r="J47" s="269">
        <v>0</v>
      </c>
      <c r="K47" s="269">
        <v>0</v>
      </c>
      <c r="L47" s="268">
        <v>19893</v>
      </c>
    </row>
    <row r="48" spans="1:13" ht="15.75" x14ac:dyDescent="0.25">
      <c r="A48" s="24" t="s">
        <v>1</v>
      </c>
      <c r="B48" s="267" t="s">
        <v>522</v>
      </c>
      <c r="C48" s="115" t="s">
        <v>523</v>
      </c>
      <c r="D48" s="24">
        <v>347</v>
      </c>
      <c r="E48" s="268">
        <v>4890742</v>
      </c>
      <c r="F48" s="268">
        <v>4524963</v>
      </c>
      <c r="G48" s="303" t="s">
        <v>153</v>
      </c>
      <c r="H48" s="268">
        <v>365779</v>
      </c>
      <c r="I48" s="269">
        <v>0</v>
      </c>
      <c r="J48" s="269">
        <v>0</v>
      </c>
      <c r="K48" s="269">
        <v>0</v>
      </c>
      <c r="L48" s="268">
        <v>365779</v>
      </c>
    </row>
    <row r="49" spans="1:12" ht="15.75" customHeight="1" x14ac:dyDescent="0.25">
      <c r="A49" s="24" t="s">
        <v>1</v>
      </c>
      <c r="B49" s="267" t="s">
        <v>524</v>
      </c>
      <c r="C49" s="115" t="s">
        <v>294</v>
      </c>
      <c r="D49" s="24">
        <v>238</v>
      </c>
      <c r="E49" s="268">
        <v>1286379</v>
      </c>
      <c r="F49" s="268">
        <v>1266655</v>
      </c>
      <c r="G49" s="303" t="s">
        <v>153</v>
      </c>
      <c r="H49" s="268">
        <v>19724</v>
      </c>
      <c r="I49" s="269">
        <v>0</v>
      </c>
      <c r="J49" s="269">
        <v>0</v>
      </c>
      <c r="K49" s="269">
        <v>0</v>
      </c>
      <c r="L49" s="268">
        <v>19724</v>
      </c>
    </row>
    <row r="50" spans="1:12" ht="15.75" customHeight="1" x14ac:dyDescent="0.25">
      <c r="A50" s="162" t="s">
        <v>384</v>
      </c>
      <c r="B50" s="302" t="s">
        <v>153</v>
      </c>
      <c r="C50" s="302" t="s">
        <v>153</v>
      </c>
      <c r="D50" s="302" t="s">
        <v>153</v>
      </c>
      <c r="E50" s="163">
        <f>SUBTOTAL(109,college200910[Program
Costs])</f>
        <v>22815459</v>
      </c>
      <c r="F50" s="163">
        <f>SUBTOTAL(109,college200910[Less: Net
 Payments and 
Offsets 2])</f>
        <v>21623246</v>
      </c>
      <c r="G50" s="302" t="s">
        <v>153</v>
      </c>
      <c r="H50" s="163">
        <f>SUBTOTAL(109,college200910[Accounts Payable
Balance])</f>
        <v>1192213</v>
      </c>
      <c r="I50" s="163">
        <f>SUBTOTAL(109,college200910[Established
Accounts Receivable])</f>
        <v>3222713</v>
      </c>
      <c r="J50" s="163">
        <f>SUBTOTAL(109,college200910[Less: 
Recovered 
Amount])</f>
        <v>258603</v>
      </c>
      <c r="K50" s="163">
        <f>SUBTOTAL(109,college200910[Accounts Receivable
Balance])</f>
        <v>2964110</v>
      </c>
      <c r="L50" s="163">
        <f>SUBTOTAL(109,college200910[Net
Balance])</f>
        <v>-1771897</v>
      </c>
    </row>
    <row r="51" spans="1:12" ht="15.75" customHeight="1" x14ac:dyDescent="0.25">
      <c r="A51" s="146" t="s">
        <v>181</v>
      </c>
      <c r="B51" s="321"/>
      <c r="C51" s="281"/>
      <c r="D51" s="281"/>
      <c r="E51" s="282"/>
      <c r="F51" s="282"/>
      <c r="G51" s="306"/>
      <c r="H51" s="282"/>
      <c r="I51" s="282"/>
      <c r="J51" s="282"/>
      <c r="K51" s="282"/>
      <c r="L51" s="283"/>
    </row>
    <row r="52" spans="1:12" s="312" customFormat="1" ht="50.1" customHeight="1" x14ac:dyDescent="0.25">
      <c r="A52" s="34" t="s">
        <v>221</v>
      </c>
      <c r="B52" s="34" t="s">
        <v>268</v>
      </c>
      <c r="C52" s="28" t="s">
        <v>2</v>
      </c>
      <c r="D52" s="34" t="s">
        <v>280</v>
      </c>
      <c r="E52" s="194" t="s">
        <v>223</v>
      </c>
      <c r="F52" s="21" t="s">
        <v>509</v>
      </c>
      <c r="G52" s="252" t="s">
        <v>176</v>
      </c>
      <c r="H52" s="196" t="s">
        <v>270</v>
      </c>
      <c r="I52" s="156" t="s">
        <v>271</v>
      </c>
      <c r="J52" s="194" t="s">
        <v>282</v>
      </c>
      <c r="K52" s="196" t="s">
        <v>272</v>
      </c>
      <c r="L52" s="194" t="s">
        <v>273</v>
      </c>
    </row>
    <row r="53" spans="1:12" ht="15.75" customHeight="1" x14ac:dyDescent="0.25">
      <c r="A53" s="24" t="s">
        <v>48</v>
      </c>
      <c r="B53" s="267" t="s">
        <v>532</v>
      </c>
      <c r="C53" s="115" t="s">
        <v>533</v>
      </c>
      <c r="D53" s="24">
        <v>302</v>
      </c>
      <c r="E53" s="268">
        <v>23555</v>
      </c>
      <c r="F53" s="268">
        <v>21884</v>
      </c>
      <c r="G53" s="303" t="s">
        <v>153</v>
      </c>
      <c r="H53" s="268">
        <v>1671</v>
      </c>
      <c r="I53" s="269">
        <v>0</v>
      </c>
      <c r="J53" s="269">
        <v>0</v>
      </c>
      <c r="K53" s="269">
        <v>0</v>
      </c>
      <c r="L53" s="268">
        <v>1671</v>
      </c>
    </row>
    <row r="54" spans="1:12" ht="15.75" customHeight="1" x14ac:dyDescent="0.25">
      <c r="A54" s="24" t="s">
        <v>48</v>
      </c>
      <c r="B54" s="152" t="s">
        <v>50</v>
      </c>
      <c r="C54" s="115" t="s">
        <v>51</v>
      </c>
      <c r="D54" s="24">
        <v>232</v>
      </c>
      <c r="E54" s="268">
        <v>4843233</v>
      </c>
      <c r="F54" s="268">
        <v>4708029</v>
      </c>
      <c r="G54" s="303" t="s">
        <v>153</v>
      </c>
      <c r="H54" s="268">
        <v>135204</v>
      </c>
      <c r="I54" s="269">
        <v>0</v>
      </c>
      <c r="J54" s="269">
        <v>0</v>
      </c>
      <c r="K54" s="269">
        <v>0</v>
      </c>
      <c r="L54" s="268">
        <v>135204</v>
      </c>
    </row>
    <row r="55" spans="1:12" ht="30.75" customHeight="1" x14ac:dyDescent="0.25">
      <c r="A55" s="24" t="s">
        <v>48</v>
      </c>
      <c r="B55" s="267" t="s">
        <v>521</v>
      </c>
      <c r="C55" s="115" t="s">
        <v>427</v>
      </c>
      <c r="D55" s="24">
        <v>267</v>
      </c>
      <c r="E55" s="268">
        <v>9022099</v>
      </c>
      <c r="F55" s="268">
        <v>8333024</v>
      </c>
      <c r="G55" s="303" t="s">
        <v>153</v>
      </c>
      <c r="H55" s="268">
        <v>689075</v>
      </c>
      <c r="I55" s="268">
        <v>1993995</v>
      </c>
      <c r="J55" s="269">
        <v>0</v>
      </c>
      <c r="K55" s="268">
        <v>1993995</v>
      </c>
      <c r="L55" s="268">
        <v>-1304920</v>
      </c>
    </row>
    <row r="56" spans="1:12" ht="30.75" customHeight="1" x14ac:dyDescent="0.25">
      <c r="A56" s="24" t="s">
        <v>48</v>
      </c>
      <c r="B56" s="267" t="s">
        <v>527</v>
      </c>
      <c r="C56" s="115" t="s">
        <v>528</v>
      </c>
      <c r="D56" s="24">
        <v>234</v>
      </c>
      <c r="E56" s="268">
        <v>2737981</v>
      </c>
      <c r="F56" s="268">
        <v>2737981</v>
      </c>
      <c r="G56" s="303" t="s">
        <v>153</v>
      </c>
      <c r="H56" s="269">
        <v>0</v>
      </c>
      <c r="I56" s="268">
        <v>3372799</v>
      </c>
      <c r="J56" s="268">
        <v>384373</v>
      </c>
      <c r="K56" s="268">
        <v>2988426</v>
      </c>
      <c r="L56" s="268">
        <v>-2988426</v>
      </c>
    </row>
    <row r="57" spans="1:12" ht="15.75" x14ac:dyDescent="0.25">
      <c r="A57" s="24" t="s">
        <v>48</v>
      </c>
      <c r="B57" s="267" t="s">
        <v>530</v>
      </c>
      <c r="C57" s="115" t="s">
        <v>531</v>
      </c>
      <c r="D57" s="24">
        <v>256</v>
      </c>
      <c r="E57" s="268">
        <v>1281525</v>
      </c>
      <c r="F57" s="268">
        <v>1201370</v>
      </c>
      <c r="G57" s="303" t="s">
        <v>153</v>
      </c>
      <c r="H57" s="268">
        <v>80155</v>
      </c>
      <c r="I57" s="269">
        <v>0</v>
      </c>
      <c r="J57" s="269">
        <v>0</v>
      </c>
      <c r="K57" s="269">
        <v>0</v>
      </c>
      <c r="L57" s="268">
        <v>80155</v>
      </c>
    </row>
    <row r="58" spans="1:12" ht="30.75" customHeight="1" x14ac:dyDescent="0.25">
      <c r="A58" s="24" t="s">
        <v>48</v>
      </c>
      <c r="B58" s="267" t="s">
        <v>305</v>
      </c>
      <c r="C58" s="115" t="s">
        <v>306</v>
      </c>
      <c r="D58" s="24">
        <v>237</v>
      </c>
      <c r="E58" s="268">
        <v>775809</v>
      </c>
      <c r="F58" s="268">
        <v>735585</v>
      </c>
      <c r="G58" s="303" t="s">
        <v>153</v>
      </c>
      <c r="H58" s="268">
        <v>40224</v>
      </c>
      <c r="I58" s="269">
        <v>0</v>
      </c>
      <c r="J58" s="269">
        <v>0</v>
      </c>
      <c r="K58" s="269">
        <v>0</v>
      </c>
      <c r="L58" s="268">
        <v>40224</v>
      </c>
    </row>
    <row r="59" spans="1:12" ht="15.75" customHeight="1" x14ac:dyDescent="0.25">
      <c r="A59" s="24" t="s">
        <v>48</v>
      </c>
      <c r="B59" s="267" t="s">
        <v>522</v>
      </c>
      <c r="C59" s="115" t="s">
        <v>523</v>
      </c>
      <c r="D59" s="24">
        <v>347</v>
      </c>
      <c r="E59" s="268">
        <v>4736363</v>
      </c>
      <c r="F59" s="268">
        <v>4301488</v>
      </c>
      <c r="G59" s="303" t="s">
        <v>153</v>
      </c>
      <c r="H59" s="268">
        <v>434875</v>
      </c>
      <c r="I59" s="269">
        <v>0</v>
      </c>
      <c r="J59" s="269">
        <v>0</v>
      </c>
      <c r="K59" s="269">
        <v>0</v>
      </c>
      <c r="L59" s="268">
        <v>434875</v>
      </c>
    </row>
    <row r="60" spans="1:12" ht="30.75" x14ac:dyDescent="0.25">
      <c r="A60" s="24" t="s">
        <v>48</v>
      </c>
      <c r="B60" s="267" t="s">
        <v>524</v>
      </c>
      <c r="C60" s="115" t="s">
        <v>294</v>
      </c>
      <c r="D60" s="24">
        <v>238</v>
      </c>
      <c r="E60" s="268">
        <v>1264692</v>
      </c>
      <c r="F60" s="268">
        <v>1235036</v>
      </c>
      <c r="G60" s="303" t="s">
        <v>153</v>
      </c>
      <c r="H60" s="268">
        <v>29656</v>
      </c>
      <c r="I60" s="269">
        <v>0</v>
      </c>
      <c r="J60" s="269">
        <v>0</v>
      </c>
      <c r="K60" s="269">
        <v>0</v>
      </c>
      <c r="L60" s="268">
        <v>29656</v>
      </c>
    </row>
    <row r="61" spans="1:12" ht="15.75" customHeight="1" x14ac:dyDescent="0.25">
      <c r="A61" s="162" t="s">
        <v>385</v>
      </c>
      <c r="B61" s="302" t="s">
        <v>153</v>
      </c>
      <c r="C61" s="302" t="s">
        <v>153</v>
      </c>
      <c r="D61" s="302" t="s">
        <v>153</v>
      </c>
      <c r="E61" s="277">
        <f>SUBTOTAL(109,college200809[Program
Costs])</f>
        <v>24685257</v>
      </c>
      <c r="F61" s="277">
        <f>SUBTOTAL(109,college200809[Less: Net
 Payments and 
Offsets 2])</f>
        <v>23274397</v>
      </c>
      <c r="G61" s="302" t="s">
        <v>153</v>
      </c>
      <c r="H61" s="277">
        <f>SUBTOTAL(109,college200809[Accounts Payable
Balance])</f>
        <v>1410860</v>
      </c>
      <c r="I61" s="277">
        <f>SUBTOTAL(109,college200809[Established
Accounts Receivable])</f>
        <v>5366794</v>
      </c>
      <c r="J61" s="277">
        <f>SUBTOTAL(109,college200809[Less: 
Recovered 
Amount])</f>
        <v>384373</v>
      </c>
      <c r="K61" s="277">
        <f>SUBTOTAL(109,college200809[Accounts Receivable
Balance])</f>
        <v>4982421</v>
      </c>
      <c r="L61" s="277">
        <f>SUBTOTAL(109,college200809[Net
Balance])</f>
        <v>-3571561</v>
      </c>
    </row>
    <row r="62" spans="1:12" ht="15.75" customHeight="1" x14ac:dyDescent="0.25">
      <c r="A62" s="146" t="s">
        <v>181</v>
      </c>
      <c r="B62" s="267"/>
      <c r="C62" s="115"/>
      <c r="D62" s="24"/>
      <c r="E62" s="270"/>
      <c r="F62" s="270"/>
      <c r="G62" s="305"/>
      <c r="H62" s="270"/>
      <c r="I62" s="270"/>
      <c r="J62" s="270"/>
      <c r="K62" s="270"/>
      <c r="L62" s="271"/>
    </row>
    <row r="63" spans="1:12" s="312" customFormat="1" ht="50.1" customHeight="1" x14ac:dyDescent="0.25">
      <c r="A63" s="34" t="s">
        <v>221</v>
      </c>
      <c r="B63" s="34" t="s">
        <v>268</v>
      </c>
      <c r="C63" s="28" t="s">
        <v>2</v>
      </c>
      <c r="D63" s="34" t="s">
        <v>280</v>
      </c>
      <c r="E63" s="194" t="s">
        <v>223</v>
      </c>
      <c r="F63" s="21" t="s">
        <v>509</v>
      </c>
      <c r="G63" s="252" t="s">
        <v>176</v>
      </c>
      <c r="H63" s="196" t="s">
        <v>270</v>
      </c>
      <c r="I63" s="156" t="s">
        <v>271</v>
      </c>
      <c r="J63" s="194" t="s">
        <v>282</v>
      </c>
      <c r="K63" s="196" t="s">
        <v>272</v>
      </c>
      <c r="L63" s="194" t="s">
        <v>273</v>
      </c>
    </row>
    <row r="64" spans="1:12" ht="15.75" customHeight="1" x14ac:dyDescent="0.25">
      <c r="A64" s="24" t="s">
        <v>353</v>
      </c>
      <c r="B64" s="267" t="s">
        <v>440</v>
      </c>
      <c r="C64" s="115" t="s">
        <v>441</v>
      </c>
      <c r="D64" s="24">
        <v>270</v>
      </c>
      <c r="E64" s="268">
        <v>107612</v>
      </c>
      <c r="F64" s="268">
        <v>104977</v>
      </c>
      <c r="G64" s="303" t="s">
        <v>153</v>
      </c>
      <c r="H64" s="268">
        <v>2635</v>
      </c>
      <c r="I64" s="269">
        <v>0</v>
      </c>
      <c r="J64" s="269">
        <v>0</v>
      </c>
      <c r="K64" s="269">
        <v>0</v>
      </c>
      <c r="L64" s="268">
        <v>2635</v>
      </c>
    </row>
    <row r="65" spans="1:12" ht="15.75" customHeight="1" x14ac:dyDescent="0.25">
      <c r="A65" s="24" t="s">
        <v>353</v>
      </c>
      <c r="B65" s="267" t="s">
        <v>532</v>
      </c>
      <c r="C65" s="115" t="s">
        <v>533</v>
      </c>
      <c r="D65" s="24">
        <v>302</v>
      </c>
      <c r="E65" s="268">
        <v>23844</v>
      </c>
      <c r="F65" s="268">
        <v>22129</v>
      </c>
      <c r="G65" s="303" t="s">
        <v>153</v>
      </c>
      <c r="H65" s="268">
        <v>1715</v>
      </c>
      <c r="I65" s="269">
        <v>0</v>
      </c>
      <c r="J65" s="269">
        <v>0</v>
      </c>
      <c r="K65" s="269">
        <v>0</v>
      </c>
      <c r="L65" s="268">
        <v>1715</v>
      </c>
    </row>
    <row r="66" spans="1:12" ht="15.75" customHeight="1" x14ac:dyDescent="0.25">
      <c r="A66" s="24" t="s">
        <v>353</v>
      </c>
      <c r="B66" s="152" t="s">
        <v>422</v>
      </c>
      <c r="C66" s="115" t="s">
        <v>423</v>
      </c>
      <c r="D66" s="24">
        <v>287</v>
      </c>
      <c r="E66" s="268">
        <v>65504</v>
      </c>
      <c r="F66" s="268">
        <v>63745</v>
      </c>
      <c r="G66" s="303" t="s">
        <v>153</v>
      </c>
      <c r="H66" s="268">
        <v>1759</v>
      </c>
      <c r="I66" s="269">
        <v>0</v>
      </c>
      <c r="J66" s="269">
        <v>0</v>
      </c>
      <c r="K66" s="269">
        <v>0</v>
      </c>
      <c r="L66" s="268">
        <v>1759</v>
      </c>
    </row>
    <row r="67" spans="1:12" ht="15.75" customHeight="1" x14ac:dyDescent="0.25">
      <c r="A67" s="24" t="s">
        <v>353</v>
      </c>
      <c r="B67" s="152" t="s">
        <v>50</v>
      </c>
      <c r="C67" s="115" t="s">
        <v>51</v>
      </c>
      <c r="D67" s="24">
        <v>232</v>
      </c>
      <c r="E67" s="268">
        <v>5564747</v>
      </c>
      <c r="F67" s="268">
        <v>5411087</v>
      </c>
      <c r="G67" s="303" t="s">
        <v>153</v>
      </c>
      <c r="H67" s="268">
        <v>153660</v>
      </c>
      <c r="I67" s="268">
        <v>87483</v>
      </c>
      <c r="J67" s="268">
        <v>87483</v>
      </c>
      <c r="K67" s="269">
        <v>0</v>
      </c>
      <c r="L67" s="268">
        <v>153660</v>
      </c>
    </row>
    <row r="68" spans="1:12" ht="30.75" customHeight="1" x14ac:dyDescent="0.25">
      <c r="A68" s="24" t="s">
        <v>353</v>
      </c>
      <c r="B68" s="267" t="s">
        <v>521</v>
      </c>
      <c r="C68" s="115" t="s">
        <v>427</v>
      </c>
      <c r="D68" s="24">
        <v>267</v>
      </c>
      <c r="E68" s="268">
        <v>6981108</v>
      </c>
      <c r="F68" s="268">
        <v>5991522</v>
      </c>
      <c r="G68" s="303" t="s">
        <v>153</v>
      </c>
      <c r="H68" s="268">
        <v>989586</v>
      </c>
      <c r="I68" s="269">
        <v>0</v>
      </c>
      <c r="J68" s="269">
        <v>0</v>
      </c>
      <c r="K68" s="269">
        <v>0</v>
      </c>
      <c r="L68" s="268">
        <v>989586</v>
      </c>
    </row>
    <row r="69" spans="1:12" ht="30.75" x14ac:dyDescent="0.25">
      <c r="A69" s="24" t="s">
        <v>353</v>
      </c>
      <c r="B69" s="152" t="s">
        <v>527</v>
      </c>
      <c r="C69" s="115" t="s">
        <v>528</v>
      </c>
      <c r="D69" s="24">
        <v>234</v>
      </c>
      <c r="E69" s="268">
        <v>2553039</v>
      </c>
      <c r="F69" s="268">
        <v>2553039</v>
      </c>
      <c r="G69" s="303" t="s">
        <v>153</v>
      </c>
      <c r="H69" s="269">
        <v>0</v>
      </c>
      <c r="I69" s="268">
        <v>2583827</v>
      </c>
      <c r="J69" s="268">
        <v>926649</v>
      </c>
      <c r="K69" s="268">
        <v>1657178</v>
      </c>
      <c r="L69" s="268">
        <v>-1657178</v>
      </c>
    </row>
    <row r="70" spans="1:12" ht="15.75" customHeight="1" x14ac:dyDescent="0.25">
      <c r="A70" s="24" t="s">
        <v>353</v>
      </c>
      <c r="B70" s="267" t="s">
        <v>530</v>
      </c>
      <c r="C70" s="115" t="s">
        <v>531</v>
      </c>
      <c r="D70" s="24">
        <v>256</v>
      </c>
      <c r="E70" s="268">
        <v>923669</v>
      </c>
      <c r="F70" s="268">
        <v>848634</v>
      </c>
      <c r="G70" s="303" t="s">
        <v>153</v>
      </c>
      <c r="H70" s="268">
        <v>75035</v>
      </c>
      <c r="I70" s="269">
        <v>0</v>
      </c>
      <c r="J70" s="269">
        <v>0</v>
      </c>
      <c r="K70" s="269">
        <v>0</v>
      </c>
      <c r="L70" s="268">
        <v>75035</v>
      </c>
    </row>
    <row r="71" spans="1:12" ht="30.75" x14ac:dyDescent="0.25">
      <c r="A71" s="24" t="s">
        <v>353</v>
      </c>
      <c r="B71" s="267" t="s">
        <v>305</v>
      </c>
      <c r="C71" s="115" t="s">
        <v>306</v>
      </c>
      <c r="D71" s="24">
        <v>237</v>
      </c>
      <c r="E71" s="268">
        <v>707987</v>
      </c>
      <c r="F71" s="268">
        <v>672870</v>
      </c>
      <c r="G71" s="303" t="s">
        <v>153</v>
      </c>
      <c r="H71" s="268">
        <v>35117</v>
      </c>
      <c r="I71" s="269">
        <v>0</v>
      </c>
      <c r="J71" s="269">
        <v>0</v>
      </c>
      <c r="K71" s="269">
        <v>0</v>
      </c>
      <c r="L71" s="268">
        <v>35117</v>
      </c>
    </row>
    <row r="72" spans="1:12" ht="15.75" customHeight="1" x14ac:dyDescent="0.25">
      <c r="A72" s="24" t="s">
        <v>353</v>
      </c>
      <c r="B72" s="267" t="s">
        <v>522</v>
      </c>
      <c r="C72" s="115" t="s">
        <v>523</v>
      </c>
      <c r="D72" s="24">
        <v>347</v>
      </c>
      <c r="E72" s="268">
        <v>4632603</v>
      </c>
      <c r="F72" s="268">
        <v>4204110</v>
      </c>
      <c r="G72" s="303" t="s">
        <v>153</v>
      </c>
      <c r="H72" s="268">
        <v>428493</v>
      </c>
      <c r="I72" s="269">
        <v>0</v>
      </c>
      <c r="J72" s="269">
        <v>0</v>
      </c>
      <c r="K72" s="269">
        <v>0</v>
      </c>
      <c r="L72" s="268">
        <v>428493</v>
      </c>
    </row>
    <row r="73" spans="1:12" ht="15.75" customHeight="1" x14ac:dyDescent="0.25">
      <c r="A73" s="24" t="s">
        <v>353</v>
      </c>
      <c r="B73" s="267" t="s">
        <v>524</v>
      </c>
      <c r="C73" s="115" t="s">
        <v>294</v>
      </c>
      <c r="D73" s="24">
        <v>238</v>
      </c>
      <c r="E73" s="268">
        <v>1134100</v>
      </c>
      <c r="F73" s="268">
        <v>1101222</v>
      </c>
      <c r="G73" s="303" t="s">
        <v>153</v>
      </c>
      <c r="H73" s="268">
        <v>32878</v>
      </c>
      <c r="I73" s="269">
        <v>0</v>
      </c>
      <c r="J73" s="269">
        <v>0</v>
      </c>
      <c r="K73" s="269">
        <v>0</v>
      </c>
      <c r="L73" s="268">
        <v>32878</v>
      </c>
    </row>
    <row r="74" spans="1:12" ht="15.75" customHeight="1" x14ac:dyDescent="0.25">
      <c r="A74" s="165" t="s">
        <v>386</v>
      </c>
      <c r="B74" s="302" t="s">
        <v>153</v>
      </c>
      <c r="C74" s="302" t="s">
        <v>153</v>
      </c>
      <c r="D74" s="302" t="s">
        <v>153</v>
      </c>
      <c r="E74" s="277">
        <f>SUBTOTAL(109,college200708[Program
Costs])</f>
        <v>22694213</v>
      </c>
      <c r="F74" s="277">
        <f>SUBTOTAL(109,college200708[Less: Net
 Payments and 
Offsets 2])</f>
        <v>20973335</v>
      </c>
      <c r="G74" s="302" t="s">
        <v>153</v>
      </c>
      <c r="H74" s="277">
        <f>SUBTOTAL(109,college200708[Accounts Payable
Balance])</f>
        <v>1720878</v>
      </c>
      <c r="I74" s="277">
        <f>SUBTOTAL(109,college200708[Established
Accounts Receivable])</f>
        <v>2671310</v>
      </c>
      <c r="J74" s="277">
        <f>SUBTOTAL(109,college200708[Less: 
Recovered 
Amount])</f>
        <v>1014132</v>
      </c>
      <c r="K74" s="277">
        <f>SUBTOTAL(109,college200708[Accounts Receivable
Balance])</f>
        <v>1657178</v>
      </c>
      <c r="L74" s="277">
        <f>SUBTOTAL(109,college200708[Net
Balance])</f>
        <v>63700</v>
      </c>
    </row>
    <row r="75" spans="1:12" ht="15.75" customHeight="1" x14ac:dyDescent="0.25">
      <c r="A75" s="146" t="s">
        <v>181</v>
      </c>
      <c r="B75" s="353"/>
      <c r="C75" s="273"/>
      <c r="D75" s="263"/>
      <c r="E75" s="275"/>
      <c r="F75" s="275"/>
      <c r="G75" s="307"/>
      <c r="H75" s="275"/>
      <c r="I75" s="275"/>
      <c r="J75" s="275"/>
      <c r="K75" s="275"/>
      <c r="L75" s="274"/>
    </row>
    <row r="76" spans="1:12" s="312" customFormat="1" ht="50.1" customHeight="1" x14ac:dyDescent="0.25">
      <c r="A76" s="34" t="s">
        <v>221</v>
      </c>
      <c r="B76" s="34" t="s">
        <v>268</v>
      </c>
      <c r="C76" s="28" t="s">
        <v>2</v>
      </c>
      <c r="D76" s="34" t="s">
        <v>280</v>
      </c>
      <c r="E76" s="194" t="s">
        <v>223</v>
      </c>
      <c r="F76" s="21" t="s">
        <v>509</v>
      </c>
      <c r="G76" s="252" t="s">
        <v>176</v>
      </c>
      <c r="H76" s="196" t="s">
        <v>270</v>
      </c>
      <c r="I76" s="156" t="s">
        <v>271</v>
      </c>
      <c r="J76" s="194" t="s">
        <v>282</v>
      </c>
      <c r="K76" s="196" t="s">
        <v>272</v>
      </c>
      <c r="L76" s="194" t="s">
        <v>273</v>
      </c>
    </row>
    <row r="77" spans="1:12" ht="15.75" x14ac:dyDescent="0.25">
      <c r="A77" s="24" t="s">
        <v>358</v>
      </c>
      <c r="B77" s="267" t="s">
        <v>440</v>
      </c>
      <c r="C77" s="115" t="s">
        <v>441</v>
      </c>
      <c r="D77" s="24">
        <v>270</v>
      </c>
      <c r="E77" s="268">
        <v>83423</v>
      </c>
      <c r="F77" s="268">
        <v>81632</v>
      </c>
      <c r="G77" s="303" t="s">
        <v>153</v>
      </c>
      <c r="H77" s="268">
        <v>1791</v>
      </c>
      <c r="I77" s="269">
        <v>0</v>
      </c>
      <c r="J77" s="269">
        <v>0</v>
      </c>
      <c r="K77" s="269">
        <v>0</v>
      </c>
      <c r="L77" s="268">
        <v>1791</v>
      </c>
    </row>
    <row r="78" spans="1:12" ht="15.75" customHeight="1" x14ac:dyDescent="0.25">
      <c r="A78" s="24" t="s">
        <v>358</v>
      </c>
      <c r="B78" s="267" t="s">
        <v>532</v>
      </c>
      <c r="C78" s="115" t="s">
        <v>533</v>
      </c>
      <c r="D78" s="24">
        <v>302</v>
      </c>
      <c r="E78" s="268">
        <v>21582</v>
      </c>
      <c r="F78" s="268">
        <v>19807</v>
      </c>
      <c r="G78" s="303" t="s">
        <v>153</v>
      </c>
      <c r="H78" s="268">
        <v>1775</v>
      </c>
      <c r="I78" s="269">
        <v>0</v>
      </c>
      <c r="J78" s="269">
        <v>0</v>
      </c>
      <c r="K78" s="269">
        <v>0</v>
      </c>
      <c r="L78" s="268">
        <v>1775</v>
      </c>
    </row>
    <row r="79" spans="1:12" ht="15.75" customHeight="1" x14ac:dyDescent="0.25">
      <c r="A79" s="24" t="s">
        <v>358</v>
      </c>
      <c r="B79" s="152" t="s">
        <v>422</v>
      </c>
      <c r="C79" s="115" t="s">
        <v>423</v>
      </c>
      <c r="D79" s="24">
        <v>287</v>
      </c>
      <c r="E79" s="268">
        <v>57897</v>
      </c>
      <c r="F79" s="268">
        <v>56416</v>
      </c>
      <c r="G79" s="303" t="s">
        <v>153</v>
      </c>
      <c r="H79" s="268">
        <v>1481</v>
      </c>
      <c r="I79" s="269">
        <v>0</v>
      </c>
      <c r="J79" s="269">
        <v>0</v>
      </c>
      <c r="K79" s="269">
        <v>0</v>
      </c>
      <c r="L79" s="268">
        <v>1481</v>
      </c>
    </row>
    <row r="80" spans="1:12" ht="30.75" customHeight="1" x14ac:dyDescent="0.25">
      <c r="A80" s="24" t="s">
        <v>358</v>
      </c>
      <c r="B80" s="267" t="s">
        <v>521</v>
      </c>
      <c r="C80" s="115" t="s">
        <v>427</v>
      </c>
      <c r="D80" s="24">
        <v>267</v>
      </c>
      <c r="E80" s="268">
        <v>4248500</v>
      </c>
      <c r="F80" s="268">
        <v>3796742</v>
      </c>
      <c r="G80" s="303" t="s">
        <v>153</v>
      </c>
      <c r="H80" s="268">
        <v>451758</v>
      </c>
      <c r="I80" s="269">
        <v>0</v>
      </c>
      <c r="J80" s="269">
        <v>0</v>
      </c>
      <c r="K80" s="269">
        <v>0</v>
      </c>
      <c r="L80" s="268">
        <v>451758</v>
      </c>
    </row>
    <row r="81" spans="1:12" ht="30.75" customHeight="1" x14ac:dyDescent="0.25">
      <c r="A81" s="24" t="s">
        <v>358</v>
      </c>
      <c r="B81" s="152" t="s">
        <v>527</v>
      </c>
      <c r="C81" s="115" t="s">
        <v>528</v>
      </c>
      <c r="D81" s="24">
        <v>234</v>
      </c>
      <c r="E81" s="268">
        <v>2117214</v>
      </c>
      <c r="F81" s="268">
        <v>2079660</v>
      </c>
      <c r="G81" s="303" t="s">
        <v>153</v>
      </c>
      <c r="H81" s="268">
        <v>37554</v>
      </c>
      <c r="I81" s="268">
        <v>3094765</v>
      </c>
      <c r="J81" s="268">
        <v>2027098</v>
      </c>
      <c r="K81" s="268">
        <v>1067667</v>
      </c>
      <c r="L81" s="268">
        <v>-1030113</v>
      </c>
    </row>
    <row r="82" spans="1:12" ht="30.75" x14ac:dyDescent="0.25">
      <c r="A82" s="24" t="s">
        <v>358</v>
      </c>
      <c r="B82" s="267" t="s">
        <v>305</v>
      </c>
      <c r="C82" s="115" t="s">
        <v>306</v>
      </c>
      <c r="D82" s="24">
        <v>237</v>
      </c>
      <c r="E82" s="268">
        <v>853887</v>
      </c>
      <c r="F82" s="268">
        <v>840901</v>
      </c>
      <c r="G82" s="303" t="s">
        <v>153</v>
      </c>
      <c r="H82" s="268">
        <v>12986</v>
      </c>
      <c r="I82" s="269">
        <v>0</v>
      </c>
      <c r="J82" s="269">
        <v>0</v>
      </c>
      <c r="K82" s="269">
        <v>0</v>
      </c>
      <c r="L82" s="268">
        <v>12986</v>
      </c>
    </row>
    <row r="83" spans="1:12" ht="15.75" customHeight="1" x14ac:dyDescent="0.25">
      <c r="A83" s="24" t="s">
        <v>358</v>
      </c>
      <c r="B83" s="267" t="s">
        <v>522</v>
      </c>
      <c r="C83" s="115" t="s">
        <v>523</v>
      </c>
      <c r="D83" s="24">
        <v>347</v>
      </c>
      <c r="E83" s="268">
        <v>4028725</v>
      </c>
      <c r="F83" s="268">
        <v>3654701</v>
      </c>
      <c r="G83" s="303" t="s">
        <v>153</v>
      </c>
      <c r="H83" s="268">
        <v>374024</v>
      </c>
      <c r="I83" s="268">
        <v>827296</v>
      </c>
      <c r="J83" s="268">
        <v>827296</v>
      </c>
      <c r="K83" s="269">
        <v>0</v>
      </c>
      <c r="L83" s="268">
        <v>374024</v>
      </c>
    </row>
    <row r="84" spans="1:12" ht="30.75" customHeight="1" x14ac:dyDescent="0.25">
      <c r="A84" s="24" t="s">
        <v>358</v>
      </c>
      <c r="B84" s="267" t="s">
        <v>524</v>
      </c>
      <c r="C84" s="115" t="s">
        <v>294</v>
      </c>
      <c r="D84" s="24">
        <v>238</v>
      </c>
      <c r="E84" s="268">
        <v>977889</v>
      </c>
      <c r="F84" s="268">
        <v>963273</v>
      </c>
      <c r="G84" s="303" t="s">
        <v>153</v>
      </c>
      <c r="H84" s="268">
        <v>14616</v>
      </c>
      <c r="I84" s="269">
        <v>0</v>
      </c>
      <c r="J84" s="269">
        <v>0</v>
      </c>
      <c r="K84" s="269">
        <v>0</v>
      </c>
      <c r="L84" s="268">
        <v>14616</v>
      </c>
    </row>
    <row r="85" spans="1:12" ht="15.75" x14ac:dyDescent="0.25">
      <c r="A85" s="165" t="s">
        <v>387</v>
      </c>
      <c r="B85" s="302" t="s">
        <v>153</v>
      </c>
      <c r="C85" s="302" t="s">
        <v>153</v>
      </c>
      <c r="D85" s="302" t="s">
        <v>153</v>
      </c>
      <c r="E85" s="277">
        <f>SUBTOTAL(109,college200607[Program
Costs])</f>
        <v>12389117</v>
      </c>
      <c r="F85" s="277">
        <f>SUBTOTAL(109,college200607[Less: Net
 Payments and 
Offsets 2])</f>
        <v>11493132</v>
      </c>
      <c r="G85" s="302" t="s">
        <v>153</v>
      </c>
      <c r="H85" s="277">
        <f>SUBTOTAL(109,college200607[Accounts Payable
Balance])</f>
        <v>895985</v>
      </c>
      <c r="I85" s="277">
        <f>SUBTOTAL(109,college200607[Established
Accounts Receivable])</f>
        <v>3922061</v>
      </c>
      <c r="J85" s="277">
        <f>SUBTOTAL(109,college200607[Less: 
Recovered 
Amount])</f>
        <v>2854394</v>
      </c>
      <c r="K85" s="277">
        <f>SUBTOTAL(109,college200607[Accounts Receivable
Balance])</f>
        <v>1067667</v>
      </c>
      <c r="L85" s="277">
        <f>SUBTOTAL(109,college200607[Net
Balance])</f>
        <v>-171682</v>
      </c>
    </row>
    <row r="86" spans="1:12" ht="15.75" x14ac:dyDescent="0.25">
      <c r="A86" s="146" t="s">
        <v>181</v>
      </c>
      <c r="B86" s="267"/>
      <c r="C86" s="115"/>
      <c r="D86" s="24"/>
      <c r="E86" s="270"/>
      <c r="F86" s="270"/>
      <c r="G86" s="305"/>
      <c r="H86" s="270"/>
      <c r="I86" s="270"/>
      <c r="J86" s="270"/>
      <c r="K86" s="270"/>
      <c r="L86" s="271"/>
    </row>
    <row r="87" spans="1:12" s="312" customFormat="1" ht="50.1" customHeight="1" x14ac:dyDescent="0.25">
      <c r="A87" s="34" t="s">
        <v>221</v>
      </c>
      <c r="B87" s="34" t="s">
        <v>268</v>
      </c>
      <c r="C87" s="28" t="s">
        <v>2</v>
      </c>
      <c r="D87" s="34" t="s">
        <v>280</v>
      </c>
      <c r="E87" s="194" t="s">
        <v>223</v>
      </c>
      <c r="F87" s="21" t="s">
        <v>509</v>
      </c>
      <c r="G87" s="252" t="s">
        <v>176</v>
      </c>
      <c r="H87" s="196" t="s">
        <v>270</v>
      </c>
      <c r="I87" s="156" t="s">
        <v>271</v>
      </c>
      <c r="J87" s="194" t="s">
        <v>282</v>
      </c>
      <c r="K87" s="196" t="s">
        <v>272</v>
      </c>
      <c r="L87" s="194" t="s">
        <v>273</v>
      </c>
    </row>
    <row r="88" spans="1:12" ht="30.75" customHeight="1" x14ac:dyDescent="0.25">
      <c r="A88" s="24" t="s">
        <v>359</v>
      </c>
      <c r="B88" s="267" t="s">
        <v>527</v>
      </c>
      <c r="C88" s="115" t="s">
        <v>528</v>
      </c>
      <c r="D88" s="24">
        <v>234</v>
      </c>
      <c r="E88" s="268">
        <v>3298552</v>
      </c>
      <c r="F88" s="268">
        <v>3211845</v>
      </c>
      <c r="G88" s="303" t="s">
        <v>153</v>
      </c>
      <c r="H88" s="268">
        <v>86707</v>
      </c>
      <c r="I88" s="269">
        <v>0</v>
      </c>
      <c r="J88" s="269">
        <v>0</v>
      </c>
      <c r="K88" s="269">
        <v>0</v>
      </c>
      <c r="L88" s="268">
        <v>86707</v>
      </c>
    </row>
    <row r="89" spans="1:12" ht="15.75" customHeight="1" x14ac:dyDescent="0.25">
      <c r="A89" s="24" t="s">
        <v>359</v>
      </c>
      <c r="B89" s="267" t="s">
        <v>305</v>
      </c>
      <c r="C89" s="115" t="s">
        <v>306</v>
      </c>
      <c r="D89" s="24">
        <v>237</v>
      </c>
      <c r="E89" s="268">
        <v>892507</v>
      </c>
      <c r="F89" s="268">
        <v>892507</v>
      </c>
      <c r="G89" s="303" t="s">
        <v>153</v>
      </c>
      <c r="H89" s="269">
        <v>0</v>
      </c>
      <c r="I89" s="268">
        <v>159704</v>
      </c>
      <c r="J89" s="268">
        <v>145885</v>
      </c>
      <c r="K89" s="268">
        <v>13819</v>
      </c>
      <c r="L89" s="268">
        <v>-13819</v>
      </c>
    </row>
    <row r="90" spans="1:12" ht="15.75" customHeight="1" x14ac:dyDescent="0.25">
      <c r="A90" s="24" t="s">
        <v>359</v>
      </c>
      <c r="B90" s="267" t="s">
        <v>524</v>
      </c>
      <c r="C90" s="115" t="s">
        <v>294</v>
      </c>
      <c r="D90" s="24">
        <v>238</v>
      </c>
      <c r="E90" s="268">
        <v>916470</v>
      </c>
      <c r="F90" s="268">
        <v>916470</v>
      </c>
      <c r="G90" s="303" t="s">
        <v>153</v>
      </c>
      <c r="H90" s="269">
        <v>0</v>
      </c>
      <c r="I90" s="268">
        <v>146531</v>
      </c>
      <c r="J90" s="268">
        <v>105462</v>
      </c>
      <c r="K90" s="268">
        <v>41069</v>
      </c>
      <c r="L90" s="268">
        <v>-41069</v>
      </c>
    </row>
    <row r="91" spans="1:12" ht="15.75" customHeight="1" x14ac:dyDescent="0.25">
      <c r="A91" s="165" t="s">
        <v>388</v>
      </c>
      <c r="B91" s="302" t="s">
        <v>153</v>
      </c>
      <c r="C91" s="302" t="s">
        <v>153</v>
      </c>
      <c r="D91" s="302" t="s">
        <v>153</v>
      </c>
      <c r="E91" s="277">
        <f>SUBTOTAL(109,college200506[Program
Costs])</f>
        <v>5107529</v>
      </c>
      <c r="F91" s="277">
        <f>SUBTOTAL(109,college200506[Less: Net
 Payments and 
Offsets 2])</f>
        <v>5020822</v>
      </c>
      <c r="G91" s="302" t="s">
        <v>153</v>
      </c>
      <c r="H91" s="285">
        <f>SUBTOTAL(109,college200506[Accounts Payable
Balance])</f>
        <v>86707</v>
      </c>
      <c r="I91" s="285">
        <f>SUBTOTAL(109,college200506[Established
Accounts Receivable])</f>
        <v>306235</v>
      </c>
      <c r="J91" s="285">
        <f>SUBTOTAL(109,college200506[Less: 
Recovered 
Amount])</f>
        <v>251347</v>
      </c>
      <c r="K91" s="285">
        <f>SUBTOTAL(109,college200506[Accounts Receivable
Balance])</f>
        <v>54888</v>
      </c>
      <c r="L91" s="277">
        <f>SUBTOTAL(109,college200506[Net
Balance])</f>
        <v>31819</v>
      </c>
    </row>
    <row r="92" spans="1:12" ht="15.75" customHeight="1" x14ac:dyDescent="0.25">
      <c r="A92" s="146" t="s">
        <v>181</v>
      </c>
      <c r="B92" s="267"/>
      <c r="C92" s="115"/>
      <c r="D92" s="24"/>
      <c r="E92" s="270"/>
      <c r="F92" s="270"/>
      <c r="G92" s="305"/>
      <c r="H92"/>
      <c r="I92"/>
      <c r="J92"/>
      <c r="K92"/>
      <c r="L92" s="271"/>
    </row>
    <row r="93" spans="1:12" s="312" customFormat="1" ht="50.25" outlineLevel="1" x14ac:dyDescent="0.25">
      <c r="A93" s="34" t="s">
        <v>221</v>
      </c>
      <c r="B93" s="34" t="s">
        <v>268</v>
      </c>
      <c r="C93" s="28" t="s">
        <v>2</v>
      </c>
      <c r="D93" s="34" t="s">
        <v>280</v>
      </c>
      <c r="E93" s="194" t="s">
        <v>223</v>
      </c>
      <c r="F93" s="21" t="s">
        <v>509</v>
      </c>
      <c r="G93" s="252" t="s">
        <v>176</v>
      </c>
      <c r="H93" s="196" t="s">
        <v>270</v>
      </c>
      <c r="I93" s="156" t="s">
        <v>271</v>
      </c>
      <c r="J93" s="194" t="s">
        <v>282</v>
      </c>
      <c r="K93" s="196" t="s">
        <v>272</v>
      </c>
      <c r="L93" s="194" t="s">
        <v>273</v>
      </c>
    </row>
    <row r="94" spans="1:12" ht="15.75" x14ac:dyDescent="0.25">
      <c r="A94" s="24" t="s">
        <v>49</v>
      </c>
      <c r="B94" s="267" t="s">
        <v>530</v>
      </c>
      <c r="C94" s="115" t="s">
        <v>531</v>
      </c>
      <c r="D94" s="24">
        <v>256</v>
      </c>
      <c r="E94" s="268">
        <v>948601</v>
      </c>
      <c r="F94" s="268">
        <v>935719</v>
      </c>
      <c r="G94" s="303" t="s">
        <v>153</v>
      </c>
      <c r="H94" s="268">
        <v>12882</v>
      </c>
      <c r="I94" s="268">
        <v>408288</v>
      </c>
      <c r="J94" s="268">
        <v>408288</v>
      </c>
      <c r="K94" s="269">
        <v>0</v>
      </c>
      <c r="L94" s="268">
        <v>12882</v>
      </c>
    </row>
    <row r="95" spans="1:12" ht="15.75" x14ac:dyDescent="0.25">
      <c r="A95" s="165" t="s">
        <v>390</v>
      </c>
      <c r="B95" s="302" t="s">
        <v>153</v>
      </c>
      <c r="C95" s="302" t="s">
        <v>153</v>
      </c>
      <c r="D95" s="302" t="s">
        <v>153</v>
      </c>
      <c r="E95" s="277">
        <f>SUBTOTAL(109,college200304[Program
Costs])</f>
        <v>948601</v>
      </c>
      <c r="F95" s="277">
        <f>SUBTOTAL(109,college200304[Less: Net
 Payments and 
Offsets 2])</f>
        <v>935719</v>
      </c>
      <c r="G95" s="302" t="s">
        <v>153</v>
      </c>
      <c r="H95" s="277">
        <f>SUBTOTAL(109,college200304[Accounts Payable
Balance])</f>
        <v>12882</v>
      </c>
      <c r="I95" s="277">
        <f>SUBTOTAL(109,college200304[Established
Accounts Receivable])</f>
        <v>408288</v>
      </c>
      <c r="J95" s="277">
        <f>SUBTOTAL(109,college200304[Less: 
Recovered 
Amount])</f>
        <v>408288</v>
      </c>
      <c r="K95" s="279">
        <f>SUBTOTAL(109,college200304[Accounts Receivable
Balance])</f>
        <v>0</v>
      </c>
      <c r="L95" s="277">
        <f>SUBTOTAL(109,college200304[Net
Balance])</f>
        <v>12882</v>
      </c>
    </row>
    <row r="96" spans="1:12" ht="15.75" x14ac:dyDescent="0.25">
      <c r="A96" s="146" t="s">
        <v>181</v>
      </c>
      <c r="B96" s="354"/>
      <c r="C96" s="286"/>
      <c r="D96" s="287"/>
      <c r="E96" s="288"/>
      <c r="F96" s="288"/>
      <c r="G96" s="308"/>
      <c r="H96" s="288"/>
      <c r="I96" s="288"/>
      <c r="J96" s="288"/>
      <c r="K96" s="290"/>
      <c r="L96" s="288"/>
    </row>
    <row r="97" spans="1:16384" s="312" customFormat="1" ht="50.25" outlineLevel="1" x14ac:dyDescent="0.25">
      <c r="A97" s="34" t="s">
        <v>221</v>
      </c>
      <c r="B97" s="34" t="s">
        <v>268</v>
      </c>
      <c r="C97" s="28" t="s">
        <v>2</v>
      </c>
      <c r="D97" s="34" t="s">
        <v>280</v>
      </c>
      <c r="E97" s="194" t="s">
        <v>223</v>
      </c>
      <c r="F97" s="21" t="s">
        <v>509</v>
      </c>
      <c r="G97" s="252" t="s">
        <v>176</v>
      </c>
      <c r="H97" s="196" t="s">
        <v>270</v>
      </c>
      <c r="I97" s="156" t="s">
        <v>271</v>
      </c>
      <c r="J97" s="194" t="s">
        <v>282</v>
      </c>
      <c r="K97" s="196" t="s">
        <v>272</v>
      </c>
      <c r="L97" s="194" t="s">
        <v>273</v>
      </c>
    </row>
    <row r="98" spans="1:16384" ht="45.75" x14ac:dyDescent="0.25">
      <c r="A98" s="24" t="s">
        <v>361</v>
      </c>
      <c r="B98" s="152" t="s">
        <v>50</v>
      </c>
      <c r="C98" s="115" t="s">
        <v>51</v>
      </c>
      <c r="D98" s="24">
        <v>232</v>
      </c>
      <c r="E98" s="268">
        <v>7841169</v>
      </c>
      <c r="F98" s="268">
        <v>7841169</v>
      </c>
      <c r="G98" s="303" t="s">
        <v>153</v>
      </c>
      <c r="H98" s="269">
        <v>0</v>
      </c>
      <c r="I98" s="268">
        <v>595489</v>
      </c>
      <c r="J98" s="268">
        <v>371172</v>
      </c>
      <c r="K98" s="268">
        <v>224317</v>
      </c>
      <c r="L98" s="268">
        <v>-224317</v>
      </c>
    </row>
    <row r="99" spans="1:16384" ht="30.75" x14ac:dyDescent="0.25">
      <c r="A99" s="24" t="s">
        <v>361</v>
      </c>
      <c r="B99" s="152" t="s">
        <v>527</v>
      </c>
      <c r="C99" s="115" t="s">
        <v>528</v>
      </c>
      <c r="D99" s="24">
        <v>234</v>
      </c>
      <c r="E99" s="268">
        <v>5439156</v>
      </c>
      <c r="F99" s="268">
        <v>5439156</v>
      </c>
      <c r="G99" s="303" t="s">
        <v>153</v>
      </c>
      <c r="H99" s="269">
        <v>0</v>
      </c>
      <c r="I99" s="268">
        <v>3547273</v>
      </c>
      <c r="J99" s="268">
        <v>2826984</v>
      </c>
      <c r="K99" s="268">
        <v>720289</v>
      </c>
      <c r="L99" s="268">
        <v>-720289</v>
      </c>
    </row>
    <row r="100" spans="1:16384" ht="15.75" x14ac:dyDescent="0.25">
      <c r="A100" s="24" t="s">
        <v>361</v>
      </c>
      <c r="B100" s="267" t="s">
        <v>530</v>
      </c>
      <c r="C100" s="115" t="s">
        <v>531</v>
      </c>
      <c r="D100" s="24">
        <v>256</v>
      </c>
      <c r="E100" s="268">
        <v>1631298</v>
      </c>
      <c r="F100" s="268">
        <v>1621000</v>
      </c>
      <c r="G100" s="303" t="s">
        <v>153</v>
      </c>
      <c r="H100" s="268">
        <v>10298</v>
      </c>
      <c r="I100" s="268">
        <v>173451</v>
      </c>
      <c r="J100" s="268">
        <v>79181</v>
      </c>
      <c r="K100" s="268">
        <v>94270</v>
      </c>
      <c r="L100" s="268">
        <v>-83972</v>
      </c>
    </row>
    <row r="101" spans="1:16384" ht="15.75" x14ac:dyDescent="0.25">
      <c r="A101" s="165" t="s">
        <v>391</v>
      </c>
      <c r="B101" s="302" t="s">
        <v>153</v>
      </c>
      <c r="C101" s="302" t="s">
        <v>153</v>
      </c>
      <c r="D101" s="302" t="s">
        <v>153</v>
      </c>
      <c r="E101" s="277">
        <f>SUBTOTAL(109,college200203[Program
Costs])</f>
        <v>14911623</v>
      </c>
      <c r="F101" s="277">
        <f>SUBTOTAL(109,college200203[Less: Net
 Payments and 
Offsets 2])</f>
        <v>14901325</v>
      </c>
      <c r="G101" s="302" t="s">
        <v>153</v>
      </c>
      <c r="H101" s="42">
        <f>SUBTOTAL(109,college200203[Accounts Payable
Balance])</f>
        <v>10298</v>
      </c>
      <c r="I101" s="277">
        <f>SUBTOTAL(109,college200203[Established
Accounts Receivable])</f>
        <v>4316213</v>
      </c>
      <c r="J101" s="277">
        <f>SUBTOTAL(109,college200203[Less: 
Recovered 
Amount])</f>
        <v>3277337</v>
      </c>
      <c r="K101" s="277">
        <f>SUBTOTAL(109,college200203[Accounts Receivable
Balance])</f>
        <v>1038876</v>
      </c>
      <c r="L101" s="277">
        <f>SUBTOTAL(109,college200203[Net
Balance])</f>
        <v>-1028578</v>
      </c>
    </row>
    <row r="102" spans="1:16384" s="240" customFormat="1" ht="15.75" x14ac:dyDescent="0.25">
      <c r="A102" s="146" t="s">
        <v>181</v>
      </c>
      <c r="B102" s="318"/>
      <c r="C102" s="165"/>
      <c r="D102" s="276"/>
      <c r="E102" s="278"/>
      <c r="F102" s="278"/>
      <c r="G102" s="309"/>
      <c r="I102" s="278"/>
      <c r="J102" s="278"/>
      <c r="K102" s="278"/>
      <c r="L102" s="277"/>
      <c r="M102" s="247"/>
      <c r="N102" s="247"/>
      <c r="O102" s="247"/>
      <c r="P102" s="247"/>
      <c r="Q102" s="247"/>
      <c r="R102" s="247"/>
      <c r="S102" s="247"/>
      <c r="T102" s="247"/>
      <c r="U102" s="247"/>
      <c r="V102" s="247"/>
      <c r="W102" s="247"/>
      <c r="X102" s="247"/>
      <c r="Y102" s="247"/>
      <c r="Z102" s="247"/>
      <c r="AA102" s="247"/>
      <c r="AB102" s="247"/>
      <c r="AC102" s="247"/>
      <c r="AD102" s="247"/>
      <c r="AE102" s="247"/>
      <c r="AF102" s="247"/>
      <c r="AG102" s="247"/>
      <c r="AH102" s="247"/>
      <c r="AI102" s="247"/>
      <c r="AJ102" s="247"/>
      <c r="AK102" s="247"/>
      <c r="AL102" s="247"/>
      <c r="AM102" s="247"/>
      <c r="AN102" s="247"/>
      <c r="AO102" s="247"/>
      <c r="AP102" s="247"/>
      <c r="AQ102" s="247"/>
      <c r="AR102" s="247"/>
      <c r="AS102" s="247"/>
      <c r="AT102" s="247"/>
      <c r="AU102" s="247"/>
      <c r="AV102" s="247"/>
      <c r="AW102" s="247"/>
      <c r="AX102" s="247"/>
      <c r="AY102" s="247"/>
      <c r="AZ102" s="247"/>
      <c r="BA102" s="247"/>
      <c r="BB102" s="247"/>
      <c r="BC102" s="247"/>
      <c r="BD102" s="247"/>
      <c r="BE102" s="247"/>
      <c r="BF102" s="247"/>
      <c r="BG102" s="247"/>
      <c r="BH102" s="247"/>
      <c r="BI102" s="247"/>
      <c r="BJ102" s="247"/>
      <c r="BK102" s="247"/>
      <c r="BL102" s="247"/>
      <c r="BM102" s="247"/>
      <c r="BN102" s="247"/>
      <c r="BO102" s="247"/>
      <c r="BP102" s="247"/>
      <c r="BQ102" s="247"/>
      <c r="BR102" s="247"/>
      <c r="BS102" s="247"/>
      <c r="BT102" s="247"/>
      <c r="BU102" s="247"/>
      <c r="BV102" s="247"/>
      <c r="BW102" s="247"/>
      <c r="BX102" s="247"/>
      <c r="BY102" s="247"/>
      <c r="BZ102" s="247"/>
      <c r="CA102" s="247"/>
      <c r="CB102" s="247"/>
      <c r="CC102" s="247"/>
      <c r="CD102" s="247"/>
      <c r="CE102" s="247"/>
      <c r="CF102" s="247"/>
      <c r="CG102" s="247"/>
      <c r="CH102" s="247"/>
      <c r="CI102" s="247"/>
      <c r="CJ102" s="247"/>
      <c r="CK102" s="247"/>
      <c r="CL102" s="247"/>
      <c r="CM102" s="247"/>
      <c r="CN102" s="247"/>
      <c r="CO102" s="247"/>
      <c r="CP102" s="247"/>
      <c r="CQ102" s="247"/>
      <c r="CR102" s="247"/>
      <c r="CS102" s="247"/>
      <c r="CT102" s="247"/>
      <c r="CU102" s="247"/>
      <c r="CV102" s="247"/>
      <c r="CW102" s="247"/>
      <c r="CX102" s="247"/>
      <c r="CY102" s="247"/>
      <c r="CZ102" s="247"/>
      <c r="DA102" s="247"/>
      <c r="DB102" s="247"/>
      <c r="DC102" s="247"/>
      <c r="DD102" s="247"/>
      <c r="DE102" s="247"/>
      <c r="DF102" s="247"/>
      <c r="DG102" s="247"/>
      <c r="DH102" s="247"/>
      <c r="DI102" s="247"/>
      <c r="DJ102" s="247"/>
      <c r="DK102" s="247"/>
      <c r="DL102" s="247"/>
      <c r="DM102" s="247"/>
      <c r="DN102" s="247"/>
      <c r="DO102" s="247"/>
      <c r="DP102" s="247"/>
      <c r="DQ102" s="247"/>
      <c r="DR102" s="247"/>
      <c r="DS102" s="247"/>
      <c r="DT102" s="247"/>
      <c r="DU102" s="247"/>
      <c r="DV102" s="247"/>
      <c r="DW102" s="247"/>
      <c r="DX102" s="247"/>
      <c r="DY102" s="247"/>
      <c r="DZ102" s="247"/>
      <c r="EA102" s="247"/>
      <c r="EB102" s="247"/>
      <c r="EC102" s="247"/>
      <c r="ED102" s="247"/>
      <c r="EE102" s="247"/>
      <c r="EF102" s="247"/>
      <c r="EG102" s="247"/>
      <c r="EH102" s="247"/>
      <c r="EI102" s="247"/>
      <c r="EJ102" s="247"/>
      <c r="EK102" s="247"/>
      <c r="EL102" s="247"/>
      <c r="EM102" s="247"/>
      <c r="EN102" s="247"/>
      <c r="EO102" s="247"/>
      <c r="EP102" s="247"/>
      <c r="EQ102" s="247"/>
      <c r="ER102" s="247"/>
      <c r="ES102" s="247"/>
      <c r="ET102" s="247"/>
      <c r="EU102" s="247"/>
      <c r="EV102" s="247"/>
      <c r="EW102" s="247"/>
      <c r="EX102" s="247"/>
      <c r="EY102" s="247"/>
      <c r="EZ102" s="247"/>
      <c r="FA102" s="247"/>
      <c r="FB102" s="247"/>
      <c r="FC102" s="247"/>
      <c r="FD102" s="247"/>
      <c r="FE102" s="247"/>
      <c r="FF102" s="247"/>
      <c r="FG102" s="247"/>
      <c r="FH102" s="247"/>
      <c r="FI102" s="247"/>
      <c r="FJ102" s="247"/>
      <c r="FK102" s="247"/>
      <c r="FL102" s="247"/>
      <c r="FM102" s="247"/>
      <c r="FN102" s="247"/>
      <c r="FO102" s="247"/>
      <c r="FP102" s="247"/>
      <c r="FQ102" s="247"/>
      <c r="FR102" s="247"/>
      <c r="FS102" s="247"/>
      <c r="FT102" s="247"/>
      <c r="FU102" s="247"/>
      <c r="FV102" s="247"/>
      <c r="FW102" s="247"/>
      <c r="FX102" s="247"/>
      <c r="FY102" s="247"/>
      <c r="FZ102" s="247"/>
      <c r="GA102" s="247"/>
      <c r="GB102" s="247"/>
      <c r="GC102" s="247"/>
      <c r="GD102" s="247"/>
      <c r="GE102" s="247"/>
      <c r="GF102" s="247"/>
      <c r="GG102" s="247"/>
      <c r="GH102" s="247"/>
      <c r="GI102" s="247"/>
      <c r="GJ102" s="247"/>
      <c r="GK102" s="247"/>
      <c r="GL102" s="247"/>
      <c r="GM102" s="247"/>
      <c r="GN102" s="247"/>
      <c r="GO102" s="247"/>
      <c r="GP102" s="247"/>
      <c r="GQ102" s="247"/>
      <c r="GR102" s="247"/>
      <c r="GS102" s="247"/>
      <c r="GT102" s="247"/>
      <c r="GU102" s="247"/>
      <c r="GV102" s="247"/>
      <c r="GW102" s="247"/>
      <c r="GX102" s="247"/>
      <c r="GY102" s="247"/>
      <c r="GZ102" s="247"/>
      <c r="HA102" s="247"/>
      <c r="HB102" s="247"/>
      <c r="HC102" s="247"/>
      <c r="HD102" s="247"/>
      <c r="HE102" s="247"/>
      <c r="HF102" s="247"/>
      <c r="HG102" s="247"/>
      <c r="HH102" s="247"/>
      <c r="HI102" s="247"/>
      <c r="HJ102" s="247"/>
      <c r="HK102" s="247"/>
      <c r="HL102" s="247"/>
      <c r="HM102" s="247"/>
      <c r="HN102" s="247"/>
      <c r="HO102" s="247"/>
      <c r="HP102" s="247"/>
      <c r="HQ102" s="247"/>
      <c r="HR102" s="247"/>
      <c r="HS102" s="247"/>
      <c r="HT102" s="247"/>
      <c r="HU102" s="247"/>
      <c r="HV102" s="247"/>
      <c r="HW102" s="247"/>
      <c r="HX102" s="247"/>
      <c r="HY102" s="247"/>
      <c r="HZ102" s="247"/>
      <c r="IA102" s="247"/>
      <c r="IB102" s="247"/>
      <c r="IC102" s="247"/>
      <c r="ID102" s="247"/>
      <c r="IE102" s="247"/>
      <c r="IF102" s="247"/>
      <c r="IG102" s="247"/>
      <c r="IH102" s="247"/>
      <c r="II102" s="247"/>
      <c r="IJ102" s="247"/>
      <c r="IK102" s="247"/>
      <c r="IL102" s="247"/>
      <c r="IM102" s="247"/>
      <c r="IN102" s="247"/>
      <c r="IO102" s="247"/>
      <c r="IP102" s="247"/>
      <c r="IQ102" s="247"/>
      <c r="IR102" s="247"/>
      <c r="IS102" s="247"/>
      <c r="IT102" s="247"/>
      <c r="IU102" s="247"/>
      <c r="IV102" s="247"/>
      <c r="IW102" s="247"/>
      <c r="IX102" s="247"/>
      <c r="IY102" s="247"/>
      <c r="IZ102" s="247"/>
      <c r="JA102" s="247"/>
      <c r="JB102" s="247"/>
      <c r="JC102" s="247"/>
      <c r="JD102" s="247"/>
      <c r="JE102" s="247"/>
      <c r="JF102" s="247"/>
      <c r="JG102" s="247"/>
      <c r="JH102" s="247"/>
      <c r="JI102" s="247"/>
      <c r="JJ102" s="247"/>
      <c r="JK102" s="247"/>
      <c r="JL102" s="247"/>
      <c r="JM102" s="247"/>
      <c r="JN102" s="247"/>
      <c r="JO102" s="247"/>
      <c r="JP102" s="247"/>
      <c r="JQ102" s="247"/>
      <c r="JR102" s="247"/>
      <c r="JS102" s="247"/>
      <c r="JT102" s="247"/>
      <c r="JU102" s="247"/>
      <c r="JV102" s="247"/>
      <c r="JW102" s="247"/>
      <c r="JX102" s="247"/>
      <c r="JY102" s="247"/>
      <c r="JZ102" s="247"/>
      <c r="KA102" s="247"/>
      <c r="KB102" s="247"/>
      <c r="KC102" s="247"/>
      <c r="KD102" s="247"/>
      <c r="KE102" s="247"/>
      <c r="KF102" s="247"/>
      <c r="KG102" s="247"/>
      <c r="KH102" s="247"/>
      <c r="KI102" s="247"/>
      <c r="KJ102" s="247"/>
      <c r="KK102" s="247"/>
      <c r="KL102" s="247"/>
      <c r="KM102" s="247"/>
      <c r="KN102" s="247"/>
      <c r="KO102" s="247"/>
      <c r="KP102" s="247"/>
      <c r="KQ102" s="247"/>
      <c r="KR102" s="247"/>
      <c r="KS102" s="247"/>
      <c r="KT102" s="247"/>
      <c r="KU102" s="247"/>
      <c r="KV102" s="247"/>
      <c r="KW102" s="247"/>
      <c r="KX102" s="247"/>
      <c r="KY102" s="247"/>
      <c r="KZ102" s="247"/>
      <c r="LA102" s="247"/>
      <c r="LB102" s="247"/>
      <c r="LC102" s="247"/>
      <c r="LD102" s="247"/>
      <c r="LE102" s="247"/>
      <c r="LF102" s="247"/>
      <c r="LG102" s="247"/>
      <c r="LH102" s="247"/>
      <c r="LI102" s="247"/>
      <c r="LJ102" s="247"/>
      <c r="LK102" s="247"/>
      <c r="LL102" s="247"/>
      <c r="LM102" s="247"/>
      <c r="LN102" s="247"/>
      <c r="LO102" s="247"/>
      <c r="LP102" s="247"/>
      <c r="LQ102" s="247"/>
      <c r="LR102" s="247"/>
      <c r="LS102" s="247"/>
      <c r="LT102" s="247"/>
      <c r="LU102" s="247"/>
      <c r="LV102" s="247"/>
      <c r="LW102" s="247"/>
      <c r="LX102" s="247"/>
      <c r="LY102" s="247"/>
      <c r="LZ102" s="247"/>
      <c r="MA102" s="247"/>
      <c r="MB102" s="247"/>
      <c r="MC102" s="247"/>
      <c r="MD102" s="247"/>
      <c r="ME102" s="247"/>
      <c r="MF102" s="247"/>
      <c r="MG102" s="247"/>
      <c r="MH102" s="247"/>
      <c r="MI102" s="247"/>
      <c r="MJ102" s="247"/>
      <c r="MK102" s="247"/>
      <c r="ML102" s="247"/>
      <c r="MM102" s="247"/>
      <c r="MN102" s="247"/>
      <c r="MO102" s="247"/>
      <c r="MP102" s="247"/>
      <c r="MQ102" s="247"/>
      <c r="MR102" s="247"/>
      <c r="MS102" s="247"/>
      <c r="MT102" s="247"/>
      <c r="MU102" s="247"/>
      <c r="MV102" s="247"/>
      <c r="MW102" s="247"/>
      <c r="MX102" s="247"/>
      <c r="MY102" s="247"/>
      <c r="MZ102" s="247"/>
      <c r="NA102" s="247"/>
      <c r="NB102" s="247"/>
      <c r="NC102" s="247"/>
      <c r="ND102" s="247"/>
      <c r="NE102" s="247"/>
      <c r="NF102" s="247"/>
      <c r="NG102" s="247"/>
      <c r="NH102" s="247"/>
      <c r="NI102" s="247"/>
      <c r="NJ102" s="247"/>
      <c r="NK102" s="247"/>
      <c r="NL102" s="247"/>
      <c r="NM102" s="247"/>
      <c r="NN102" s="247"/>
      <c r="NO102" s="247"/>
      <c r="NP102" s="247"/>
      <c r="NQ102" s="247"/>
      <c r="NR102" s="247"/>
      <c r="NS102" s="247"/>
      <c r="NT102" s="247"/>
      <c r="NU102" s="247"/>
      <c r="NV102" s="247"/>
      <c r="NW102" s="247"/>
      <c r="NX102" s="247"/>
      <c r="NY102" s="247"/>
      <c r="NZ102" s="247"/>
      <c r="OA102" s="247"/>
      <c r="OB102" s="247"/>
      <c r="OC102" s="247"/>
      <c r="OD102" s="247"/>
      <c r="OE102" s="247"/>
      <c r="OF102" s="247"/>
      <c r="OG102" s="247"/>
      <c r="OH102" s="247"/>
      <c r="OI102" s="247"/>
      <c r="OJ102" s="247"/>
      <c r="OK102" s="247"/>
      <c r="OL102" s="247"/>
      <c r="OM102" s="247"/>
      <c r="ON102" s="247"/>
      <c r="OO102" s="247"/>
      <c r="OP102" s="247"/>
      <c r="OQ102" s="247"/>
      <c r="OR102" s="247"/>
      <c r="OS102" s="247"/>
      <c r="OT102" s="247"/>
      <c r="OU102" s="247"/>
      <c r="OV102" s="247"/>
      <c r="OW102" s="247"/>
      <c r="OX102" s="247"/>
      <c r="OY102" s="247"/>
      <c r="OZ102" s="247"/>
      <c r="PA102" s="247"/>
      <c r="PB102" s="247"/>
      <c r="PC102" s="247"/>
      <c r="PD102" s="247"/>
      <c r="PE102" s="247"/>
      <c r="PF102" s="247"/>
      <c r="PG102" s="247"/>
      <c r="PH102" s="247"/>
      <c r="PI102" s="247"/>
      <c r="PJ102" s="247"/>
      <c r="PK102" s="247"/>
      <c r="PL102" s="247"/>
      <c r="PM102" s="247"/>
      <c r="PN102" s="247"/>
      <c r="PO102" s="247"/>
      <c r="PP102" s="247"/>
      <c r="PQ102" s="247"/>
      <c r="PR102" s="247"/>
      <c r="PS102" s="247"/>
      <c r="PT102" s="247"/>
      <c r="PU102" s="247"/>
      <c r="PV102" s="247"/>
      <c r="PW102" s="247"/>
      <c r="PX102" s="247"/>
      <c r="PY102" s="247"/>
      <c r="PZ102" s="247"/>
      <c r="QA102" s="247"/>
      <c r="QB102" s="247"/>
      <c r="QC102" s="247"/>
      <c r="QD102" s="247"/>
      <c r="QE102" s="247"/>
      <c r="QF102" s="247"/>
      <c r="QG102" s="247"/>
      <c r="QH102" s="247"/>
      <c r="QI102" s="247"/>
      <c r="QJ102" s="247"/>
      <c r="QK102" s="247"/>
      <c r="QL102" s="247"/>
      <c r="QM102" s="247"/>
      <c r="QN102" s="247"/>
      <c r="QO102" s="247"/>
      <c r="QP102" s="247"/>
      <c r="QQ102" s="247"/>
      <c r="QR102" s="247"/>
      <c r="QS102" s="247"/>
      <c r="QT102" s="247"/>
      <c r="QU102" s="247"/>
      <c r="QV102" s="247"/>
      <c r="QW102" s="247"/>
      <c r="QX102" s="247"/>
      <c r="QY102" s="247"/>
      <c r="QZ102" s="247"/>
      <c r="RA102" s="247"/>
      <c r="RB102" s="247"/>
      <c r="RC102" s="247"/>
      <c r="RD102" s="247"/>
      <c r="RE102" s="247"/>
      <c r="RF102" s="247"/>
      <c r="RG102" s="247"/>
      <c r="RH102" s="247"/>
      <c r="RI102" s="247"/>
      <c r="RJ102" s="247"/>
      <c r="RK102" s="247"/>
      <c r="RL102" s="247"/>
      <c r="RM102" s="247"/>
      <c r="RN102" s="247"/>
      <c r="RO102" s="247"/>
      <c r="RP102" s="247"/>
      <c r="RQ102" s="247"/>
      <c r="RR102" s="247"/>
      <c r="RS102" s="247"/>
      <c r="RT102" s="247"/>
      <c r="RU102" s="247"/>
      <c r="RV102" s="247"/>
      <c r="RW102" s="247"/>
      <c r="RX102" s="247"/>
      <c r="RY102" s="247"/>
      <c r="RZ102" s="247"/>
      <c r="SA102" s="247"/>
      <c r="SB102" s="247"/>
      <c r="SC102" s="247"/>
      <c r="SD102" s="247"/>
      <c r="SE102" s="247"/>
      <c r="SF102" s="247"/>
      <c r="SG102" s="247"/>
      <c r="SH102" s="247"/>
      <c r="SI102" s="247"/>
      <c r="SJ102" s="247"/>
      <c r="SK102" s="247"/>
      <c r="SL102" s="247"/>
      <c r="SM102" s="247"/>
      <c r="SN102" s="247"/>
      <c r="SO102" s="247"/>
      <c r="SP102" s="247"/>
      <c r="SQ102" s="247"/>
      <c r="SR102" s="247"/>
      <c r="SS102" s="247"/>
      <c r="ST102" s="247"/>
      <c r="SU102" s="247"/>
      <c r="SV102" s="247"/>
      <c r="SW102" s="247"/>
      <c r="SX102" s="247"/>
      <c r="SY102" s="247"/>
      <c r="SZ102" s="247"/>
      <c r="TA102" s="247"/>
      <c r="TB102" s="247"/>
      <c r="TC102" s="247"/>
      <c r="TD102" s="247"/>
      <c r="TE102" s="247"/>
      <c r="TF102" s="247"/>
      <c r="TG102" s="247"/>
      <c r="TH102" s="247"/>
      <c r="TI102" s="247"/>
      <c r="TJ102" s="247"/>
      <c r="TK102" s="247"/>
      <c r="TL102" s="247"/>
      <c r="TM102" s="247"/>
      <c r="TN102" s="247"/>
      <c r="TO102" s="247"/>
      <c r="TP102" s="247"/>
      <c r="TQ102" s="247"/>
      <c r="TR102" s="247"/>
      <c r="TS102" s="247"/>
      <c r="TT102" s="247"/>
      <c r="TU102" s="247"/>
      <c r="TV102" s="247"/>
      <c r="TW102" s="247"/>
      <c r="TX102" s="247"/>
      <c r="TY102" s="247"/>
      <c r="TZ102" s="247"/>
      <c r="UA102" s="247"/>
      <c r="UB102" s="247"/>
      <c r="UC102" s="247"/>
      <c r="UD102" s="247"/>
      <c r="UE102" s="247"/>
      <c r="UF102" s="247"/>
      <c r="UG102" s="247"/>
      <c r="UH102" s="247"/>
      <c r="UI102" s="247"/>
      <c r="UJ102" s="247"/>
      <c r="UK102" s="247"/>
      <c r="UL102" s="247"/>
      <c r="UM102" s="247"/>
      <c r="UN102" s="247"/>
      <c r="UO102" s="247"/>
      <c r="UP102" s="247"/>
      <c r="UQ102" s="247"/>
      <c r="UR102" s="247"/>
      <c r="US102" s="247"/>
      <c r="UT102" s="247"/>
      <c r="UU102" s="247"/>
      <c r="UV102" s="247"/>
      <c r="UW102" s="247"/>
      <c r="UX102" s="247"/>
      <c r="UY102" s="247"/>
      <c r="UZ102" s="247"/>
      <c r="VA102" s="247"/>
      <c r="VB102" s="247"/>
      <c r="VC102" s="247"/>
      <c r="VD102" s="247"/>
      <c r="VE102" s="247"/>
      <c r="VF102" s="247"/>
      <c r="VG102" s="247"/>
      <c r="VH102" s="247"/>
      <c r="VI102" s="247"/>
      <c r="VJ102" s="247"/>
      <c r="VK102" s="247"/>
      <c r="VL102" s="247"/>
      <c r="VM102" s="247"/>
      <c r="VN102" s="247"/>
      <c r="VO102" s="247"/>
      <c r="VP102" s="247"/>
      <c r="VQ102" s="247"/>
      <c r="VR102" s="247"/>
      <c r="VS102" s="247"/>
      <c r="VT102" s="247"/>
      <c r="VU102" s="247"/>
      <c r="VV102" s="247"/>
      <c r="VW102" s="247"/>
      <c r="VX102" s="247"/>
      <c r="VY102" s="247"/>
      <c r="VZ102" s="247"/>
      <c r="WA102" s="247"/>
      <c r="WB102" s="247"/>
      <c r="WC102" s="247"/>
      <c r="WD102" s="247"/>
      <c r="WE102" s="247"/>
      <c r="WF102" s="247"/>
      <c r="WG102" s="247"/>
      <c r="WH102" s="247"/>
      <c r="WI102" s="247"/>
      <c r="WJ102" s="247"/>
      <c r="WK102" s="247"/>
      <c r="WL102" s="247"/>
      <c r="WM102" s="247"/>
      <c r="WN102" s="247"/>
      <c r="WO102" s="247"/>
      <c r="WP102" s="247"/>
      <c r="WQ102" s="247"/>
      <c r="WR102" s="247"/>
      <c r="WS102" s="247"/>
      <c r="WT102" s="247"/>
      <c r="WU102" s="247"/>
      <c r="WV102" s="247"/>
      <c r="WW102" s="247"/>
      <c r="WX102" s="247"/>
      <c r="WY102" s="247"/>
      <c r="WZ102" s="247"/>
      <c r="XA102" s="247"/>
      <c r="XB102" s="247"/>
      <c r="XC102" s="247"/>
      <c r="XD102" s="247"/>
      <c r="XE102" s="247"/>
      <c r="XF102" s="247"/>
      <c r="XG102" s="247"/>
      <c r="XH102" s="247"/>
      <c r="XI102" s="247"/>
      <c r="XJ102" s="247"/>
      <c r="XK102" s="247"/>
      <c r="XL102" s="247"/>
      <c r="XM102" s="247"/>
      <c r="XN102" s="247"/>
      <c r="XO102" s="247"/>
      <c r="XP102" s="247"/>
      <c r="XQ102" s="247"/>
      <c r="XR102" s="247"/>
      <c r="XS102" s="247"/>
      <c r="XT102" s="247"/>
      <c r="XU102" s="247"/>
      <c r="XV102" s="247"/>
      <c r="XW102" s="247"/>
      <c r="XX102" s="247"/>
      <c r="XY102" s="247"/>
      <c r="XZ102" s="247"/>
      <c r="YA102" s="247"/>
      <c r="YB102" s="247"/>
      <c r="YC102" s="247"/>
      <c r="YD102" s="247"/>
      <c r="YE102" s="247"/>
      <c r="YF102" s="247"/>
      <c r="YG102" s="247"/>
      <c r="YH102" s="247"/>
      <c r="YI102" s="247"/>
      <c r="YJ102" s="247"/>
      <c r="YK102" s="247"/>
      <c r="YL102" s="247"/>
      <c r="YM102" s="247"/>
      <c r="YN102" s="247"/>
      <c r="YO102" s="247"/>
      <c r="YP102" s="247"/>
      <c r="YQ102" s="247"/>
      <c r="YR102" s="247"/>
      <c r="YS102" s="247"/>
      <c r="YT102" s="247"/>
      <c r="YU102" s="247"/>
      <c r="YV102" s="247"/>
      <c r="YW102" s="247"/>
      <c r="YX102" s="247"/>
      <c r="YY102" s="247"/>
      <c r="YZ102" s="247"/>
      <c r="ZA102" s="247"/>
      <c r="ZB102" s="247"/>
      <c r="ZC102" s="247"/>
      <c r="ZD102" s="247"/>
      <c r="ZE102" s="247"/>
      <c r="ZF102" s="247"/>
      <c r="ZG102" s="247"/>
      <c r="ZH102" s="247"/>
      <c r="ZI102" s="247"/>
      <c r="ZJ102" s="247"/>
      <c r="ZK102" s="247"/>
      <c r="ZL102" s="247"/>
      <c r="ZM102" s="247"/>
      <c r="ZN102" s="247"/>
      <c r="ZO102" s="247"/>
      <c r="ZP102" s="247"/>
      <c r="ZQ102" s="247"/>
      <c r="ZR102" s="247"/>
      <c r="ZS102" s="247"/>
      <c r="ZT102" s="247"/>
      <c r="ZU102" s="247"/>
      <c r="ZV102" s="247"/>
      <c r="ZW102" s="247"/>
      <c r="ZX102" s="247"/>
      <c r="ZY102" s="247"/>
      <c r="ZZ102" s="247"/>
      <c r="AAA102" s="247"/>
      <c r="AAB102" s="247"/>
      <c r="AAC102" s="247"/>
      <c r="AAD102" s="247"/>
      <c r="AAE102" s="247"/>
      <c r="AAF102" s="247"/>
      <c r="AAG102" s="247"/>
      <c r="AAH102" s="247"/>
      <c r="AAI102" s="247"/>
      <c r="AAJ102" s="247"/>
      <c r="AAK102" s="247"/>
      <c r="AAL102" s="247"/>
      <c r="AAM102" s="247"/>
      <c r="AAN102" s="247"/>
      <c r="AAO102" s="247"/>
      <c r="AAP102" s="247"/>
      <c r="AAQ102" s="247"/>
      <c r="AAR102" s="247"/>
      <c r="AAS102" s="247"/>
      <c r="AAT102" s="247"/>
      <c r="AAU102" s="247"/>
      <c r="AAV102" s="247"/>
      <c r="AAW102" s="247"/>
      <c r="AAX102" s="247"/>
      <c r="AAY102" s="247"/>
      <c r="AAZ102" s="247"/>
      <c r="ABA102" s="247"/>
      <c r="ABB102" s="247"/>
      <c r="ABC102" s="247"/>
      <c r="ABD102" s="247"/>
      <c r="ABE102" s="247"/>
      <c r="ABF102" s="247"/>
      <c r="ABG102" s="247"/>
      <c r="ABH102" s="247"/>
      <c r="ABI102" s="247"/>
      <c r="ABJ102" s="247"/>
      <c r="ABK102" s="247"/>
      <c r="ABL102" s="247"/>
      <c r="ABM102" s="247"/>
      <c r="ABN102" s="247"/>
      <c r="ABO102" s="247"/>
      <c r="ABP102" s="247"/>
      <c r="ABQ102" s="247"/>
      <c r="ABR102" s="247"/>
      <c r="ABS102" s="247"/>
      <c r="ABT102" s="247"/>
      <c r="ABU102" s="247"/>
      <c r="ABV102" s="247"/>
      <c r="ABW102" s="247"/>
      <c r="ABX102" s="247"/>
      <c r="ABY102" s="247"/>
      <c r="ABZ102" s="247"/>
      <c r="ACA102" s="247"/>
      <c r="ACB102" s="247"/>
      <c r="ACC102" s="247"/>
      <c r="ACD102" s="247"/>
      <c r="ACE102" s="247"/>
      <c r="ACF102" s="247"/>
      <c r="ACG102" s="247"/>
      <c r="ACH102" s="247"/>
      <c r="ACI102" s="247"/>
      <c r="ACJ102" s="247"/>
      <c r="ACK102" s="247"/>
      <c r="ACL102" s="247"/>
      <c r="ACM102" s="247"/>
      <c r="ACN102" s="247"/>
      <c r="ACO102" s="247"/>
      <c r="ACP102" s="247"/>
      <c r="ACQ102" s="247"/>
      <c r="ACR102" s="247"/>
      <c r="ACS102" s="247"/>
      <c r="ACT102" s="247"/>
      <c r="ACU102" s="247"/>
      <c r="ACV102" s="247"/>
      <c r="ACW102" s="247"/>
      <c r="ACX102" s="247"/>
      <c r="ACY102" s="247"/>
      <c r="ACZ102" s="247"/>
      <c r="ADA102" s="247"/>
      <c r="ADB102" s="247"/>
      <c r="ADC102" s="247"/>
      <c r="ADD102" s="247"/>
      <c r="ADE102" s="247"/>
      <c r="ADF102" s="247"/>
      <c r="ADG102" s="247"/>
      <c r="ADH102" s="247"/>
      <c r="ADI102" s="247"/>
      <c r="ADJ102" s="247"/>
      <c r="ADK102" s="247"/>
      <c r="ADL102" s="247"/>
      <c r="ADM102" s="247"/>
      <c r="ADN102" s="247"/>
      <c r="ADO102" s="247"/>
      <c r="ADP102" s="247"/>
      <c r="ADQ102" s="247"/>
      <c r="ADR102" s="247"/>
      <c r="ADS102" s="247"/>
      <c r="ADT102" s="247"/>
      <c r="ADU102" s="247"/>
      <c r="ADV102" s="247"/>
      <c r="ADW102" s="247"/>
      <c r="ADX102" s="247"/>
      <c r="ADY102" s="247"/>
      <c r="ADZ102" s="247"/>
      <c r="AEA102" s="247"/>
      <c r="AEB102" s="247"/>
      <c r="AEC102" s="247"/>
      <c r="AED102" s="247"/>
      <c r="AEE102" s="247"/>
      <c r="AEF102" s="247"/>
      <c r="AEG102" s="247"/>
      <c r="AEH102" s="247"/>
      <c r="AEI102" s="247"/>
      <c r="AEJ102" s="247"/>
      <c r="AEK102" s="247"/>
      <c r="AEL102" s="247"/>
      <c r="AEM102" s="247"/>
      <c r="AEN102" s="247"/>
      <c r="AEO102" s="247"/>
      <c r="AEP102" s="247"/>
      <c r="AEQ102" s="247"/>
      <c r="AER102" s="247"/>
      <c r="AES102" s="247"/>
      <c r="AET102" s="247"/>
      <c r="AEU102" s="247"/>
      <c r="AEV102" s="247"/>
      <c r="AEW102" s="247"/>
      <c r="AEX102" s="247"/>
      <c r="AEY102" s="247"/>
      <c r="AEZ102" s="247"/>
      <c r="AFA102" s="247"/>
      <c r="AFB102" s="247"/>
      <c r="AFC102" s="247"/>
      <c r="AFD102" s="247"/>
      <c r="AFE102" s="247"/>
      <c r="AFF102" s="247"/>
      <c r="AFG102" s="247"/>
      <c r="AFH102" s="247"/>
      <c r="AFI102" s="247"/>
      <c r="AFJ102" s="247"/>
      <c r="AFK102" s="247"/>
      <c r="AFL102" s="247"/>
      <c r="AFM102" s="247"/>
      <c r="AFN102" s="247"/>
      <c r="AFO102" s="247"/>
      <c r="AFP102" s="247"/>
      <c r="AFQ102" s="247"/>
      <c r="AFR102" s="247"/>
      <c r="AFS102" s="247"/>
      <c r="AFT102" s="247"/>
      <c r="AFU102" s="247"/>
      <c r="AFV102" s="247"/>
      <c r="AFW102" s="247"/>
      <c r="AFX102" s="247"/>
      <c r="AFY102" s="247"/>
      <c r="AFZ102" s="247"/>
      <c r="AGA102" s="247"/>
      <c r="AGB102" s="247"/>
      <c r="AGC102" s="247"/>
      <c r="AGD102" s="247"/>
      <c r="AGE102" s="247"/>
      <c r="AGF102" s="247"/>
      <c r="AGG102" s="247"/>
      <c r="AGH102" s="247"/>
      <c r="AGI102" s="247"/>
      <c r="AGJ102" s="247"/>
      <c r="AGK102" s="247"/>
      <c r="AGL102" s="247"/>
      <c r="AGM102" s="247"/>
      <c r="AGN102" s="247"/>
      <c r="AGO102" s="247"/>
      <c r="AGP102" s="247"/>
      <c r="AGQ102" s="247"/>
      <c r="AGR102" s="247"/>
      <c r="AGS102" s="247"/>
      <c r="AGT102" s="247"/>
      <c r="AGU102" s="247"/>
      <c r="AGV102" s="247"/>
      <c r="AGW102" s="247"/>
      <c r="AGX102" s="247"/>
      <c r="AGY102" s="247"/>
      <c r="AGZ102" s="247"/>
      <c r="AHA102" s="247"/>
      <c r="AHB102" s="247"/>
      <c r="AHC102" s="247"/>
      <c r="AHD102" s="247"/>
      <c r="AHE102" s="247"/>
      <c r="AHF102" s="247"/>
      <c r="AHG102" s="247"/>
      <c r="AHH102" s="247"/>
      <c r="AHI102" s="247"/>
      <c r="AHJ102" s="247"/>
      <c r="AHK102" s="247"/>
      <c r="AHL102" s="247"/>
      <c r="AHM102" s="247"/>
      <c r="AHN102" s="247"/>
      <c r="AHO102" s="247"/>
      <c r="AHP102" s="247"/>
      <c r="AHQ102" s="247"/>
      <c r="AHR102" s="247"/>
      <c r="AHS102" s="247"/>
      <c r="AHT102" s="247"/>
      <c r="AHU102" s="247"/>
      <c r="AHV102" s="247"/>
      <c r="AHW102" s="247"/>
      <c r="AHX102" s="247"/>
      <c r="AHY102" s="247"/>
      <c r="AHZ102" s="247"/>
      <c r="AIA102" s="247"/>
      <c r="AIB102" s="247"/>
      <c r="AIC102" s="247"/>
      <c r="AID102" s="247"/>
      <c r="AIE102" s="247"/>
      <c r="AIF102" s="247"/>
      <c r="AIG102" s="247"/>
      <c r="AIH102" s="247"/>
      <c r="AII102" s="247"/>
      <c r="AIJ102" s="247"/>
      <c r="AIK102" s="247"/>
      <c r="AIL102" s="247"/>
      <c r="AIM102" s="247"/>
      <c r="AIN102" s="247"/>
      <c r="AIO102" s="247"/>
      <c r="AIP102" s="247"/>
      <c r="AIQ102" s="247"/>
      <c r="AIR102" s="247"/>
      <c r="AIS102" s="247"/>
      <c r="AIT102" s="247"/>
      <c r="AIU102" s="247"/>
      <c r="AIV102" s="247"/>
      <c r="AIW102" s="247"/>
      <c r="AIX102" s="247"/>
      <c r="AIY102" s="247"/>
      <c r="AIZ102" s="247"/>
      <c r="AJA102" s="247"/>
      <c r="AJB102" s="247"/>
      <c r="AJC102" s="247"/>
      <c r="AJD102" s="247"/>
      <c r="AJE102" s="247"/>
      <c r="AJF102" s="247"/>
      <c r="AJG102" s="247"/>
      <c r="AJH102" s="247"/>
      <c r="AJI102" s="247"/>
      <c r="AJJ102" s="247"/>
      <c r="AJK102" s="247"/>
      <c r="AJL102" s="247"/>
      <c r="AJM102" s="247"/>
      <c r="AJN102" s="247"/>
      <c r="AJO102" s="247"/>
      <c r="AJP102" s="247"/>
      <c r="AJQ102" s="247"/>
      <c r="AJR102" s="247"/>
      <c r="AJS102" s="247"/>
      <c r="AJT102" s="247"/>
      <c r="AJU102" s="247"/>
      <c r="AJV102" s="247"/>
      <c r="AJW102" s="247"/>
      <c r="AJX102" s="247"/>
      <c r="AJY102" s="247"/>
      <c r="AJZ102" s="247"/>
      <c r="AKA102" s="247"/>
      <c r="AKB102" s="247"/>
      <c r="AKC102" s="247"/>
      <c r="AKD102" s="247"/>
      <c r="AKE102" s="247"/>
      <c r="AKF102" s="247"/>
      <c r="AKG102" s="247"/>
      <c r="AKH102" s="247"/>
      <c r="AKI102" s="247"/>
      <c r="AKJ102" s="247"/>
      <c r="AKK102" s="247"/>
      <c r="AKL102" s="247"/>
      <c r="AKM102" s="247"/>
      <c r="AKN102" s="247"/>
      <c r="AKO102" s="247"/>
      <c r="AKP102" s="247"/>
      <c r="AKQ102" s="247"/>
      <c r="AKR102" s="247"/>
      <c r="AKS102" s="247"/>
      <c r="AKT102" s="247"/>
      <c r="AKU102" s="247"/>
      <c r="AKV102" s="247"/>
      <c r="AKW102" s="247"/>
      <c r="AKX102" s="247"/>
      <c r="AKY102" s="247"/>
      <c r="AKZ102" s="247"/>
      <c r="ALA102" s="247"/>
      <c r="ALB102" s="247"/>
      <c r="ALC102" s="247"/>
      <c r="ALD102" s="247"/>
      <c r="ALE102" s="247"/>
      <c r="ALF102" s="247"/>
      <c r="ALG102" s="247"/>
      <c r="ALH102" s="247"/>
      <c r="ALI102" s="247"/>
      <c r="ALJ102" s="247"/>
      <c r="ALK102" s="247"/>
      <c r="ALL102" s="247"/>
      <c r="ALM102" s="247"/>
      <c r="ALN102" s="247"/>
      <c r="ALO102" s="247"/>
      <c r="ALP102" s="247"/>
      <c r="ALQ102" s="247"/>
      <c r="ALR102" s="247"/>
      <c r="ALS102" s="247"/>
      <c r="ALT102" s="247"/>
      <c r="ALU102" s="247"/>
      <c r="ALV102" s="247"/>
      <c r="ALW102" s="247"/>
      <c r="ALX102" s="247"/>
      <c r="ALY102" s="247"/>
      <c r="ALZ102" s="247"/>
      <c r="AMA102" s="247"/>
      <c r="AMB102" s="247"/>
      <c r="AMC102" s="247"/>
      <c r="AMD102" s="247"/>
      <c r="AME102" s="247"/>
      <c r="AMF102" s="247"/>
      <c r="AMG102" s="247"/>
      <c r="AMH102" s="247"/>
      <c r="AMI102" s="247"/>
      <c r="AMJ102" s="247"/>
      <c r="AMK102" s="247"/>
      <c r="AML102" s="247"/>
      <c r="AMM102" s="247"/>
      <c r="AMN102" s="247"/>
      <c r="AMO102" s="247"/>
      <c r="AMP102" s="247"/>
      <c r="AMQ102" s="247"/>
      <c r="AMR102" s="247"/>
      <c r="AMS102" s="247"/>
      <c r="AMT102" s="247"/>
      <c r="AMU102" s="247"/>
      <c r="AMV102" s="247"/>
      <c r="AMW102" s="247"/>
      <c r="AMX102" s="247"/>
      <c r="AMY102" s="247"/>
      <c r="AMZ102" s="247"/>
      <c r="ANA102" s="247"/>
      <c r="ANB102" s="247"/>
      <c r="ANC102" s="247"/>
      <c r="AND102" s="247"/>
      <c r="ANE102" s="247"/>
      <c r="ANF102" s="247"/>
      <c r="ANG102" s="247"/>
      <c r="ANH102" s="247"/>
      <c r="ANI102" s="247"/>
      <c r="ANJ102" s="247"/>
      <c r="ANK102" s="247"/>
      <c r="ANL102" s="247"/>
      <c r="ANM102" s="247"/>
      <c r="ANN102" s="247"/>
      <c r="ANO102" s="247"/>
      <c r="ANP102" s="247"/>
      <c r="ANQ102" s="247"/>
      <c r="ANR102" s="247"/>
      <c r="ANS102" s="247"/>
      <c r="ANT102" s="247"/>
      <c r="ANU102" s="247"/>
      <c r="ANV102" s="247"/>
      <c r="ANW102" s="247"/>
      <c r="ANX102" s="247"/>
      <c r="ANY102" s="247"/>
      <c r="ANZ102" s="247"/>
      <c r="AOA102" s="247"/>
      <c r="AOB102" s="247"/>
      <c r="AOC102" s="247"/>
      <c r="AOD102" s="247"/>
      <c r="AOE102" s="247"/>
      <c r="AOF102" s="247"/>
      <c r="AOG102" s="247"/>
      <c r="AOH102" s="247"/>
      <c r="AOI102" s="247"/>
      <c r="AOJ102" s="247"/>
      <c r="AOK102" s="247"/>
      <c r="AOL102" s="247"/>
      <c r="AOM102" s="247"/>
      <c r="AON102" s="247"/>
      <c r="AOO102" s="247"/>
      <c r="AOP102" s="247"/>
      <c r="AOQ102" s="247"/>
      <c r="AOR102" s="247"/>
      <c r="AOS102" s="247"/>
      <c r="AOT102" s="247"/>
      <c r="AOU102" s="247"/>
      <c r="AOV102" s="247"/>
      <c r="AOW102" s="247"/>
      <c r="AOX102" s="247"/>
      <c r="AOY102" s="247"/>
      <c r="AOZ102" s="247"/>
      <c r="APA102" s="247"/>
      <c r="APB102" s="247"/>
      <c r="APC102" s="247"/>
      <c r="APD102" s="247"/>
      <c r="APE102" s="247"/>
      <c r="APF102" s="247"/>
      <c r="APG102" s="247"/>
      <c r="APH102" s="247"/>
      <c r="API102" s="247"/>
      <c r="APJ102" s="247"/>
      <c r="APK102" s="247"/>
      <c r="APL102" s="247"/>
      <c r="APM102" s="247"/>
      <c r="APN102" s="247"/>
      <c r="APO102" s="247"/>
      <c r="APP102" s="247"/>
      <c r="APQ102" s="247"/>
      <c r="APR102" s="247"/>
      <c r="APS102" s="247"/>
      <c r="APT102" s="247"/>
      <c r="APU102" s="247"/>
      <c r="APV102" s="247"/>
      <c r="APW102" s="247"/>
      <c r="APX102" s="247"/>
      <c r="APY102" s="247"/>
      <c r="APZ102" s="247"/>
      <c r="AQA102" s="247"/>
      <c r="AQB102" s="247"/>
      <c r="AQC102" s="247"/>
      <c r="AQD102" s="247"/>
      <c r="AQE102" s="247"/>
      <c r="AQF102" s="247"/>
      <c r="AQG102" s="247"/>
      <c r="AQH102" s="247"/>
      <c r="AQI102" s="247"/>
      <c r="AQJ102" s="247"/>
      <c r="AQK102" s="247"/>
      <c r="AQL102" s="247"/>
      <c r="AQM102" s="247"/>
      <c r="AQN102" s="247"/>
      <c r="AQO102" s="247"/>
      <c r="AQP102" s="247"/>
      <c r="AQQ102" s="247"/>
      <c r="AQR102" s="247"/>
      <c r="AQS102" s="247"/>
      <c r="AQT102" s="247"/>
      <c r="AQU102" s="247"/>
      <c r="AQV102" s="247"/>
      <c r="AQW102" s="247"/>
      <c r="AQX102" s="247"/>
      <c r="AQY102" s="247"/>
      <c r="AQZ102" s="247"/>
      <c r="ARA102" s="247"/>
      <c r="ARB102" s="247"/>
      <c r="ARC102" s="247"/>
      <c r="ARD102" s="247"/>
      <c r="ARE102" s="247"/>
      <c r="ARF102" s="247"/>
      <c r="ARG102" s="247"/>
      <c r="ARH102" s="247"/>
      <c r="ARI102" s="247"/>
      <c r="ARJ102" s="247"/>
      <c r="ARK102" s="247"/>
      <c r="ARL102" s="247"/>
      <c r="ARM102" s="247"/>
      <c r="ARN102" s="247"/>
      <c r="ARO102" s="247"/>
      <c r="ARP102" s="247"/>
      <c r="ARQ102" s="247"/>
      <c r="ARR102" s="247"/>
      <c r="ARS102" s="247"/>
      <c r="ART102" s="247"/>
      <c r="ARU102" s="247"/>
      <c r="ARV102" s="247"/>
      <c r="ARW102" s="247"/>
      <c r="ARX102" s="247"/>
      <c r="ARY102" s="247"/>
      <c r="ARZ102" s="247"/>
      <c r="ASA102" s="247"/>
      <c r="ASB102" s="247"/>
      <c r="ASC102" s="247"/>
      <c r="ASD102" s="247"/>
      <c r="ASE102" s="247"/>
      <c r="ASF102" s="247"/>
      <c r="ASG102" s="247"/>
      <c r="ASH102" s="247"/>
      <c r="ASI102" s="247"/>
      <c r="ASJ102" s="247"/>
      <c r="ASK102" s="247"/>
      <c r="ASL102" s="247"/>
      <c r="ASM102" s="247"/>
      <c r="ASN102" s="247"/>
      <c r="ASO102" s="247"/>
      <c r="ASP102" s="247"/>
      <c r="ASQ102" s="247"/>
      <c r="ASR102" s="247"/>
      <c r="ASS102" s="247"/>
      <c r="AST102" s="247"/>
      <c r="ASU102" s="247"/>
      <c r="ASV102" s="247"/>
      <c r="ASW102" s="247"/>
      <c r="ASX102" s="247"/>
      <c r="ASY102" s="247"/>
      <c r="ASZ102" s="247"/>
      <c r="ATA102" s="247"/>
      <c r="ATB102" s="247"/>
      <c r="ATC102" s="247"/>
      <c r="ATD102" s="247"/>
      <c r="ATE102" s="247"/>
      <c r="ATF102" s="247"/>
      <c r="ATG102" s="247"/>
      <c r="ATH102" s="247"/>
      <c r="ATI102" s="247"/>
      <c r="ATJ102" s="247"/>
      <c r="ATK102" s="247"/>
      <c r="ATL102" s="247"/>
      <c r="ATM102" s="247"/>
      <c r="ATN102" s="247"/>
      <c r="ATO102" s="247"/>
      <c r="ATP102" s="247"/>
      <c r="ATQ102" s="247"/>
      <c r="ATR102" s="247"/>
      <c r="ATS102" s="247"/>
      <c r="ATT102" s="247"/>
      <c r="ATU102" s="247"/>
      <c r="ATV102" s="247"/>
      <c r="ATW102" s="247"/>
      <c r="ATX102" s="247"/>
      <c r="ATY102" s="247"/>
      <c r="ATZ102" s="247"/>
      <c r="AUA102" s="247"/>
      <c r="AUB102" s="247"/>
      <c r="AUC102" s="247"/>
      <c r="AUD102" s="247"/>
      <c r="AUE102" s="247"/>
      <c r="AUF102" s="247"/>
      <c r="AUG102" s="247"/>
      <c r="AUH102" s="247"/>
      <c r="AUI102" s="247"/>
      <c r="AUJ102" s="247"/>
      <c r="AUK102" s="247"/>
      <c r="AUL102" s="247"/>
      <c r="AUM102" s="247"/>
      <c r="AUN102" s="247"/>
      <c r="AUO102" s="247"/>
      <c r="AUP102" s="247"/>
      <c r="AUQ102" s="247"/>
      <c r="AUR102" s="247"/>
      <c r="AUS102" s="247"/>
      <c r="AUT102" s="247"/>
      <c r="AUU102" s="247"/>
      <c r="AUV102" s="247"/>
      <c r="AUW102" s="247"/>
      <c r="AUX102" s="247"/>
      <c r="AUY102" s="247"/>
      <c r="AUZ102" s="247"/>
      <c r="AVA102" s="247"/>
      <c r="AVB102" s="247"/>
      <c r="AVC102" s="247"/>
      <c r="AVD102" s="247"/>
      <c r="AVE102" s="247"/>
      <c r="AVF102" s="247"/>
      <c r="AVG102" s="247"/>
      <c r="AVH102" s="247"/>
      <c r="AVI102" s="247"/>
      <c r="AVJ102" s="247"/>
      <c r="AVK102" s="247"/>
      <c r="AVL102" s="247"/>
      <c r="AVM102" s="247"/>
      <c r="AVN102" s="247"/>
      <c r="AVO102" s="247"/>
      <c r="AVP102" s="247"/>
      <c r="AVQ102" s="247"/>
      <c r="AVR102" s="247"/>
      <c r="AVS102" s="247"/>
      <c r="AVT102" s="247"/>
      <c r="AVU102" s="247"/>
      <c r="AVV102" s="247"/>
      <c r="AVW102" s="247"/>
      <c r="AVX102" s="247"/>
      <c r="AVY102" s="247"/>
      <c r="AVZ102" s="247"/>
      <c r="AWA102" s="247"/>
      <c r="AWB102" s="247"/>
      <c r="AWC102" s="247"/>
      <c r="AWD102" s="247"/>
      <c r="AWE102" s="247"/>
      <c r="AWF102" s="247"/>
      <c r="AWG102" s="247"/>
      <c r="AWH102" s="247"/>
      <c r="AWI102" s="247"/>
      <c r="AWJ102" s="247"/>
      <c r="AWK102" s="247"/>
      <c r="AWL102" s="247"/>
      <c r="AWM102" s="247"/>
      <c r="AWN102" s="247"/>
      <c r="AWO102" s="247"/>
      <c r="AWP102" s="247"/>
      <c r="AWQ102" s="247"/>
      <c r="AWR102" s="247"/>
      <c r="AWS102" s="247"/>
      <c r="AWT102" s="247"/>
      <c r="AWU102" s="247"/>
      <c r="AWV102" s="247"/>
      <c r="AWW102" s="247"/>
      <c r="AWX102" s="247"/>
      <c r="AWY102" s="247"/>
      <c r="AWZ102" s="247"/>
      <c r="AXA102" s="247"/>
      <c r="AXB102" s="247"/>
      <c r="AXC102" s="247"/>
      <c r="AXD102" s="247"/>
      <c r="AXE102" s="247"/>
      <c r="AXF102" s="247"/>
      <c r="AXG102" s="247"/>
      <c r="AXH102" s="247"/>
      <c r="AXI102" s="247"/>
      <c r="AXJ102" s="247"/>
      <c r="AXK102" s="247"/>
      <c r="AXL102" s="247"/>
      <c r="AXM102" s="247"/>
      <c r="AXN102" s="247"/>
      <c r="AXO102" s="247"/>
      <c r="AXP102" s="247"/>
      <c r="AXQ102" s="247"/>
      <c r="AXR102" s="247"/>
      <c r="AXS102" s="247"/>
      <c r="AXT102" s="247"/>
      <c r="AXU102" s="247"/>
      <c r="AXV102" s="247"/>
      <c r="AXW102" s="247"/>
      <c r="AXX102" s="247"/>
      <c r="AXY102" s="247"/>
      <c r="AXZ102" s="247"/>
      <c r="AYA102" s="247"/>
      <c r="AYB102" s="247"/>
      <c r="AYC102" s="247"/>
      <c r="AYD102" s="247"/>
      <c r="AYE102" s="247"/>
      <c r="AYF102" s="247"/>
      <c r="AYG102" s="247"/>
      <c r="AYH102" s="247"/>
      <c r="AYI102" s="247"/>
      <c r="AYJ102" s="247"/>
      <c r="AYK102" s="247"/>
      <c r="AYL102" s="247"/>
      <c r="AYM102" s="247"/>
      <c r="AYN102" s="247"/>
      <c r="AYO102" s="247"/>
      <c r="AYP102" s="247"/>
      <c r="AYQ102" s="247"/>
      <c r="AYR102" s="247"/>
      <c r="AYS102" s="247"/>
      <c r="AYT102" s="247"/>
      <c r="AYU102" s="247"/>
      <c r="AYV102" s="247"/>
      <c r="AYW102" s="247"/>
      <c r="AYX102" s="247"/>
      <c r="AYY102" s="247"/>
      <c r="AYZ102" s="247"/>
      <c r="AZA102" s="247"/>
      <c r="AZB102" s="247"/>
      <c r="AZC102" s="247"/>
      <c r="AZD102" s="247"/>
      <c r="AZE102" s="247"/>
      <c r="AZF102" s="247"/>
      <c r="AZG102" s="247"/>
      <c r="AZH102" s="247"/>
      <c r="AZI102" s="247"/>
      <c r="AZJ102" s="247"/>
      <c r="AZK102" s="247"/>
      <c r="AZL102" s="247"/>
      <c r="AZM102" s="247"/>
      <c r="AZN102" s="247"/>
      <c r="AZO102" s="247"/>
      <c r="AZP102" s="247"/>
      <c r="AZQ102" s="247"/>
      <c r="AZR102" s="247"/>
      <c r="AZS102" s="247"/>
      <c r="AZT102" s="247"/>
      <c r="AZU102" s="247"/>
      <c r="AZV102" s="247"/>
      <c r="AZW102" s="247"/>
      <c r="AZX102" s="247"/>
      <c r="AZY102" s="247"/>
      <c r="AZZ102" s="247"/>
      <c r="BAA102" s="247"/>
      <c r="BAB102" s="247"/>
      <c r="BAC102" s="247"/>
      <c r="BAD102" s="247"/>
      <c r="BAE102" s="247"/>
      <c r="BAF102" s="247"/>
      <c r="BAG102" s="247"/>
      <c r="BAH102" s="247"/>
      <c r="BAI102" s="247"/>
      <c r="BAJ102" s="247"/>
      <c r="BAK102" s="247"/>
      <c r="BAL102" s="247"/>
      <c r="BAM102" s="247"/>
      <c r="BAN102" s="247"/>
      <c r="BAO102" s="247"/>
      <c r="BAP102" s="247"/>
      <c r="BAQ102" s="247"/>
      <c r="BAR102" s="247"/>
      <c r="BAS102" s="247"/>
      <c r="BAT102" s="247"/>
      <c r="BAU102" s="247"/>
      <c r="BAV102" s="247"/>
      <c r="BAW102" s="247"/>
      <c r="BAX102" s="247"/>
      <c r="BAY102" s="247"/>
      <c r="BAZ102" s="247"/>
      <c r="BBA102" s="247"/>
      <c r="BBB102" s="247"/>
      <c r="BBC102" s="247"/>
      <c r="BBD102" s="247"/>
      <c r="BBE102" s="247"/>
      <c r="BBF102" s="247"/>
      <c r="BBG102" s="247"/>
      <c r="BBH102" s="247"/>
      <c r="BBI102" s="247"/>
      <c r="BBJ102" s="247"/>
      <c r="BBK102" s="247"/>
      <c r="BBL102" s="247"/>
      <c r="BBM102" s="247"/>
      <c r="BBN102" s="247"/>
      <c r="BBO102" s="247"/>
      <c r="BBP102" s="247"/>
      <c r="BBQ102" s="247"/>
      <c r="BBR102" s="247"/>
      <c r="BBS102" s="247"/>
      <c r="BBT102" s="247"/>
      <c r="BBU102" s="247"/>
      <c r="BBV102" s="247"/>
      <c r="BBW102" s="247"/>
      <c r="BBX102" s="247"/>
      <c r="BBY102" s="247"/>
      <c r="BBZ102" s="247"/>
      <c r="BCA102" s="247"/>
      <c r="BCB102" s="247"/>
      <c r="BCC102" s="247"/>
      <c r="BCD102" s="247"/>
      <c r="BCE102" s="247"/>
      <c r="BCF102" s="247"/>
      <c r="BCG102" s="247"/>
      <c r="BCH102" s="247"/>
      <c r="BCI102" s="247"/>
      <c r="BCJ102" s="247"/>
      <c r="BCK102" s="247"/>
      <c r="BCL102" s="247"/>
      <c r="BCM102" s="247"/>
      <c r="BCN102" s="247"/>
      <c r="BCO102" s="247"/>
      <c r="BCP102" s="247"/>
      <c r="BCQ102" s="247"/>
      <c r="BCR102" s="247"/>
      <c r="BCS102" s="247"/>
      <c r="BCT102" s="247"/>
      <c r="BCU102" s="247"/>
      <c r="BCV102" s="247"/>
      <c r="BCW102" s="247"/>
      <c r="BCX102" s="247"/>
      <c r="BCY102" s="247"/>
      <c r="BCZ102" s="247"/>
      <c r="BDA102" s="247"/>
      <c r="BDB102" s="247"/>
      <c r="BDC102" s="247"/>
      <c r="BDD102" s="247"/>
      <c r="BDE102" s="247"/>
      <c r="BDF102" s="247"/>
      <c r="BDG102" s="247"/>
      <c r="BDH102" s="247"/>
      <c r="BDI102" s="247"/>
      <c r="BDJ102" s="247"/>
      <c r="BDK102" s="247"/>
      <c r="BDL102" s="247"/>
      <c r="BDM102" s="247"/>
      <c r="BDN102" s="247"/>
      <c r="BDO102" s="247"/>
      <c r="BDP102" s="247"/>
      <c r="BDQ102" s="247"/>
      <c r="BDR102" s="247"/>
      <c r="BDS102" s="247"/>
      <c r="BDT102" s="247"/>
      <c r="BDU102" s="247"/>
      <c r="BDV102" s="247"/>
      <c r="BDW102" s="247"/>
      <c r="BDX102" s="247"/>
      <c r="BDY102" s="247"/>
      <c r="BDZ102" s="247"/>
      <c r="BEA102" s="247"/>
      <c r="BEB102" s="247"/>
      <c r="BEC102" s="247"/>
      <c r="BED102" s="247"/>
      <c r="BEE102" s="247"/>
      <c r="BEF102" s="247"/>
      <c r="BEG102" s="247"/>
      <c r="BEH102" s="247"/>
      <c r="BEI102" s="247"/>
      <c r="BEJ102" s="247"/>
      <c r="BEK102" s="247"/>
      <c r="BEL102" s="247"/>
      <c r="BEM102" s="247"/>
      <c r="BEN102" s="247"/>
      <c r="BEO102" s="247"/>
      <c r="BEP102" s="247"/>
      <c r="BEQ102" s="247"/>
      <c r="BER102" s="247"/>
      <c r="BES102" s="247"/>
      <c r="BET102" s="247"/>
      <c r="BEU102" s="247"/>
      <c r="BEV102" s="247"/>
      <c r="BEW102" s="247"/>
      <c r="BEX102" s="247"/>
      <c r="BEY102" s="247"/>
      <c r="BEZ102" s="247"/>
      <c r="BFA102" s="247"/>
      <c r="BFB102" s="247"/>
      <c r="BFC102" s="247"/>
      <c r="BFD102" s="247"/>
      <c r="BFE102" s="247"/>
      <c r="BFF102" s="247"/>
      <c r="BFG102" s="247"/>
      <c r="BFH102" s="247"/>
      <c r="BFI102" s="247"/>
      <c r="BFJ102" s="247"/>
      <c r="BFK102" s="247"/>
      <c r="BFL102" s="247"/>
      <c r="BFM102" s="247"/>
      <c r="BFN102" s="247"/>
      <c r="BFO102" s="247"/>
      <c r="BFP102" s="247"/>
      <c r="BFQ102" s="247"/>
      <c r="BFR102" s="247"/>
      <c r="BFS102" s="247"/>
      <c r="BFT102" s="247"/>
      <c r="BFU102" s="247"/>
      <c r="BFV102" s="247"/>
      <c r="BFW102" s="247"/>
      <c r="BFX102" s="247"/>
      <c r="BFY102" s="247"/>
      <c r="BFZ102" s="247"/>
      <c r="BGA102" s="247"/>
      <c r="BGB102" s="247"/>
      <c r="BGC102" s="247"/>
      <c r="BGD102" s="247"/>
      <c r="BGE102" s="247"/>
      <c r="BGF102" s="247"/>
      <c r="BGG102" s="247"/>
      <c r="BGH102" s="247"/>
      <c r="BGI102" s="247"/>
      <c r="BGJ102" s="247"/>
      <c r="BGK102" s="247"/>
      <c r="BGL102" s="247"/>
      <c r="BGM102" s="247"/>
      <c r="BGN102" s="247"/>
      <c r="BGO102" s="247"/>
      <c r="BGP102" s="247"/>
      <c r="BGQ102" s="247"/>
      <c r="BGR102" s="247"/>
      <c r="BGS102" s="247"/>
      <c r="BGT102" s="247"/>
      <c r="BGU102" s="247"/>
      <c r="BGV102" s="247"/>
      <c r="BGW102" s="247"/>
      <c r="BGX102" s="247"/>
      <c r="BGY102" s="247"/>
      <c r="BGZ102" s="247"/>
      <c r="BHA102" s="247"/>
      <c r="BHB102" s="247"/>
      <c r="BHC102" s="247"/>
      <c r="BHD102" s="247"/>
      <c r="BHE102" s="247"/>
      <c r="BHF102" s="247"/>
      <c r="BHG102" s="247"/>
      <c r="BHH102" s="247"/>
      <c r="BHI102" s="247"/>
      <c r="BHJ102" s="247"/>
      <c r="BHK102" s="247"/>
      <c r="BHL102" s="247"/>
      <c r="BHM102" s="247"/>
      <c r="BHN102" s="247"/>
      <c r="BHO102" s="247"/>
      <c r="BHP102" s="247"/>
      <c r="BHQ102" s="247"/>
      <c r="BHR102" s="247"/>
      <c r="BHS102" s="247"/>
      <c r="BHT102" s="247"/>
      <c r="BHU102" s="247"/>
      <c r="BHV102" s="247"/>
      <c r="BHW102" s="247"/>
      <c r="BHX102" s="247"/>
      <c r="BHY102" s="247"/>
      <c r="BHZ102" s="247"/>
      <c r="BIA102" s="247"/>
      <c r="BIB102" s="247"/>
      <c r="BIC102" s="247"/>
      <c r="BID102" s="247"/>
      <c r="BIE102" s="247"/>
      <c r="BIF102" s="247"/>
      <c r="BIG102" s="247"/>
      <c r="BIH102" s="247"/>
      <c r="BII102" s="247"/>
      <c r="BIJ102" s="247"/>
      <c r="BIK102" s="247"/>
      <c r="BIL102" s="247"/>
      <c r="BIM102" s="247"/>
      <c r="BIN102" s="247"/>
      <c r="BIO102" s="247"/>
      <c r="BIP102" s="247"/>
      <c r="BIQ102" s="247"/>
      <c r="BIR102" s="247"/>
      <c r="BIS102" s="247"/>
      <c r="BIT102" s="247"/>
      <c r="BIU102" s="247"/>
      <c r="BIV102" s="247"/>
      <c r="BIW102" s="247"/>
      <c r="BIX102" s="247"/>
      <c r="BIY102" s="247"/>
      <c r="BIZ102" s="247"/>
      <c r="BJA102" s="247"/>
      <c r="BJB102" s="247"/>
      <c r="BJC102" s="247"/>
      <c r="BJD102" s="247"/>
      <c r="BJE102" s="247"/>
      <c r="BJF102" s="247"/>
      <c r="BJG102" s="247"/>
      <c r="BJH102" s="247"/>
      <c r="BJI102" s="247"/>
      <c r="BJJ102" s="247"/>
      <c r="BJK102" s="247"/>
      <c r="BJL102" s="247"/>
      <c r="BJM102" s="247"/>
      <c r="BJN102" s="247"/>
      <c r="BJO102" s="247"/>
      <c r="BJP102" s="247"/>
      <c r="BJQ102" s="247"/>
      <c r="BJR102" s="247"/>
      <c r="BJS102" s="247"/>
      <c r="BJT102" s="247"/>
      <c r="BJU102" s="247"/>
      <c r="BJV102" s="247"/>
      <c r="BJW102" s="247"/>
      <c r="BJX102" s="247"/>
      <c r="BJY102" s="247"/>
      <c r="BJZ102" s="247"/>
      <c r="BKA102" s="247"/>
      <c r="BKB102" s="247"/>
      <c r="BKC102" s="247"/>
      <c r="BKD102" s="247"/>
      <c r="BKE102" s="247"/>
      <c r="BKF102" s="247"/>
      <c r="BKG102" s="247"/>
      <c r="BKH102" s="247"/>
      <c r="BKI102" s="247"/>
      <c r="BKJ102" s="247"/>
      <c r="BKK102" s="247"/>
      <c r="BKL102" s="247"/>
      <c r="BKM102" s="247"/>
      <c r="BKN102" s="247"/>
      <c r="BKO102" s="247"/>
      <c r="BKP102" s="247"/>
      <c r="BKQ102" s="247"/>
      <c r="BKR102" s="247"/>
      <c r="BKS102" s="247"/>
      <c r="BKT102" s="247"/>
      <c r="BKU102" s="247"/>
      <c r="BKV102" s="247"/>
      <c r="BKW102" s="247"/>
      <c r="BKX102" s="247"/>
      <c r="BKY102" s="247"/>
      <c r="BKZ102" s="247"/>
      <c r="BLA102" s="247"/>
      <c r="BLB102" s="247"/>
      <c r="BLC102" s="247"/>
      <c r="BLD102" s="247"/>
      <c r="BLE102" s="247"/>
      <c r="BLF102" s="247"/>
      <c r="BLG102" s="247"/>
      <c r="BLH102" s="247"/>
      <c r="BLI102" s="247"/>
      <c r="BLJ102" s="247"/>
      <c r="BLK102" s="247"/>
      <c r="BLL102" s="247"/>
      <c r="BLM102" s="247"/>
      <c r="BLN102" s="247"/>
      <c r="BLO102" s="247"/>
      <c r="BLP102" s="247"/>
      <c r="BLQ102" s="247"/>
      <c r="BLR102" s="247"/>
      <c r="BLS102" s="247"/>
      <c r="BLT102" s="247"/>
      <c r="BLU102" s="247"/>
      <c r="BLV102" s="247"/>
      <c r="BLW102" s="247"/>
      <c r="BLX102" s="247"/>
      <c r="BLY102" s="247"/>
      <c r="BLZ102" s="247"/>
      <c r="BMA102" s="247"/>
      <c r="BMB102" s="247"/>
      <c r="BMC102" s="247"/>
      <c r="BMD102" s="247"/>
      <c r="BME102" s="247"/>
      <c r="BMF102" s="247"/>
      <c r="BMG102" s="247"/>
      <c r="BMH102" s="247"/>
      <c r="BMI102" s="247"/>
      <c r="BMJ102" s="247"/>
      <c r="BMK102" s="247"/>
      <c r="BML102" s="247"/>
      <c r="BMM102" s="247"/>
      <c r="BMN102" s="247"/>
      <c r="BMO102" s="247"/>
      <c r="BMP102" s="247"/>
      <c r="BMQ102" s="247"/>
      <c r="BMR102" s="247"/>
      <c r="BMS102" s="247"/>
      <c r="BMT102" s="247"/>
      <c r="BMU102" s="247"/>
      <c r="BMV102" s="247"/>
      <c r="BMW102" s="247"/>
      <c r="BMX102" s="247"/>
      <c r="BMY102" s="247"/>
      <c r="BMZ102" s="247"/>
      <c r="BNA102" s="247"/>
      <c r="BNB102" s="247"/>
      <c r="BNC102" s="247"/>
      <c r="BND102" s="247"/>
      <c r="BNE102" s="247"/>
      <c r="BNF102" s="247"/>
      <c r="BNG102" s="247"/>
      <c r="BNH102" s="247"/>
      <c r="BNI102" s="247"/>
      <c r="BNJ102" s="247"/>
      <c r="BNK102" s="247"/>
      <c r="BNL102" s="247"/>
      <c r="BNM102" s="247"/>
      <c r="BNN102" s="247"/>
      <c r="BNO102" s="247"/>
      <c r="BNP102" s="247"/>
      <c r="BNQ102" s="247"/>
      <c r="BNR102" s="247"/>
      <c r="BNS102" s="247"/>
      <c r="BNT102" s="247"/>
      <c r="BNU102" s="247"/>
      <c r="BNV102" s="247"/>
      <c r="BNW102" s="247"/>
      <c r="BNX102" s="247"/>
      <c r="BNY102" s="247"/>
      <c r="BNZ102" s="247"/>
      <c r="BOA102" s="247"/>
      <c r="BOB102" s="247"/>
      <c r="BOC102" s="247"/>
      <c r="BOD102" s="247"/>
      <c r="BOE102" s="247"/>
      <c r="BOF102" s="247"/>
      <c r="BOG102" s="247"/>
      <c r="BOH102" s="247"/>
      <c r="BOI102" s="247"/>
      <c r="BOJ102" s="247"/>
      <c r="BOK102" s="247"/>
      <c r="BOL102" s="247"/>
      <c r="BOM102" s="247"/>
      <c r="BON102" s="247"/>
      <c r="BOO102" s="247"/>
      <c r="BOP102" s="247"/>
      <c r="BOQ102" s="247"/>
      <c r="BOR102" s="247"/>
      <c r="BOS102" s="247"/>
      <c r="BOT102" s="247"/>
      <c r="BOU102" s="247"/>
      <c r="BOV102" s="247"/>
      <c r="BOW102" s="247"/>
      <c r="BOX102" s="247"/>
      <c r="BOY102" s="247"/>
      <c r="BOZ102" s="247"/>
      <c r="BPA102" s="247"/>
      <c r="BPB102" s="247"/>
      <c r="BPC102" s="247"/>
      <c r="BPD102" s="247"/>
      <c r="BPE102" s="247"/>
      <c r="BPF102" s="247"/>
      <c r="BPG102" s="247"/>
      <c r="BPH102" s="247"/>
      <c r="BPI102" s="247"/>
      <c r="BPJ102" s="247"/>
      <c r="BPK102" s="247"/>
      <c r="BPL102" s="247"/>
      <c r="BPM102" s="247"/>
      <c r="BPN102" s="247"/>
      <c r="BPO102" s="247"/>
      <c r="BPP102" s="247"/>
      <c r="BPQ102" s="247"/>
      <c r="BPR102" s="247"/>
      <c r="BPS102" s="247"/>
      <c r="BPT102" s="247"/>
      <c r="BPU102" s="247"/>
      <c r="BPV102" s="247"/>
      <c r="BPW102" s="247"/>
      <c r="BPX102" s="247"/>
      <c r="BPY102" s="247"/>
      <c r="BPZ102" s="247"/>
      <c r="BQA102" s="247"/>
      <c r="BQB102" s="247"/>
      <c r="BQC102" s="247"/>
      <c r="BQD102" s="247"/>
      <c r="BQE102" s="247"/>
      <c r="BQF102" s="247"/>
      <c r="BQG102" s="247"/>
      <c r="BQH102" s="247"/>
      <c r="BQI102" s="247"/>
      <c r="BQJ102" s="247"/>
      <c r="BQK102" s="247"/>
      <c r="BQL102" s="247"/>
      <c r="BQM102" s="247"/>
      <c r="BQN102" s="247"/>
      <c r="BQO102" s="247"/>
      <c r="BQP102" s="247"/>
      <c r="BQQ102" s="247"/>
      <c r="BQR102" s="247"/>
      <c r="BQS102" s="247"/>
      <c r="BQT102" s="247"/>
      <c r="BQU102" s="247"/>
      <c r="BQV102" s="247"/>
      <c r="BQW102" s="247"/>
      <c r="BQX102" s="247"/>
      <c r="BQY102" s="247"/>
      <c r="BQZ102" s="247"/>
      <c r="BRA102" s="247"/>
      <c r="BRB102" s="247"/>
      <c r="BRC102" s="247"/>
      <c r="BRD102" s="247"/>
      <c r="BRE102" s="247"/>
      <c r="BRF102" s="247"/>
      <c r="BRG102" s="247"/>
      <c r="BRH102" s="247"/>
      <c r="BRI102" s="247"/>
      <c r="BRJ102" s="247"/>
      <c r="BRK102" s="247"/>
      <c r="BRL102" s="247"/>
      <c r="BRM102" s="247"/>
      <c r="BRN102" s="247"/>
      <c r="BRO102" s="247"/>
      <c r="BRP102" s="247"/>
      <c r="BRQ102" s="247"/>
      <c r="BRR102" s="247"/>
      <c r="BRS102" s="247"/>
      <c r="BRT102" s="247"/>
      <c r="BRU102" s="247"/>
      <c r="BRV102" s="247"/>
      <c r="BRW102" s="247"/>
      <c r="BRX102" s="247"/>
      <c r="BRY102" s="247"/>
      <c r="BRZ102" s="247"/>
      <c r="BSA102" s="247"/>
      <c r="BSB102" s="247"/>
      <c r="BSC102" s="247"/>
      <c r="BSD102" s="247"/>
      <c r="BSE102" s="247"/>
      <c r="BSF102" s="247"/>
      <c r="BSG102" s="247"/>
      <c r="BSH102" s="247"/>
      <c r="BSI102" s="247"/>
      <c r="BSJ102" s="247"/>
      <c r="BSK102" s="247"/>
      <c r="BSL102" s="247"/>
      <c r="BSM102" s="247"/>
      <c r="BSN102" s="247"/>
      <c r="BSO102" s="247"/>
      <c r="BSP102" s="247"/>
      <c r="BSQ102" s="247"/>
      <c r="BSR102" s="247"/>
      <c r="BSS102" s="247"/>
      <c r="BST102" s="247"/>
      <c r="BSU102" s="247"/>
      <c r="BSV102" s="247"/>
      <c r="BSW102" s="247"/>
      <c r="BSX102" s="247"/>
      <c r="BSY102" s="247"/>
      <c r="BSZ102" s="247"/>
      <c r="BTA102" s="247"/>
      <c r="BTB102" s="247"/>
      <c r="BTC102" s="247"/>
      <c r="BTD102" s="247"/>
      <c r="BTE102" s="247"/>
      <c r="BTF102" s="247"/>
      <c r="BTG102" s="247"/>
      <c r="BTH102" s="247"/>
      <c r="BTI102" s="247"/>
      <c r="BTJ102" s="247"/>
      <c r="BTK102" s="247"/>
      <c r="BTL102" s="247"/>
      <c r="BTM102" s="247"/>
      <c r="BTN102" s="247"/>
      <c r="BTO102" s="247"/>
      <c r="BTP102" s="247"/>
      <c r="BTQ102" s="247"/>
      <c r="BTR102" s="247"/>
      <c r="BTS102" s="247"/>
      <c r="BTT102" s="247"/>
      <c r="BTU102" s="247"/>
      <c r="BTV102" s="247"/>
      <c r="BTW102" s="247"/>
      <c r="BTX102" s="247"/>
      <c r="BTY102" s="247"/>
      <c r="BTZ102" s="247"/>
      <c r="BUA102" s="247"/>
      <c r="BUB102" s="247"/>
      <c r="BUC102" s="247"/>
      <c r="BUD102" s="247"/>
      <c r="BUE102" s="247"/>
      <c r="BUF102" s="247"/>
      <c r="BUG102" s="247"/>
      <c r="BUH102" s="247"/>
      <c r="BUI102" s="247"/>
      <c r="BUJ102" s="247"/>
      <c r="BUK102" s="247"/>
      <c r="BUL102" s="247"/>
      <c r="BUM102" s="247"/>
      <c r="BUN102" s="247"/>
      <c r="BUO102" s="247"/>
      <c r="BUP102" s="247"/>
      <c r="BUQ102" s="247"/>
      <c r="BUR102" s="247"/>
      <c r="BUS102" s="247"/>
      <c r="BUT102" s="247"/>
      <c r="BUU102" s="247"/>
      <c r="BUV102" s="247"/>
      <c r="BUW102" s="247"/>
      <c r="BUX102" s="247"/>
      <c r="BUY102" s="247"/>
      <c r="BUZ102" s="247"/>
      <c r="BVA102" s="247"/>
      <c r="BVB102" s="247"/>
      <c r="BVC102" s="247"/>
      <c r="BVD102" s="247"/>
      <c r="BVE102" s="247"/>
      <c r="BVF102" s="247"/>
      <c r="BVG102" s="247"/>
      <c r="BVH102" s="247"/>
      <c r="BVI102" s="247"/>
      <c r="BVJ102" s="247"/>
      <c r="BVK102" s="247"/>
      <c r="BVL102" s="247"/>
      <c r="BVM102" s="247"/>
      <c r="BVN102" s="247"/>
      <c r="BVO102" s="247"/>
      <c r="BVP102" s="247"/>
      <c r="BVQ102" s="247"/>
      <c r="BVR102" s="247"/>
      <c r="BVS102" s="247"/>
      <c r="BVT102" s="247"/>
      <c r="BVU102" s="247"/>
      <c r="BVV102" s="247"/>
      <c r="BVW102" s="247"/>
      <c r="BVX102" s="247"/>
      <c r="BVY102" s="247"/>
      <c r="BVZ102" s="247"/>
      <c r="BWA102" s="247"/>
      <c r="BWB102" s="247"/>
      <c r="BWC102" s="247"/>
      <c r="BWD102" s="247"/>
      <c r="BWE102" s="247"/>
      <c r="BWF102" s="247"/>
      <c r="BWG102" s="247"/>
      <c r="BWH102" s="247"/>
      <c r="BWI102" s="247"/>
      <c r="BWJ102" s="247"/>
      <c r="BWK102" s="247"/>
      <c r="BWL102" s="247"/>
      <c r="BWM102" s="247"/>
      <c r="BWN102" s="247"/>
      <c r="BWO102" s="247"/>
      <c r="BWP102" s="247"/>
      <c r="BWQ102" s="247"/>
      <c r="BWR102" s="247"/>
      <c r="BWS102" s="247"/>
      <c r="BWT102" s="247"/>
      <c r="BWU102" s="247"/>
      <c r="BWV102" s="247"/>
      <c r="BWW102" s="247"/>
      <c r="BWX102" s="247"/>
      <c r="BWY102" s="247"/>
      <c r="BWZ102" s="247"/>
      <c r="BXA102" s="247"/>
      <c r="BXB102" s="247"/>
      <c r="BXC102" s="247"/>
      <c r="BXD102" s="247"/>
      <c r="BXE102" s="247"/>
      <c r="BXF102" s="247"/>
      <c r="BXG102" s="247"/>
      <c r="BXH102" s="247"/>
      <c r="BXI102" s="247"/>
      <c r="BXJ102" s="247"/>
      <c r="BXK102" s="247"/>
      <c r="BXL102" s="247"/>
      <c r="BXM102" s="247"/>
      <c r="BXN102" s="247"/>
      <c r="BXO102" s="247"/>
      <c r="BXP102" s="247"/>
      <c r="BXQ102" s="247"/>
      <c r="BXR102" s="247"/>
      <c r="BXS102" s="247"/>
      <c r="BXT102" s="247"/>
      <c r="BXU102" s="247"/>
      <c r="BXV102" s="247"/>
      <c r="BXW102" s="247"/>
      <c r="BXX102" s="247"/>
      <c r="BXY102" s="247"/>
      <c r="BXZ102" s="247"/>
      <c r="BYA102" s="247"/>
      <c r="BYB102" s="247"/>
      <c r="BYC102" s="247"/>
      <c r="BYD102" s="247"/>
      <c r="BYE102" s="247"/>
      <c r="BYF102" s="247"/>
      <c r="BYG102" s="247"/>
      <c r="BYH102" s="247"/>
      <c r="BYI102" s="247"/>
      <c r="BYJ102" s="247"/>
      <c r="BYK102" s="247"/>
      <c r="BYL102" s="247"/>
      <c r="BYM102" s="247"/>
      <c r="BYN102" s="247"/>
      <c r="BYO102" s="247"/>
      <c r="BYP102" s="247"/>
      <c r="BYQ102" s="247"/>
      <c r="BYR102" s="247"/>
      <c r="BYS102" s="247"/>
      <c r="BYT102" s="247"/>
      <c r="BYU102" s="247"/>
      <c r="BYV102" s="247"/>
      <c r="BYW102" s="247"/>
      <c r="BYX102" s="247"/>
      <c r="BYY102" s="247"/>
      <c r="BYZ102" s="247"/>
      <c r="BZA102" s="247"/>
      <c r="BZB102" s="247"/>
      <c r="BZC102" s="247"/>
      <c r="BZD102" s="247"/>
      <c r="BZE102" s="247"/>
      <c r="BZF102" s="247"/>
      <c r="BZG102" s="247"/>
      <c r="BZH102" s="247"/>
      <c r="BZI102" s="247"/>
      <c r="BZJ102" s="247"/>
      <c r="BZK102" s="247"/>
      <c r="BZL102" s="247"/>
      <c r="BZM102" s="247"/>
      <c r="BZN102" s="247"/>
      <c r="BZO102" s="247"/>
      <c r="BZP102" s="247"/>
      <c r="BZQ102" s="247"/>
      <c r="BZR102" s="247"/>
      <c r="BZS102" s="247"/>
      <c r="BZT102" s="247"/>
      <c r="BZU102" s="247"/>
      <c r="BZV102" s="247"/>
      <c r="BZW102" s="247"/>
      <c r="BZX102" s="247"/>
      <c r="BZY102" s="247"/>
      <c r="BZZ102" s="247"/>
      <c r="CAA102" s="247"/>
      <c r="CAB102" s="247"/>
      <c r="CAC102" s="247"/>
      <c r="CAD102" s="247"/>
      <c r="CAE102" s="247"/>
      <c r="CAF102" s="247"/>
      <c r="CAG102" s="247"/>
      <c r="CAH102" s="247"/>
      <c r="CAI102" s="247"/>
      <c r="CAJ102" s="247"/>
      <c r="CAK102" s="247"/>
      <c r="CAL102" s="247"/>
      <c r="CAM102" s="247"/>
      <c r="CAN102" s="247"/>
      <c r="CAO102" s="247"/>
      <c r="CAP102" s="247"/>
      <c r="CAQ102" s="247"/>
      <c r="CAR102" s="247"/>
      <c r="CAS102" s="247"/>
      <c r="CAT102" s="247"/>
      <c r="CAU102" s="247"/>
      <c r="CAV102" s="247"/>
      <c r="CAW102" s="247"/>
      <c r="CAX102" s="247"/>
      <c r="CAY102" s="247"/>
      <c r="CAZ102" s="247"/>
      <c r="CBA102" s="247"/>
      <c r="CBB102" s="247"/>
      <c r="CBC102" s="247"/>
      <c r="CBD102" s="247"/>
      <c r="CBE102" s="247"/>
      <c r="CBF102" s="247"/>
      <c r="CBG102" s="247"/>
      <c r="CBH102" s="247"/>
      <c r="CBI102" s="247"/>
      <c r="CBJ102" s="247"/>
      <c r="CBK102" s="247"/>
      <c r="CBL102" s="247"/>
      <c r="CBM102" s="247"/>
      <c r="CBN102" s="247"/>
      <c r="CBO102" s="247"/>
      <c r="CBP102" s="247"/>
      <c r="CBQ102" s="247"/>
      <c r="CBR102" s="247"/>
      <c r="CBS102" s="247"/>
      <c r="CBT102" s="247"/>
      <c r="CBU102" s="247"/>
      <c r="CBV102" s="247"/>
      <c r="CBW102" s="247"/>
      <c r="CBX102" s="247"/>
      <c r="CBY102" s="247"/>
      <c r="CBZ102" s="247"/>
      <c r="CCA102" s="247"/>
      <c r="CCB102" s="247"/>
      <c r="CCC102" s="247"/>
      <c r="CCD102" s="247"/>
      <c r="CCE102" s="247"/>
      <c r="CCF102" s="247"/>
      <c r="CCG102" s="247"/>
      <c r="CCH102" s="247"/>
      <c r="CCI102" s="247"/>
      <c r="CCJ102" s="247"/>
      <c r="CCK102" s="247"/>
      <c r="CCL102" s="247"/>
      <c r="CCM102" s="247"/>
      <c r="CCN102" s="247"/>
      <c r="CCO102" s="247"/>
      <c r="CCP102" s="247"/>
      <c r="CCQ102" s="247"/>
      <c r="CCR102" s="247"/>
      <c r="CCS102" s="247"/>
      <c r="CCT102" s="247"/>
      <c r="CCU102" s="247"/>
      <c r="CCV102" s="247"/>
      <c r="CCW102" s="247"/>
      <c r="CCX102" s="247"/>
      <c r="CCY102" s="247"/>
      <c r="CCZ102" s="247"/>
      <c r="CDA102" s="247"/>
      <c r="CDB102" s="247"/>
      <c r="CDC102" s="247"/>
      <c r="CDD102" s="247"/>
      <c r="CDE102" s="247"/>
      <c r="CDF102" s="247"/>
      <c r="CDG102" s="247"/>
      <c r="CDH102" s="247"/>
      <c r="CDI102" s="247"/>
      <c r="CDJ102" s="247"/>
      <c r="CDK102" s="247"/>
      <c r="CDL102" s="247"/>
      <c r="CDM102" s="247"/>
      <c r="CDN102" s="247"/>
      <c r="CDO102" s="247"/>
      <c r="CDP102" s="247"/>
      <c r="CDQ102" s="247"/>
      <c r="CDR102" s="247"/>
      <c r="CDS102" s="247"/>
      <c r="CDT102" s="247"/>
      <c r="CDU102" s="247"/>
      <c r="CDV102" s="247"/>
      <c r="CDW102" s="247"/>
      <c r="CDX102" s="247"/>
      <c r="CDY102" s="247"/>
      <c r="CDZ102" s="247"/>
      <c r="CEA102" s="247"/>
      <c r="CEB102" s="247"/>
      <c r="CEC102" s="247"/>
      <c r="CED102" s="247"/>
      <c r="CEE102" s="247"/>
      <c r="CEF102" s="247"/>
      <c r="CEG102" s="247"/>
      <c r="CEH102" s="247"/>
      <c r="CEI102" s="247"/>
      <c r="CEJ102" s="247"/>
      <c r="CEK102" s="247"/>
      <c r="CEL102" s="247"/>
      <c r="CEM102" s="247"/>
      <c r="CEN102" s="247"/>
      <c r="CEO102" s="247"/>
      <c r="CEP102" s="247"/>
      <c r="CEQ102" s="247"/>
      <c r="CER102" s="247"/>
      <c r="CES102" s="247"/>
      <c r="CET102" s="247"/>
      <c r="CEU102" s="247"/>
      <c r="CEV102" s="247"/>
      <c r="CEW102" s="247"/>
      <c r="CEX102" s="247"/>
      <c r="CEY102" s="247"/>
      <c r="CEZ102" s="247"/>
      <c r="CFA102" s="247"/>
      <c r="CFB102" s="247"/>
      <c r="CFC102" s="247"/>
      <c r="CFD102" s="247"/>
      <c r="CFE102" s="247"/>
      <c r="CFF102" s="247"/>
      <c r="CFG102" s="247"/>
      <c r="CFH102" s="247"/>
      <c r="CFI102" s="247"/>
      <c r="CFJ102" s="247"/>
      <c r="CFK102" s="247"/>
      <c r="CFL102" s="247"/>
      <c r="CFM102" s="247"/>
      <c r="CFN102" s="247"/>
      <c r="CFO102" s="247"/>
      <c r="CFP102" s="247"/>
      <c r="CFQ102" s="247"/>
      <c r="CFR102" s="247"/>
      <c r="CFS102" s="247"/>
      <c r="CFT102" s="247"/>
      <c r="CFU102" s="247"/>
      <c r="CFV102" s="247"/>
      <c r="CFW102" s="247"/>
      <c r="CFX102" s="247"/>
      <c r="CFY102" s="247"/>
      <c r="CFZ102" s="247"/>
      <c r="CGA102" s="247"/>
      <c r="CGB102" s="247"/>
      <c r="CGC102" s="247"/>
      <c r="CGD102" s="247"/>
      <c r="CGE102" s="247"/>
      <c r="CGF102" s="247"/>
      <c r="CGG102" s="247"/>
      <c r="CGH102" s="247"/>
      <c r="CGI102" s="247"/>
      <c r="CGJ102" s="247"/>
      <c r="CGK102" s="247"/>
      <c r="CGL102" s="247"/>
      <c r="CGM102" s="247"/>
      <c r="CGN102" s="247"/>
      <c r="CGO102" s="247"/>
      <c r="CGP102" s="247"/>
      <c r="CGQ102" s="247"/>
      <c r="CGR102" s="247"/>
      <c r="CGS102" s="247"/>
      <c r="CGT102" s="247"/>
      <c r="CGU102" s="247"/>
      <c r="CGV102" s="247"/>
      <c r="CGW102" s="247"/>
      <c r="CGX102" s="247"/>
      <c r="CGY102" s="247"/>
      <c r="CGZ102" s="247"/>
      <c r="CHA102" s="247"/>
      <c r="CHB102" s="247"/>
      <c r="CHC102" s="247"/>
      <c r="CHD102" s="247"/>
      <c r="CHE102" s="247"/>
      <c r="CHF102" s="247"/>
      <c r="CHG102" s="247"/>
      <c r="CHH102" s="247"/>
      <c r="CHI102" s="247"/>
      <c r="CHJ102" s="247"/>
      <c r="CHK102" s="247"/>
      <c r="CHL102" s="247"/>
      <c r="CHM102" s="247"/>
      <c r="CHN102" s="247"/>
      <c r="CHO102" s="247"/>
      <c r="CHP102" s="247"/>
      <c r="CHQ102" s="247"/>
      <c r="CHR102" s="247"/>
      <c r="CHS102" s="247"/>
      <c r="CHT102" s="247"/>
      <c r="CHU102" s="247"/>
      <c r="CHV102" s="247"/>
      <c r="CHW102" s="247"/>
      <c r="CHX102" s="247"/>
      <c r="CHY102" s="247"/>
      <c r="CHZ102" s="247"/>
      <c r="CIA102" s="247"/>
      <c r="CIB102" s="247"/>
      <c r="CIC102" s="247"/>
      <c r="CID102" s="247"/>
      <c r="CIE102" s="247"/>
      <c r="CIF102" s="247"/>
      <c r="CIG102" s="247"/>
      <c r="CIH102" s="247"/>
      <c r="CII102" s="247"/>
      <c r="CIJ102" s="247"/>
      <c r="CIK102" s="247"/>
      <c r="CIL102" s="247"/>
      <c r="CIM102" s="247"/>
      <c r="CIN102" s="247"/>
      <c r="CIO102" s="247"/>
      <c r="CIP102" s="247"/>
      <c r="CIQ102" s="247"/>
      <c r="CIR102" s="247"/>
      <c r="CIS102" s="247"/>
      <c r="CIT102" s="247"/>
      <c r="CIU102" s="247"/>
      <c r="CIV102" s="247"/>
      <c r="CIW102" s="247"/>
      <c r="CIX102" s="247"/>
      <c r="CIY102" s="247"/>
      <c r="CIZ102" s="247"/>
      <c r="CJA102" s="247"/>
      <c r="CJB102" s="247"/>
      <c r="CJC102" s="247"/>
      <c r="CJD102" s="247"/>
      <c r="CJE102" s="247"/>
      <c r="CJF102" s="247"/>
      <c r="CJG102" s="247"/>
      <c r="CJH102" s="247"/>
      <c r="CJI102" s="247"/>
      <c r="CJJ102" s="247"/>
      <c r="CJK102" s="247"/>
      <c r="CJL102" s="247"/>
      <c r="CJM102" s="247"/>
      <c r="CJN102" s="247"/>
      <c r="CJO102" s="247"/>
      <c r="CJP102" s="247"/>
      <c r="CJQ102" s="247"/>
      <c r="CJR102" s="247"/>
      <c r="CJS102" s="247"/>
      <c r="CJT102" s="247"/>
      <c r="CJU102" s="247"/>
      <c r="CJV102" s="247"/>
      <c r="CJW102" s="247"/>
      <c r="CJX102" s="247"/>
      <c r="CJY102" s="247"/>
      <c r="CJZ102" s="247"/>
      <c r="CKA102" s="247"/>
      <c r="CKB102" s="247"/>
      <c r="CKC102" s="247"/>
      <c r="CKD102" s="247"/>
      <c r="CKE102" s="247"/>
      <c r="CKF102" s="247"/>
      <c r="CKG102" s="247"/>
      <c r="CKH102" s="247"/>
      <c r="CKI102" s="247"/>
      <c r="CKJ102" s="247"/>
      <c r="CKK102" s="247"/>
      <c r="CKL102" s="247"/>
      <c r="CKM102" s="247"/>
      <c r="CKN102" s="247"/>
      <c r="CKO102" s="247"/>
      <c r="CKP102" s="247"/>
      <c r="CKQ102" s="247"/>
      <c r="CKR102" s="247"/>
      <c r="CKS102" s="247"/>
      <c r="CKT102" s="247"/>
      <c r="CKU102" s="247"/>
      <c r="CKV102" s="247"/>
      <c r="CKW102" s="247"/>
      <c r="CKX102" s="247"/>
      <c r="CKY102" s="247"/>
      <c r="CKZ102" s="247"/>
      <c r="CLA102" s="247"/>
      <c r="CLB102" s="247"/>
      <c r="CLC102" s="247"/>
      <c r="CLD102" s="247"/>
      <c r="CLE102" s="247"/>
      <c r="CLF102" s="247"/>
      <c r="CLG102" s="247"/>
      <c r="CLH102" s="247"/>
      <c r="CLI102" s="247"/>
      <c r="CLJ102" s="247"/>
      <c r="CLK102" s="247"/>
      <c r="CLL102" s="247"/>
      <c r="CLM102" s="247"/>
      <c r="CLN102" s="247"/>
      <c r="CLO102" s="247"/>
      <c r="CLP102" s="247"/>
      <c r="CLQ102" s="247"/>
      <c r="CLR102" s="247"/>
      <c r="CLS102" s="247"/>
      <c r="CLT102" s="247"/>
      <c r="CLU102" s="247"/>
      <c r="CLV102" s="247"/>
      <c r="CLW102" s="247"/>
      <c r="CLX102" s="247"/>
      <c r="CLY102" s="247"/>
      <c r="CLZ102" s="247"/>
      <c r="CMA102" s="247"/>
      <c r="CMB102" s="247"/>
      <c r="CMC102" s="247"/>
      <c r="CMD102" s="247"/>
      <c r="CME102" s="247"/>
      <c r="CMF102" s="247"/>
      <c r="CMG102" s="247"/>
      <c r="CMH102" s="247"/>
      <c r="CMI102" s="247"/>
      <c r="CMJ102" s="247"/>
      <c r="CMK102" s="247"/>
      <c r="CML102" s="247"/>
      <c r="CMM102" s="247"/>
      <c r="CMN102" s="247"/>
      <c r="CMO102" s="247"/>
      <c r="CMP102" s="247"/>
      <c r="CMQ102" s="247"/>
      <c r="CMR102" s="247"/>
      <c r="CMS102" s="247"/>
      <c r="CMT102" s="247"/>
      <c r="CMU102" s="247"/>
      <c r="CMV102" s="247"/>
      <c r="CMW102" s="247"/>
      <c r="CMX102" s="247"/>
      <c r="CMY102" s="247"/>
      <c r="CMZ102" s="247"/>
      <c r="CNA102" s="247"/>
      <c r="CNB102" s="247"/>
      <c r="CNC102" s="247"/>
      <c r="CND102" s="247"/>
      <c r="CNE102" s="247"/>
      <c r="CNF102" s="247"/>
      <c r="CNG102" s="247"/>
      <c r="CNH102" s="247"/>
      <c r="CNI102" s="247"/>
      <c r="CNJ102" s="247"/>
      <c r="CNK102" s="247"/>
      <c r="CNL102" s="247"/>
      <c r="CNM102" s="247"/>
      <c r="CNN102" s="247"/>
      <c r="CNO102" s="247"/>
      <c r="CNP102" s="247"/>
      <c r="CNQ102" s="247"/>
      <c r="CNR102" s="247"/>
      <c r="CNS102" s="247"/>
      <c r="CNT102" s="247"/>
      <c r="CNU102" s="247"/>
      <c r="CNV102" s="247"/>
      <c r="CNW102" s="247"/>
      <c r="CNX102" s="247"/>
      <c r="CNY102" s="247"/>
      <c r="CNZ102" s="247"/>
      <c r="COA102" s="247"/>
      <c r="COB102" s="247"/>
      <c r="COC102" s="247"/>
      <c r="COD102" s="247"/>
      <c r="COE102" s="247"/>
      <c r="COF102" s="247"/>
      <c r="COG102" s="247"/>
      <c r="COH102" s="247"/>
      <c r="COI102" s="247"/>
      <c r="COJ102" s="247"/>
      <c r="COK102" s="247"/>
      <c r="COL102" s="247"/>
      <c r="COM102" s="247"/>
      <c r="CON102" s="247"/>
      <c r="COO102" s="247"/>
      <c r="COP102" s="247"/>
      <c r="COQ102" s="247"/>
      <c r="COR102" s="247"/>
      <c r="COS102" s="247"/>
      <c r="COT102" s="247"/>
      <c r="COU102" s="247"/>
      <c r="COV102" s="247"/>
      <c r="COW102" s="247"/>
      <c r="COX102" s="247"/>
      <c r="COY102" s="247"/>
      <c r="COZ102" s="247"/>
      <c r="CPA102" s="247"/>
      <c r="CPB102" s="247"/>
      <c r="CPC102" s="247"/>
      <c r="CPD102" s="247"/>
      <c r="CPE102" s="247"/>
      <c r="CPF102" s="247"/>
      <c r="CPG102" s="247"/>
      <c r="CPH102" s="247"/>
      <c r="CPI102" s="247"/>
      <c r="CPJ102" s="247"/>
      <c r="CPK102" s="247"/>
      <c r="CPL102" s="247"/>
      <c r="CPM102" s="247"/>
      <c r="CPN102" s="247"/>
      <c r="CPO102" s="247"/>
      <c r="CPP102" s="247"/>
      <c r="CPQ102" s="247"/>
      <c r="CPR102" s="247"/>
      <c r="CPS102" s="247"/>
      <c r="CPT102" s="247"/>
      <c r="CPU102" s="247"/>
      <c r="CPV102" s="247"/>
      <c r="CPW102" s="247"/>
      <c r="CPX102" s="247"/>
      <c r="CPY102" s="247"/>
      <c r="CPZ102" s="247"/>
      <c r="CQA102" s="247"/>
      <c r="CQB102" s="247"/>
      <c r="CQC102" s="247"/>
      <c r="CQD102" s="247"/>
      <c r="CQE102" s="247"/>
      <c r="CQF102" s="247"/>
      <c r="CQG102" s="247"/>
      <c r="CQH102" s="247"/>
      <c r="CQI102" s="247"/>
      <c r="CQJ102" s="247"/>
      <c r="CQK102" s="247"/>
      <c r="CQL102" s="247"/>
      <c r="CQM102" s="247"/>
      <c r="CQN102" s="247"/>
      <c r="CQO102" s="247"/>
      <c r="CQP102" s="247"/>
      <c r="CQQ102" s="247"/>
      <c r="CQR102" s="247"/>
      <c r="CQS102" s="247"/>
      <c r="CQT102" s="247"/>
      <c r="CQU102" s="247"/>
      <c r="CQV102" s="247"/>
      <c r="CQW102" s="247"/>
      <c r="CQX102" s="247"/>
      <c r="CQY102" s="247"/>
      <c r="CQZ102" s="247"/>
      <c r="CRA102" s="247"/>
      <c r="CRB102" s="247"/>
      <c r="CRC102" s="247"/>
      <c r="CRD102" s="247"/>
      <c r="CRE102" s="247"/>
      <c r="CRF102" s="247"/>
      <c r="CRG102" s="247"/>
      <c r="CRH102" s="247"/>
      <c r="CRI102" s="247"/>
      <c r="CRJ102" s="247"/>
      <c r="CRK102" s="247"/>
      <c r="CRL102" s="247"/>
      <c r="CRM102" s="247"/>
      <c r="CRN102" s="247"/>
      <c r="CRO102" s="247"/>
      <c r="CRP102" s="247"/>
      <c r="CRQ102" s="247"/>
      <c r="CRR102" s="247"/>
      <c r="CRS102" s="247"/>
      <c r="CRT102" s="247"/>
      <c r="CRU102" s="247"/>
      <c r="CRV102" s="247"/>
      <c r="CRW102" s="247"/>
      <c r="CRX102" s="247"/>
      <c r="CRY102" s="247"/>
      <c r="CRZ102" s="247"/>
      <c r="CSA102" s="247"/>
      <c r="CSB102" s="247"/>
      <c r="CSC102" s="247"/>
      <c r="CSD102" s="247"/>
      <c r="CSE102" s="247"/>
      <c r="CSF102" s="247"/>
      <c r="CSG102" s="247"/>
      <c r="CSH102" s="247"/>
      <c r="CSI102" s="247"/>
      <c r="CSJ102" s="247"/>
      <c r="CSK102" s="247"/>
      <c r="CSL102" s="247"/>
      <c r="CSM102" s="247"/>
      <c r="CSN102" s="247"/>
      <c r="CSO102" s="247"/>
      <c r="CSP102" s="247"/>
      <c r="CSQ102" s="247"/>
      <c r="CSR102" s="247"/>
      <c r="CSS102" s="247"/>
      <c r="CST102" s="247"/>
      <c r="CSU102" s="247"/>
      <c r="CSV102" s="247"/>
      <c r="CSW102" s="247"/>
      <c r="CSX102" s="247"/>
      <c r="CSY102" s="247"/>
      <c r="CSZ102" s="247"/>
      <c r="CTA102" s="247"/>
      <c r="CTB102" s="247"/>
      <c r="CTC102" s="247"/>
      <c r="CTD102" s="247"/>
      <c r="CTE102" s="247"/>
      <c r="CTF102" s="247"/>
      <c r="CTG102" s="247"/>
      <c r="CTH102" s="247"/>
      <c r="CTI102" s="247"/>
      <c r="CTJ102" s="247"/>
      <c r="CTK102" s="247"/>
      <c r="CTL102" s="247"/>
      <c r="CTM102" s="247"/>
      <c r="CTN102" s="247"/>
      <c r="CTO102" s="247"/>
      <c r="CTP102" s="247"/>
      <c r="CTQ102" s="247"/>
      <c r="CTR102" s="247"/>
      <c r="CTS102" s="247"/>
      <c r="CTT102" s="247"/>
      <c r="CTU102" s="247"/>
      <c r="CTV102" s="247"/>
      <c r="CTW102" s="247"/>
      <c r="CTX102" s="247"/>
      <c r="CTY102" s="247"/>
      <c r="CTZ102" s="247"/>
      <c r="CUA102" s="247"/>
      <c r="CUB102" s="247"/>
      <c r="CUC102" s="247"/>
      <c r="CUD102" s="247"/>
      <c r="CUE102" s="247"/>
      <c r="CUF102" s="247"/>
      <c r="CUG102" s="247"/>
      <c r="CUH102" s="247"/>
      <c r="CUI102" s="247"/>
      <c r="CUJ102" s="247"/>
      <c r="CUK102" s="247"/>
      <c r="CUL102" s="247"/>
      <c r="CUM102" s="247"/>
      <c r="CUN102" s="247"/>
      <c r="CUO102" s="247"/>
      <c r="CUP102" s="247"/>
      <c r="CUQ102" s="247"/>
      <c r="CUR102" s="247"/>
      <c r="CUS102" s="247"/>
      <c r="CUT102" s="247"/>
      <c r="CUU102" s="247"/>
      <c r="CUV102" s="247"/>
      <c r="CUW102" s="247"/>
      <c r="CUX102" s="247"/>
      <c r="CUY102" s="247"/>
      <c r="CUZ102" s="247"/>
      <c r="CVA102" s="247"/>
      <c r="CVB102" s="247"/>
      <c r="CVC102" s="247"/>
      <c r="CVD102" s="247"/>
      <c r="CVE102" s="247"/>
      <c r="CVF102" s="247"/>
      <c r="CVG102" s="247"/>
      <c r="CVH102" s="247"/>
      <c r="CVI102" s="247"/>
      <c r="CVJ102" s="247"/>
      <c r="CVK102" s="247"/>
      <c r="CVL102" s="247"/>
      <c r="CVM102" s="247"/>
      <c r="CVN102" s="247"/>
      <c r="CVO102" s="247"/>
      <c r="CVP102" s="247"/>
      <c r="CVQ102" s="247"/>
      <c r="CVR102" s="247"/>
      <c r="CVS102" s="247"/>
      <c r="CVT102" s="247"/>
      <c r="CVU102" s="247"/>
      <c r="CVV102" s="247"/>
      <c r="CVW102" s="247"/>
      <c r="CVX102" s="247"/>
      <c r="CVY102" s="247"/>
      <c r="CVZ102" s="247"/>
      <c r="CWA102" s="247"/>
      <c r="CWB102" s="247"/>
      <c r="CWC102" s="247"/>
      <c r="CWD102" s="247"/>
      <c r="CWE102" s="247"/>
      <c r="CWF102" s="247"/>
      <c r="CWG102" s="247"/>
      <c r="CWH102" s="247"/>
      <c r="CWI102" s="247"/>
      <c r="CWJ102" s="247"/>
      <c r="CWK102" s="247"/>
      <c r="CWL102" s="247"/>
      <c r="CWM102" s="247"/>
      <c r="CWN102" s="247"/>
      <c r="CWO102" s="247"/>
      <c r="CWP102" s="247"/>
      <c r="CWQ102" s="247"/>
      <c r="CWR102" s="247"/>
      <c r="CWS102" s="247"/>
      <c r="CWT102" s="247"/>
      <c r="CWU102" s="247"/>
      <c r="CWV102" s="247"/>
      <c r="CWW102" s="247"/>
      <c r="CWX102" s="247"/>
      <c r="CWY102" s="247"/>
      <c r="CWZ102" s="247"/>
      <c r="CXA102" s="247"/>
      <c r="CXB102" s="247"/>
      <c r="CXC102" s="247"/>
      <c r="CXD102" s="247"/>
      <c r="CXE102" s="247"/>
      <c r="CXF102" s="247"/>
      <c r="CXG102" s="247"/>
      <c r="CXH102" s="247"/>
      <c r="CXI102" s="247"/>
      <c r="CXJ102" s="247"/>
      <c r="CXK102" s="247"/>
      <c r="CXL102" s="247"/>
      <c r="CXM102" s="247"/>
      <c r="CXN102" s="247"/>
      <c r="CXO102" s="247"/>
      <c r="CXP102" s="247"/>
      <c r="CXQ102" s="247"/>
      <c r="CXR102" s="247"/>
      <c r="CXS102" s="247"/>
      <c r="CXT102" s="247"/>
      <c r="CXU102" s="247"/>
      <c r="CXV102" s="247"/>
      <c r="CXW102" s="247"/>
      <c r="CXX102" s="247"/>
      <c r="CXY102" s="247"/>
      <c r="CXZ102" s="247"/>
      <c r="CYA102" s="247"/>
      <c r="CYB102" s="247"/>
      <c r="CYC102" s="247"/>
      <c r="CYD102" s="247"/>
      <c r="CYE102" s="247"/>
      <c r="CYF102" s="247"/>
      <c r="CYG102" s="247"/>
      <c r="CYH102" s="247"/>
      <c r="CYI102" s="247"/>
      <c r="CYJ102" s="247"/>
      <c r="CYK102" s="247"/>
      <c r="CYL102" s="247"/>
      <c r="CYM102" s="247"/>
      <c r="CYN102" s="247"/>
      <c r="CYO102" s="247"/>
      <c r="CYP102" s="247"/>
      <c r="CYQ102" s="247"/>
      <c r="CYR102" s="247"/>
      <c r="CYS102" s="247"/>
      <c r="CYT102" s="247"/>
      <c r="CYU102" s="247"/>
      <c r="CYV102" s="247"/>
      <c r="CYW102" s="247"/>
      <c r="CYX102" s="247"/>
      <c r="CYY102" s="247"/>
      <c r="CYZ102" s="247"/>
      <c r="CZA102" s="247"/>
      <c r="CZB102" s="247"/>
      <c r="CZC102" s="247"/>
      <c r="CZD102" s="247"/>
      <c r="CZE102" s="247"/>
      <c r="CZF102" s="247"/>
      <c r="CZG102" s="247"/>
      <c r="CZH102" s="247"/>
      <c r="CZI102" s="247"/>
      <c r="CZJ102" s="247"/>
      <c r="CZK102" s="247"/>
      <c r="CZL102" s="247"/>
      <c r="CZM102" s="247"/>
      <c r="CZN102" s="247"/>
      <c r="CZO102" s="247"/>
      <c r="CZP102" s="247"/>
      <c r="CZQ102" s="247"/>
      <c r="CZR102" s="247"/>
      <c r="CZS102" s="247"/>
      <c r="CZT102" s="247"/>
      <c r="CZU102" s="247"/>
      <c r="CZV102" s="247"/>
      <c r="CZW102" s="247"/>
      <c r="CZX102" s="247"/>
      <c r="CZY102" s="247"/>
      <c r="CZZ102" s="247"/>
      <c r="DAA102" s="247"/>
      <c r="DAB102" s="247"/>
      <c r="DAC102" s="247"/>
      <c r="DAD102" s="247"/>
      <c r="DAE102" s="247"/>
      <c r="DAF102" s="247"/>
      <c r="DAG102" s="247"/>
      <c r="DAH102" s="247"/>
      <c r="DAI102" s="247"/>
      <c r="DAJ102" s="247"/>
      <c r="DAK102" s="247"/>
      <c r="DAL102" s="247"/>
      <c r="DAM102" s="247"/>
      <c r="DAN102" s="247"/>
      <c r="DAO102" s="247"/>
      <c r="DAP102" s="247"/>
      <c r="DAQ102" s="247"/>
      <c r="DAR102" s="247"/>
      <c r="DAS102" s="247"/>
      <c r="DAT102" s="247"/>
      <c r="DAU102" s="247"/>
      <c r="DAV102" s="247"/>
      <c r="DAW102" s="247"/>
      <c r="DAX102" s="247"/>
      <c r="DAY102" s="247"/>
      <c r="DAZ102" s="247"/>
      <c r="DBA102" s="247"/>
      <c r="DBB102" s="247"/>
      <c r="DBC102" s="247"/>
      <c r="DBD102" s="247"/>
      <c r="DBE102" s="247"/>
      <c r="DBF102" s="247"/>
      <c r="DBG102" s="247"/>
      <c r="DBH102" s="247"/>
      <c r="DBI102" s="247"/>
      <c r="DBJ102" s="247"/>
      <c r="DBK102" s="247"/>
      <c r="DBL102" s="247"/>
      <c r="DBM102" s="247"/>
      <c r="DBN102" s="247"/>
      <c r="DBO102" s="247"/>
      <c r="DBP102" s="247"/>
      <c r="DBQ102" s="247"/>
      <c r="DBR102" s="247"/>
      <c r="DBS102" s="247"/>
      <c r="DBT102" s="247"/>
      <c r="DBU102" s="247"/>
      <c r="DBV102" s="247"/>
      <c r="DBW102" s="247"/>
      <c r="DBX102" s="247"/>
      <c r="DBY102" s="247"/>
      <c r="DBZ102" s="247"/>
      <c r="DCA102" s="247"/>
      <c r="DCB102" s="247"/>
      <c r="DCC102" s="247"/>
      <c r="DCD102" s="247"/>
      <c r="DCE102" s="247"/>
      <c r="DCF102" s="247"/>
      <c r="DCG102" s="247"/>
      <c r="DCH102" s="247"/>
      <c r="DCI102" s="247"/>
      <c r="DCJ102" s="247"/>
      <c r="DCK102" s="247"/>
      <c r="DCL102" s="247"/>
      <c r="DCM102" s="247"/>
      <c r="DCN102" s="247"/>
      <c r="DCO102" s="247"/>
      <c r="DCP102" s="247"/>
      <c r="DCQ102" s="247"/>
      <c r="DCR102" s="247"/>
      <c r="DCS102" s="247"/>
      <c r="DCT102" s="247"/>
      <c r="DCU102" s="247"/>
      <c r="DCV102" s="247"/>
      <c r="DCW102" s="247"/>
      <c r="DCX102" s="247"/>
      <c r="DCY102" s="247"/>
      <c r="DCZ102" s="247"/>
      <c r="DDA102" s="247"/>
      <c r="DDB102" s="247"/>
      <c r="DDC102" s="247"/>
      <c r="DDD102" s="247"/>
      <c r="DDE102" s="247"/>
      <c r="DDF102" s="247"/>
      <c r="DDG102" s="247"/>
      <c r="DDH102" s="247"/>
      <c r="DDI102" s="247"/>
      <c r="DDJ102" s="247"/>
      <c r="DDK102" s="247"/>
      <c r="DDL102" s="247"/>
      <c r="DDM102" s="247"/>
      <c r="DDN102" s="247"/>
      <c r="DDO102" s="247"/>
      <c r="DDP102" s="247"/>
      <c r="DDQ102" s="247"/>
      <c r="DDR102" s="247"/>
      <c r="DDS102" s="247"/>
      <c r="DDT102" s="247"/>
      <c r="DDU102" s="247"/>
      <c r="DDV102" s="247"/>
      <c r="DDW102" s="247"/>
      <c r="DDX102" s="247"/>
      <c r="DDY102" s="247"/>
      <c r="DDZ102" s="247"/>
      <c r="DEA102" s="247"/>
      <c r="DEB102" s="247"/>
      <c r="DEC102" s="247"/>
      <c r="DED102" s="247"/>
      <c r="DEE102" s="247"/>
      <c r="DEF102" s="247"/>
      <c r="DEG102" s="247"/>
      <c r="DEH102" s="247"/>
      <c r="DEI102" s="247"/>
      <c r="DEJ102" s="247"/>
      <c r="DEK102" s="247"/>
      <c r="DEL102" s="247"/>
      <c r="DEM102" s="247"/>
      <c r="DEN102" s="247"/>
      <c r="DEO102" s="247"/>
      <c r="DEP102" s="247"/>
      <c r="DEQ102" s="247"/>
      <c r="DER102" s="247"/>
      <c r="DES102" s="247"/>
      <c r="DET102" s="247"/>
      <c r="DEU102" s="247"/>
      <c r="DEV102" s="247"/>
      <c r="DEW102" s="247"/>
      <c r="DEX102" s="247"/>
      <c r="DEY102" s="247"/>
      <c r="DEZ102" s="247"/>
      <c r="DFA102" s="247"/>
      <c r="DFB102" s="247"/>
      <c r="DFC102" s="247"/>
      <c r="DFD102" s="247"/>
      <c r="DFE102" s="247"/>
      <c r="DFF102" s="247"/>
      <c r="DFG102" s="247"/>
      <c r="DFH102" s="247"/>
      <c r="DFI102" s="247"/>
      <c r="DFJ102" s="247"/>
      <c r="DFK102" s="247"/>
      <c r="DFL102" s="247"/>
      <c r="DFM102" s="247"/>
      <c r="DFN102" s="247"/>
      <c r="DFO102" s="247"/>
      <c r="DFP102" s="247"/>
      <c r="DFQ102" s="247"/>
      <c r="DFR102" s="247"/>
      <c r="DFS102" s="247"/>
      <c r="DFT102" s="247"/>
      <c r="DFU102" s="247"/>
      <c r="DFV102" s="247"/>
      <c r="DFW102" s="247"/>
      <c r="DFX102" s="247"/>
      <c r="DFY102" s="247"/>
      <c r="DFZ102" s="247"/>
      <c r="DGA102" s="247"/>
      <c r="DGB102" s="247"/>
      <c r="DGC102" s="247"/>
      <c r="DGD102" s="247"/>
      <c r="DGE102" s="247"/>
      <c r="DGF102" s="247"/>
      <c r="DGG102" s="247"/>
      <c r="DGH102" s="247"/>
      <c r="DGI102" s="247"/>
      <c r="DGJ102" s="247"/>
      <c r="DGK102" s="247"/>
      <c r="DGL102" s="247"/>
      <c r="DGM102" s="247"/>
      <c r="DGN102" s="247"/>
      <c r="DGO102" s="247"/>
      <c r="DGP102" s="247"/>
      <c r="DGQ102" s="247"/>
      <c r="DGR102" s="247"/>
      <c r="DGS102" s="247"/>
      <c r="DGT102" s="247"/>
      <c r="DGU102" s="247"/>
      <c r="DGV102" s="247"/>
      <c r="DGW102" s="247"/>
      <c r="DGX102" s="247"/>
      <c r="DGY102" s="247"/>
      <c r="DGZ102" s="247"/>
      <c r="DHA102" s="247"/>
      <c r="DHB102" s="247"/>
      <c r="DHC102" s="247"/>
      <c r="DHD102" s="247"/>
      <c r="DHE102" s="247"/>
      <c r="DHF102" s="247"/>
      <c r="DHG102" s="247"/>
      <c r="DHH102" s="247"/>
      <c r="DHI102" s="247"/>
      <c r="DHJ102" s="247"/>
      <c r="DHK102" s="247"/>
      <c r="DHL102" s="247"/>
      <c r="DHM102" s="247"/>
      <c r="DHN102" s="247"/>
      <c r="DHO102" s="247"/>
      <c r="DHP102" s="247"/>
      <c r="DHQ102" s="247"/>
      <c r="DHR102" s="247"/>
      <c r="DHS102" s="247"/>
      <c r="DHT102" s="247"/>
      <c r="DHU102" s="247"/>
      <c r="DHV102" s="247"/>
      <c r="DHW102" s="247"/>
      <c r="DHX102" s="247"/>
      <c r="DHY102" s="247"/>
      <c r="DHZ102" s="247"/>
      <c r="DIA102" s="247"/>
      <c r="DIB102" s="247"/>
      <c r="DIC102" s="247"/>
      <c r="DID102" s="247"/>
      <c r="DIE102" s="247"/>
      <c r="DIF102" s="247"/>
      <c r="DIG102" s="247"/>
      <c r="DIH102" s="247"/>
      <c r="DII102" s="247"/>
      <c r="DIJ102" s="247"/>
      <c r="DIK102" s="247"/>
      <c r="DIL102" s="247"/>
      <c r="DIM102" s="247"/>
      <c r="DIN102" s="247"/>
      <c r="DIO102" s="247"/>
      <c r="DIP102" s="247"/>
      <c r="DIQ102" s="247"/>
      <c r="DIR102" s="247"/>
      <c r="DIS102" s="247"/>
      <c r="DIT102" s="247"/>
      <c r="DIU102" s="247"/>
      <c r="DIV102" s="247"/>
      <c r="DIW102" s="247"/>
      <c r="DIX102" s="247"/>
      <c r="DIY102" s="247"/>
      <c r="DIZ102" s="247"/>
      <c r="DJA102" s="247"/>
      <c r="DJB102" s="247"/>
      <c r="DJC102" s="247"/>
      <c r="DJD102" s="247"/>
      <c r="DJE102" s="247"/>
      <c r="DJF102" s="247"/>
      <c r="DJG102" s="247"/>
      <c r="DJH102" s="247"/>
      <c r="DJI102" s="247"/>
      <c r="DJJ102" s="247"/>
      <c r="DJK102" s="247"/>
      <c r="DJL102" s="247"/>
      <c r="DJM102" s="247"/>
      <c r="DJN102" s="247"/>
      <c r="DJO102" s="247"/>
      <c r="DJP102" s="247"/>
      <c r="DJQ102" s="247"/>
      <c r="DJR102" s="247"/>
      <c r="DJS102" s="247"/>
      <c r="DJT102" s="247"/>
      <c r="DJU102" s="247"/>
      <c r="DJV102" s="247"/>
      <c r="DJW102" s="247"/>
      <c r="DJX102" s="247"/>
      <c r="DJY102" s="247"/>
      <c r="DJZ102" s="247"/>
      <c r="DKA102" s="247"/>
      <c r="DKB102" s="247"/>
      <c r="DKC102" s="247"/>
      <c r="DKD102" s="247"/>
      <c r="DKE102" s="247"/>
      <c r="DKF102" s="247"/>
      <c r="DKG102" s="247"/>
      <c r="DKH102" s="247"/>
      <c r="DKI102" s="247"/>
      <c r="DKJ102" s="247"/>
      <c r="DKK102" s="247"/>
      <c r="DKL102" s="247"/>
      <c r="DKM102" s="247"/>
      <c r="DKN102" s="247"/>
      <c r="DKO102" s="247"/>
      <c r="DKP102" s="247"/>
      <c r="DKQ102" s="247"/>
      <c r="DKR102" s="247"/>
      <c r="DKS102" s="247"/>
      <c r="DKT102" s="247"/>
      <c r="DKU102" s="247"/>
      <c r="DKV102" s="247"/>
      <c r="DKW102" s="247"/>
      <c r="DKX102" s="247"/>
      <c r="DKY102" s="247"/>
      <c r="DKZ102" s="247"/>
      <c r="DLA102" s="247"/>
      <c r="DLB102" s="247"/>
      <c r="DLC102" s="247"/>
      <c r="DLD102" s="247"/>
      <c r="DLE102" s="247"/>
      <c r="DLF102" s="247"/>
      <c r="DLG102" s="247"/>
      <c r="DLH102" s="247"/>
      <c r="DLI102" s="247"/>
      <c r="DLJ102" s="247"/>
      <c r="DLK102" s="247"/>
      <c r="DLL102" s="247"/>
      <c r="DLM102" s="247"/>
      <c r="DLN102" s="247"/>
      <c r="DLO102" s="247"/>
      <c r="DLP102" s="247"/>
      <c r="DLQ102" s="247"/>
      <c r="DLR102" s="247"/>
      <c r="DLS102" s="247"/>
      <c r="DLT102" s="247"/>
      <c r="DLU102" s="247"/>
      <c r="DLV102" s="247"/>
      <c r="DLW102" s="247"/>
      <c r="DLX102" s="247"/>
      <c r="DLY102" s="247"/>
      <c r="DLZ102" s="247"/>
      <c r="DMA102" s="247"/>
      <c r="DMB102" s="247"/>
      <c r="DMC102" s="247"/>
      <c r="DMD102" s="247"/>
      <c r="DME102" s="247"/>
      <c r="DMF102" s="247"/>
      <c r="DMG102" s="247"/>
      <c r="DMH102" s="247"/>
      <c r="DMI102" s="247"/>
      <c r="DMJ102" s="247"/>
      <c r="DMK102" s="247"/>
      <c r="DML102" s="247"/>
      <c r="DMM102" s="247"/>
      <c r="DMN102" s="247"/>
      <c r="DMO102" s="247"/>
      <c r="DMP102" s="247"/>
      <c r="DMQ102" s="247"/>
      <c r="DMR102" s="247"/>
      <c r="DMS102" s="247"/>
      <c r="DMT102" s="247"/>
      <c r="DMU102" s="247"/>
      <c r="DMV102" s="247"/>
      <c r="DMW102" s="247"/>
      <c r="DMX102" s="247"/>
      <c r="DMY102" s="247"/>
      <c r="DMZ102" s="247"/>
      <c r="DNA102" s="247"/>
      <c r="DNB102" s="247"/>
      <c r="DNC102" s="247"/>
      <c r="DND102" s="247"/>
      <c r="DNE102" s="247"/>
      <c r="DNF102" s="247"/>
      <c r="DNG102" s="247"/>
      <c r="DNH102" s="247"/>
      <c r="DNI102" s="247"/>
      <c r="DNJ102" s="247"/>
      <c r="DNK102" s="247"/>
      <c r="DNL102" s="247"/>
      <c r="DNM102" s="247"/>
      <c r="DNN102" s="247"/>
      <c r="DNO102" s="247"/>
      <c r="DNP102" s="247"/>
      <c r="DNQ102" s="247"/>
      <c r="DNR102" s="247"/>
      <c r="DNS102" s="247"/>
      <c r="DNT102" s="247"/>
      <c r="DNU102" s="247"/>
      <c r="DNV102" s="247"/>
      <c r="DNW102" s="247"/>
      <c r="DNX102" s="247"/>
      <c r="DNY102" s="247"/>
      <c r="DNZ102" s="247"/>
      <c r="DOA102" s="247"/>
      <c r="DOB102" s="247"/>
      <c r="DOC102" s="247"/>
      <c r="DOD102" s="247"/>
      <c r="DOE102" s="247"/>
      <c r="DOF102" s="247"/>
      <c r="DOG102" s="247"/>
      <c r="DOH102" s="247"/>
      <c r="DOI102" s="247"/>
      <c r="DOJ102" s="247"/>
      <c r="DOK102" s="247"/>
      <c r="DOL102" s="247"/>
      <c r="DOM102" s="247"/>
      <c r="DON102" s="247"/>
      <c r="DOO102" s="247"/>
      <c r="DOP102" s="247"/>
      <c r="DOQ102" s="247"/>
      <c r="DOR102" s="247"/>
      <c r="DOS102" s="247"/>
      <c r="DOT102" s="247"/>
      <c r="DOU102" s="247"/>
      <c r="DOV102" s="247"/>
      <c r="DOW102" s="247"/>
      <c r="DOX102" s="247"/>
      <c r="DOY102" s="247"/>
      <c r="DOZ102" s="247"/>
      <c r="DPA102" s="247"/>
      <c r="DPB102" s="247"/>
      <c r="DPC102" s="247"/>
      <c r="DPD102" s="247"/>
      <c r="DPE102" s="247"/>
      <c r="DPF102" s="247"/>
      <c r="DPG102" s="247"/>
      <c r="DPH102" s="247"/>
      <c r="DPI102" s="247"/>
      <c r="DPJ102" s="247"/>
      <c r="DPK102" s="247"/>
      <c r="DPL102" s="247"/>
      <c r="DPM102" s="247"/>
      <c r="DPN102" s="247"/>
      <c r="DPO102" s="247"/>
      <c r="DPP102" s="247"/>
      <c r="DPQ102" s="247"/>
      <c r="DPR102" s="247"/>
      <c r="DPS102" s="247"/>
      <c r="DPT102" s="247"/>
      <c r="DPU102" s="247"/>
      <c r="DPV102" s="247"/>
      <c r="DPW102" s="247"/>
      <c r="DPX102" s="247"/>
      <c r="DPY102" s="247"/>
      <c r="DPZ102" s="247"/>
      <c r="DQA102" s="247"/>
      <c r="DQB102" s="247"/>
      <c r="DQC102" s="247"/>
      <c r="DQD102" s="247"/>
      <c r="DQE102" s="247"/>
      <c r="DQF102" s="247"/>
      <c r="DQG102" s="247"/>
      <c r="DQH102" s="247"/>
      <c r="DQI102" s="247"/>
      <c r="DQJ102" s="247"/>
      <c r="DQK102" s="247"/>
      <c r="DQL102" s="247"/>
      <c r="DQM102" s="247"/>
      <c r="DQN102" s="247"/>
      <c r="DQO102" s="247"/>
      <c r="DQP102" s="247"/>
      <c r="DQQ102" s="247"/>
      <c r="DQR102" s="247"/>
      <c r="DQS102" s="247"/>
      <c r="DQT102" s="247"/>
      <c r="DQU102" s="247"/>
      <c r="DQV102" s="247"/>
      <c r="DQW102" s="247"/>
      <c r="DQX102" s="247"/>
      <c r="DQY102" s="247"/>
      <c r="DQZ102" s="247"/>
      <c r="DRA102" s="247"/>
      <c r="DRB102" s="247"/>
      <c r="DRC102" s="247"/>
      <c r="DRD102" s="247"/>
      <c r="DRE102" s="247"/>
      <c r="DRF102" s="247"/>
      <c r="DRG102" s="247"/>
      <c r="DRH102" s="247"/>
      <c r="DRI102" s="247"/>
      <c r="DRJ102" s="247"/>
      <c r="DRK102" s="247"/>
      <c r="DRL102" s="247"/>
      <c r="DRM102" s="247"/>
      <c r="DRN102" s="247"/>
      <c r="DRO102" s="247"/>
      <c r="DRP102" s="247"/>
      <c r="DRQ102" s="247"/>
      <c r="DRR102" s="247"/>
      <c r="DRS102" s="247"/>
      <c r="DRT102" s="247"/>
      <c r="DRU102" s="247"/>
      <c r="DRV102" s="247"/>
      <c r="DRW102" s="247"/>
      <c r="DRX102" s="247"/>
      <c r="DRY102" s="247"/>
      <c r="DRZ102" s="247"/>
      <c r="DSA102" s="247"/>
      <c r="DSB102" s="247"/>
      <c r="DSC102" s="247"/>
      <c r="DSD102" s="247"/>
      <c r="DSE102" s="247"/>
      <c r="DSF102" s="247"/>
      <c r="DSG102" s="247"/>
      <c r="DSH102" s="247"/>
      <c r="DSI102" s="247"/>
      <c r="DSJ102" s="247"/>
      <c r="DSK102" s="247"/>
      <c r="DSL102" s="247"/>
      <c r="DSM102" s="247"/>
      <c r="DSN102" s="247"/>
      <c r="DSO102" s="247"/>
      <c r="DSP102" s="247"/>
      <c r="DSQ102" s="247"/>
      <c r="DSR102" s="247"/>
      <c r="DSS102" s="247"/>
      <c r="DST102" s="247"/>
      <c r="DSU102" s="247"/>
      <c r="DSV102" s="247"/>
      <c r="DSW102" s="247"/>
      <c r="DSX102" s="247"/>
      <c r="DSY102" s="247"/>
      <c r="DSZ102" s="247"/>
      <c r="DTA102" s="247"/>
      <c r="DTB102" s="247"/>
      <c r="DTC102" s="247"/>
      <c r="DTD102" s="247"/>
      <c r="DTE102" s="247"/>
      <c r="DTF102" s="247"/>
      <c r="DTG102" s="247"/>
      <c r="DTH102" s="247"/>
      <c r="DTI102" s="247"/>
      <c r="DTJ102" s="247"/>
      <c r="DTK102" s="247"/>
      <c r="DTL102" s="247"/>
      <c r="DTM102" s="247"/>
      <c r="DTN102" s="247"/>
      <c r="DTO102" s="247"/>
      <c r="DTP102" s="247"/>
      <c r="DTQ102" s="247"/>
      <c r="DTR102" s="247"/>
      <c r="DTS102" s="247"/>
      <c r="DTT102" s="247"/>
      <c r="DTU102" s="247"/>
      <c r="DTV102" s="247"/>
      <c r="DTW102" s="247"/>
      <c r="DTX102" s="247"/>
      <c r="DTY102" s="247"/>
      <c r="DTZ102" s="247"/>
      <c r="DUA102" s="247"/>
      <c r="DUB102" s="247"/>
      <c r="DUC102" s="247"/>
      <c r="DUD102" s="247"/>
      <c r="DUE102" s="247"/>
      <c r="DUF102" s="247"/>
      <c r="DUG102" s="247"/>
      <c r="DUH102" s="247"/>
      <c r="DUI102" s="247"/>
      <c r="DUJ102" s="247"/>
      <c r="DUK102" s="247"/>
      <c r="DUL102" s="247"/>
      <c r="DUM102" s="247"/>
      <c r="DUN102" s="247"/>
      <c r="DUO102" s="247"/>
      <c r="DUP102" s="247"/>
      <c r="DUQ102" s="247"/>
      <c r="DUR102" s="247"/>
      <c r="DUS102" s="247"/>
      <c r="DUT102" s="247"/>
      <c r="DUU102" s="247"/>
      <c r="DUV102" s="247"/>
      <c r="DUW102" s="247"/>
      <c r="DUX102" s="247"/>
      <c r="DUY102" s="247"/>
      <c r="DUZ102" s="247"/>
      <c r="DVA102" s="247"/>
      <c r="DVB102" s="247"/>
      <c r="DVC102" s="247"/>
      <c r="DVD102" s="247"/>
      <c r="DVE102" s="247"/>
      <c r="DVF102" s="247"/>
      <c r="DVG102" s="247"/>
      <c r="DVH102" s="247"/>
      <c r="DVI102" s="247"/>
      <c r="DVJ102" s="247"/>
      <c r="DVK102" s="247"/>
      <c r="DVL102" s="247"/>
      <c r="DVM102" s="247"/>
      <c r="DVN102" s="247"/>
      <c r="DVO102" s="247"/>
      <c r="DVP102" s="247"/>
      <c r="DVQ102" s="247"/>
      <c r="DVR102" s="247"/>
      <c r="DVS102" s="247"/>
      <c r="DVT102" s="247"/>
      <c r="DVU102" s="247"/>
      <c r="DVV102" s="247"/>
      <c r="DVW102" s="247"/>
      <c r="DVX102" s="247"/>
      <c r="DVY102" s="247"/>
      <c r="DVZ102" s="247"/>
      <c r="DWA102" s="247"/>
      <c r="DWB102" s="247"/>
      <c r="DWC102" s="247"/>
      <c r="DWD102" s="247"/>
      <c r="DWE102" s="247"/>
      <c r="DWF102" s="247"/>
      <c r="DWG102" s="247"/>
      <c r="DWH102" s="247"/>
      <c r="DWI102" s="247"/>
      <c r="DWJ102" s="247"/>
      <c r="DWK102" s="247"/>
      <c r="DWL102" s="247"/>
      <c r="DWM102" s="247"/>
      <c r="DWN102" s="247"/>
      <c r="DWO102" s="247"/>
      <c r="DWP102" s="247"/>
      <c r="DWQ102" s="247"/>
      <c r="DWR102" s="247"/>
      <c r="DWS102" s="247"/>
      <c r="DWT102" s="247"/>
      <c r="DWU102" s="247"/>
      <c r="DWV102" s="247"/>
      <c r="DWW102" s="247"/>
      <c r="DWX102" s="247"/>
      <c r="DWY102" s="247"/>
      <c r="DWZ102" s="247"/>
      <c r="DXA102" s="247"/>
      <c r="DXB102" s="247"/>
      <c r="DXC102" s="247"/>
      <c r="DXD102" s="247"/>
      <c r="DXE102" s="247"/>
      <c r="DXF102" s="247"/>
      <c r="DXG102" s="247"/>
      <c r="DXH102" s="247"/>
      <c r="DXI102" s="247"/>
      <c r="DXJ102" s="247"/>
      <c r="DXK102" s="247"/>
      <c r="DXL102" s="247"/>
      <c r="DXM102" s="247"/>
      <c r="DXN102" s="247"/>
      <c r="DXO102" s="247"/>
      <c r="DXP102" s="247"/>
      <c r="DXQ102" s="247"/>
      <c r="DXR102" s="247"/>
      <c r="DXS102" s="247"/>
      <c r="DXT102" s="247"/>
      <c r="DXU102" s="247"/>
      <c r="DXV102" s="247"/>
      <c r="DXW102" s="247"/>
      <c r="DXX102" s="247"/>
      <c r="DXY102" s="247"/>
      <c r="DXZ102" s="247"/>
      <c r="DYA102" s="247"/>
      <c r="DYB102" s="247"/>
      <c r="DYC102" s="247"/>
      <c r="DYD102" s="247"/>
      <c r="DYE102" s="247"/>
      <c r="DYF102" s="247"/>
      <c r="DYG102" s="247"/>
      <c r="DYH102" s="247"/>
      <c r="DYI102" s="247"/>
      <c r="DYJ102" s="247"/>
      <c r="DYK102" s="247"/>
      <c r="DYL102" s="247"/>
      <c r="DYM102" s="247"/>
      <c r="DYN102" s="247"/>
      <c r="DYO102" s="247"/>
      <c r="DYP102" s="247"/>
      <c r="DYQ102" s="247"/>
      <c r="DYR102" s="247"/>
      <c r="DYS102" s="247"/>
      <c r="DYT102" s="247"/>
      <c r="DYU102" s="247"/>
      <c r="DYV102" s="247"/>
      <c r="DYW102" s="247"/>
      <c r="DYX102" s="247"/>
      <c r="DYY102" s="247"/>
      <c r="DYZ102" s="247"/>
      <c r="DZA102" s="247"/>
      <c r="DZB102" s="247"/>
      <c r="DZC102" s="247"/>
      <c r="DZD102" s="247"/>
      <c r="DZE102" s="247"/>
      <c r="DZF102" s="247"/>
      <c r="DZG102" s="247"/>
      <c r="DZH102" s="247"/>
      <c r="DZI102" s="247"/>
      <c r="DZJ102" s="247"/>
      <c r="DZK102" s="247"/>
      <c r="DZL102" s="247"/>
      <c r="DZM102" s="247"/>
      <c r="DZN102" s="247"/>
      <c r="DZO102" s="247"/>
      <c r="DZP102" s="247"/>
      <c r="DZQ102" s="247"/>
      <c r="DZR102" s="247"/>
      <c r="DZS102" s="247"/>
      <c r="DZT102" s="247"/>
      <c r="DZU102" s="247"/>
      <c r="DZV102" s="247"/>
      <c r="DZW102" s="247"/>
      <c r="DZX102" s="247"/>
      <c r="DZY102" s="247"/>
      <c r="DZZ102" s="247"/>
      <c r="EAA102" s="247"/>
      <c r="EAB102" s="247"/>
      <c r="EAC102" s="247"/>
      <c r="EAD102" s="247"/>
      <c r="EAE102" s="247"/>
      <c r="EAF102" s="247"/>
      <c r="EAG102" s="247"/>
      <c r="EAH102" s="247"/>
      <c r="EAI102" s="247"/>
      <c r="EAJ102" s="247"/>
      <c r="EAK102" s="247"/>
      <c r="EAL102" s="247"/>
      <c r="EAM102" s="247"/>
      <c r="EAN102" s="247"/>
      <c r="EAO102" s="247"/>
      <c r="EAP102" s="247"/>
      <c r="EAQ102" s="247"/>
      <c r="EAR102" s="247"/>
      <c r="EAS102" s="247"/>
      <c r="EAT102" s="247"/>
      <c r="EAU102" s="247"/>
      <c r="EAV102" s="247"/>
      <c r="EAW102" s="247"/>
      <c r="EAX102" s="247"/>
      <c r="EAY102" s="247"/>
      <c r="EAZ102" s="247"/>
      <c r="EBA102" s="247"/>
      <c r="EBB102" s="247"/>
      <c r="EBC102" s="247"/>
      <c r="EBD102" s="247"/>
      <c r="EBE102" s="247"/>
      <c r="EBF102" s="247"/>
      <c r="EBG102" s="247"/>
      <c r="EBH102" s="247"/>
      <c r="EBI102" s="247"/>
      <c r="EBJ102" s="247"/>
      <c r="EBK102" s="247"/>
      <c r="EBL102" s="247"/>
      <c r="EBM102" s="247"/>
      <c r="EBN102" s="247"/>
      <c r="EBO102" s="247"/>
      <c r="EBP102" s="247"/>
      <c r="EBQ102" s="247"/>
      <c r="EBR102" s="247"/>
      <c r="EBS102" s="247"/>
      <c r="EBT102" s="247"/>
      <c r="EBU102" s="247"/>
      <c r="EBV102" s="247"/>
      <c r="EBW102" s="247"/>
      <c r="EBX102" s="247"/>
      <c r="EBY102" s="247"/>
      <c r="EBZ102" s="247"/>
      <c r="ECA102" s="247"/>
      <c r="ECB102" s="247"/>
      <c r="ECC102" s="247"/>
      <c r="ECD102" s="247"/>
      <c r="ECE102" s="247"/>
      <c r="ECF102" s="247"/>
      <c r="ECG102" s="247"/>
      <c r="ECH102" s="247"/>
      <c r="ECI102" s="247"/>
      <c r="ECJ102" s="247"/>
      <c r="ECK102" s="247"/>
      <c r="ECL102" s="247"/>
      <c r="ECM102" s="247"/>
      <c r="ECN102" s="247"/>
      <c r="ECO102" s="247"/>
      <c r="ECP102" s="247"/>
      <c r="ECQ102" s="247"/>
      <c r="ECR102" s="247"/>
      <c r="ECS102" s="247"/>
      <c r="ECT102" s="247"/>
      <c r="ECU102" s="247"/>
      <c r="ECV102" s="247"/>
      <c r="ECW102" s="247"/>
      <c r="ECX102" s="247"/>
      <c r="ECY102" s="247"/>
      <c r="ECZ102" s="247"/>
      <c r="EDA102" s="247"/>
      <c r="EDB102" s="247"/>
      <c r="EDC102" s="247"/>
      <c r="EDD102" s="247"/>
      <c r="EDE102" s="247"/>
      <c r="EDF102" s="247"/>
      <c r="EDG102" s="247"/>
      <c r="EDH102" s="247"/>
      <c r="EDI102" s="247"/>
      <c r="EDJ102" s="247"/>
      <c r="EDK102" s="247"/>
      <c r="EDL102" s="247"/>
      <c r="EDM102" s="247"/>
      <c r="EDN102" s="247"/>
      <c r="EDO102" s="247"/>
      <c r="EDP102" s="247"/>
      <c r="EDQ102" s="247"/>
      <c r="EDR102" s="247"/>
      <c r="EDS102" s="247"/>
      <c r="EDT102" s="247"/>
      <c r="EDU102" s="247"/>
      <c r="EDV102" s="247"/>
      <c r="EDW102" s="247"/>
      <c r="EDX102" s="247"/>
      <c r="EDY102" s="247"/>
      <c r="EDZ102" s="247"/>
      <c r="EEA102" s="247"/>
      <c r="EEB102" s="247"/>
      <c r="EEC102" s="247"/>
      <c r="EED102" s="247"/>
      <c r="EEE102" s="247"/>
      <c r="EEF102" s="247"/>
      <c r="EEG102" s="247"/>
      <c r="EEH102" s="247"/>
      <c r="EEI102" s="247"/>
      <c r="EEJ102" s="247"/>
      <c r="EEK102" s="247"/>
      <c r="EEL102" s="247"/>
      <c r="EEM102" s="247"/>
      <c r="EEN102" s="247"/>
      <c r="EEO102" s="247"/>
      <c r="EEP102" s="247"/>
      <c r="EEQ102" s="247"/>
      <c r="EER102" s="247"/>
      <c r="EES102" s="247"/>
      <c r="EET102" s="247"/>
      <c r="EEU102" s="247"/>
      <c r="EEV102" s="247"/>
      <c r="EEW102" s="247"/>
      <c r="EEX102" s="247"/>
      <c r="EEY102" s="247"/>
      <c r="EEZ102" s="247"/>
      <c r="EFA102" s="247"/>
      <c r="EFB102" s="247"/>
      <c r="EFC102" s="247"/>
      <c r="EFD102" s="247"/>
      <c r="EFE102" s="247"/>
      <c r="EFF102" s="247"/>
      <c r="EFG102" s="247"/>
      <c r="EFH102" s="247"/>
      <c r="EFI102" s="247"/>
      <c r="EFJ102" s="247"/>
      <c r="EFK102" s="247"/>
      <c r="EFL102" s="247"/>
      <c r="EFM102" s="247"/>
      <c r="EFN102" s="247"/>
      <c r="EFO102" s="247"/>
      <c r="EFP102" s="247"/>
      <c r="EFQ102" s="247"/>
      <c r="EFR102" s="247"/>
      <c r="EFS102" s="247"/>
      <c r="EFT102" s="247"/>
      <c r="EFU102" s="247"/>
      <c r="EFV102" s="247"/>
      <c r="EFW102" s="247"/>
      <c r="EFX102" s="247"/>
      <c r="EFY102" s="247"/>
      <c r="EFZ102" s="247"/>
      <c r="EGA102" s="247"/>
      <c r="EGB102" s="247"/>
      <c r="EGC102" s="247"/>
      <c r="EGD102" s="247"/>
      <c r="EGE102" s="247"/>
      <c r="EGF102" s="247"/>
      <c r="EGG102" s="247"/>
      <c r="EGH102" s="247"/>
      <c r="EGI102" s="247"/>
      <c r="EGJ102" s="247"/>
      <c r="EGK102" s="247"/>
      <c r="EGL102" s="247"/>
      <c r="EGM102" s="247"/>
      <c r="EGN102" s="247"/>
      <c r="EGO102" s="247"/>
      <c r="EGP102" s="247"/>
      <c r="EGQ102" s="247"/>
      <c r="EGR102" s="247"/>
      <c r="EGS102" s="247"/>
      <c r="EGT102" s="247"/>
      <c r="EGU102" s="247"/>
      <c r="EGV102" s="247"/>
      <c r="EGW102" s="247"/>
      <c r="EGX102" s="247"/>
      <c r="EGY102" s="247"/>
      <c r="EGZ102" s="247"/>
      <c r="EHA102" s="247"/>
      <c r="EHB102" s="247"/>
      <c r="EHC102" s="247"/>
      <c r="EHD102" s="247"/>
      <c r="EHE102" s="247"/>
      <c r="EHF102" s="247"/>
      <c r="EHG102" s="247"/>
      <c r="EHH102" s="247"/>
      <c r="EHI102" s="247"/>
      <c r="EHJ102" s="247"/>
      <c r="EHK102" s="247"/>
      <c r="EHL102" s="247"/>
      <c r="EHM102" s="247"/>
      <c r="EHN102" s="247"/>
      <c r="EHO102" s="247"/>
      <c r="EHP102" s="247"/>
      <c r="EHQ102" s="247"/>
      <c r="EHR102" s="247"/>
      <c r="EHS102" s="247"/>
      <c r="EHT102" s="247"/>
      <c r="EHU102" s="247"/>
      <c r="EHV102" s="247"/>
      <c r="EHW102" s="247"/>
      <c r="EHX102" s="247"/>
      <c r="EHY102" s="247"/>
      <c r="EHZ102" s="247"/>
      <c r="EIA102" s="247"/>
      <c r="EIB102" s="247"/>
      <c r="EIC102" s="247"/>
      <c r="EID102" s="247"/>
      <c r="EIE102" s="247"/>
      <c r="EIF102" s="247"/>
      <c r="EIG102" s="247"/>
      <c r="EIH102" s="247"/>
      <c r="EII102" s="247"/>
      <c r="EIJ102" s="247"/>
      <c r="EIK102" s="247"/>
      <c r="EIL102" s="247"/>
      <c r="EIM102" s="247"/>
      <c r="EIN102" s="247"/>
      <c r="EIO102" s="247"/>
      <c r="EIP102" s="247"/>
      <c r="EIQ102" s="247"/>
      <c r="EIR102" s="247"/>
      <c r="EIS102" s="247"/>
      <c r="EIT102" s="247"/>
      <c r="EIU102" s="247"/>
      <c r="EIV102" s="247"/>
      <c r="EIW102" s="247"/>
      <c r="EIX102" s="247"/>
      <c r="EIY102" s="247"/>
      <c r="EIZ102" s="247"/>
      <c r="EJA102" s="247"/>
      <c r="EJB102" s="247"/>
      <c r="EJC102" s="247"/>
      <c r="EJD102" s="247"/>
      <c r="EJE102" s="247"/>
      <c r="EJF102" s="247"/>
      <c r="EJG102" s="247"/>
      <c r="EJH102" s="247"/>
      <c r="EJI102" s="247"/>
      <c r="EJJ102" s="247"/>
      <c r="EJK102" s="247"/>
      <c r="EJL102" s="247"/>
      <c r="EJM102" s="247"/>
      <c r="EJN102" s="247"/>
      <c r="EJO102" s="247"/>
      <c r="EJP102" s="247"/>
      <c r="EJQ102" s="247"/>
      <c r="EJR102" s="247"/>
      <c r="EJS102" s="247"/>
      <c r="EJT102" s="247"/>
      <c r="EJU102" s="247"/>
      <c r="EJV102" s="247"/>
      <c r="EJW102" s="247"/>
      <c r="EJX102" s="247"/>
      <c r="EJY102" s="247"/>
      <c r="EJZ102" s="247"/>
      <c r="EKA102" s="247"/>
      <c r="EKB102" s="247"/>
      <c r="EKC102" s="247"/>
      <c r="EKD102" s="247"/>
      <c r="EKE102" s="247"/>
      <c r="EKF102" s="247"/>
      <c r="EKG102" s="247"/>
      <c r="EKH102" s="247"/>
      <c r="EKI102" s="247"/>
      <c r="EKJ102" s="247"/>
      <c r="EKK102" s="247"/>
      <c r="EKL102" s="247"/>
      <c r="EKM102" s="247"/>
      <c r="EKN102" s="247"/>
      <c r="EKO102" s="247"/>
      <c r="EKP102" s="247"/>
      <c r="EKQ102" s="247"/>
      <c r="EKR102" s="247"/>
      <c r="EKS102" s="247"/>
      <c r="EKT102" s="247"/>
      <c r="EKU102" s="247"/>
      <c r="EKV102" s="247"/>
      <c r="EKW102" s="247"/>
      <c r="EKX102" s="247"/>
      <c r="EKY102" s="247"/>
      <c r="EKZ102" s="247"/>
      <c r="ELA102" s="247"/>
      <c r="ELB102" s="247"/>
      <c r="ELC102" s="247"/>
      <c r="ELD102" s="247"/>
      <c r="ELE102" s="247"/>
      <c r="ELF102" s="247"/>
      <c r="ELG102" s="247"/>
      <c r="ELH102" s="247"/>
      <c r="ELI102" s="247"/>
      <c r="ELJ102" s="247"/>
      <c r="ELK102" s="247"/>
      <c r="ELL102" s="247"/>
      <c r="ELM102" s="247"/>
      <c r="ELN102" s="247"/>
      <c r="ELO102" s="247"/>
      <c r="ELP102" s="247"/>
      <c r="ELQ102" s="247"/>
      <c r="ELR102" s="247"/>
      <c r="ELS102" s="247"/>
      <c r="ELT102" s="247"/>
      <c r="ELU102" s="247"/>
      <c r="ELV102" s="247"/>
      <c r="ELW102" s="247"/>
      <c r="ELX102" s="247"/>
      <c r="ELY102" s="247"/>
      <c r="ELZ102" s="247"/>
      <c r="EMA102" s="247"/>
      <c r="EMB102" s="247"/>
      <c r="EMC102" s="247"/>
      <c r="EMD102" s="247"/>
      <c r="EME102" s="247"/>
      <c r="EMF102" s="247"/>
      <c r="EMG102" s="247"/>
      <c r="EMH102" s="247"/>
      <c r="EMI102" s="247"/>
      <c r="EMJ102" s="247"/>
      <c r="EMK102" s="247"/>
      <c r="EML102" s="247"/>
      <c r="EMM102" s="247"/>
      <c r="EMN102" s="247"/>
      <c r="EMO102" s="247"/>
      <c r="EMP102" s="247"/>
      <c r="EMQ102" s="247"/>
      <c r="EMR102" s="247"/>
      <c r="EMS102" s="247"/>
      <c r="EMT102" s="247"/>
      <c r="EMU102" s="247"/>
      <c r="EMV102" s="247"/>
      <c r="EMW102" s="247"/>
      <c r="EMX102" s="247"/>
      <c r="EMY102" s="247"/>
      <c r="EMZ102" s="247"/>
      <c r="ENA102" s="247"/>
      <c r="ENB102" s="247"/>
      <c r="ENC102" s="247"/>
      <c r="END102" s="247"/>
      <c r="ENE102" s="247"/>
      <c r="ENF102" s="247"/>
      <c r="ENG102" s="247"/>
      <c r="ENH102" s="247"/>
      <c r="ENI102" s="247"/>
      <c r="ENJ102" s="247"/>
      <c r="ENK102" s="247"/>
      <c r="ENL102" s="247"/>
      <c r="ENM102" s="247"/>
      <c r="ENN102" s="247"/>
      <c r="ENO102" s="247"/>
      <c r="ENP102" s="247"/>
      <c r="ENQ102" s="247"/>
      <c r="ENR102" s="247"/>
      <c r="ENS102" s="247"/>
      <c r="ENT102" s="247"/>
      <c r="ENU102" s="247"/>
      <c r="ENV102" s="247"/>
      <c r="ENW102" s="247"/>
      <c r="ENX102" s="247"/>
      <c r="ENY102" s="247"/>
      <c r="ENZ102" s="247"/>
      <c r="EOA102" s="247"/>
      <c r="EOB102" s="247"/>
      <c r="EOC102" s="247"/>
      <c r="EOD102" s="247"/>
      <c r="EOE102" s="247"/>
      <c r="EOF102" s="247"/>
      <c r="EOG102" s="247"/>
      <c r="EOH102" s="247"/>
      <c r="EOI102" s="247"/>
      <c r="EOJ102" s="247"/>
      <c r="EOK102" s="247"/>
      <c r="EOL102" s="247"/>
      <c r="EOM102" s="247"/>
      <c r="EON102" s="247"/>
      <c r="EOO102" s="247"/>
      <c r="EOP102" s="247"/>
      <c r="EOQ102" s="247"/>
      <c r="EOR102" s="247"/>
      <c r="EOS102" s="247"/>
      <c r="EOT102" s="247"/>
      <c r="EOU102" s="247"/>
      <c r="EOV102" s="247"/>
      <c r="EOW102" s="247"/>
      <c r="EOX102" s="247"/>
      <c r="EOY102" s="247"/>
      <c r="EOZ102" s="247"/>
      <c r="EPA102" s="247"/>
      <c r="EPB102" s="247"/>
      <c r="EPC102" s="247"/>
      <c r="EPD102" s="247"/>
      <c r="EPE102" s="247"/>
      <c r="EPF102" s="247"/>
      <c r="EPG102" s="247"/>
      <c r="EPH102" s="247"/>
      <c r="EPI102" s="247"/>
      <c r="EPJ102" s="247"/>
      <c r="EPK102" s="247"/>
      <c r="EPL102" s="247"/>
      <c r="EPM102" s="247"/>
      <c r="EPN102" s="247"/>
      <c r="EPO102" s="247"/>
      <c r="EPP102" s="247"/>
      <c r="EPQ102" s="247"/>
      <c r="EPR102" s="247"/>
      <c r="EPS102" s="247"/>
      <c r="EPT102" s="247"/>
      <c r="EPU102" s="247"/>
      <c r="EPV102" s="247"/>
      <c r="EPW102" s="247"/>
      <c r="EPX102" s="247"/>
      <c r="EPY102" s="247"/>
      <c r="EPZ102" s="247"/>
      <c r="EQA102" s="247"/>
      <c r="EQB102" s="247"/>
      <c r="EQC102" s="247"/>
      <c r="EQD102" s="247"/>
      <c r="EQE102" s="247"/>
      <c r="EQF102" s="247"/>
      <c r="EQG102" s="247"/>
      <c r="EQH102" s="247"/>
      <c r="EQI102" s="247"/>
      <c r="EQJ102" s="247"/>
      <c r="EQK102" s="247"/>
      <c r="EQL102" s="247"/>
      <c r="EQM102" s="247"/>
      <c r="EQN102" s="247"/>
      <c r="EQO102" s="247"/>
      <c r="EQP102" s="247"/>
      <c r="EQQ102" s="247"/>
      <c r="EQR102" s="247"/>
      <c r="EQS102" s="247"/>
      <c r="EQT102" s="247"/>
      <c r="EQU102" s="247"/>
      <c r="EQV102" s="247"/>
      <c r="EQW102" s="247"/>
      <c r="EQX102" s="247"/>
      <c r="EQY102" s="247"/>
      <c r="EQZ102" s="247"/>
      <c r="ERA102" s="247"/>
      <c r="ERB102" s="247"/>
      <c r="ERC102" s="247"/>
      <c r="ERD102" s="247"/>
      <c r="ERE102" s="247"/>
      <c r="ERF102" s="247"/>
      <c r="ERG102" s="247"/>
      <c r="ERH102" s="247"/>
      <c r="ERI102" s="247"/>
      <c r="ERJ102" s="247"/>
      <c r="ERK102" s="247"/>
      <c r="ERL102" s="247"/>
      <c r="ERM102" s="247"/>
      <c r="ERN102" s="247"/>
      <c r="ERO102" s="247"/>
      <c r="ERP102" s="247"/>
      <c r="ERQ102" s="247"/>
      <c r="ERR102" s="247"/>
      <c r="ERS102" s="247"/>
      <c r="ERT102" s="247"/>
      <c r="ERU102" s="247"/>
      <c r="ERV102" s="247"/>
      <c r="ERW102" s="247"/>
      <c r="ERX102" s="247"/>
      <c r="ERY102" s="247"/>
      <c r="ERZ102" s="247"/>
      <c r="ESA102" s="247"/>
      <c r="ESB102" s="247"/>
      <c r="ESC102" s="247"/>
      <c r="ESD102" s="247"/>
      <c r="ESE102" s="247"/>
      <c r="ESF102" s="247"/>
      <c r="ESG102" s="247"/>
      <c r="ESH102" s="247"/>
      <c r="ESI102" s="247"/>
      <c r="ESJ102" s="247"/>
      <c r="ESK102" s="247"/>
      <c r="ESL102" s="247"/>
      <c r="ESM102" s="247"/>
      <c r="ESN102" s="247"/>
      <c r="ESO102" s="247"/>
      <c r="ESP102" s="247"/>
      <c r="ESQ102" s="247"/>
      <c r="ESR102" s="247"/>
      <c r="ESS102" s="247"/>
      <c r="EST102" s="247"/>
      <c r="ESU102" s="247"/>
      <c r="ESV102" s="247"/>
      <c r="ESW102" s="247"/>
      <c r="ESX102" s="247"/>
      <c r="ESY102" s="247"/>
      <c r="ESZ102" s="247"/>
      <c r="ETA102" s="247"/>
      <c r="ETB102" s="247"/>
      <c r="ETC102" s="247"/>
      <c r="ETD102" s="247"/>
      <c r="ETE102" s="247"/>
      <c r="ETF102" s="247"/>
      <c r="ETG102" s="247"/>
      <c r="ETH102" s="247"/>
      <c r="ETI102" s="247"/>
      <c r="ETJ102" s="247"/>
      <c r="ETK102" s="247"/>
      <c r="ETL102" s="247"/>
      <c r="ETM102" s="247"/>
      <c r="ETN102" s="247"/>
      <c r="ETO102" s="247"/>
      <c r="ETP102" s="247"/>
      <c r="ETQ102" s="247"/>
      <c r="ETR102" s="247"/>
      <c r="ETS102" s="247"/>
      <c r="ETT102" s="247"/>
      <c r="ETU102" s="247"/>
      <c r="ETV102" s="247"/>
      <c r="ETW102" s="247"/>
      <c r="ETX102" s="247"/>
      <c r="ETY102" s="247"/>
      <c r="ETZ102" s="247"/>
      <c r="EUA102" s="247"/>
      <c r="EUB102" s="247"/>
      <c r="EUC102" s="247"/>
      <c r="EUD102" s="247"/>
      <c r="EUE102" s="247"/>
      <c r="EUF102" s="247"/>
      <c r="EUG102" s="247"/>
      <c r="EUH102" s="247"/>
      <c r="EUI102" s="247"/>
      <c r="EUJ102" s="247"/>
      <c r="EUK102" s="247"/>
      <c r="EUL102" s="247"/>
      <c r="EUM102" s="247"/>
      <c r="EUN102" s="247"/>
      <c r="EUO102" s="247"/>
      <c r="EUP102" s="247"/>
      <c r="EUQ102" s="247"/>
      <c r="EUR102" s="247"/>
      <c r="EUS102" s="247"/>
      <c r="EUT102" s="247"/>
      <c r="EUU102" s="247"/>
      <c r="EUV102" s="247"/>
      <c r="EUW102" s="247"/>
      <c r="EUX102" s="247"/>
      <c r="EUY102" s="247"/>
      <c r="EUZ102" s="247"/>
      <c r="EVA102" s="247"/>
      <c r="EVB102" s="247"/>
      <c r="EVC102" s="247"/>
      <c r="EVD102" s="247"/>
      <c r="EVE102" s="247"/>
      <c r="EVF102" s="247"/>
      <c r="EVG102" s="247"/>
      <c r="EVH102" s="247"/>
      <c r="EVI102" s="247"/>
      <c r="EVJ102" s="247"/>
      <c r="EVK102" s="247"/>
      <c r="EVL102" s="247"/>
      <c r="EVM102" s="247"/>
      <c r="EVN102" s="247"/>
      <c r="EVO102" s="247"/>
      <c r="EVP102" s="247"/>
      <c r="EVQ102" s="247"/>
      <c r="EVR102" s="247"/>
      <c r="EVS102" s="247"/>
      <c r="EVT102" s="247"/>
      <c r="EVU102" s="247"/>
      <c r="EVV102" s="247"/>
      <c r="EVW102" s="247"/>
      <c r="EVX102" s="247"/>
      <c r="EVY102" s="247"/>
      <c r="EVZ102" s="247"/>
      <c r="EWA102" s="247"/>
      <c r="EWB102" s="247"/>
      <c r="EWC102" s="247"/>
      <c r="EWD102" s="247"/>
      <c r="EWE102" s="247"/>
      <c r="EWF102" s="247"/>
      <c r="EWG102" s="247"/>
      <c r="EWH102" s="247"/>
      <c r="EWI102" s="247"/>
      <c r="EWJ102" s="247"/>
      <c r="EWK102" s="247"/>
      <c r="EWL102" s="247"/>
      <c r="EWM102" s="247"/>
      <c r="EWN102" s="247"/>
      <c r="EWO102" s="247"/>
      <c r="EWP102" s="247"/>
      <c r="EWQ102" s="247"/>
      <c r="EWR102" s="247"/>
      <c r="EWS102" s="247"/>
      <c r="EWT102" s="247"/>
      <c r="EWU102" s="247"/>
      <c r="EWV102" s="247"/>
      <c r="EWW102" s="247"/>
      <c r="EWX102" s="247"/>
      <c r="EWY102" s="247"/>
      <c r="EWZ102" s="247"/>
      <c r="EXA102" s="247"/>
      <c r="EXB102" s="247"/>
      <c r="EXC102" s="247"/>
      <c r="EXD102" s="247"/>
      <c r="EXE102" s="247"/>
      <c r="EXF102" s="247"/>
      <c r="EXG102" s="247"/>
      <c r="EXH102" s="247"/>
      <c r="EXI102" s="247"/>
      <c r="EXJ102" s="247"/>
      <c r="EXK102" s="247"/>
      <c r="EXL102" s="247"/>
      <c r="EXM102" s="247"/>
      <c r="EXN102" s="247"/>
      <c r="EXO102" s="247"/>
      <c r="EXP102" s="247"/>
      <c r="EXQ102" s="247"/>
      <c r="EXR102" s="247"/>
      <c r="EXS102" s="247"/>
      <c r="EXT102" s="247"/>
      <c r="EXU102" s="247"/>
      <c r="EXV102" s="247"/>
      <c r="EXW102" s="247"/>
      <c r="EXX102" s="247"/>
      <c r="EXY102" s="247"/>
      <c r="EXZ102" s="247"/>
      <c r="EYA102" s="247"/>
      <c r="EYB102" s="247"/>
      <c r="EYC102" s="247"/>
      <c r="EYD102" s="247"/>
      <c r="EYE102" s="247"/>
      <c r="EYF102" s="247"/>
      <c r="EYG102" s="247"/>
      <c r="EYH102" s="247"/>
      <c r="EYI102" s="247"/>
      <c r="EYJ102" s="247"/>
      <c r="EYK102" s="247"/>
      <c r="EYL102" s="247"/>
      <c r="EYM102" s="247"/>
      <c r="EYN102" s="247"/>
      <c r="EYO102" s="247"/>
      <c r="EYP102" s="247"/>
      <c r="EYQ102" s="247"/>
      <c r="EYR102" s="247"/>
      <c r="EYS102" s="247"/>
      <c r="EYT102" s="247"/>
      <c r="EYU102" s="247"/>
      <c r="EYV102" s="247"/>
      <c r="EYW102" s="247"/>
      <c r="EYX102" s="247"/>
      <c r="EYY102" s="247"/>
      <c r="EYZ102" s="247"/>
      <c r="EZA102" s="247"/>
      <c r="EZB102" s="247"/>
      <c r="EZC102" s="247"/>
      <c r="EZD102" s="247"/>
      <c r="EZE102" s="247"/>
      <c r="EZF102" s="247"/>
      <c r="EZG102" s="247"/>
      <c r="EZH102" s="247"/>
      <c r="EZI102" s="247"/>
      <c r="EZJ102" s="247"/>
      <c r="EZK102" s="247"/>
      <c r="EZL102" s="247"/>
      <c r="EZM102" s="247"/>
      <c r="EZN102" s="247"/>
      <c r="EZO102" s="247"/>
      <c r="EZP102" s="247"/>
      <c r="EZQ102" s="247"/>
      <c r="EZR102" s="247"/>
      <c r="EZS102" s="247"/>
      <c r="EZT102" s="247"/>
      <c r="EZU102" s="247"/>
      <c r="EZV102" s="247"/>
      <c r="EZW102" s="247"/>
      <c r="EZX102" s="247"/>
      <c r="EZY102" s="247"/>
      <c r="EZZ102" s="247"/>
      <c r="FAA102" s="247"/>
      <c r="FAB102" s="247"/>
      <c r="FAC102" s="247"/>
      <c r="FAD102" s="247"/>
      <c r="FAE102" s="247"/>
      <c r="FAF102" s="247"/>
      <c r="FAG102" s="247"/>
      <c r="FAH102" s="247"/>
      <c r="FAI102" s="247"/>
      <c r="FAJ102" s="247"/>
      <c r="FAK102" s="247"/>
      <c r="FAL102" s="247"/>
      <c r="FAM102" s="247"/>
      <c r="FAN102" s="247"/>
      <c r="FAO102" s="247"/>
      <c r="FAP102" s="247"/>
      <c r="FAQ102" s="247"/>
      <c r="FAR102" s="247"/>
      <c r="FAS102" s="247"/>
      <c r="FAT102" s="247"/>
      <c r="FAU102" s="247"/>
      <c r="FAV102" s="247"/>
      <c r="FAW102" s="247"/>
      <c r="FAX102" s="247"/>
      <c r="FAY102" s="247"/>
      <c r="FAZ102" s="247"/>
      <c r="FBA102" s="247"/>
      <c r="FBB102" s="247"/>
      <c r="FBC102" s="247"/>
      <c r="FBD102" s="247"/>
      <c r="FBE102" s="247"/>
      <c r="FBF102" s="247"/>
      <c r="FBG102" s="247"/>
      <c r="FBH102" s="247"/>
      <c r="FBI102" s="247"/>
      <c r="FBJ102" s="247"/>
      <c r="FBK102" s="247"/>
      <c r="FBL102" s="247"/>
      <c r="FBM102" s="247"/>
      <c r="FBN102" s="247"/>
      <c r="FBO102" s="247"/>
      <c r="FBP102" s="247"/>
      <c r="FBQ102" s="247"/>
      <c r="FBR102" s="247"/>
      <c r="FBS102" s="247"/>
      <c r="FBT102" s="247"/>
      <c r="FBU102" s="247"/>
      <c r="FBV102" s="247"/>
      <c r="FBW102" s="247"/>
      <c r="FBX102" s="247"/>
      <c r="FBY102" s="247"/>
      <c r="FBZ102" s="247"/>
      <c r="FCA102" s="247"/>
      <c r="FCB102" s="247"/>
      <c r="FCC102" s="247"/>
      <c r="FCD102" s="247"/>
      <c r="FCE102" s="247"/>
      <c r="FCF102" s="247"/>
      <c r="FCG102" s="247"/>
      <c r="FCH102" s="247"/>
      <c r="FCI102" s="247"/>
      <c r="FCJ102" s="247"/>
      <c r="FCK102" s="247"/>
      <c r="FCL102" s="247"/>
      <c r="FCM102" s="247"/>
      <c r="FCN102" s="247"/>
      <c r="FCO102" s="247"/>
      <c r="FCP102" s="247"/>
      <c r="FCQ102" s="247"/>
      <c r="FCR102" s="247"/>
      <c r="FCS102" s="247"/>
      <c r="FCT102" s="247"/>
      <c r="FCU102" s="247"/>
      <c r="FCV102" s="247"/>
      <c r="FCW102" s="247"/>
      <c r="FCX102" s="247"/>
      <c r="FCY102" s="247"/>
      <c r="FCZ102" s="247"/>
      <c r="FDA102" s="247"/>
      <c r="FDB102" s="247"/>
      <c r="FDC102" s="247"/>
      <c r="FDD102" s="247"/>
      <c r="FDE102" s="247"/>
      <c r="FDF102" s="247"/>
      <c r="FDG102" s="247"/>
      <c r="FDH102" s="247"/>
      <c r="FDI102" s="247"/>
      <c r="FDJ102" s="247"/>
      <c r="FDK102" s="247"/>
      <c r="FDL102" s="247"/>
      <c r="FDM102" s="247"/>
      <c r="FDN102" s="247"/>
      <c r="FDO102" s="247"/>
      <c r="FDP102" s="247"/>
      <c r="FDQ102" s="247"/>
      <c r="FDR102" s="247"/>
      <c r="FDS102" s="247"/>
      <c r="FDT102" s="247"/>
      <c r="FDU102" s="247"/>
      <c r="FDV102" s="247"/>
      <c r="FDW102" s="247"/>
      <c r="FDX102" s="247"/>
      <c r="FDY102" s="247"/>
      <c r="FDZ102" s="247"/>
      <c r="FEA102" s="247"/>
      <c r="FEB102" s="247"/>
      <c r="FEC102" s="247"/>
      <c r="FED102" s="247"/>
      <c r="FEE102" s="247"/>
      <c r="FEF102" s="247"/>
      <c r="FEG102" s="247"/>
      <c r="FEH102" s="247"/>
      <c r="FEI102" s="247"/>
      <c r="FEJ102" s="247"/>
      <c r="FEK102" s="247"/>
      <c r="FEL102" s="247"/>
      <c r="FEM102" s="247"/>
      <c r="FEN102" s="247"/>
      <c r="FEO102" s="247"/>
      <c r="FEP102" s="247"/>
      <c r="FEQ102" s="247"/>
      <c r="FER102" s="247"/>
      <c r="FES102" s="247"/>
      <c r="FET102" s="247"/>
      <c r="FEU102" s="247"/>
      <c r="FEV102" s="247"/>
      <c r="FEW102" s="247"/>
      <c r="FEX102" s="247"/>
      <c r="FEY102" s="247"/>
      <c r="FEZ102" s="247"/>
      <c r="FFA102" s="247"/>
      <c r="FFB102" s="247"/>
      <c r="FFC102" s="247"/>
      <c r="FFD102" s="247"/>
      <c r="FFE102" s="247"/>
      <c r="FFF102" s="247"/>
      <c r="FFG102" s="247"/>
      <c r="FFH102" s="247"/>
      <c r="FFI102" s="247"/>
      <c r="FFJ102" s="247"/>
      <c r="FFK102" s="247"/>
      <c r="FFL102" s="247"/>
      <c r="FFM102" s="247"/>
      <c r="FFN102" s="247"/>
      <c r="FFO102" s="247"/>
      <c r="FFP102" s="247"/>
      <c r="FFQ102" s="247"/>
      <c r="FFR102" s="247"/>
      <c r="FFS102" s="247"/>
      <c r="FFT102" s="247"/>
      <c r="FFU102" s="247"/>
      <c r="FFV102" s="247"/>
      <c r="FFW102" s="247"/>
      <c r="FFX102" s="247"/>
      <c r="FFY102" s="247"/>
      <c r="FFZ102" s="247"/>
      <c r="FGA102" s="247"/>
      <c r="FGB102" s="247"/>
      <c r="FGC102" s="247"/>
      <c r="FGD102" s="247"/>
      <c r="FGE102" s="247"/>
      <c r="FGF102" s="247"/>
      <c r="FGG102" s="247"/>
      <c r="FGH102" s="247"/>
      <c r="FGI102" s="247"/>
      <c r="FGJ102" s="247"/>
      <c r="FGK102" s="247"/>
      <c r="FGL102" s="247"/>
      <c r="FGM102" s="247"/>
      <c r="FGN102" s="247"/>
      <c r="FGO102" s="247"/>
      <c r="FGP102" s="247"/>
      <c r="FGQ102" s="247"/>
      <c r="FGR102" s="247"/>
      <c r="FGS102" s="247"/>
      <c r="FGT102" s="247"/>
      <c r="FGU102" s="247"/>
      <c r="FGV102" s="247"/>
      <c r="FGW102" s="247"/>
      <c r="FGX102" s="247"/>
      <c r="FGY102" s="247"/>
      <c r="FGZ102" s="247"/>
      <c r="FHA102" s="247"/>
      <c r="FHB102" s="247"/>
      <c r="FHC102" s="247"/>
      <c r="FHD102" s="247"/>
      <c r="FHE102" s="247"/>
      <c r="FHF102" s="247"/>
      <c r="FHG102" s="247"/>
      <c r="FHH102" s="247"/>
      <c r="FHI102" s="247"/>
      <c r="FHJ102" s="247"/>
      <c r="FHK102" s="247"/>
      <c r="FHL102" s="247"/>
      <c r="FHM102" s="247"/>
      <c r="FHN102" s="247"/>
      <c r="FHO102" s="247"/>
      <c r="FHP102" s="247"/>
      <c r="FHQ102" s="247"/>
      <c r="FHR102" s="247"/>
      <c r="FHS102" s="247"/>
      <c r="FHT102" s="247"/>
      <c r="FHU102" s="247"/>
      <c r="FHV102" s="247"/>
      <c r="FHW102" s="247"/>
      <c r="FHX102" s="247"/>
      <c r="FHY102" s="247"/>
      <c r="FHZ102" s="247"/>
      <c r="FIA102" s="247"/>
      <c r="FIB102" s="247"/>
      <c r="FIC102" s="247"/>
      <c r="FID102" s="247"/>
      <c r="FIE102" s="247"/>
      <c r="FIF102" s="247"/>
      <c r="FIG102" s="247"/>
      <c r="FIH102" s="247"/>
      <c r="FII102" s="247"/>
      <c r="FIJ102" s="247"/>
      <c r="FIK102" s="247"/>
      <c r="FIL102" s="247"/>
      <c r="FIM102" s="247"/>
      <c r="FIN102" s="247"/>
      <c r="FIO102" s="247"/>
      <c r="FIP102" s="247"/>
      <c r="FIQ102" s="247"/>
      <c r="FIR102" s="247"/>
      <c r="FIS102" s="247"/>
      <c r="FIT102" s="247"/>
      <c r="FIU102" s="247"/>
      <c r="FIV102" s="247"/>
      <c r="FIW102" s="247"/>
      <c r="FIX102" s="247"/>
      <c r="FIY102" s="247"/>
      <c r="FIZ102" s="247"/>
      <c r="FJA102" s="247"/>
      <c r="FJB102" s="247"/>
      <c r="FJC102" s="247"/>
      <c r="FJD102" s="247"/>
      <c r="FJE102" s="247"/>
      <c r="FJF102" s="247"/>
      <c r="FJG102" s="247"/>
      <c r="FJH102" s="247"/>
      <c r="FJI102" s="247"/>
      <c r="FJJ102" s="247"/>
      <c r="FJK102" s="247"/>
      <c r="FJL102" s="247"/>
      <c r="FJM102" s="247"/>
      <c r="FJN102" s="247"/>
      <c r="FJO102" s="247"/>
      <c r="FJP102" s="247"/>
      <c r="FJQ102" s="247"/>
      <c r="FJR102" s="247"/>
      <c r="FJS102" s="247"/>
      <c r="FJT102" s="247"/>
      <c r="FJU102" s="247"/>
      <c r="FJV102" s="247"/>
      <c r="FJW102" s="247"/>
      <c r="FJX102" s="247"/>
      <c r="FJY102" s="247"/>
      <c r="FJZ102" s="247"/>
      <c r="FKA102" s="247"/>
      <c r="FKB102" s="247"/>
      <c r="FKC102" s="247"/>
      <c r="FKD102" s="247"/>
      <c r="FKE102" s="247"/>
      <c r="FKF102" s="247"/>
      <c r="FKG102" s="247"/>
      <c r="FKH102" s="247"/>
      <c r="FKI102" s="247"/>
      <c r="FKJ102" s="247"/>
      <c r="FKK102" s="247"/>
      <c r="FKL102" s="247"/>
      <c r="FKM102" s="247"/>
      <c r="FKN102" s="247"/>
      <c r="FKO102" s="247"/>
      <c r="FKP102" s="247"/>
      <c r="FKQ102" s="247"/>
      <c r="FKR102" s="247"/>
      <c r="FKS102" s="247"/>
      <c r="FKT102" s="247"/>
      <c r="FKU102" s="247"/>
      <c r="FKV102" s="247"/>
      <c r="FKW102" s="247"/>
      <c r="FKX102" s="247"/>
      <c r="FKY102" s="247"/>
      <c r="FKZ102" s="247"/>
      <c r="FLA102" s="247"/>
      <c r="FLB102" s="247"/>
      <c r="FLC102" s="247"/>
      <c r="FLD102" s="247"/>
      <c r="FLE102" s="247"/>
      <c r="FLF102" s="247"/>
      <c r="FLG102" s="247"/>
      <c r="FLH102" s="247"/>
      <c r="FLI102" s="247"/>
      <c r="FLJ102" s="247"/>
      <c r="FLK102" s="247"/>
      <c r="FLL102" s="247"/>
      <c r="FLM102" s="247"/>
      <c r="FLN102" s="247"/>
      <c r="FLO102" s="247"/>
      <c r="FLP102" s="247"/>
      <c r="FLQ102" s="247"/>
      <c r="FLR102" s="247"/>
      <c r="FLS102" s="247"/>
      <c r="FLT102" s="247"/>
      <c r="FLU102" s="247"/>
      <c r="FLV102" s="247"/>
      <c r="FLW102" s="247"/>
      <c r="FLX102" s="247"/>
      <c r="FLY102" s="247"/>
      <c r="FLZ102" s="247"/>
      <c r="FMA102" s="247"/>
      <c r="FMB102" s="247"/>
      <c r="FMC102" s="247"/>
      <c r="FMD102" s="247"/>
      <c r="FME102" s="247"/>
      <c r="FMF102" s="247"/>
      <c r="FMG102" s="247"/>
      <c r="FMH102" s="247"/>
      <c r="FMI102" s="247"/>
      <c r="FMJ102" s="247"/>
      <c r="FMK102" s="247"/>
      <c r="FML102" s="247"/>
      <c r="FMM102" s="247"/>
      <c r="FMN102" s="247"/>
      <c r="FMO102" s="247"/>
      <c r="FMP102" s="247"/>
      <c r="FMQ102" s="247"/>
      <c r="FMR102" s="247"/>
      <c r="FMS102" s="247"/>
      <c r="FMT102" s="247"/>
      <c r="FMU102" s="247"/>
      <c r="FMV102" s="247"/>
      <c r="FMW102" s="247"/>
      <c r="FMX102" s="247"/>
      <c r="FMY102" s="247"/>
      <c r="FMZ102" s="247"/>
      <c r="FNA102" s="247"/>
      <c r="FNB102" s="247"/>
      <c r="FNC102" s="247"/>
      <c r="FND102" s="247"/>
      <c r="FNE102" s="247"/>
      <c r="FNF102" s="247"/>
      <c r="FNG102" s="247"/>
      <c r="FNH102" s="247"/>
      <c r="FNI102" s="247"/>
      <c r="FNJ102" s="247"/>
      <c r="FNK102" s="247"/>
      <c r="FNL102" s="247"/>
      <c r="FNM102" s="247"/>
      <c r="FNN102" s="247"/>
      <c r="FNO102" s="247"/>
      <c r="FNP102" s="247"/>
      <c r="FNQ102" s="247"/>
      <c r="FNR102" s="247"/>
      <c r="FNS102" s="247"/>
      <c r="FNT102" s="247"/>
      <c r="FNU102" s="247"/>
      <c r="FNV102" s="247"/>
      <c r="FNW102" s="247"/>
      <c r="FNX102" s="247"/>
      <c r="FNY102" s="247"/>
      <c r="FNZ102" s="247"/>
      <c r="FOA102" s="247"/>
      <c r="FOB102" s="247"/>
      <c r="FOC102" s="247"/>
      <c r="FOD102" s="247"/>
      <c r="FOE102" s="247"/>
      <c r="FOF102" s="247"/>
      <c r="FOG102" s="247"/>
      <c r="FOH102" s="247"/>
      <c r="FOI102" s="247"/>
      <c r="FOJ102" s="247"/>
      <c r="FOK102" s="247"/>
      <c r="FOL102" s="247"/>
      <c r="FOM102" s="247"/>
      <c r="FON102" s="247"/>
      <c r="FOO102" s="247"/>
      <c r="FOP102" s="247"/>
      <c r="FOQ102" s="247"/>
      <c r="FOR102" s="247"/>
      <c r="FOS102" s="247"/>
      <c r="FOT102" s="247"/>
      <c r="FOU102" s="247"/>
      <c r="FOV102" s="247"/>
      <c r="FOW102" s="247"/>
      <c r="FOX102" s="247"/>
      <c r="FOY102" s="247"/>
      <c r="FOZ102" s="247"/>
      <c r="FPA102" s="247"/>
      <c r="FPB102" s="247"/>
      <c r="FPC102" s="247"/>
      <c r="FPD102" s="247"/>
      <c r="FPE102" s="247"/>
      <c r="FPF102" s="247"/>
      <c r="FPG102" s="247"/>
      <c r="FPH102" s="247"/>
      <c r="FPI102" s="247"/>
      <c r="FPJ102" s="247"/>
      <c r="FPK102" s="247"/>
      <c r="FPL102" s="247"/>
      <c r="FPM102" s="247"/>
      <c r="FPN102" s="247"/>
      <c r="FPO102" s="247"/>
      <c r="FPP102" s="247"/>
      <c r="FPQ102" s="247"/>
      <c r="FPR102" s="247"/>
      <c r="FPS102" s="247"/>
      <c r="FPT102" s="247"/>
      <c r="FPU102" s="247"/>
      <c r="FPV102" s="247"/>
      <c r="FPW102" s="247"/>
      <c r="FPX102" s="247"/>
      <c r="FPY102" s="247"/>
      <c r="FPZ102" s="247"/>
      <c r="FQA102" s="247"/>
      <c r="FQB102" s="247"/>
      <c r="FQC102" s="247"/>
      <c r="FQD102" s="247"/>
      <c r="FQE102" s="247"/>
      <c r="FQF102" s="247"/>
      <c r="FQG102" s="247"/>
      <c r="FQH102" s="247"/>
      <c r="FQI102" s="247"/>
      <c r="FQJ102" s="247"/>
      <c r="FQK102" s="247"/>
      <c r="FQL102" s="247"/>
      <c r="FQM102" s="247"/>
      <c r="FQN102" s="247"/>
      <c r="FQO102" s="247"/>
      <c r="FQP102" s="247"/>
      <c r="FQQ102" s="247"/>
      <c r="FQR102" s="247"/>
      <c r="FQS102" s="247"/>
      <c r="FQT102" s="247"/>
      <c r="FQU102" s="247"/>
      <c r="FQV102" s="247"/>
      <c r="FQW102" s="247"/>
      <c r="FQX102" s="247"/>
      <c r="FQY102" s="247"/>
      <c r="FQZ102" s="247"/>
      <c r="FRA102" s="247"/>
      <c r="FRB102" s="247"/>
      <c r="FRC102" s="247"/>
      <c r="FRD102" s="247"/>
      <c r="FRE102" s="247"/>
      <c r="FRF102" s="247"/>
      <c r="FRG102" s="247"/>
      <c r="FRH102" s="247"/>
      <c r="FRI102" s="247"/>
      <c r="FRJ102" s="247"/>
      <c r="FRK102" s="247"/>
      <c r="FRL102" s="247"/>
      <c r="FRM102" s="247"/>
      <c r="FRN102" s="247"/>
      <c r="FRO102" s="247"/>
      <c r="FRP102" s="247"/>
      <c r="FRQ102" s="247"/>
      <c r="FRR102" s="247"/>
      <c r="FRS102" s="247"/>
      <c r="FRT102" s="247"/>
      <c r="FRU102" s="247"/>
      <c r="FRV102" s="247"/>
      <c r="FRW102" s="247"/>
      <c r="FRX102" s="247"/>
      <c r="FRY102" s="247"/>
      <c r="FRZ102" s="247"/>
      <c r="FSA102" s="247"/>
      <c r="FSB102" s="247"/>
      <c r="FSC102" s="247"/>
      <c r="FSD102" s="247"/>
      <c r="FSE102" s="247"/>
      <c r="FSF102" s="247"/>
      <c r="FSG102" s="247"/>
      <c r="FSH102" s="247"/>
      <c r="FSI102" s="247"/>
      <c r="FSJ102" s="247"/>
      <c r="FSK102" s="247"/>
      <c r="FSL102" s="247"/>
      <c r="FSM102" s="247"/>
      <c r="FSN102" s="247"/>
      <c r="FSO102" s="247"/>
      <c r="FSP102" s="247"/>
      <c r="FSQ102" s="247"/>
      <c r="FSR102" s="247"/>
      <c r="FSS102" s="247"/>
      <c r="FST102" s="247"/>
      <c r="FSU102" s="247"/>
      <c r="FSV102" s="247"/>
      <c r="FSW102" s="247"/>
      <c r="FSX102" s="247"/>
      <c r="FSY102" s="247"/>
      <c r="FSZ102" s="247"/>
      <c r="FTA102" s="247"/>
      <c r="FTB102" s="247"/>
      <c r="FTC102" s="247"/>
      <c r="FTD102" s="247"/>
      <c r="FTE102" s="247"/>
      <c r="FTF102" s="247"/>
      <c r="FTG102" s="247"/>
      <c r="FTH102" s="247"/>
      <c r="FTI102" s="247"/>
      <c r="FTJ102" s="247"/>
      <c r="FTK102" s="247"/>
      <c r="FTL102" s="247"/>
      <c r="FTM102" s="247"/>
      <c r="FTN102" s="247"/>
      <c r="FTO102" s="247"/>
      <c r="FTP102" s="247"/>
      <c r="FTQ102" s="247"/>
      <c r="FTR102" s="247"/>
      <c r="FTS102" s="247"/>
      <c r="FTT102" s="247"/>
      <c r="FTU102" s="247"/>
      <c r="FTV102" s="247"/>
      <c r="FTW102" s="247"/>
      <c r="FTX102" s="247"/>
      <c r="FTY102" s="247"/>
      <c r="FTZ102" s="247"/>
      <c r="FUA102" s="247"/>
      <c r="FUB102" s="247"/>
      <c r="FUC102" s="247"/>
      <c r="FUD102" s="247"/>
      <c r="FUE102" s="247"/>
      <c r="FUF102" s="247"/>
      <c r="FUG102" s="247"/>
      <c r="FUH102" s="247"/>
      <c r="FUI102" s="247"/>
      <c r="FUJ102" s="247"/>
      <c r="FUK102" s="247"/>
      <c r="FUL102" s="247"/>
      <c r="FUM102" s="247"/>
      <c r="FUN102" s="247"/>
      <c r="FUO102" s="247"/>
      <c r="FUP102" s="247"/>
      <c r="FUQ102" s="247"/>
      <c r="FUR102" s="247"/>
      <c r="FUS102" s="247"/>
      <c r="FUT102" s="247"/>
      <c r="FUU102" s="247"/>
      <c r="FUV102" s="247"/>
      <c r="FUW102" s="247"/>
      <c r="FUX102" s="247"/>
      <c r="FUY102" s="247"/>
      <c r="FUZ102" s="247"/>
      <c r="FVA102" s="247"/>
      <c r="FVB102" s="247"/>
      <c r="FVC102" s="247"/>
      <c r="FVD102" s="247"/>
      <c r="FVE102" s="247"/>
      <c r="FVF102" s="247"/>
      <c r="FVG102" s="247"/>
      <c r="FVH102" s="247"/>
      <c r="FVI102" s="247"/>
      <c r="FVJ102" s="247"/>
      <c r="FVK102" s="247"/>
      <c r="FVL102" s="247"/>
      <c r="FVM102" s="247"/>
      <c r="FVN102" s="247"/>
      <c r="FVO102" s="247"/>
      <c r="FVP102" s="247"/>
      <c r="FVQ102" s="247"/>
      <c r="FVR102" s="247"/>
      <c r="FVS102" s="247"/>
      <c r="FVT102" s="247"/>
      <c r="FVU102" s="247"/>
      <c r="FVV102" s="247"/>
      <c r="FVW102" s="247"/>
      <c r="FVX102" s="247"/>
      <c r="FVY102" s="247"/>
      <c r="FVZ102" s="247"/>
      <c r="FWA102" s="247"/>
      <c r="FWB102" s="247"/>
      <c r="FWC102" s="247"/>
      <c r="FWD102" s="247"/>
      <c r="FWE102" s="247"/>
      <c r="FWF102" s="247"/>
      <c r="FWG102" s="247"/>
      <c r="FWH102" s="247"/>
      <c r="FWI102" s="247"/>
      <c r="FWJ102" s="247"/>
      <c r="FWK102" s="247"/>
      <c r="FWL102" s="247"/>
      <c r="FWM102" s="247"/>
      <c r="FWN102" s="247"/>
      <c r="FWO102" s="247"/>
      <c r="FWP102" s="247"/>
      <c r="FWQ102" s="247"/>
      <c r="FWR102" s="247"/>
      <c r="FWS102" s="247"/>
      <c r="FWT102" s="247"/>
      <c r="FWU102" s="247"/>
      <c r="FWV102" s="247"/>
      <c r="FWW102" s="247"/>
      <c r="FWX102" s="247"/>
      <c r="FWY102" s="247"/>
      <c r="FWZ102" s="247"/>
      <c r="FXA102" s="247"/>
      <c r="FXB102" s="247"/>
      <c r="FXC102" s="247"/>
      <c r="FXD102" s="247"/>
      <c r="FXE102" s="247"/>
      <c r="FXF102" s="247"/>
      <c r="FXG102" s="247"/>
      <c r="FXH102" s="247"/>
      <c r="FXI102" s="247"/>
      <c r="FXJ102" s="247"/>
      <c r="FXK102" s="247"/>
      <c r="FXL102" s="247"/>
      <c r="FXM102" s="247"/>
      <c r="FXN102" s="247"/>
      <c r="FXO102" s="247"/>
      <c r="FXP102" s="247"/>
      <c r="FXQ102" s="247"/>
      <c r="FXR102" s="247"/>
      <c r="FXS102" s="247"/>
      <c r="FXT102" s="247"/>
      <c r="FXU102" s="247"/>
      <c r="FXV102" s="247"/>
      <c r="FXW102" s="247"/>
      <c r="FXX102" s="247"/>
      <c r="FXY102" s="247"/>
      <c r="FXZ102" s="247"/>
      <c r="FYA102" s="247"/>
      <c r="FYB102" s="247"/>
      <c r="FYC102" s="247"/>
      <c r="FYD102" s="247"/>
      <c r="FYE102" s="247"/>
      <c r="FYF102" s="247"/>
      <c r="FYG102" s="247"/>
      <c r="FYH102" s="247"/>
      <c r="FYI102" s="247"/>
      <c r="FYJ102" s="247"/>
      <c r="FYK102" s="247"/>
      <c r="FYL102" s="247"/>
      <c r="FYM102" s="247"/>
      <c r="FYN102" s="247"/>
      <c r="FYO102" s="247"/>
      <c r="FYP102" s="247"/>
      <c r="FYQ102" s="247"/>
      <c r="FYR102" s="247"/>
      <c r="FYS102" s="247"/>
      <c r="FYT102" s="247"/>
      <c r="FYU102" s="247"/>
      <c r="FYV102" s="247"/>
      <c r="FYW102" s="247"/>
      <c r="FYX102" s="247"/>
      <c r="FYY102" s="247"/>
      <c r="FYZ102" s="247"/>
      <c r="FZA102" s="247"/>
      <c r="FZB102" s="247"/>
      <c r="FZC102" s="247"/>
      <c r="FZD102" s="247"/>
      <c r="FZE102" s="247"/>
      <c r="FZF102" s="247"/>
      <c r="FZG102" s="247"/>
      <c r="FZH102" s="247"/>
      <c r="FZI102" s="247"/>
      <c r="FZJ102" s="247"/>
      <c r="FZK102" s="247"/>
      <c r="FZL102" s="247"/>
      <c r="FZM102" s="247"/>
      <c r="FZN102" s="247"/>
      <c r="FZO102" s="247"/>
      <c r="FZP102" s="247"/>
      <c r="FZQ102" s="247"/>
      <c r="FZR102" s="247"/>
      <c r="FZS102" s="247"/>
      <c r="FZT102" s="247"/>
      <c r="FZU102" s="247"/>
      <c r="FZV102" s="247"/>
      <c r="FZW102" s="247"/>
      <c r="FZX102" s="247"/>
      <c r="FZY102" s="247"/>
      <c r="FZZ102" s="247"/>
      <c r="GAA102" s="247"/>
      <c r="GAB102" s="247"/>
      <c r="GAC102" s="247"/>
      <c r="GAD102" s="247"/>
      <c r="GAE102" s="247"/>
      <c r="GAF102" s="247"/>
      <c r="GAG102" s="247"/>
      <c r="GAH102" s="247"/>
      <c r="GAI102" s="247"/>
      <c r="GAJ102" s="247"/>
      <c r="GAK102" s="247"/>
      <c r="GAL102" s="247"/>
      <c r="GAM102" s="247"/>
      <c r="GAN102" s="247"/>
      <c r="GAO102" s="247"/>
      <c r="GAP102" s="247"/>
      <c r="GAQ102" s="247"/>
      <c r="GAR102" s="247"/>
      <c r="GAS102" s="247"/>
      <c r="GAT102" s="247"/>
      <c r="GAU102" s="247"/>
      <c r="GAV102" s="247"/>
      <c r="GAW102" s="247"/>
      <c r="GAX102" s="247"/>
      <c r="GAY102" s="247"/>
      <c r="GAZ102" s="247"/>
      <c r="GBA102" s="247"/>
      <c r="GBB102" s="247"/>
      <c r="GBC102" s="247"/>
      <c r="GBD102" s="247"/>
      <c r="GBE102" s="247"/>
      <c r="GBF102" s="247"/>
      <c r="GBG102" s="247"/>
      <c r="GBH102" s="247"/>
      <c r="GBI102" s="247"/>
      <c r="GBJ102" s="247"/>
      <c r="GBK102" s="247"/>
      <c r="GBL102" s="247"/>
      <c r="GBM102" s="247"/>
      <c r="GBN102" s="247"/>
      <c r="GBO102" s="247"/>
      <c r="GBP102" s="247"/>
      <c r="GBQ102" s="247"/>
      <c r="GBR102" s="247"/>
      <c r="GBS102" s="247"/>
      <c r="GBT102" s="247"/>
      <c r="GBU102" s="247"/>
      <c r="GBV102" s="247"/>
      <c r="GBW102" s="247"/>
      <c r="GBX102" s="247"/>
      <c r="GBY102" s="247"/>
      <c r="GBZ102" s="247"/>
      <c r="GCA102" s="247"/>
      <c r="GCB102" s="247"/>
      <c r="GCC102" s="247"/>
      <c r="GCD102" s="247"/>
      <c r="GCE102" s="247"/>
      <c r="GCF102" s="247"/>
      <c r="GCG102" s="247"/>
      <c r="GCH102" s="247"/>
      <c r="GCI102" s="247"/>
      <c r="GCJ102" s="247"/>
      <c r="GCK102" s="247"/>
      <c r="GCL102" s="247"/>
      <c r="GCM102" s="247"/>
      <c r="GCN102" s="247"/>
      <c r="GCO102" s="247"/>
      <c r="GCP102" s="247"/>
      <c r="GCQ102" s="247"/>
      <c r="GCR102" s="247"/>
      <c r="GCS102" s="247"/>
      <c r="GCT102" s="247"/>
      <c r="GCU102" s="247"/>
      <c r="GCV102" s="247"/>
      <c r="GCW102" s="247"/>
      <c r="GCX102" s="247"/>
      <c r="GCY102" s="247"/>
      <c r="GCZ102" s="247"/>
      <c r="GDA102" s="247"/>
      <c r="GDB102" s="247"/>
      <c r="GDC102" s="247"/>
      <c r="GDD102" s="247"/>
      <c r="GDE102" s="247"/>
      <c r="GDF102" s="247"/>
      <c r="GDG102" s="247"/>
      <c r="GDH102" s="247"/>
      <c r="GDI102" s="247"/>
      <c r="GDJ102" s="247"/>
      <c r="GDK102" s="247"/>
      <c r="GDL102" s="247"/>
      <c r="GDM102" s="247"/>
      <c r="GDN102" s="247"/>
      <c r="GDO102" s="247"/>
      <c r="GDP102" s="247"/>
      <c r="GDQ102" s="247"/>
      <c r="GDR102" s="247"/>
      <c r="GDS102" s="247"/>
      <c r="GDT102" s="247"/>
      <c r="GDU102" s="247"/>
      <c r="GDV102" s="247"/>
      <c r="GDW102" s="247"/>
      <c r="GDX102" s="247"/>
      <c r="GDY102" s="247"/>
      <c r="GDZ102" s="247"/>
      <c r="GEA102" s="247"/>
      <c r="GEB102" s="247"/>
      <c r="GEC102" s="247"/>
      <c r="GED102" s="247"/>
      <c r="GEE102" s="247"/>
      <c r="GEF102" s="247"/>
      <c r="GEG102" s="247"/>
      <c r="GEH102" s="247"/>
      <c r="GEI102" s="247"/>
      <c r="GEJ102" s="247"/>
      <c r="GEK102" s="247"/>
      <c r="GEL102" s="247"/>
      <c r="GEM102" s="247"/>
      <c r="GEN102" s="247"/>
      <c r="GEO102" s="247"/>
      <c r="GEP102" s="247"/>
      <c r="GEQ102" s="247"/>
      <c r="GER102" s="247"/>
      <c r="GES102" s="247"/>
      <c r="GET102" s="247"/>
      <c r="GEU102" s="247"/>
      <c r="GEV102" s="247"/>
      <c r="GEW102" s="247"/>
      <c r="GEX102" s="247"/>
      <c r="GEY102" s="247"/>
      <c r="GEZ102" s="247"/>
      <c r="GFA102" s="247"/>
      <c r="GFB102" s="247"/>
      <c r="GFC102" s="247"/>
      <c r="GFD102" s="247"/>
      <c r="GFE102" s="247"/>
      <c r="GFF102" s="247"/>
      <c r="GFG102" s="247"/>
      <c r="GFH102" s="247"/>
      <c r="GFI102" s="247"/>
      <c r="GFJ102" s="247"/>
      <c r="GFK102" s="247"/>
      <c r="GFL102" s="247"/>
      <c r="GFM102" s="247"/>
      <c r="GFN102" s="247"/>
      <c r="GFO102" s="247"/>
      <c r="GFP102" s="247"/>
      <c r="GFQ102" s="247"/>
      <c r="GFR102" s="247"/>
      <c r="GFS102" s="247"/>
      <c r="GFT102" s="247"/>
      <c r="GFU102" s="247"/>
      <c r="GFV102" s="247"/>
      <c r="GFW102" s="247"/>
      <c r="GFX102" s="247"/>
      <c r="GFY102" s="247"/>
      <c r="GFZ102" s="247"/>
      <c r="GGA102" s="247"/>
      <c r="GGB102" s="247"/>
      <c r="GGC102" s="247"/>
      <c r="GGD102" s="247"/>
      <c r="GGE102" s="247"/>
      <c r="GGF102" s="247"/>
      <c r="GGG102" s="247"/>
      <c r="GGH102" s="247"/>
      <c r="GGI102" s="247"/>
      <c r="GGJ102" s="247"/>
      <c r="GGK102" s="247"/>
      <c r="GGL102" s="247"/>
      <c r="GGM102" s="247"/>
      <c r="GGN102" s="247"/>
      <c r="GGO102" s="247"/>
      <c r="GGP102" s="247"/>
      <c r="GGQ102" s="247"/>
      <c r="GGR102" s="247"/>
      <c r="GGS102" s="247"/>
      <c r="GGT102" s="247"/>
      <c r="GGU102" s="247"/>
      <c r="GGV102" s="247"/>
      <c r="GGW102" s="247"/>
      <c r="GGX102" s="247"/>
      <c r="GGY102" s="247"/>
      <c r="GGZ102" s="247"/>
      <c r="GHA102" s="247"/>
      <c r="GHB102" s="247"/>
      <c r="GHC102" s="247"/>
      <c r="GHD102" s="247"/>
      <c r="GHE102" s="247"/>
      <c r="GHF102" s="247"/>
      <c r="GHG102" s="247"/>
      <c r="GHH102" s="247"/>
      <c r="GHI102" s="247"/>
      <c r="GHJ102" s="247"/>
      <c r="GHK102" s="247"/>
      <c r="GHL102" s="247"/>
      <c r="GHM102" s="247"/>
      <c r="GHN102" s="247"/>
      <c r="GHO102" s="247"/>
      <c r="GHP102" s="247"/>
      <c r="GHQ102" s="247"/>
      <c r="GHR102" s="247"/>
      <c r="GHS102" s="247"/>
      <c r="GHT102" s="247"/>
      <c r="GHU102" s="247"/>
      <c r="GHV102" s="247"/>
      <c r="GHW102" s="247"/>
      <c r="GHX102" s="247"/>
      <c r="GHY102" s="247"/>
      <c r="GHZ102" s="247"/>
      <c r="GIA102" s="247"/>
      <c r="GIB102" s="247"/>
      <c r="GIC102" s="247"/>
      <c r="GID102" s="247"/>
      <c r="GIE102" s="247"/>
      <c r="GIF102" s="247"/>
      <c r="GIG102" s="247"/>
      <c r="GIH102" s="247"/>
      <c r="GII102" s="247"/>
      <c r="GIJ102" s="247"/>
      <c r="GIK102" s="247"/>
      <c r="GIL102" s="247"/>
      <c r="GIM102" s="247"/>
      <c r="GIN102" s="247"/>
      <c r="GIO102" s="247"/>
      <c r="GIP102" s="247"/>
      <c r="GIQ102" s="247"/>
      <c r="GIR102" s="247"/>
      <c r="GIS102" s="247"/>
      <c r="GIT102" s="247"/>
      <c r="GIU102" s="247"/>
      <c r="GIV102" s="247"/>
      <c r="GIW102" s="247"/>
      <c r="GIX102" s="247"/>
      <c r="GIY102" s="247"/>
      <c r="GIZ102" s="247"/>
      <c r="GJA102" s="247"/>
      <c r="GJB102" s="247"/>
      <c r="GJC102" s="247"/>
      <c r="GJD102" s="247"/>
      <c r="GJE102" s="247"/>
      <c r="GJF102" s="247"/>
      <c r="GJG102" s="247"/>
      <c r="GJH102" s="247"/>
      <c r="GJI102" s="247"/>
      <c r="GJJ102" s="247"/>
      <c r="GJK102" s="247"/>
      <c r="GJL102" s="247"/>
      <c r="GJM102" s="247"/>
      <c r="GJN102" s="247"/>
      <c r="GJO102" s="247"/>
      <c r="GJP102" s="247"/>
      <c r="GJQ102" s="247"/>
      <c r="GJR102" s="247"/>
      <c r="GJS102" s="247"/>
      <c r="GJT102" s="247"/>
      <c r="GJU102" s="247"/>
      <c r="GJV102" s="247"/>
      <c r="GJW102" s="247"/>
      <c r="GJX102" s="247"/>
      <c r="GJY102" s="247"/>
      <c r="GJZ102" s="247"/>
      <c r="GKA102" s="247"/>
      <c r="GKB102" s="247"/>
      <c r="GKC102" s="247"/>
      <c r="GKD102" s="247"/>
      <c r="GKE102" s="247"/>
      <c r="GKF102" s="247"/>
      <c r="GKG102" s="247"/>
      <c r="GKH102" s="247"/>
      <c r="GKI102" s="247"/>
      <c r="GKJ102" s="247"/>
      <c r="GKK102" s="247"/>
      <c r="GKL102" s="247"/>
      <c r="GKM102" s="247"/>
      <c r="GKN102" s="247"/>
      <c r="GKO102" s="247"/>
      <c r="GKP102" s="247"/>
      <c r="GKQ102" s="247"/>
      <c r="GKR102" s="247"/>
      <c r="GKS102" s="247"/>
      <c r="GKT102" s="247"/>
      <c r="GKU102" s="247"/>
      <c r="GKV102" s="247"/>
      <c r="GKW102" s="247"/>
      <c r="GKX102" s="247"/>
      <c r="GKY102" s="247"/>
      <c r="GKZ102" s="247"/>
      <c r="GLA102" s="247"/>
      <c r="GLB102" s="247"/>
      <c r="GLC102" s="247"/>
      <c r="GLD102" s="247"/>
      <c r="GLE102" s="247"/>
      <c r="GLF102" s="247"/>
      <c r="GLG102" s="247"/>
      <c r="GLH102" s="247"/>
      <c r="GLI102" s="247"/>
      <c r="GLJ102" s="247"/>
      <c r="GLK102" s="247"/>
      <c r="GLL102" s="247"/>
      <c r="GLM102" s="247"/>
      <c r="GLN102" s="247"/>
      <c r="GLO102" s="247"/>
      <c r="GLP102" s="247"/>
      <c r="GLQ102" s="247"/>
      <c r="GLR102" s="247"/>
      <c r="GLS102" s="247"/>
      <c r="GLT102" s="247"/>
      <c r="GLU102" s="247"/>
      <c r="GLV102" s="247"/>
      <c r="GLW102" s="247"/>
      <c r="GLX102" s="247"/>
      <c r="GLY102" s="247"/>
      <c r="GLZ102" s="247"/>
      <c r="GMA102" s="247"/>
      <c r="GMB102" s="247"/>
      <c r="GMC102" s="247"/>
      <c r="GMD102" s="247"/>
      <c r="GME102" s="247"/>
      <c r="GMF102" s="247"/>
      <c r="GMG102" s="247"/>
      <c r="GMH102" s="247"/>
      <c r="GMI102" s="247"/>
      <c r="GMJ102" s="247"/>
      <c r="GMK102" s="247"/>
      <c r="GML102" s="247"/>
      <c r="GMM102" s="247"/>
      <c r="GMN102" s="247"/>
      <c r="GMO102" s="247"/>
      <c r="GMP102" s="247"/>
      <c r="GMQ102" s="247"/>
      <c r="GMR102" s="247"/>
      <c r="GMS102" s="247"/>
      <c r="GMT102" s="247"/>
      <c r="GMU102" s="247"/>
      <c r="GMV102" s="247"/>
      <c r="GMW102" s="247"/>
      <c r="GMX102" s="247"/>
      <c r="GMY102" s="247"/>
      <c r="GMZ102" s="247"/>
      <c r="GNA102" s="247"/>
      <c r="GNB102" s="247"/>
      <c r="GNC102" s="247"/>
      <c r="GND102" s="247"/>
      <c r="GNE102" s="247"/>
      <c r="GNF102" s="247"/>
      <c r="GNG102" s="247"/>
      <c r="GNH102" s="247"/>
      <c r="GNI102" s="247"/>
      <c r="GNJ102" s="247"/>
      <c r="GNK102" s="247"/>
      <c r="GNL102" s="247"/>
      <c r="GNM102" s="247"/>
      <c r="GNN102" s="247"/>
      <c r="GNO102" s="247"/>
      <c r="GNP102" s="247"/>
      <c r="GNQ102" s="247"/>
      <c r="GNR102" s="247"/>
      <c r="GNS102" s="247"/>
      <c r="GNT102" s="247"/>
      <c r="GNU102" s="247"/>
      <c r="GNV102" s="247"/>
      <c r="GNW102" s="247"/>
      <c r="GNX102" s="247"/>
      <c r="GNY102" s="247"/>
      <c r="GNZ102" s="247"/>
      <c r="GOA102" s="247"/>
      <c r="GOB102" s="247"/>
      <c r="GOC102" s="247"/>
      <c r="GOD102" s="247"/>
      <c r="GOE102" s="247"/>
      <c r="GOF102" s="247"/>
      <c r="GOG102" s="247"/>
      <c r="GOH102" s="247"/>
      <c r="GOI102" s="247"/>
      <c r="GOJ102" s="247"/>
      <c r="GOK102" s="247"/>
      <c r="GOL102" s="247"/>
      <c r="GOM102" s="247"/>
      <c r="GON102" s="247"/>
      <c r="GOO102" s="247"/>
      <c r="GOP102" s="247"/>
      <c r="GOQ102" s="247"/>
      <c r="GOR102" s="247"/>
      <c r="GOS102" s="247"/>
      <c r="GOT102" s="247"/>
      <c r="GOU102" s="247"/>
      <c r="GOV102" s="247"/>
      <c r="GOW102" s="247"/>
      <c r="GOX102" s="247"/>
      <c r="GOY102" s="247"/>
      <c r="GOZ102" s="247"/>
      <c r="GPA102" s="247"/>
      <c r="GPB102" s="247"/>
      <c r="GPC102" s="247"/>
      <c r="GPD102" s="247"/>
      <c r="GPE102" s="247"/>
      <c r="GPF102" s="247"/>
      <c r="GPG102" s="247"/>
      <c r="GPH102" s="247"/>
      <c r="GPI102" s="247"/>
      <c r="GPJ102" s="247"/>
      <c r="GPK102" s="247"/>
      <c r="GPL102" s="247"/>
      <c r="GPM102" s="247"/>
      <c r="GPN102" s="247"/>
      <c r="GPO102" s="247"/>
      <c r="GPP102" s="247"/>
      <c r="GPQ102" s="247"/>
      <c r="GPR102" s="247"/>
      <c r="GPS102" s="247"/>
      <c r="GPT102" s="247"/>
      <c r="GPU102" s="247"/>
      <c r="GPV102" s="247"/>
      <c r="GPW102" s="247"/>
      <c r="GPX102" s="247"/>
      <c r="GPY102" s="247"/>
      <c r="GPZ102" s="247"/>
      <c r="GQA102" s="247"/>
      <c r="GQB102" s="247"/>
      <c r="GQC102" s="247"/>
      <c r="GQD102" s="247"/>
      <c r="GQE102" s="247"/>
      <c r="GQF102" s="247"/>
      <c r="GQG102" s="247"/>
      <c r="GQH102" s="247"/>
      <c r="GQI102" s="247"/>
      <c r="GQJ102" s="247"/>
      <c r="GQK102" s="247"/>
      <c r="GQL102" s="247"/>
      <c r="GQM102" s="247"/>
      <c r="GQN102" s="247"/>
      <c r="GQO102" s="247"/>
      <c r="GQP102" s="247"/>
      <c r="GQQ102" s="247"/>
      <c r="GQR102" s="247"/>
      <c r="GQS102" s="247"/>
      <c r="GQT102" s="247"/>
      <c r="GQU102" s="247"/>
      <c r="GQV102" s="247"/>
      <c r="GQW102" s="247"/>
      <c r="GQX102" s="247"/>
      <c r="GQY102" s="247"/>
      <c r="GQZ102" s="247"/>
      <c r="GRA102" s="247"/>
      <c r="GRB102" s="247"/>
      <c r="GRC102" s="247"/>
      <c r="GRD102" s="247"/>
      <c r="GRE102" s="247"/>
      <c r="GRF102" s="247"/>
      <c r="GRG102" s="247"/>
      <c r="GRH102" s="247"/>
      <c r="GRI102" s="247"/>
      <c r="GRJ102" s="247"/>
      <c r="GRK102" s="247"/>
      <c r="GRL102" s="247"/>
      <c r="GRM102" s="247"/>
      <c r="GRN102" s="247"/>
      <c r="GRO102" s="247"/>
      <c r="GRP102" s="247"/>
      <c r="GRQ102" s="247"/>
      <c r="GRR102" s="247"/>
      <c r="GRS102" s="247"/>
      <c r="GRT102" s="247"/>
      <c r="GRU102" s="247"/>
      <c r="GRV102" s="247"/>
      <c r="GRW102" s="247"/>
      <c r="GRX102" s="247"/>
      <c r="GRY102" s="247"/>
      <c r="GRZ102" s="247"/>
      <c r="GSA102" s="247"/>
      <c r="GSB102" s="247"/>
      <c r="GSC102" s="247"/>
      <c r="GSD102" s="247"/>
      <c r="GSE102" s="247"/>
      <c r="GSF102" s="247"/>
      <c r="GSG102" s="247"/>
      <c r="GSH102" s="247"/>
      <c r="GSI102" s="247"/>
      <c r="GSJ102" s="247"/>
      <c r="GSK102" s="247"/>
      <c r="GSL102" s="247"/>
      <c r="GSM102" s="247"/>
      <c r="GSN102" s="247"/>
      <c r="GSO102" s="247"/>
      <c r="GSP102" s="247"/>
      <c r="GSQ102" s="247"/>
      <c r="GSR102" s="247"/>
      <c r="GSS102" s="247"/>
      <c r="GST102" s="247"/>
      <c r="GSU102" s="247"/>
      <c r="GSV102" s="247"/>
      <c r="GSW102" s="247"/>
      <c r="GSX102" s="247"/>
      <c r="GSY102" s="247"/>
      <c r="GSZ102" s="247"/>
      <c r="GTA102" s="247"/>
      <c r="GTB102" s="247"/>
      <c r="GTC102" s="247"/>
      <c r="GTD102" s="247"/>
      <c r="GTE102" s="247"/>
      <c r="GTF102" s="247"/>
      <c r="GTG102" s="247"/>
      <c r="GTH102" s="247"/>
      <c r="GTI102" s="247"/>
      <c r="GTJ102" s="247"/>
      <c r="GTK102" s="247"/>
      <c r="GTL102" s="247"/>
      <c r="GTM102" s="247"/>
      <c r="GTN102" s="247"/>
      <c r="GTO102" s="247"/>
      <c r="GTP102" s="247"/>
      <c r="GTQ102" s="247"/>
      <c r="GTR102" s="247"/>
      <c r="GTS102" s="247"/>
      <c r="GTT102" s="247"/>
      <c r="GTU102" s="247"/>
      <c r="GTV102" s="247"/>
      <c r="GTW102" s="247"/>
      <c r="GTX102" s="247"/>
      <c r="GTY102" s="247"/>
      <c r="GTZ102" s="247"/>
      <c r="GUA102" s="247"/>
      <c r="GUB102" s="247"/>
      <c r="GUC102" s="247"/>
      <c r="GUD102" s="247"/>
      <c r="GUE102" s="247"/>
      <c r="GUF102" s="247"/>
      <c r="GUG102" s="247"/>
      <c r="GUH102" s="247"/>
      <c r="GUI102" s="247"/>
      <c r="GUJ102" s="247"/>
      <c r="GUK102" s="247"/>
      <c r="GUL102" s="247"/>
      <c r="GUM102" s="247"/>
      <c r="GUN102" s="247"/>
      <c r="GUO102" s="247"/>
      <c r="GUP102" s="247"/>
      <c r="GUQ102" s="247"/>
      <c r="GUR102" s="247"/>
      <c r="GUS102" s="247"/>
      <c r="GUT102" s="247"/>
      <c r="GUU102" s="247"/>
      <c r="GUV102" s="247"/>
      <c r="GUW102" s="247"/>
      <c r="GUX102" s="247"/>
      <c r="GUY102" s="247"/>
      <c r="GUZ102" s="247"/>
      <c r="GVA102" s="247"/>
      <c r="GVB102" s="247"/>
      <c r="GVC102" s="247"/>
      <c r="GVD102" s="247"/>
      <c r="GVE102" s="247"/>
      <c r="GVF102" s="247"/>
      <c r="GVG102" s="247"/>
      <c r="GVH102" s="247"/>
      <c r="GVI102" s="247"/>
      <c r="GVJ102" s="247"/>
      <c r="GVK102" s="247"/>
      <c r="GVL102" s="247"/>
      <c r="GVM102" s="247"/>
      <c r="GVN102" s="247"/>
      <c r="GVO102" s="247"/>
      <c r="GVP102" s="247"/>
      <c r="GVQ102" s="247"/>
      <c r="GVR102" s="247"/>
      <c r="GVS102" s="247"/>
      <c r="GVT102" s="247"/>
      <c r="GVU102" s="247"/>
      <c r="GVV102" s="247"/>
      <c r="GVW102" s="247"/>
      <c r="GVX102" s="247"/>
      <c r="GVY102" s="247"/>
      <c r="GVZ102" s="247"/>
      <c r="GWA102" s="247"/>
      <c r="GWB102" s="247"/>
      <c r="GWC102" s="247"/>
      <c r="GWD102" s="247"/>
      <c r="GWE102" s="247"/>
      <c r="GWF102" s="247"/>
      <c r="GWG102" s="247"/>
      <c r="GWH102" s="247"/>
      <c r="GWI102" s="247"/>
      <c r="GWJ102" s="247"/>
      <c r="GWK102" s="247"/>
      <c r="GWL102" s="247"/>
      <c r="GWM102" s="247"/>
      <c r="GWN102" s="247"/>
      <c r="GWO102" s="247"/>
      <c r="GWP102" s="247"/>
      <c r="GWQ102" s="247"/>
      <c r="GWR102" s="247"/>
      <c r="GWS102" s="247"/>
      <c r="GWT102" s="247"/>
      <c r="GWU102" s="247"/>
      <c r="GWV102" s="247"/>
      <c r="GWW102" s="247"/>
      <c r="GWX102" s="247"/>
      <c r="GWY102" s="247"/>
      <c r="GWZ102" s="247"/>
      <c r="GXA102" s="247"/>
      <c r="GXB102" s="247"/>
      <c r="GXC102" s="247"/>
      <c r="GXD102" s="247"/>
      <c r="GXE102" s="247"/>
      <c r="GXF102" s="247"/>
      <c r="GXG102" s="247"/>
      <c r="GXH102" s="247"/>
      <c r="GXI102" s="247"/>
      <c r="GXJ102" s="247"/>
      <c r="GXK102" s="247"/>
      <c r="GXL102" s="247"/>
      <c r="GXM102" s="247"/>
      <c r="GXN102" s="247"/>
      <c r="GXO102" s="247"/>
      <c r="GXP102" s="247"/>
      <c r="GXQ102" s="247"/>
      <c r="GXR102" s="247"/>
      <c r="GXS102" s="247"/>
      <c r="GXT102" s="247"/>
      <c r="GXU102" s="247"/>
      <c r="GXV102" s="247"/>
      <c r="GXW102" s="247"/>
      <c r="GXX102" s="247"/>
      <c r="GXY102" s="247"/>
      <c r="GXZ102" s="247"/>
      <c r="GYA102" s="247"/>
      <c r="GYB102" s="247"/>
      <c r="GYC102" s="247"/>
      <c r="GYD102" s="247"/>
      <c r="GYE102" s="247"/>
      <c r="GYF102" s="247"/>
      <c r="GYG102" s="247"/>
      <c r="GYH102" s="247"/>
      <c r="GYI102" s="247"/>
      <c r="GYJ102" s="247"/>
      <c r="GYK102" s="247"/>
      <c r="GYL102" s="247"/>
      <c r="GYM102" s="247"/>
      <c r="GYN102" s="247"/>
      <c r="GYO102" s="247"/>
      <c r="GYP102" s="247"/>
      <c r="GYQ102" s="247"/>
      <c r="GYR102" s="247"/>
      <c r="GYS102" s="247"/>
      <c r="GYT102" s="247"/>
      <c r="GYU102" s="247"/>
      <c r="GYV102" s="247"/>
      <c r="GYW102" s="247"/>
      <c r="GYX102" s="247"/>
      <c r="GYY102" s="247"/>
      <c r="GYZ102" s="247"/>
      <c r="GZA102" s="247"/>
      <c r="GZB102" s="247"/>
      <c r="GZC102" s="247"/>
      <c r="GZD102" s="247"/>
      <c r="GZE102" s="247"/>
      <c r="GZF102" s="247"/>
      <c r="GZG102" s="247"/>
      <c r="GZH102" s="247"/>
      <c r="GZI102" s="247"/>
      <c r="GZJ102" s="247"/>
      <c r="GZK102" s="247"/>
      <c r="GZL102" s="247"/>
      <c r="GZM102" s="247"/>
      <c r="GZN102" s="247"/>
      <c r="GZO102" s="247"/>
      <c r="GZP102" s="247"/>
      <c r="GZQ102" s="247"/>
      <c r="GZR102" s="247"/>
      <c r="GZS102" s="247"/>
      <c r="GZT102" s="247"/>
      <c r="GZU102" s="247"/>
      <c r="GZV102" s="247"/>
      <c r="GZW102" s="247"/>
      <c r="GZX102" s="247"/>
      <c r="GZY102" s="247"/>
      <c r="GZZ102" s="247"/>
      <c r="HAA102" s="247"/>
      <c r="HAB102" s="247"/>
      <c r="HAC102" s="247"/>
      <c r="HAD102" s="247"/>
      <c r="HAE102" s="247"/>
      <c r="HAF102" s="247"/>
      <c r="HAG102" s="247"/>
      <c r="HAH102" s="247"/>
      <c r="HAI102" s="247"/>
      <c r="HAJ102" s="247"/>
      <c r="HAK102" s="247"/>
      <c r="HAL102" s="247"/>
      <c r="HAM102" s="247"/>
      <c r="HAN102" s="247"/>
      <c r="HAO102" s="247"/>
      <c r="HAP102" s="247"/>
      <c r="HAQ102" s="247"/>
      <c r="HAR102" s="247"/>
      <c r="HAS102" s="247"/>
      <c r="HAT102" s="247"/>
      <c r="HAU102" s="247"/>
      <c r="HAV102" s="247"/>
      <c r="HAW102" s="247"/>
      <c r="HAX102" s="247"/>
      <c r="HAY102" s="247"/>
      <c r="HAZ102" s="247"/>
      <c r="HBA102" s="247"/>
      <c r="HBB102" s="247"/>
      <c r="HBC102" s="247"/>
      <c r="HBD102" s="247"/>
      <c r="HBE102" s="247"/>
      <c r="HBF102" s="247"/>
      <c r="HBG102" s="247"/>
      <c r="HBH102" s="247"/>
      <c r="HBI102" s="247"/>
      <c r="HBJ102" s="247"/>
      <c r="HBK102" s="247"/>
      <c r="HBL102" s="247"/>
      <c r="HBM102" s="247"/>
      <c r="HBN102" s="247"/>
      <c r="HBO102" s="247"/>
      <c r="HBP102" s="247"/>
      <c r="HBQ102" s="247"/>
      <c r="HBR102" s="247"/>
      <c r="HBS102" s="247"/>
      <c r="HBT102" s="247"/>
      <c r="HBU102" s="247"/>
      <c r="HBV102" s="247"/>
      <c r="HBW102" s="247"/>
      <c r="HBX102" s="247"/>
      <c r="HBY102" s="247"/>
      <c r="HBZ102" s="247"/>
      <c r="HCA102" s="247"/>
      <c r="HCB102" s="247"/>
      <c r="HCC102" s="247"/>
      <c r="HCD102" s="247"/>
      <c r="HCE102" s="247"/>
      <c r="HCF102" s="247"/>
      <c r="HCG102" s="247"/>
      <c r="HCH102" s="247"/>
      <c r="HCI102" s="247"/>
      <c r="HCJ102" s="247"/>
      <c r="HCK102" s="247"/>
      <c r="HCL102" s="247"/>
      <c r="HCM102" s="247"/>
      <c r="HCN102" s="247"/>
      <c r="HCO102" s="247"/>
      <c r="HCP102" s="247"/>
      <c r="HCQ102" s="247"/>
      <c r="HCR102" s="247"/>
      <c r="HCS102" s="247"/>
      <c r="HCT102" s="247"/>
      <c r="HCU102" s="247"/>
      <c r="HCV102" s="247"/>
      <c r="HCW102" s="247"/>
      <c r="HCX102" s="247"/>
      <c r="HCY102" s="247"/>
      <c r="HCZ102" s="247"/>
      <c r="HDA102" s="247"/>
      <c r="HDB102" s="247"/>
      <c r="HDC102" s="247"/>
      <c r="HDD102" s="247"/>
      <c r="HDE102" s="247"/>
      <c r="HDF102" s="247"/>
      <c r="HDG102" s="247"/>
      <c r="HDH102" s="247"/>
      <c r="HDI102" s="247"/>
      <c r="HDJ102" s="247"/>
      <c r="HDK102" s="247"/>
      <c r="HDL102" s="247"/>
      <c r="HDM102" s="247"/>
      <c r="HDN102" s="247"/>
      <c r="HDO102" s="247"/>
      <c r="HDP102" s="247"/>
      <c r="HDQ102" s="247"/>
      <c r="HDR102" s="247"/>
      <c r="HDS102" s="247"/>
      <c r="HDT102" s="247"/>
      <c r="HDU102" s="247"/>
      <c r="HDV102" s="247"/>
      <c r="HDW102" s="247"/>
      <c r="HDX102" s="247"/>
      <c r="HDY102" s="247"/>
      <c r="HDZ102" s="247"/>
      <c r="HEA102" s="247"/>
      <c r="HEB102" s="247"/>
      <c r="HEC102" s="247"/>
      <c r="HED102" s="247"/>
      <c r="HEE102" s="247"/>
      <c r="HEF102" s="247"/>
      <c r="HEG102" s="247"/>
      <c r="HEH102" s="247"/>
      <c r="HEI102" s="247"/>
      <c r="HEJ102" s="247"/>
      <c r="HEK102" s="247"/>
      <c r="HEL102" s="247"/>
      <c r="HEM102" s="247"/>
      <c r="HEN102" s="247"/>
      <c r="HEO102" s="247"/>
      <c r="HEP102" s="247"/>
      <c r="HEQ102" s="247"/>
      <c r="HER102" s="247"/>
      <c r="HES102" s="247"/>
      <c r="HET102" s="247"/>
      <c r="HEU102" s="247"/>
      <c r="HEV102" s="247"/>
      <c r="HEW102" s="247"/>
      <c r="HEX102" s="247"/>
      <c r="HEY102" s="247"/>
      <c r="HEZ102" s="247"/>
      <c r="HFA102" s="247"/>
      <c r="HFB102" s="247"/>
      <c r="HFC102" s="247"/>
      <c r="HFD102" s="247"/>
      <c r="HFE102" s="247"/>
      <c r="HFF102" s="247"/>
      <c r="HFG102" s="247"/>
      <c r="HFH102" s="247"/>
      <c r="HFI102" s="247"/>
      <c r="HFJ102" s="247"/>
      <c r="HFK102" s="247"/>
      <c r="HFL102" s="247"/>
      <c r="HFM102" s="247"/>
      <c r="HFN102" s="247"/>
      <c r="HFO102" s="247"/>
      <c r="HFP102" s="247"/>
      <c r="HFQ102" s="247"/>
      <c r="HFR102" s="247"/>
      <c r="HFS102" s="247"/>
      <c r="HFT102" s="247"/>
      <c r="HFU102" s="247"/>
      <c r="HFV102" s="247"/>
      <c r="HFW102" s="247"/>
      <c r="HFX102" s="247"/>
      <c r="HFY102" s="247"/>
      <c r="HFZ102" s="247"/>
      <c r="HGA102" s="247"/>
      <c r="HGB102" s="247"/>
      <c r="HGC102" s="247"/>
      <c r="HGD102" s="247"/>
      <c r="HGE102" s="247"/>
      <c r="HGF102" s="247"/>
      <c r="HGG102" s="247"/>
      <c r="HGH102" s="247"/>
      <c r="HGI102" s="247"/>
      <c r="HGJ102" s="247"/>
      <c r="HGK102" s="247"/>
      <c r="HGL102" s="247"/>
      <c r="HGM102" s="247"/>
      <c r="HGN102" s="247"/>
      <c r="HGO102" s="247"/>
      <c r="HGP102" s="247"/>
      <c r="HGQ102" s="247"/>
      <c r="HGR102" s="247"/>
      <c r="HGS102" s="247"/>
      <c r="HGT102" s="247"/>
      <c r="HGU102" s="247"/>
      <c r="HGV102" s="247"/>
      <c r="HGW102" s="247"/>
      <c r="HGX102" s="247"/>
      <c r="HGY102" s="247"/>
      <c r="HGZ102" s="247"/>
      <c r="HHA102" s="247"/>
      <c r="HHB102" s="247"/>
      <c r="HHC102" s="247"/>
      <c r="HHD102" s="247"/>
      <c r="HHE102" s="247"/>
      <c r="HHF102" s="247"/>
      <c r="HHG102" s="247"/>
      <c r="HHH102" s="247"/>
      <c r="HHI102" s="247"/>
      <c r="HHJ102" s="247"/>
      <c r="HHK102" s="247"/>
      <c r="HHL102" s="247"/>
      <c r="HHM102" s="247"/>
      <c r="HHN102" s="247"/>
      <c r="HHO102" s="247"/>
      <c r="HHP102" s="247"/>
      <c r="HHQ102" s="247"/>
      <c r="HHR102" s="247"/>
      <c r="HHS102" s="247"/>
      <c r="HHT102" s="247"/>
      <c r="HHU102" s="247"/>
      <c r="HHV102" s="247"/>
      <c r="HHW102" s="247"/>
      <c r="HHX102" s="247"/>
      <c r="HHY102" s="247"/>
      <c r="HHZ102" s="247"/>
      <c r="HIA102" s="247"/>
      <c r="HIB102" s="247"/>
      <c r="HIC102" s="247"/>
      <c r="HID102" s="247"/>
      <c r="HIE102" s="247"/>
      <c r="HIF102" s="247"/>
      <c r="HIG102" s="247"/>
      <c r="HIH102" s="247"/>
      <c r="HII102" s="247"/>
      <c r="HIJ102" s="247"/>
      <c r="HIK102" s="247"/>
      <c r="HIL102" s="247"/>
      <c r="HIM102" s="247"/>
      <c r="HIN102" s="247"/>
      <c r="HIO102" s="247"/>
      <c r="HIP102" s="247"/>
      <c r="HIQ102" s="247"/>
      <c r="HIR102" s="247"/>
      <c r="HIS102" s="247"/>
      <c r="HIT102" s="247"/>
      <c r="HIU102" s="247"/>
      <c r="HIV102" s="247"/>
      <c r="HIW102" s="247"/>
      <c r="HIX102" s="247"/>
      <c r="HIY102" s="247"/>
      <c r="HIZ102" s="247"/>
      <c r="HJA102" s="247"/>
      <c r="HJB102" s="247"/>
      <c r="HJC102" s="247"/>
      <c r="HJD102" s="247"/>
      <c r="HJE102" s="247"/>
      <c r="HJF102" s="247"/>
      <c r="HJG102" s="247"/>
      <c r="HJH102" s="247"/>
      <c r="HJI102" s="247"/>
      <c r="HJJ102" s="247"/>
      <c r="HJK102" s="247"/>
      <c r="HJL102" s="247"/>
      <c r="HJM102" s="247"/>
      <c r="HJN102" s="247"/>
      <c r="HJO102" s="247"/>
      <c r="HJP102" s="247"/>
      <c r="HJQ102" s="247"/>
      <c r="HJR102" s="247"/>
      <c r="HJS102" s="247"/>
      <c r="HJT102" s="247"/>
      <c r="HJU102" s="247"/>
      <c r="HJV102" s="247"/>
      <c r="HJW102" s="247"/>
      <c r="HJX102" s="247"/>
      <c r="HJY102" s="247"/>
      <c r="HJZ102" s="247"/>
      <c r="HKA102" s="247"/>
      <c r="HKB102" s="247"/>
      <c r="HKC102" s="247"/>
      <c r="HKD102" s="247"/>
      <c r="HKE102" s="247"/>
      <c r="HKF102" s="247"/>
      <c r="HKG102" s="247"/>
      <c r="HKH102" s="247"/>
      <c r="HKI102" s="247"/>
      <c r="HKJ102" s="247"/>
      <c r="HKK102" s="247"/>
      <c r="HKL102" s="247"/>
      <c r="HKM102" s="247"/>
      <c r="HKN102" s="247"/>
      <c r="HKO102" s="247"/>
      <c r="HKP102" s="247"/>
      <c r="HKQ102" s="247"/>
      <c r="HKR102" s="247"/>
      <c r="HKS102" s="247"/>
      <c r="HKT102" s="247"/>
      <c r="HKU102" s="247"/>
      <c r="HKV102" s="247"/>
      <c r="HKW102" s="247"/>
      <c r="HKX102" s="247"/>
      <c r="HKY102" s="247"/>
      <c r="HKZ102" s="247"/>
      <c r="HLA102" s="247"/>
      <c r="HLB102" s="247"/>
      <c r="HLC102" s="247"/>
      <c r="HLD102" s="247"/>
      <c r="HLE102" s="247"/>
      <c r="HLF102" s="247"/>
      <c r="HLG102" s="247"/>
      <c r="HLH102" s="247"/>
      <c r="HLI102" s="247"/>
      <c r="HLJ102" s="247"/>
      <c r="HLK102" s="247"/>
      <c r="HLL102" s="247"/>
      <c r="HLM102" s="247"/>
      <c r="HLN102" s="247"/>
      <c r="HLO102" s="247"/>
      <c r="HLP102" s="247"/>
      <c r="HLQ102" s="247"/>
      <c r="HLR102" s="247"/>
      <c r="HLS102" s="247"/>
      <c r="HLT102" s="247"/>
      <c r="HLU102" s="247"/>
      <c r="HLV102" s="247"/>
      <c r="HLW102" s="247"/>
      <c r="HLX102" s="247"/>
      <c r="HLY102" s="247"/>
      <c r="HLZ102" s="247"/>
      <c r="HMA102" s="247"/>
      <c r="HMB102" s="247"/>
      <c r="HMC102" s="247"/>
      <c r="HMD102" s="247"/>
      <c r="HME102" s="247"/>
      <c r="HMF102" s="247"/>
      <c r="HMG102" s="247"/>
      <c r="HMH102" s="247"/>
      <c r="HMI102" s="247"/>
      <c r="HMJ102" s="247"/>
      <c r="HMK102" s="247"/>
      <c r="HML102" s="247"/>
      <c r="HMM102" s="247"/>
      <c r="HMN102" s="247"/>
      <c r="HMO102" s="247"/>
      <c r="HMP102" s="247"/>
      <c r="HMQ102" s="247"/>
      <c r="HMR102" s="247"/>
      <c r="HMS102" s="247"/>
      <c r="HMT102" s="247"/>
      <c r="HMU102" s="247"/>
      <c r="HMV102" s="247"/>
      <c r="HMW102" s="247"/>
      <c r="HMX102" s="247"/>
      <c r="HMY102" s="247"/>
      <c r="HMZ102" s="247"/>
      <c r="HNA102" s="247"/>
      <c r="HNB102" s="247"/>
      <c r="HNC102" s="247"/>
      <c r="HND102" s="247"/>
      <c r="HNE102" s="247"/>
      <c r="HNF102" s="247"/>
      <c r="HNG102" s="247"/>
      <c r="HNH102" s="247"/>
      <c r="HNI102" s="247"/>
      <c r="HNJ102" s="247"/>
      <c r="HNK102" s="247"/>
      <c r="HNL102" s="247"/>
      <c r="HNM102" s="247"/>
      <c r="HNN102" s="247"/>
      <c r="HNO102" s="247"/>
      <c r="HNP102" s="247"/>
      <c r="HNQ102" s="247"/>
      <c r="HNR102" s="247"/>
      <c r="HNS102" s="247"/>
      <c r="HNT102" s="247"/>
      <c r="HNU102" s="247"/>
      <c r="HNV102" s="247"/>
      <c r="HNW102" s="247"/>
      <c r="HNX102" s="247"/>
      <c r="HNY102" s="247"/>
      <c r="HNZ102" s="247"/>
      <c r="HOA102" s="247"/>
      <c r="HOB102" s="247"/>
      <c r="HOC102" s="247"/>
      <c r="HOD102" s="247"/>
      <c r="HOE102" s="247"/>
      <c r="HOF102" s="247"/>
      <c r="HOG102" s="247"/>
      <c r="HOH102" s="247"/>
      <c r="HOI102" s="247"/>
      <c r="HOJ102" s="247"/>
      <c r="HOK102" s="247"/>
      <c r="HOL102" s="247"/>
      <c r="HOM102" s="247"/>
      <c r="HON102" s="247"/>
      <c r="HOO102" s="247"/>
      <c r="HOP102" s="247"/>
      <c r="HOQ102" s="247"/>
      <c r="HOR102" s="247"/>
      <c r="HOS102" s="247"/>
      <c r="HOT102" s="247"/>
      <c r="HOU102" s="247"/>
      <c r="HOV102" s="247"/>
      <c r="HOW102" s="247"/>
      <c r="HOX102" s="247"/>
      <c r="HOY102" s="247"/>
      <c r="HOZ102" s="247"/>
      <c r="HPA102" s="247"/>
      <c r="HPB102" s="247"/>
      <c r="HPC102" s="247"/>
      <c r="HPD102" s="247"/>
      <c r="HPE102" s="247"/>
      <c r="HPF102" s="247"/>
      <c r="HPG102" s="247"/>
      <c r="HPH102" s="247"/>
      <c r="HPI102" s="247"/>
      <c r="HPJ102" s="247"/>
      <c r="HPK102" s="247"/>
      <c r="HPL102" s="247"/>
      <c r="HPM102" s="247"/>
      <c r="HPN102" s="247"/>
      <c r="HPO102" s="247"/>
      <c r="HPP102" s="247"/>
      <c r="HPQ102" s="247"/>
      <c r="HPR102" s="247"/>
      <c r="HPS102" s="247"/>
      <c r="HPT102" s="247"/>
      <c r="HPU102" s="247"/>
      <c r="HPV102" s="247"/>
      <c r="HPW102" s="247"/>
      <c r="HPX102" s="247"/>
      <c r="HPY102" s="247"/>
      <c r="HPZ102" s="247"/>
      <c r="HQA102" s="247"/>
      <c r="HQB102" s="247"/>
      <c r="HQC102" s="247"/>
      <c r="HQD102" s="247"/>
      <c r="HQE102" s="247"/>
      <c r="HQF102" s="247"/>
      <c r="HQG102" s="247"/>
      <c r="HQH102" s="247"/>
      <c r="HQI102" s="247"/>
      <c r="HQJ102" s="247"/>
      <c r="HQK102" s="247"/>
      <c r="HQL102" s="247"/>
      <c r="HQM102" s="247"/>
      <c r="HQN102" s="247"/>
      <c r="HQO102" s="247"/>
      <c r="HQP102" s="247"/>
      <c r="HQQ102" s="247"/>
      <c r="HQR102" s="247"/>
      <c r="HQS102" s="247"/>
      <c r="HQT102" s="247"/>
      <c r="HQU102" s="247"/>
      <c r="HQV102" s="247"/>
      <c r="HQW102" s="247"/>
      <c r="HQX102" s="247"/>
      <c r="HQY102" s="247"/>
      <c r="HQZ102" s="247"/>
      <c r="HRA102" s="247"/>
      <c r="HRB102" s="247"/>
      <c r="HRC102" s="247"/>
      <c r="HRD102" s="247"/>
      <c r="HRE102" s="247"/>
      <c r="HRF102" s="247"/>
      <c r="HRG102" s="247"/>
      <c r="HRH102" s="247"/>
      <c r="HRI102" s="247"/>
      <c r="HRJ102" s="247"/>
      <c r="HRK102" s="247"/>
      <c r="HRL102" s="247"/>
      <c r="HRM102" s="247"/>
      <c r="HRN102" s="247"/>
      <c r="HRO102" s="247"/>
      <c r="HRP102" s="247"/>
      <c r="HRQ102" s="247"/>
      <c r="HRR102" s="247"/>
      <c r="HRS102" s="247"/>
      <c r="HRT102" s="247"/>
      <c r="HRU102" s="247"/>
      <c r="HRV102" s="247"/>
      <c r="HRW102" s="247"/>
      <c r="HRX102" s="247"/>
      <c r="HRY102" s="247"/>
      <c r="HRZ102" s="247"/>
      <c r="HSA102" s="247"/>
      <c r="HSB102" s="247"/>
      <c r="HSC102" s="247"/>
      <c r="HSD102" s="247"/>
      <c r="HSE102" s="247"/>
      <c r="HSF102" s="247"/>
      <c r="HSG102" s="247"/>
      <c r="HSH102" s="247"/>
      <c r="HSI102" s="247"/>
      <c r="HSJ102" s="247"/>
      <c r="HSK102" s="247"/>
      <c r="HSL102" s="247"/>
      <c r="HSM102" s="247"/>
      <c r="HSN102" s="247"/>
      <c r="HSO102" s="247"/>
      <c r="HSP102" s="247"/>
      <c r="HSQ102" s="247"/>
      <c r="HSR102" s="247"/>
      <c r="HSS102" s="247"/>
      <c r="HST102" s="247"/>
      <c r="HSU102" s="247"/>
      <c r="HSV102" s="247"/>
      <c r="HSW102" s="247"/>
      <c r="HSX102" s="247"/>
      <c r="HSY102" s="247"/>
      <c r="HSZ102" s="247"/>
      <c r="HTA102" s="247"/>
      <c r="HTB102" s="247"/>
      <c r="HTC102" s="247"/>
      <c r="HTD102" s="247"/>
      <c r="HTE102" s="247"/>
      <c r="HTF102" s="247"/>
      <c r="HTG102" s="247"/>
      <c r="HTH102" s="247"/>
      <c r="HTI102" s="247"/>
      <c r="HTJ102" s="247"/>
      <c r="HTK102" s="247"/>
      <c r="HTL102" s="247"/>
      <c r="HTM102" s="247"/>
      <c r="HTN102" s="247"/>
      <c r="HTO102" s="247"/>
      <c r="HTP102" s="247"/>
      <c r="HTQ102" s="247"/>
      <c r="HTR102" s="247"/>
      <c r="HTS102" s="247"/>
      <c r="HTT102" s="247"/>
      <c r="HTU102" s="247"/>
      <c r="HTV102" s="247"/>
      <c r="HTW102" s="247"/>
      <c r="HTX102" s="247"/>
      <c r="HTY102" s="247"/>
      <c r="HTZ102" s="247"/>
      <c r="HUA102" s="247"/>
      <c r="HUB102" s="247"/>
      <c r="HUC102" s="247"/>
      <c r="HUD102" s="247"/>
      <c r="HUE102" s="247"/>
      <c r="HUF102" s="247"/>
      <c r="HUG102" s="247"/>
      <c r="HUH102" s="247"/>
      <c r="HUI102" s="247"/>
      <c r="HUJ102" s="247"/>
      <c r="HUK102" s="247"/>
      <c r="HUL102" s="247"/>
      <c r="HUM102" s="247"/>
      <c r="HUN102" s="247"/>
      <c r="HUO102" s="247"/>
      <c r="HUP102" s="247"/>
      <c r="HUQ102" s="247"/>
      <c r="HUR102" s="247"/>
      <c r="HUS102" s="247"/>
      <c r="HUT102" s="247"/>
      <c r="HUU102" s="247"/>
      <c r="HUV102" s="247"/>
      <c r="HUW102" s="247"/>
      <c r="HUX102" s="247"/>
      <c r="HUY102" s="247"/>
      <c r="HUZ102" s="247"/>
      <c r="HVA102" s="247"/>
      <c r="HVB102" s="247"/>
      <c r="HVC102" s="247"/>
      <c r="HVD102" s="247"/>
      <c r="HVE102" s="247"/>
      <c r="HVF102" s="247"/>
      <c r="HVG102" s="247"/>
      <c r="HVH102" s="247"/>
      <c r="HVI102" s="247"/>
      <c r="HVJ102" s="247"/>
      <c r="HVK102" s="247"/>
      <c r="HVL102" s="247"/>
      <c r="HVM102" s="247"/>
      <c r="HVN102" s="247"/>
      <c r="HVO102" s="247"/>
      <c r="HVP102" s="247"/>
      <c r="HVQ102" s="247"/>
      <c r="HVR102" s="247"/>
      <c r="HVS102" s="247"/>
      <c r="HVT102" s="247"/>
      <c r="HVU102" s="247"/>
      <c r="HVV102" s="247"/>
      <c r="HVW102" s="247"/>
      <c r="HVX102" s="247"/>
      <c r="HVY102" s="247"/>
      <c r="HVZ102" s="247"/>
      <c r="HWA102" s="247"/>
      <c r="HWB102" s="247"/>
      <c r="HWC102" s="247"/>
      <c r="HWD102" s="247"/>
      <c r="HWE102" s="247"/>
      <c r="HWF102" s="247"/>
      <c r="HWG102" s="247"/>
      <c r="HWH102" s="247"/>
      <c r="HWI102" s="247"/>
      <c r="HWJ102" s="247"/>
      <c r="HWK102" s="247"/>
      <c r="HWL102" s="247"/>
      <c r="HWM102" s="247"/>
      <c r="HWN102" s="247"/>
      <c r="HWO102" s="247"/>
      <c r="HWP102" s="247"/>
      <c r="HWQ102" s="247"/>
      <c r="HWR102" s="247"/>
      <c r="HWS102" s="247"/>
      <c r="HWT102" s="247"/>
      <c r="HWU102" s="247"/>
      <c r="HWV102" s="247"/>
      <c r="HWW102" s="247"/>
      <c r="HWX102" s="247"/>
      <c r="HWY102" s="247"/>
      <c r="HWZ102" s="247"/>
      <c r="HXA102" s="247"/>
      <c r="HXB102" s="247"/>
      <c r="HXC102" s="247"/>
      <c r="HXD102" s="247"/>
      <c r="HXE102" s="247"/>
      <c r="HXF102" s="247"/>
      <c r="HXG102" s="247"/>
      <c r="HXH102" s="247"/>
      <c r="HXI102" s="247"/>
      <c r="HXJ102" s="247"/>
      <c r="HXK102" s="247"/>
      <c r="HXL102" s="247"/>
      <c r="HXM102" s="247"/>
      <c r="HXN102" s="247"/>
      <c r="HXO102" s="247"/>
      <c r="HXP102" s="247"/>
      <c r="HXQ102" s="247"/>
      <c r="HXR102" s="247"/>
      <c r="HXS102" s="247"/>
      <c r="HXT102" s="247"/>
      <c r="HXU102" s="247"/>
      <c r="HXV102" s="247"/>
      <c r="HXW102" s="247"/>
      <c r="HXX102" s="247"/>
      <c r="HXY102" s="247"/>
      <c r="HXZ102" s="247"/>
      <c r="HYA102" s="247"/>
      <c r="HYB102" s="247"/>
      <c r="HYC102" s="247"/>
      <c r="HYD102" s="247"/>
      <c r="HYE102" s="247"/>
      <c r="HYF102" s="247"/>
      <c r="HYG102" s="247"/>
      <c r="HYH102" s="247"/>
      <c r="HYI102" s="247"/>
      <c r="HYJ102" s="247"/>
      <c r="HYK102" s="247"/>
      <c r="HYL102" s="247"/>
      <c r="HYM102" s="247"/>
      <c r="HYN102" s="247"/>
      <c r="HYO102" s="247"/>
      <c r="HYP102" s="247"/>
      <c r="HYQ102" s="247"/>
      <c r="HYR102" s="247"/>
      <c r="HYS102" s="247"/>
      <c r="HYT102" s="247"/>
      <c r="HYU102" s="247"/>
      <c r="HYV102" s="247"/>
      <c r="HYW102" s="247"/>
      <c r="HYX102" s="247"/>
      <c r="HYY102" s="247"/>
      <c r="HYZ102" s="247"/>
      <c r="HZA102" s="247"/>
      <c r="HZB102" s="247"/>
      <c r="HZC102" s="247"/>
      <c r="HZD102" s="247"/>
      <c r="HZE102" s="247"/>
      <c r="HZF102" s="247"/>
      <c r="HZG102" s="247"/>
      <c r="HZH102" s="247"/>
      <c r="HZI102" s="247"/>
      <c r="HZJ102" s="247"/>
      <c r="HZK102" s="247"/>
      <c r="HZL102" s="247"/>
      <c r="HZM102" s="247"/>
      <c r="HZN102" s="247"/>
      <c r="HZO102" s="247"/>
      <c r="HZP102" s="247"/>
      <c r="HZQ102" s="247"/>
      <c r="HZR102" s="247"/>
      <c r="HZS102" s="247"/>
      <c r="HZT102" s="247"/>
      <c r="HZU102" s="247"/>
      <c r="HZV102" s="247"/>
      <c r="HZW102" s="247"/>
      <c r="HZX102" s="247"/>
      <c r="HZY102" s="247"/>
      <c r="HZZ102" s="247"/>
      <c r="IAA102" s="247"/>
      <c r="IAB102" s="247"/>
      <c r="IAC102" s="247"/>
      <c r="IAD102" s="247"/>
      <c r="IAE102" s="247"/>
      <c r="IAF102" s="247"/>
      <c r="IAG102" s="247"/>
      <c r="IAH102" s="247"/>
      <c r="IAI102" s="247"/>
      <c r="IAJ102" s="247"/>
      <c r="IAK102" s="247"/>
      <c r="IAL102" s="247"/>
      <c r="IAM102" s="247"/>
      <c r="IAN102" s="247"/>
      <c r="IAO102" s="247"/>
      <c r="IAP102" s="247"/>
      <c r="IAQ102" s="247"/>
      <c r="IAR102" s="247"/>
      <c r="IAS102" s="247"/>
      <c r="IAT102" s="247"/>
      <c r="IAU102" s="247"/>
      <c r="IAV102" s="247"/>
      <c r="IAW102" s="247"/>
      <c r="IAX102" s="247"/>
      <c r="IAY102" s="247"/>
      <c r="IAZ102" s="247"/>
      <c r="IBA102" s="247"/>
      <c r="IBB102" s="247"/>
      <c r="IBC102" s="247"/>
      <c r="IBD102" s="247"/>
      <c r="IBE102" s="247"/>
      <c r="IBF102" s="247"/>
      <c r="IBG102" s="247"/>
      <c r="IBH102" s="247"/>
      <c r="IBI102" s="247"/>
      <c r="IBJ102" s="247"/>
      <c r="IBK102" s="247"/>
      <c r="IBL102" s="247"/>
      <c r="IBM102" s="247"/>
      <c r="IBN102" s="247"/>
      <c r="IBO102" s="247"/>
      <c r="IBP102" s="247"/>
      <c r="IBQ102" s="247"/>
      <c r="IBR102" s="247"/>
      <c r="IBS102" s="247"/>
      <c r="IBT102" s="247"/>
      <c r="IBU102" s="247"/>
      <c r="IBV102" s="247"/>
      <c r="IBW102" s="247"/>
      <c r="IBX102" s="247"/>
      <c r="IBY102" s="247"/>
      <c r="IBZ102" s="247"/>
      <c r="ICA102" s="247"/>
      <c r="ICB102" s="247"/>
      <c r="ICC102" s="247"/>
      <c r="ICD102" s="247"/>
      <c r="ICE102" s="247"/>
      <c r="ICF102" s="247"/>
      <c r="ICG102" s="247"/>
      <c r="ICH102" s="247"/>
      <c r="ICI102" s="247"/>
      <c r="ICJ102" s="247"/>
      <c r="ICK102" s="247"/>
      <c r="ICL102" s="247"/>
      <c r="ICM102" s="247"/>
      <c r="ICN102" s="247"/>
      <c r="ICO102" s="247"/>
      <c r="ICP102" s="247"/>
      <c r="ICQ102" s="247"/>
      <c r="ICR102" s="247"/>
      <c r="ICS102" s="247"/>
      <c r="ICT102" s="247"/>
      <c r="ICU102" s="247"/>
      <c r="ICV102" s="247"/>
      <c r="ICW102" s="247"/>
      <c r="ICX102" s="247"/>
      <c r="ICY102" s="247"/>
      <c r="ICZ102" s="247"/>
      <c r="IDA102" s="247"/>
      <c r="IDB102" s="247"/>
      <c r="IDC102" s="247"/>
      <c r="IDD102" s="247"/>
      <c r="IDE102" s="247"/>
      <c r="IDF102" s="247"/>
      <c r="IDG102" s="247"/>
      <c r="IDH102" s="247"/>
      <c r="IDI102" s="247"/>
      <c r="IDJ102" s="247"/>
      <c r="IDK102" s="247"/>
      <c r="IDL102" s="247"/>
      <c r="IDM102" s="247"/>
      <c r="IDN102" s="247"/>
      <c r="IDO102" s="247"/>
      <c r="IDP102" s="247"/>
      <c r="IDQ102" s="247"/>
      <c r="IDR102" s="247"/>
      <c r="IDS102" s="247"/>
      <c r="IDT102" s="247"/>
      <c r="IDU102" s="247"/>
      <c r="IDV102" s="247"/>
      <c r="IDW102" s="247"/>
      <c r="IDX102" s="247"/>
      <c r="IDY102" s="247"/>
      <c r="IDZ102" s="247"/>
      <c r="IEA102" s="247"/>
      <c r="IEB102" s="247"/>
      <c r="IEC102" s="247"/>
      <c r="IED102" s="247"/>
      <c r="IEE102" s="247"/>
      <c r="IEF102" s="247"/>
      <c r="IEG102" s="247"/>
      <c r="IEH102" s="247"/>
      <c r="IEI102" s="247"/>
      <c r="IEJ102" s="247"/>
      <c r="IEK102" s="247"/>
      <c r="IEL102" s="247"/>
      <c r="IEM102" s="247"/>
      <c r="IEN102" s="247"/>
      <c r="IEO102" s="247"/>
      <c r="IEP102" s="247"/>
      <c r="IEQ102" s="247"/>
      <c r="IER102" s="247"/>
      <c r="IES102" s="247"/>
      <c r="IET102" s="247"/>
      <c r="IEU102" s="247"/>
      <c r="IEV102" s="247"/>
      <c r="IEW102" s="247"/>
      <c r="IEX102" s="247"/>
      <c r="IEY102" s="247"/>
      <c r="IEZ102" s="247"/>
      <c r="IFA102" s="247"/>
      <c r="IFB102" s="247"/>
      <c r="IFC102" s="247"/>
      <c r="IFD102" s="247"/>
      <c r="IFE102" s="247"/>
      <c r="IFF102" s="247"/>
      <c r="IFG102" s="247"/>
      <c r="IFH102" s="247"/>
      <c r="IFI102" s="247"/>
      <c r="IFJ102" s="247"/>
      <c r="IFK102" s="247"/>
      <c r="IFL102" s="247"/>
      <c r="IFM102" s="247"/>
      <c r="IFN102" s="247"/>
      <c r="IFO102" s="247"/>
      <c r="IFP102" s="247"/>
      <c r="IFQ102" s="247"/>
      <c r="IFR102" s="247"/>
      <c r="IFS102" s="247"/>
      <c r="IFT102" s="247"/>
      <c r="IFU102" s="247"/>
      <c r="IFV102" s="247"/>
      <c r="IFW102" s="247"/>
      <c r="IFX102" s="247"/>
      <c r="IFY102" s="247"/>
      <c r="IFZ102" s="247"/>
      <c r="IGA102" s="247"/>
      <c r="IGB102" s="247"/>
      <c r="IGC102" s="247"/>
      <c r="IGD102" s="247"/>
      <c r="IGE102" s="247"/>
      <c r="IGF102" s="247"/>
      <c r="IGG102" s="247"/>
      <c r="IGH102" s="247"/>
      <c r="IGI102" s="247"/>
      <c r="IGJ102" s="247"/>
      <c r="IGK102" s="247"/>
      <c r="IGL102" s="247"/>
      <c r="IGM102" s="247"/>
      <c r="IGN102" s="247"/>
      <c r="IGO102" s="247"/>
      <c r="IGP102" s="247"/>
      <c r="IGQ102" s="247"/>
      <c r="IGR102" s="247"/>
      <c r="IGS102" s="247"/>
      <c r="IGT102" s="247"/>
      <c r="IGU102" s="247"/>
      <c r="IGV102" s="247"/>
      <c r="IGW102" s="247"/>
      <c r="IGX102" s="247"/>
      <c r="IGY102" s="247"/>
      <c r="IGZ102" s="247"/>
      <c r="IHA102" s="247"/>
      <c r="IHB102" s="247"/>
      <c r="IHC102" s="247"/>
      <c r="IHD102" s="247"/>
      <c r="IHE102" s="247"/>
      <c r="IHF102" s="247"/>
      <c r="IHG102" s="247"/>
      <c r="IHH102" s="247"/>
      <c r="IHI102" s="247"/>
      <c r="IHJ102" s="247"/>
      <c r="IHK102" s="247"/>
      <c r="IHL102" s="247"/>
      <c r="IHM102" s="247"/>
      <c r="IHN102" s="247"/>
      <c r="IHO102" s="247"/>
      <c r="IHP102" s="247"/>
      <c r="IHQ102" s="247"/>
      <c r="IHR102" s="247"/>
      <c r="IHS102" s="247"/>
      <c r="IHT102" s="247"/>
      <c r="IHU102" s="247"/>
      <c r="IHV102" s="247"/>
      <c r="IHW102" s="247"/>
      <c r="IHX102" s="247"/>
      <c r="IHY102" s="247"/>
      <c r="IHZ102" s="247"/>
      <c r="IIA102" s="247"/>
      <c r="IIB102" s="247"/>
      <c r="IIC102" s="247"/>
      <c r="IID102" s="247"/>
      <c r="IIE102" s="247"/>
      <c r="IIF102" s="247"/>
      <c r="IIG102" s="247"/>
      <c r="IIH102" s="247"/>
      <c r="III102" s="247"/>
      <c r="IIJ102" s="247"/>
      <c r="IIK102" s="247"/>
      <c r="IIL102" s="247"/>
      <c r="IIM102" s="247"/>
      <c r="IIN102" s="247"/>
      <c r="IIO102" s="247"/>
      <c r="IIP102" s="247"/>
      <c r="IIQ102" s="247"/>
      <c r="IIR102" s="247"/>
      <c r="IIS102" s="247"/>
      <c r="IIT102" s="247"/>
      <c r="IIU102" s="247"/>
      <c r="IIV102" s="247"/>
      <c r="IIW102" s="247"/>
      <c r="IIX102" s="247"/>
      <c r="IIY102" s="247"/>
      <c r="IIZ102" s="247"/>
      <c r="IJA102" s="247"/>
      <c r="IJB102" s="247"/>
      <c r="IJC102" s="247"/>
      <c r="IJD102" s="247"/>
      <c r="IJE102" s="247"/>
      <c r="IJF102" s="247"/>
      <c r="IJG102" s="247"/>
      <c r="IJH102" s="247"/>
      <c r="IJI102" s="247"/>
      <c r="IJJ102" s="247"/>
      <c r="IJK102" s="247"/>
      <c r="IJL102" s="247"/>
      <c r="IJM102" s="247"/>
      <c r="IJN102" s="247"/>
      <c r="IJO102" s="247"/>
      <c r="IJP102" s="247"/>
      <c r="IJQ102" s="247"/>
      <c r="IJR102" s="247"/>
      <c r="IJS102" s="247"/>
      <c r="IJT102" s="247"/>
      <c r="IJU102" s="247"/>
      <c r="IJV102" s="247"/>
      <c r="IJW102" s="247"/>
      <c r="IJX102" s="247"/>
      <c r="IJY102" s="247"/>
      <c r="IJZ102" s="247"/>
      <c r="IKA102" s="247"/>
      <c r="IKB102" s="247"/>
      <c r="IKC102" s="247"/>
      <c r="IKD102" s="247"/>
      <c r="IKE102" s="247"/>
      <c r="IKF102" s="247"/>
      <c r="IKG102" s="247"/>
      <c r="IKH102" s="247"/>
      <c r="IKI102" s="247"/>
      <c r="IKJ102" s="247"/>
      <c r="IKK102" s="247"/>
      <c r="IKL102" s="247"/>
      <c r="IKM102" s="247"/>
      <c r="IKN102" s="247"/>
      <c r="IKO102" s="247"/>
      <c r="IKP102" s="247"/>
      <c r="IKQ102" s="247"/>
      <c r="IKR102" s="247"/>
      <c r="IKS102" s="247"/>
      <c r="IKT102" s="247"/>
      <c r="IKU102" s="247"/>
      <c r="IKV102" s="247"/>
      <c r="IKW102" s="247"/>
      <c r="IKX102" s="247"/>
      <c r="IKY102" s="247"/>
      <c r="IKZ102" s="247"/>
      <c r="ILA102" s="247"/>
      <c r="ILB102" s="247"/>
      <c r="ILC102" s="247"/>
      <c r="ILD102" s="247"/>
      <c r="ILE102" s="247"/>
      <c r="ILF102" s="247"/>
      <c r="ILG102" s="247"/>
      <c r="ILH102" s="247"/>
      <c r="ILI102" s="247"/>
      <c r="ILJ102" s="247"/>
      <c r="ILK102" s="247"/>
      <c r="ILL102" s="247"/>
      <c r="ILM102" s="247"/>
      <c r="ILN102" s="247"/>
      <c r="ILO102" s="247"/>
      <c r="ILP102" s="247"/>
      <c r="ILQ102" s="247"/>
      <c r="ILR102" s="247"/>
      <c r="ILS102" s="247"/>
      <c r="ILT102" s="247"/>
      <c r="ILU102" s="247"/>
      <c r="ILV102" s="247"/>
      <c r="ILW102" s="247"/>
      <c r="ILX102" s="247"/>
      <c r="ILY102" s="247"/>
      <c r="ILZ102" s="247"/>
      <c r="IMA102" s="247"/>
      <c r="IMB102" s="247"/>
      <c r="IMC102" s="247"/>
      <c r="IMD102" s="247"/>
      <c r="IME102" s="247"/>
      <c r="IMF102" s="247"/>
      <c r="IMG102" s="247"/>
      <c r="IMH102" s="247"/>
      <c r="IMI102" s="247"/>
      <c r="IMJ102" s="247"/>
      <c r="IMK102" s="247"/>
      <c r="IML102" s="247"/>
      <c r="IMM102" s="247"/>
      <c r="IMN102" s="247"/>
      <c r="IMO102" s="247"/>
      <c r="IMP102" s="247"/>
      <c r="IMQ102" s="247"/>
      <c r="IMR102" s="247"/>
      <c r="IMS102" s="247"/>
      <c r="IMT102" s="247"/>
      <c r="IMU102" s="247"/>
      <c r="IMV102" s="247"/>
      <c r="IMW102" s="247"/>
      <c r="IMX102" s="247"/>
      <c r="IMY102" s="247"/>
      <c r="IMZ102" s="247"/>
      <c r="INA102" s="247"/>
      <c r="INB102" s="247"/>
      <c r="INC102" s="247"/>
      <c r="IND102" s="247"/>
      <c r="INE102" s="247"/>
      <c r="INF102" s="247"/>
      <c r="ING102" s="247"/>
      <c r="INH102" s="247"/>
      <c r="INI102" s="247"/>
      <c r="INJ102" s="247"/>
      <c r="INK102" s="247"/>
      <c r="INL102" s="247"/>
      <c r="INM102" s="247"/>
      <c r="INN102" s="247"/>
      <c r="INO102" s="247"/>
      <c r="INP102" s="247"/>
      <c r="INQ102" s="247"/>
      <c r="INR102" s="247"/>
      <c r="INS102" s="247"/>
      <c r="INT102" s="247"/>
      <c r="INU102" s="247"/>
      <c r="INV102" s="247"/>
      <c r="INW102" s="247"/>
      <c r="INX102" s="247"/>
      <c r="INY102" s="247"/>
      <c r="INZ102" s="247"/>
      <c r="IOA102" s="247"/>
      <c r="IOB102" s="247"/>
      <c r="IOC102" s="247"/>
      <c r="IOD102" s="247"/>
      <c r="IOE102" s="247"/>
      <c r="IOF102" s="247"/>
      <c r="IOG102" s="247"/>
      <c r="IOH102" s="247"/>
      <c r="IOI102" s="247"/>
      <c r="IOJ102" s="247"/>
      <c r="IOK102" s="247"/>
      <c r="IOL102" s="247"/>
      <c r="IOM102" s="247"/>
      <c r="ION102" s="247"/>
      <c r="IOO102" s="247"/>
      <c r="IOP102" s="247"/>
      <c r="IOQ102" s="247"/>
      <c r="IOR102" s="247"/>
      <c r="IOS102" s="247"/>
      <c r="IOT102" s="247"/>
      <c r="IOU102" s="247"/>
      <c r="IOV102" s="247"/>
      <c r="IOW102" s="247"/>
      <c r="IOX102" s="247"/>
      <c r="IOY102" s="247"/>
      <c r="IOZ102" s="247"/>
      <c r="IPA102" s="247"/>
      <c r="IPB102" s="247"/>
      <c r="IPC102" s="247"/>
      <c r="IPD102" s="247"/>
      <c r="IPE102" s="247"/>
      <c r="IPF102" s="247"/>
      <c r="IPG102" s="247"/>
      <c r="IPH102" s="247"/>
      <c r="IPI102" s="247"/>
      <c r="IPJ102" s="247"/>
      <c r="IPK102" s="247"/>
      <c r="IPL102" s="247"/>
      <c r="IPM102" s="247"/>
      <c r="IPN102" s="247"/>
      <c r="IPO102" s="247"/>
      <c r="IPP102" s="247"/>
      <c r="IPQ102" s="247"/>
      <c r="IPR102" s="247"/>
      <c r="IPS102" s="247"/>
      <c r="IPT102" s="247"/>
      <c r="IPU102" s="247"/>
      <c r="IPV102" s="247"/>
      <c r="IPW102" s="247"/>
      <c r="IPX102" s="247"/>
      <c r="IPY102" s="247"/>
      <c r="IPZ102" s="247"/>
      <c r="IQA102" s="247"/>
      <c r="IQB102" s="247"/>
      <c r="IQC102" s="247"/>
      <c r="IQD102" s="247"/>
      <c r="IQE102" s="247"/>
      <c r="IQF102" s="247"/>
      <c r="IQG102" s="247"/>
      <c r="IQH102" s="247"/>
      <c r="IQI102" s="247"/>
      <c r="IQJ102" s="247"/>
      <c r="IQK102" s="247"/>
      <c r="IQL102" s="247"/>
      <c r="IQM102" s="247"/>
      <c r="IQN102" s="247"/>
      <c r="IQO102" s="247"/>
      <c r="IQP102" s="247"/>
      <c r="IQQ102" s="247"/>
      <c r="IQR102" s="247"/>
      <c r="IQS102" s="247"/>
      <c r="IQT102" s="247"/>
      <c r="IQU102" s="247"/>
      <c r="IQV102" s="247"/>
      <c r="IQW102" s="247"/>
      <c r="IQX102" s="247"/>
      <c r="IQY102" s="247"/>
      <c r="IQZ102" s="247"/>
      <c r="IRA102" s="247"/>
      <c r="IRB102" s="247"/>
      <c r="IRC102" s="247"/>
      <c r="IRD102" s="247"/>
      <c r="IRE102" s="247"/>
      <c r="IRF102" s="247"/>
      <c r="IRG102" s="247"/>
      <c r="IRH102" s="247"/>
      <c r="IRI102" s="247"/>
      <c r="IRJ102" s="247"/>
      <c r="IRK102" s="247"/>
      <c r="IRL102" s="247"/>
      <c r="IRM102" s="247"/>
      <c r="IRN102" s="247"/>
      <c r="IRO102" s="247"/>
      <c r="IRP102" s="247"/>
      <c r="IRQ102" s="247"/>
      <c r="IRR102" s="247"/>
      <c r="IRS102" s="247"/>
      <c r="IRT102" s="247"/>
      <c r="IRU102" s="247"/>
      <c r="IRV102" s="247"/>
      <c r="IRW102" s="247"/>
      <c r="IRX102" s="247"/>
      <c r="IRY102" s="247"/>
      <c r="IRZ102" s="247"/>
      <c r="ISA102" s="247"/>
      <c r="ISB102" s="247"/>
      <c r="ISC102" s="247"/>
      <c r="ISD102" s="247"/>
      <c r="ISE102" s="247"/>
      <c r="ISF102" s="247"/>
      <c r="ISG102" s="247"/>
      <c r="ISH102" s="247"/>
      <c r="ISI102" s="247"/>
      <c r="ISJ102" s="247"/>
      <c r="ISK102" s="247"/>
      <c r="ISL102" s="247"/>
      <c r="ISM102" s="247"/>
      <c r="ISN102" s="247"/>
      <c r="ISO102" s="247"/>
      <c r="ISP102" s="247"/>
      <c r="ISQ102" s="247"/>
      <c r="ISR102" s="247"/>
      <c r="ISS102" s="247"/>
      <c r="IST102" s="247"/>
      <c r="ISU102" s="247"/>
      <c r="ISV102" s="247"/>
      <c r="ISW102" s="247"/>
      <c r="ISX102" s="247"/>
      <c r="ISY102" s="247"/>
      <c r="ISZ102" s="247"/>
      <c r="ITA102" s="247"/>
      <c r="ITB102" s="247"/>
      <c r="ITC102" s="247"/>
      <c r="ITD102" s="247"/>
      <c r="ITE102" s="247"/>
      <c r="ITF102" s="247"/>
      <c r="ITG102" s="247"/>
      <c r="ITH102" s="247"/>
      <c r="ITI102" s="247"/>
      <c r="ITJ102" s="247"/>
      <c r="ITK102" s="247"/>
      <c r="ITL102" s="247"/>
      <c r="ITM102" s="247"/>
      <c r="ITN102" s="247"/>
      <c r="ITO102" s="247"/>
      <c r="ITP102" s="247"/>
      <c r="ITQ102" s="247"/>
      <c r="ITR102" s="247"/>
      <c r="ITS102" s="247"/>
      <c r="ITT102" s="247"/>
      <c r="ITU102" s="247"/>
      <c r="ITV102" s="247"/>
      <c r="ITW102" s="247"/>
      <c r="ITX102" s="247"/>
      <c r="ITY102" s="247"/>
      <c r="ITZ102" s="247"/>
      <c r="IUA102" s="247"/>
      <c r="IUB102" s="247"/>
      <c r="IUC102" s="247"/>
      <c r="IUD102" s="247"/>
      <c r="IUE102" s="247"/>
      <c r="IUF102" s="247"/>
      <c r="IUG102" s="247"/>
      <c r="IUH102" s="247"/>
      <c r="IUI102" s="247"/>
      <c r="IUJ102" s="247"/>
      <c r="IUK102" s="247"/>
      <c r="IUL102" s="247"/>
      <c r="IUM102" s="247"/>
      <c r="IUN102" s="247"/>
      <c r="IUO102" s="247"/>
      <c r="IUP102" s="247"/>
      <c r="IUQ102" s="247"/>
      <c r="IUR102" s="247"/>
      <c r="IUS102" s="247"/>
      <c r="IUT102" s="247"/>
      <c r="IUU102" s="247"/>
      <c r="IUV102" s="247"/>
      <c r="IUW102" s="247"/>
      <c r="IUX102" s="247"/>
      <c r="IUY102" s="247"/>
      <c r="IUZ102" s="247"/>
      <c r="IVA102" s="247"/>
      <c r="IVB102" s="247"/>
      <c r="IVC102" s="247"/>
      <c r="IVD102" s="247"/>
      <c r="IVE102" s="247"/>
      <c r="IVF102" s="247"/>
      <c r="IVG102" s="247"/>
      <c r="IVH102" s="247"/>
      <c r="IVI102" s="247"/>
      <c r="IVJ102" s="247"/>
      <c r="IVK102" s="247"/>
      <c r="IVL102" s="247"/>
      <c r="IVM102" s="247"/>
      <c r="IVN102" s="247"/>
      <c r="IVO102" s="247"/>
      <c r="IVP102" s="247"/>
      <c r="IVQ102" s="247"/>
      <c r="IVR102" s="247"/>
      <c r="IVS102" s="247"/>
      <c r="IVT102" s="247"/>
      <c r="IVU102" s="247"/>
      <c r="IVV102" s="247"/>
      <c r="IVW102" s="247"/>
      <c r="IVX102" s="247"/>
      <c r="IVY102" s="247"/>
      <c r="IVZ102" s="247"/>
      <c r="IWA102" s="247"/>
      <c r="IWB102" s="247"/>
      <c r="IWC102" s="247"/>
      <c r="IWD102" s="247"/>
      <c r="IWE102" s="247"/>
      <c r="IWF102" s="247"/>
      <c r="IWG102" s="247"/>
      <c r="IWH102" s="247"/>
      <c r="IWI102" s="247"/>
      <c r="IWJ102" s="247"/>
      <c r="IWK102" s="247"/>
      <c r="IWL102" s="247"/>
      <c r="IWM102" s="247"/>
      <c r="IWN102" s="247"/>
      <c r="IWO102" s="247"/>
      <c r="IWP102" s="247"/>
      <c r="IWQ102" s="247"/>
      <c r="IWR102" s="247"/>
      <c r="IWS102" s="247"/>
      <c r="IWT102" s="247"/>
      <c r="IWU102" s="247"/>
      <c r="IWV102" s="247"/>
      <c r="IWW102" s="247"/>
      <c r="IWX102" s="247"/>
      <c r="IWY102" s="247"/>
      <c r="IWZ102" s="247"/>
      <c r="IXA102" s="247"/>
      <c r="IXB102" s="247"/>
      <c r="IXC102" s="247"/>
      <c r="IXD102" s="247"/>
      <c r="IXE102" s="247"/>
      <c r="IXF102" s="247"/>
      <c r="IXG102" s="247"/>
      <c r="IXH102" s="247"/>
      <c r="IXI102" s="247"/>
      <c r="IXJ102" s="247"/>
      <c r="IXK102" s="247"/>
      <c r="IXL102" s="247"/>
      <c r="IXM102" s="247"/>
      <c r="IXN102" s="247"/>
      <c r="IXO102" s="247"/>
      <c r="IXP102" s="247"/>
      <c r="IXQ102" s="247"/>
      <c r="IXR102" s="247"/>
      <c r="IXS102" s="247"/>
      <c r="IXT102" s="247"/>
      <c r="IXU102" s="247"/>
      <c r="IXV102" s="247"/>
      <c r="IXW102" s="247"/>
      <c r="IXX102" s="247"/>
      <c r="IXY102" s="247"/>
      <c r="IXZ102" s="247"/>
      <c r="IYA102" s="247"/>
      <c r="IYB102" s="247"/>
      <c r="IYC102" s="247"/>
      <c r="IYD102" s="247"/>
      <c r="IYE102" s="247"/>
      <c r="IYF102" s="247"/>
      <c r="IYG102" s="247"/>
      <c r="IYH102" s="247"/>
      <c r="IYI102" s="247"/>
      <c r="IYJ102" s="247"/>
      <c r="IYK102" s="247"/>
      <c r="IYL102" s="247"/>
      <c r="IYM102" s="247"/>
      <c r="IYN102" s="247"/>
      <c r="IYO102" s="247"/>
      <c r="IYP102" s="247"/>
      <c r="IYQ102" s="247"/>
      <c r="IYR102" s="247"/>
      <c r="IYS102" s="247"/>
      <c r="IYT102" s="247"/>
      <c r="IYU102" s="247"/>
      <c r="IYV102" s="247"/>
      <c r="IYW102" s="247"/>
      <c r="IYX102" s="247"/>
      <c r="IYY102" s="247"/>
      <c r="IYZ102" s="247"/>
      <c r="IZA102" s="247"/>
      <c r="IZB102" s="247"/>
      <c r="IZC102" s="247"/>
      <c r="IZD102" s="247"/>
      <c r="IZE102" s="247"/>
      <c r="IZF102" s="247"/>
      <c r="IZG102" s="247"/>
      <c r="IZH102" s="247"/>
      <c r="IZI102" s="247"/>
      <c r="IZJ102" s="247"/>
      <c r="IZK102" s="247"/>
      <c r="IZL102" s="247"/>
      <c r="IZM102" s="247"/>
      <c r="IZN102" s="247"/>
      <c r="IZO102" s="247"/>
      <c r="IZP102" s="247"/>
      <c r="IZQ102" s="247"/>
      <c r="IZR102" s="247"/>
      <c r="IZS102" s="247"/>
      <c r="IZT102" s="247"/>
      <c r="IZU102" s="247"/>
      <c r="IZV102" s="247"/>
      <c r="IZW102" s="247"/>
      <c r="IZX102" s="247"/>
      <c r="IZY102" s="247"/>
      <c r="IZZ102" s="247"/>
      <c r="JAA102" s="247"/>
      <c r="JAB102" s="247"/>
      <c r="JAC102" s="247"/>
      <c r="JAD102" s="247"/>
      <c r="JAE102" s="247"/>
      <c r="JAF102" s="247"/>
      <c r="JAG102" s="247"/>
      <c r="JAH102" s="247"/>
      <c r="JAI102" s="247"/>
      <c r="JAJ102" s="247"/>
      <c r="JAK102" s="247"/>
      <c r="JAL102" s="247"/>
      <c r="JAM102" s="247"/>
      <c r="JAN102" s="247"/>
      <c r="JAO102" s="247"/>
      <c r="JAP102" s="247"/>
      <c r="JAQ102" s="247"/>
      <c r="JAR102" s="247"/>
      <c r="JAS102" s="247"/>
      <c r="JAT102" s="247"/>
      <c r="JAU102" s="247"/>
      <c r="JAV102" s="247"/>
      <c r="JAW102" s="247"/>
      <c r="JAX102" s="247"/>
      <c r="JAY102" s="247"/>
      <c r="JAZ102" s="247"/>
      <c r="JBA102" s="247"/>
      <c r="JBB102" s="247"/>
      <c r="JBC102" s="247"/>
      <c r="JBD102" s="247"/>
      <c r="JBE102" s="247"/>
      <c r="JBF102" s="247"/>
      <c r="JBG102" s="247"/>
      <c r="JBH102" s="247"/>
      <c r="JBI102" s="247"/>
      <c r="JBJ102" s="247"/>
      <c r="JBK102" s="247"/>
      <c r="JBL102" s="247"/>
      <c r="JBM102" s="247"/>
      <c r="JBN102" s="247"/>
      <c r="JBO102" s="247"/>
      <c r="JBP102" s="247"/>
      <c r="JBQ102" s="247"/>
      <c r="JBR102" s="247"/>
      <c r="JBS102" s="247"/>
      <c r="JBT102" s="247"/>
      <c r="JBU102" s="247"/>
      <c r="JBV102" s="247"/>
      <c r="JBW102" s="247"/>
      <c r="JBX102" s="247"/>
      <c r="JBY102" s="247"/>
      <c r="JBZ102" s="247"/>
      <c r="JCA102" s="247"/>
      <c r="JCB102" s="247"/>
      <c r="JCC102" s="247"/>
      <c r="JCD102" s="247"/>
      <c r="JCE102" s="247"/>
      <c r="JCF102" s="247"/>
      <c r="JCG102" s="247"/>
      <c r="JCH102" s="247"/>
      <c r="JCI102" s="247"/>
      <c r="JCJ102" s="247"/>
      <c r="JCK102" s="247"/>
      <c r="JCL102" s="247"/>
      <c r="JCM102" s="247"/>
      <c r="JCN102" s="247"/>
      <c r="JCO102" s="247"/>
      <c r="JCP102" s="247"/>
      <c r="JCQ102" s="247"/>
      <c r="JCR102" s="247"/>
      <c r="JCS102" s="247"/>
      <c r="JCT102" s="247"/>
      <c r="JCU102" s="247"/>
      <c r="JCV102" s="247"/>
      <c r="JCW102" s="247"/>
      <c r="JCX102" s="247"/>
      <c r="JCY102" s="247"/>
      <c r="JCZ102" s="247"/>
      <c r="JDA102" s="247"/>
      <c r="JDB102" s="247"/>
      <c r="JDC102" s="247"/>
      <c r="JDD102" s="247"/>
      <c r="JDE102" s="247"/>
      <c r="JDF102" s="247"/>
      <c r="JDG102" s="247"/>
      <c r="JDH102" s="247"/>
      <c r="JDI102" s="247"/>
      <c r="JDJ102" s="247"/>
      <c r="JDK102" s="247"/>
      <c r="JDL102" s="247"/>
      <c r="JDM102" s="247"/>
      <c r="JDN102" s="247"/>
      <c r="JDO102" s="247"/>
      <c r="JDP102" s="247"/>
      <c r="JDQ102" s="247"/>
      <c r="JDR102" s="247"/>
      <c r="JDS102" s="247"/>
      <c r="JDT102" s="247"/>
      <c r="JDU102" s="247"/>
      <c r="JDV102" s="247"/>
      <c r="JDW102" s="247"/>
      <c r="JDX102" s="247"/>
      <c r="JDY102" s="247"/>
      <c r="JDZ102" s="247"/>
      <c r="JEA102" s="247"/>
      <c r="JEB102" s="247"/>
      <c r="JEC102" s="247"/>
      <c r="JED102" s="247"/>
      <c r="JEE102" s="247"/>
      <c r="JEF102" s="247"/>
      <c r="JEG102" s="247"/>
      <c r="JEH102" s="247"/>
      <c r="JEI102" s="247"/>
      <c r="JEJ102" s="247"/>
      <c r="JEK102" s="247"/>
      <c r="JEL102" s="247"/>
      <c r="JEM102" s="247"/>
      <c r="JEN102" s="247"/>
      <c r="JEO102" s="247"/>
      <c r="JEP102" s="247"/>
      <c r="JEQ102" s="247"/>
      <c r="JER102" s="247"/>
      <c r="JES102" s="247"/>
      <c r="JET102" s="247"/>
      <c r="JEU102" s="247"/>
      <c r="JEV102" s="247"/>
      <c r="JEW102" s="247"/>
      <c r="JEX102" s="247"/>
      <c r="JEY102" s="247"/>
      <c r="JEZ102" s="247"/>
      <c r="JFA102" s="247"/>
      <c r="JFB102" s="247"/>
      <c r="JFC102" s="247"/>
      <c r="JFD102" s="247"/>
      <c r="JFE102" s="247"/>
      <c r="JFF102" s="247"/>
      <c r="JFG102" s="247"/>
      <c r="JFH102" s="247"/>
      <c r="JFI102" s="247"/>
      <c r="JFJ102" s="247"/>
      <c r="JFK102" s="247"/>
      <c r="JFL102" s="247"/>
      <c r="JFM102" s="247"/>
      <c r="JFN102" s="247"/>
      <c r="JFO102" s="247"/>
      <c r="JFP102" s="247"/>
      <c r="JFQ102" s="247"/>
      <c r="JFR102" s="247"/>
      <c r="JFS102" s="247"/>
      <c r="JFT102" s="247"/>
      <c r="JFU102" s="247"/>
      <c r="JFV102" s="247"/>
      <c r="JFW102" s="247"/>
      <c r="JFX102" s="247"/>
      <c r="JFY102" s="247"/>
      <c r="JFZ102" s="247"/>
      <c r="JGA102" s="247"/>
      <c r="JGB102" s="247"/>
      <c r="JGC102" s="247"/>
      <c r="JGD102" s="247"/>
      <c r="JGE102" s="247"/>
      <c r="JGF102" s="247"/>
      <c r="JGG102" s="247"/>
      <c r="JGH102" s="247"/>
      <c r="JGI102" s="247"/>
      <c r="JGJ102" s="247"/>
      <c r="JGK102" s="247"/>
      <c r="JGL102" s="247"/>
      <c r="JGM102" s="247"/>
      <c r="JGN102" s="247"/>
      <c r="JGO102" s="247"/>
      <c r="JGP102" s="247"/>
      <c r="JGQ102" s="247"/>
      <c r="JGR102" s="247"/>
      <c r="JGS102" s="247"/>
      <c r="JGT102" s="247"/>
      <c r="JGU102" s="247"/>
      <c r="JGV102" s="247"/>
      <c r="JGW102" s="247"/>
      <c r="JGX102" s="247"/>
      <c r="JGY102" s="247"/>
      <c r="JGZ102" s="247"/>
      <c r="JHA102" s="247"/>
      <c r="JHB102" s="247"/>
      <c r="JHC102" s="247"/>
      <c r="JHD102" s="247"/>
      <c r="JHE102" s="247"/>
      <c r="JHF102" s="247"/>
      <c r="JHG102" s="247"/>
      <c r="JHH102" s="247"/>
      <c r="JHI102" s="247"/>
      <c r="JHJ102" s="247"/>
      <c r="JHK102" s="247"/>
      <c r="JHL102" s="247"/>
      <c r="JHM102" s="247"/>
      <c r="JHN102" s="247"/>
      <c r="JHO102" s="247"/>
      <c r="JHP102" s="247"/>
      <c r="JHQ102" s="247"/>
      <c r="JHR102" s="247"/>
      <c r="JHS102" s="247"/>
      <c r="JHT102" s="247"/>
      <c r="JHU102" s="247"/>
      <c r="JHV102" s="247"/>
      <c r="JHW102" s="247"/>
      <c r="JHX102" s="247"/>
      <c r="JHY102" s="247"/>
      <c r="JHZ102" s="247"/>
      <c r="JIA102" s="247"/>
      <c r="JIB102" s="247"/>
      <c r="JIC102" s="247"/>
      <c r="JID102" s="247"/>
      <c r="JIE102" s="247"/>
      <c r="JIF102" s="247"/>
      <c r="JIG102" s="247"/>
      <c r="JIH102" s="247"/>
      <c r="JII102" s="247"/>
      <c r="JIJ102" s="247"/>
      <c r="JIK102" s="247"/>
      <c r="JIL102" s="247"/>
      <c r="JIM102" s="247"/>
      <c r="JIN102" s="247"/>
      <c r="JIO102" s="247"/>
      <c r="JIP102" s="247"/>
      <c r="JIQ102" s="247"/>
      <c r="JIR102" s="247"/>
      <c r="JIS102" s="247"/>
      <c r="JIT102" s="247"/>
      <c r="JIU102" s="247"/>
      <c r="JIV102" s="247"/>
      <c r="JIW102" s="247"/>
      <c r="JIX102" s="247"/>
      <c r="JIY102" s="247"/>
      <c r="JIZ102" s="247"/>
      <c r="JJA102" s="247"/>
      <c r="JJB102" s="247"/>
      <c r="JJC102" s="247"/>
      <c r="JJD102" s="247"/>
      <c r="JJE102" s="247"/>
      <c r="JJF102" s="247"/>
      <c r="JJG102" s="247"/>
      <c r="JJH102" s="247"/>
      <c r="JJI102" s="247"/>
      <c r="JJJ102" s="247"/>
      <c r="JJK102" s="247"/>
      <c r="JJL102" s="247"/>
      <c r="JJM102" s="247"/>
      <c r="JJN102" s="247"/>
      <c r="JJO102" s="247"/>
      <c r="JJP102" s="247"/>
      <c r="JJQ102" s="247"/>
      <c r="JJR102" s="247"/>
      <c r="JJS102" s="247"/>
      <c r="JJT102" s="247"/>
      <c r="JJU102" s="247"/>
      <c r="JJV102" s="247"/>
      <c r="JJW102" s="247"/>
      <c r="JJX102" s="247"/>
      <c r="JJY102" s="247"/>
      <c r="JJZ102" s="247"/>
      <c r="JKA102" s="247"/>
      <c r="JKB102" s="247"/>
      <c r="JKC102" s="247"/>
      <c r="JKD102" s="247"/>
      <c r="JKE102" s="247"/>
      <c r="JKF102" s="247"/>
      <c r="JKG102" s="247"/>
      <c r="JKH102" s="247"/>
      <c r="JKI102" s="247"/>
      <c r="JKJ102" s="247"/>
      <c r="JKK102" s="247"/>
      <c r="JKL102" s="247"/>
      <c r="JKM102" s="247"/>
      <c r="JKN102" s="247"/>
      <c r="JKO102" s="247"/>
      <c r="JKP102" s="247"/>
      <c r="JKQ102" s="247"/>
      <c r="JKR102" s="247"/>
      <c r="JKS102" s="247"/>
      <c r="JKT102" s="247"/>
      <c r="JKU102" s="247"/>
      <c r="JKV102" s="247"/>
      <c r="JKW102" s="247"/>
      <c r="JKX102" s="247"/>
      <c r="JKY102" s="247"/>
      <c r="JKZ102" s="247"/>
      <c r="JLA102" s="247"/>
      <c r="JLB102" s="247"/>
      <c r="JLC102" s="247"/>
      <c r="JLD102" s="247"/>
      <c r="JLE102" s="247"/>
      <c r="JLF102" s="247"/>
      <c r="JLG102" s="247"/>
      <c r="JLH102" s="247"/>
      <c r="JLI102" s="247"/>
      <c r="JLJ102" s="247"/>
      <c r="JLK102" s="247"/>
      <c r="JLL102" s="247"/>
      <c r="JLM102" s="247"/>
      <c r="JLN102" s="247"/>
      <c r="JLO102" s="247"/>
      <c r="JLP102" s="247"/>
      <c r="JLQ102" s="247"/>
      <c r="JLR102" s="247"/>
      <c r="JLS102" s="247"/>
      <c r="JLT102" s="247"/>
      <c r="JLU102" s="247"/>
      <c r="JLV102" s="247"/>
      <c r="JLW102" s="247"/>
      <c r="JLX102" s="247"/>
      <c r="JLY102" s="247"/>
      <c r="JLZ102" s="247"/>
      <c r="JMA102" s="247"/>
      <c r="JMB102" s="247"/>
      <c r="JMC102" s="247"/>
      <c r="JMD102" s="247"/>
      <c r="JME102" s="247"/>
      <c r="JMF102" s="247"/>
      <c r="JMG102" s="247"/>
      <c r="JMH102" s="247"/>
      <c r="JMI102" s="247"/>
      <c r="JMJ102" s="247"/>
      <c r="JMK102" s="247"/>
      <c r="JML102" s="247"/>
      <c r="JMM102" s="247"/>
      <c r="JMN102" s="247"/>
      <c r="JMO102" s="247"/>
      <c r="JMP102" s="247"/>
      <c r="JMQ102" s="247"/>
      <c r="JMR102" s="247"/>
      <c r="JMS102" s="247"/>
      <c r="JMT102" s="247"/>
      <c r="JMU102" s="247"/>
      <c r="JMV102" s="247"/>
      <c r="JMW102" s="247"/>
      <c r="JMX102" s="247"/>
      <c r="JMY102" s="247"/>
      <c r="JMZ102" s="247"/>
      <c r="JNA102" s="247"/>
      <c r="JNB102" s="247"/>
      <c r="JNC102" s="247"/>
      <c r="JND102" s="247"/>
      <c r="JNE102" s="247"/>
      <c r="JNF102" s="247"/>
      <c r="JNG102" s="247"/>
      <c r="JNH102" s="247"/>
      <c r="JNI102" s="247"/>
      <c r="JNJ102" s="247"/>
      <c r="JNK102" s="247"/>
      <c r="JNL102" s="247"/>
      <c r="JNM102" s="247"/>
      <c r="JNN102" s="247"/>
      <c r="JNO102" s="247"/>
      <c r="JNP102" s="247"/>
      <c r="JNQ102" s="247"/>
      <c r="JNR102" s="247"/>
      <c r="JNS102" s="247"/>
      <c r="JNT102" s="247"/>
      <c r="JNU102" s="247"/>
      <c r="JNV102" s="247"/>
      <c r="JNW102" s="247"/>
      <c r="JNX102" s="247"/>
      <c r="JNY102" s="247"/>
      <c r="JNZ102" s="247"/>
      <c r="JOA102" s="247"/>
      <c r="JOB102" s="247"/>
      <c r="JOC102" s="247"/>
      <c r="JOD102" s="247"/>
      <c r="JOE102" s="247"/>
      <c r="JOF102" s="247"/>
      <c r="JOG102" s="247"/>
      <c r="JOH102" s="247"/>
      <c r="JOI102" s="247"/>
      <c r="JOJ102" s="247"/>
      <c r="JOK102" s="247"/>
      <c r="JOL102" s="247"/>
      <c r="JOM102" s="247"/>
      <c r="JON102" s="247"/>
      <c r="JOO102" s="247"/>
      <c r="JOP102" s="247"/>
      <c r="JOQ102" s="247"/>
      <c r="JOR102" s="247"/>
      <c r="JOS102" s="247"/>
      <c r="JOT102" s="247"/>
      <c r="JOU102" s="247"/>
      <c r="JOV102" s="247"/>
      <c r="JOW102" s="247"/>
      <c r="JOX102" s="247"/>
      <c r="JOY102" s="247"/>
      <c r="JOZ102" s="247"/>
      <c r="JPA102" s="247"/>
      <c r="JPB102" s="247"/>
      <c r="JPC102" s="247"/>
      <c r="JPD102" s="247"/>
      <c r="JPE102" s="247"/>
      <c r="JPF102" s="247"/>
      <c r="JPG102" s="247"/>
      <c r="JPH102" s="247"/>
      <c r="JPI102" s="247"/>
      <c r="JPJ102" s="247"/>
      <c r="JPK102" s="247"/>
      <c r="JPL102" s="247"/>
      <c r="JPM102" s="247"/>
      <c r="JPN102" s="247"/>
      <c r="JPO102" s="247"/>
      <c r="JPP102" s="247"/>
      <c r="JPQ102" s="247"/>
      <c r="JPR102" s="247"/>
      <c r="JPS102" s="247"/>
      <c r="JPT102" s="247"/>
      <c r="JPU102" s="247"/>
      <c r="JPV102" s="247"/>
      <c r="JPW102" s="247"/>
      <c r="JPX102" s="247"/>
      <c r="JPY102" s="247"/>
      <c r="JPZ102" s="247"/>
      <c r="JQA102" s="247"/>
      <c r="JQB102" s="247"/>
      <c r="JQC102" s="247"/>
      <c r="JQD102" s="247"/>
      <c r="JQE102" s="247"/>
      <c r="JQF102" s="247"/>
      <c r="JQG102" s="247"/>
      <c r="JQH102" s="247"/>
      <c r="JQI102" s="247"/>
      <c r="JQJ102" s="247"/>
      <c r="JQK102" s="247"/>
      <c r="JQL102" s="247"/>
      <c r="JQM102" s="247"/>
      <c r="JQN102" s="247"/>
      <c r="JQO102" s="247"/>
      <c r="JQP102" s="247"/>
      <c r="JQQ102" s="247"/>
      <c r="JQR102" s="247"/>
      <c r="JQS102" s="247"/>
      <c r="JQT102" s="247"/>
      <c r="JQU102" s="247"/>
      <c r="JQV102" s="247"/>
      <c r="JQW102" s="247"/>
      <c r="JQX102" s="247"/>
      <c r="JQY102" s="247"/>
      <c r="JQZ102" s="247"/>
      <c r="JRA102" s="247"/>
      <c r="JRB102" s="247"/>
      <c r="JRC102" s="247"/>
      <c r="JRD102" s="247"/>
      <c r="JRE102" s="247"/>
      <c r="JRF102" s="247"/>
      <c r="JRG102" s="247"/>
      <c r="JRH102" s="247"/>
      <c r="JRI102" s="247"/>
      <c r="JRJ102" s="247"/>
      <c r="JRK102" s="247"/>
      <c r="JRL102" s="247"/>
      <c r="JRM102" s="247"/>
      <c r="JRN102" s="247"/>
      <c r="JRO102" s="247"/>
      <c r="JRP102" s="247"/>
      <c r="JRQ102" s="247"/>
      <c r="JRR102" s="247"/>
      <c r="JRS102" s="247"/>
      <c r="JRT102" s="247"/>
      <c r="JRU102" s="247"/>
      <c r="JRV102" s="247"/>
      <c r="JRW102" s="247"/>
      <c r="JRX102" s="247"/>
      <c r="JRY102" s="247"/>
      <c r="JRZ102" s="247"/>
      <c r="JSA102" s="247"/>
      <c r="JSB102" s="247"/>
      <c r="JSC102" s="247"/>
      <c r="JSD102" s="247"/>
      <c r="JSE102" s="247"/>
      <c r="JSF102" s="247"/>
      <c r="JSG102" s="247"/>
      <c r="JSH102" s="247"/>
      <c r="JSI102" s="247"/>
      <c r="JSJ102" s="247"/>
      <c r="JSK102" s="247"/>
      <c r="JSL102" s="247"/>
      <c r="JSM102" s="247"/>
      <c r="JSN102" s="247"/>
      <c r="JSO102" s="247"/>
      <c r="JSP102" s="247"/>
      <c r="JSQ102" s="247"/>
      <c r="JSR102" s="247"/>
      <c r="JSS102" s="247"/>
      <c r="JST102" s="247"/>
      <c r="JSU102" s="247"/>
      <c r="JSV102" s="247"/>
      <c r="JSW102" s="247"/>
      <c r="JSX102" s="247"/>
      <c r="JSY102" s="247"/>
      <c r="JSZ102" s="247"/>
      <c r="JTA102" s="247"/>
      <c r="JTB102" s="247"/>
      <c r="JTC102" s="247"/>
      <c r="JTD102" s="247"/>
      <c r="JTE102" s="247"/>
      <c r="JTF102" s="247"/>
      <c r="JTG102" s="247"/>
      <c r="JTH102" s="247"/>
      <c r="JTI102" s="247"/>
      <c r="JTJ102" s="247"/>
      <c r="JTK102" s="247"/>
      <c r="JTL102" s="247"/>
      <c r="JTM102" s="247"/>
      <c r="JTN102" s="247"/>
      <c r="JTO102" s="247"/>
      <c r="JTP102" s="247"/>
      <c r="JTQ102" s="247"/>
      <c r="JTR102" s="247"/>
      <c r="JTS102" s="247"/>
      <c r="JTT102" s="247"/>
      <c r="JTU102" s="247"/>
      <c r="JTV102" s="247"/>
      <c r="JTW102" s="247"/>
      <c r="JTX102" s="247"/>
      <c r="JTY102" s="247"/>
      <c r="JTZ102" s="247"/>
      <c r="JUA102" s="247"/>
      <c r="JUB102" s="247"/>
      <c r="JUC102" s="247"/>
      <c r="JUD102" s="247"/>
      <c r="JUE102" s="247"/>
      <c r="JUF102" s="247"/>
      <c r="JUG102" s="247"/>
      <c r="JUH102" s="247"/>
      <c r="JUI102" s="247"/>
      <c r="JUJ102" s="247"/>
      <c r="JUK102" s="247"/>
      <c r="JUL102" s="247"/>
      <c r="JUM102" s="247"/>
      <c r="JUN102" s="247"/>
      <c r="JUO102" s="247"/>
      <c r="JUP102" s="247"/>
      <c r="JUQ102" s="247"/>
      <c r="JUR102" s="247"/>
      <c r="JUS102" s="247"/>
      <c r="JUT102" s="247"/>
      <c r="JUU102" s="247"/>
      <c r="JUV102" s="247"/>
      <c r="JUW102" s="247"/>
      <c r="JUX102" s="247"/>
      <c r="JUY102" s="247"/>
      <c r="JUZ102" s="247"/>
      <c r="JVA102" s="247"/>
      <c r="JVB102" s="247"/>
      <c r="JVC102" s="247"/>
      <c r="JVD102" s="247"/>
      <c r="JVE102" s="247"/>
      <c r="JVF102" s="247"/>
      <c r="JVG102" s="247"/>
      <c r="JVH102" s="247"/>
      <c r="JVI102" s="247"/>
      <c r="JVJ102" s="247"/>
      <c r="JVK102" s="247"/>
      <c r="JVL102" s="247"/>
      <c r="JVM102" s="247"/>
      <c r="JVN102" s="247"/>
      <c r="JVO102" s="247"/>
      <c r="JVP102" s="247"/>
      <c r="JVQ102" s="247"/>
      <c r="JVR102" s="247"/>
      <c r="JVS102" s="247"/>
      <c r="JVT102" s="247"/>
      <c r="JVU102" s="247"/>
      <c r="JVV102" s="247"/>
      <c r="JVW102" s="247"/>
      <c r="JVX102" s="247"/>
      <c r="JVY102" s="247"/>
      <c r="JVZ102" s="247"/>
      <c r="JWA102" s="247"/>
      <c r="JWB102" s="247"/>
      <c r="JWC102" s="247"/>
      <c r="JWD102" s="247"/>
      <c r="JWE102" s="247"/>
      <c r="JWF102" s="247"/>
      <c r="JWG102" s="247"/>
      <c r="JWH102" s="247"/>
      <c r="JWI102" s="247"/>
      <c r="JWJ102" s="247"/>
      <c r="JWK102" s="247"/>
      <c r="JWL102" s="247"/>
      <c r="JWM102" s="247"/>
      <c r="JWN102" s="247"/>
      <c r="JWO102" s="247"/>
      <c r="JWP102" s="247"/>
      <c r="JWQ102" s="247"/>
      <c r="JWR102" s="247"/>
      <c r="JWS102" s="247"/>
      <c r="JWT102" s="247"/>
      <c r="JWU102" s="247"/>
      <c r="JWV102" s="247"/>
      <c r="JWW102" s="247"/>
      <c r="JWX102" s="247"/>
      <c r="JWY102" s="247"/>
      <c r="JWZ102" s="247"/>
      <c r="JXA102" s="247"/>
      <c r="JXB102" s="247"/>
      <c r="JXC102" s="247"/>
      <c r="JXD102" s="247"/>
      <c r="JXE102" s="247"/>
      <c r="JXF102" s="247"/>
      <c r="JXG102" s="247"/>
      <c r="JXH102" s="247"/>
      <c r="JXI102" s="247"/>
      <c r="JXJ102" s="247"/>
      <c r="JXK102" s="247"/>
      <c r="JXL102" s="247"/>
      <c r="JXM102" s="247"/>
      <c r="JXN102" s="247"/>
      <c r="JXO102" s="247"/>
      <c r="JXP102" s="247"/>
      <c r="JXQ102" s="247"/>
      <c r="JXR102" s="247"/>
      <c r="JXS102" s="247"/>
      <c r="JXT102" s="247"/>
      <c r="JXU102" s="247"/>
      <c r="JXV102" s="247"/>
      <c r="JXW102" s="247"/>
      <c r="JXX102" s="247"/>
      <c r="JXY102" s="247"/>
      <c r="JXZ102" s="247"/>
      <c r="JYA102" s="247"/>
      <c r="JYB102" s="247"/>
      <c r="JYC102" s="247"/>
      <c r="JYD102" s="247"/>
      <c r="JYE102" s="247"/>
      <c r="JYF102" s="247"/>
      <c r="JYG102" s="247"/>
      <c r="JYH102" s="247"/>
      <c r="JYI102" s="247"/>
      <c r="JYJ102" s="247"/>
      <c r="JYK102" s="247"/>
      <c r="JYL102" s="247"/>
      <c r="JYM102" s="247"/>
      <c r="JYN102" s="247"/>
      <c r="JYO102" s="247"/>
      <c r="JYP102" s="247"/>
      <c r="JYQ102" s="247"/>
      <c r="JYR102" s="247"/>
      <c r="JYS102" s="247"/>
      <c r="JYT102" s="247"/>
      <c r="JYU102" s="247"/>
      <c r="JYV102" s="247"/>
      <c r="JYW102" s="247"/>
      <c r="JYX102" s="247"/>
      <c r="JYY102" s="247"/>
      <c r="JYZ102" s="247"/>
      <c r="JZA102" s="247"/>
      <c r="JZB102" s="247"/>
      <c r="JZC102" s="247"/>
      <c r="JZD102" s="247"/>
      <c r="JZE102" s="247"/>
      <c r="JZF102" s="247"/>
      <c r="JZG102" s="247"/>
      <c r="JZH102" s="247"/>
      <c r="JZI102" s="247"/>
      <c r="JZJ102" s="247"/>
      <c r="JZK102" s="247"/>
      <c r="JZL102" s="247"/>
      <c r="JZM102" s="247"/>
      <c r="JZN102" s="247"/>
      <c r="JZO102" s="247"/>
      <c r="JZP102" s="247"/>
      <c r="JZQ102" s="247"/>
      <c r="JZR102" s="247"/>
      <c r="JZS102" s="247"/>
      <c r="JZT102" s="247"/>
      <c r="JZU102" s="247"/>
      <c r="JZV102" s="247"/>
      <c r="JZW102" s="247"/>
      <c r="JZX102" s="247"/>
      <c r="JZY102" s="247"/>
      <c r="JZZ102" s="247"/>
      <c r="KAA102" s="247"/>
      <c r="KAB102" s="247"/>
      <c r="KAC102" s="247"/>
      <c r="KAD102" s="247"/>
      <c r="KAE102" s="247"/>
      <c r="KAF102" s="247"/>
      <c r="KAG102" s="247"/>
      <c r="KAH102" s="247"/>
      <c r="KAI102" s="247"/>
      <c r="KAJ102" s="247"/>
      <c r="KAK102" s="247"/>
      <c r="KAL102" s="247"/>
      <c r="KAM102" s="247"/>
      <c r="KAN102" s="247"/>
      <c r="KAO102" s="247"/>
      <c r="KAP102" s="247"/>
      <c r="KAQ102" s="247"/>
      <c r="KAR102" s="247"/>
      <c r="KAS102" s="247"/>
      <c r="KAT102" s="247"/>
      <c r="KAU102" s="247"/>
      <c r="KAV102" s="247"/>
      <c r="KAW102" s="247"/>
      <c r="KAX102" s="247"/>
      <c r="KAY102" s="247"/>
      <c r="KAZ102" s="247"/>
      <c r="KBA102" s="247"/>
      <c r="KBB102" s="247"/>
      <c r="KBC102" s="247"/>
      <c r="KBD102" s="247"/>
      <c r="KBE102" s="247"/>
      <c r="KBF102" s="247"/>
      <c r="KBG102" s="247"/>
      <c r="KBH102" s="247"/>
      <c r="KBI102" s="247"/>
      <c r="KBJ102" s="247"/>
      <c r="KBK102" s="247"/>
      <c r="KBL102" s="247"/>
      <c r="KBM102" s="247"/>
      <c r="KBN102" s="247"/>
      <c r="KBO102" s="247"/>
      <c r="KBP102" s="247"/>
      <c r="KBQ102" s="247"/>
      <c r="KBR102" s="247"/>
      <c r="KBS102" s="247"/>
      <c r="KBT102" s="247"/>
      <c r="KBU102" s="247"/>
      <c r="KBV102" s="247"/>
      <c r="KBW102" s="247"/>
      <c r="KBX102" s="247"/>
      <c r="KBY102" s="247"/>
      <c r="KBZ102" s="247"/>
      <c r="KCA102" s="247"/>
      <c r="KCB102" s="247"/>
      <c r="KCC102" s="247"/>
      <c r="KCD102" s="247"/>
      <c r="KCE102" s="247"/>
      <c r="KCF102" s="247"/>
      <c r="KCG102" s="247"/>
      <c r="KCH102" s="247"/>
      <c r="KCI102" s="247"/>
      <c r="KCJ102" s="247"/>
      <c r="KCK102" s="247"/>
      <c r="KCL102" s="247"/>
      <c r="KCM102" s="247"/>
      <c r="KCN102" s="247"/>
      <c r="KCO102" s="247"/>
      <c r="KCP102" s="247"/>
      <c r="KCQ102" s="247"/>
      <c r="KCR102" s="247"/>
      <c r="KCS102" s="247"/>
      <c r="KCT102" s="247"/>
      <c r="KCU102" s="247"/>
      <c r="KCV102" s="247"/>
      <c r="KCW102" s="247"/>
      <c r="KCX102" s="247"/>
      <c r="KCY102" s="247"/>
      <c r="KCZ102" s="247"/>
      <c r="KDA102" s="247"/>
      <c r="KDB102" s="247"/>
      <c r="KDC102" s="247"/>
      <c r="KDD102" s="247"/>
      <c r="KDE102" s="247"/>
      <c r="KDF102" s="247"/>
      <c r="KDG102" s="247"/>
      <c r="KDH102" s="247"/>
      <c r="KDI102" s="247"/>
      <c r="KDJ102" s="247"/>
      <c r="KDK102" s="247"/>
      <c r="KDL102" s="247"/>
      <c r="KDM102" s="247"/>
      <c r="KDN102" s="247"/>
      <c r="KDO102" s="247"/>
      <c r="KDP102" s="247"/>
      <c r="KDQ102" s="247"/>
      <c r="KDR102" s="247"/>
      <c r="KDS102" s="247"/>
      <c r="KDT102" s="247"/>
      <c r="KDU102" s="247"/>
      <c r="KDV102" s="247"/>
      <c r="KDW102" s="247"/>
      <c r="KDX102" s="247"/>
      <c r="KDY102" s="247"/>
      <c r="KDZ102" s="247"/>
      <c r="KEA102" s="247"/>
      <c r="KEB102" s="247"/>
      <c r="KEC102" s="247"/>
      <c r="KED102" s="247"/>
      <c r="KEE102" s="247"/>
      <c r="KEF102" s="247"/>
      <c r="KEG102" s="247"/>
      <c r="KEH102" s="247"/>
      <c r="KEI102" s="247"/>
      <c r="KEJ102" s="247"/>
      <c r="KEK102" s="247"/>
      <c r="KEL102" s="247"/>
      <c r="KEM102" s="247"/>
      <c r="KEN102" s="247"/>
      <c r="KEO102" s="247"/>
      <c r="KEP102" s="247"/>
      <c r="KEQ102" s="247"/>
      <c r="KER102" s="247"/>
      <c r="KES102" s="247"/>
      <c r="KET102" s="247"/>
      <c r="KEU102" s="247"/>
      <c r="KEV102" s="247"/>
      <c r="KEW102" s="247"/>
      <c r="KEX102" s="247"/>
      <c r="KEY102" s="247"/>
      <c r="KEZ102" s="247"/>
      <c r="KFA102" s="247"/>
      <c r="KFB102" s="247"/>
      <c r="KFC102" s="247"/>
      <c r="KFD102" s="247"/>
      <c r="KFE102" s="247"/>
      <c r="KFF102" s="247"/>
      <c r="KFG102" s="247"/>
      <c r="KFH102" s="247"/>
      <c r="KFI102" s="247"/>
      <c r="KFJ102" s="247"/>
      <c r="KFK102" s="247"/>
      <c r="KFL102" s="247"/>
      <c r="KFM102" s="247"/>
      <c r="KFN102" s="247"/>
      <c r="KFO102" s="247"/>
      <c r="KFP102" s="247"/>
      <c r="KFQ102" s="247"/>
      <c r="KFR102" s="247"/>
      <c r="KFS102" s="247"/>
      <c r="KFT102" s="247"/>
      <c r="KFU102" s="247"/>
      <c r="KFV102" s="247"/>
      <c r="KFW102" s="247"/>
      <c r="KFX102" s="247"/>
      <c r="KFY102" s="247"/>
      <c r="KFZ102" s="247"/>
      <c r="KGA102" s="247"/>
      <c r="KGB102" s="247"/>
      <c r="KGC102" s="247"/>
      <c r="KGD102" s="247"/>
      <c r="KGE102" s="247"/>
      <c r="KGF102" s="247"/>
      <c r="KGG102" s="247"/>
      <c r="KGH102" s="247"/>
      <c r="KGI102" s="247"/>
      <c r="KGJ102" s="247"/>
      <c r="KGK102" s="247"/>
      <c r="KGL102" s="247"/>
      <c r="KGM102" s="247"/>
      <c r="KGN102" s="247"/>
      <c r="KGO102" s="247"/>
      <c r="KGP102" s="247"/>
      <c r="KGQ102" s="247"/>
      <c r="KGR102" s="247"/>
      <c r="KGS102" s="247"/>
      <c r="KGT102" s="247"/>
      <c r="KGU102" s="247"/>
      <c r="KGV102" s="247"/>
      <c r="KGW102" s="247"/>
      <c r="KGX102" s="247"/>
      <c r="KGY102" s="247"/>
      <c r="KGZ102" s="247"/>
      <c r="KHA102" s="247"/>
      <c r="KHB102" s="247"/>
      <c r="KHC102" s="247"/>
      <c r="KHD102" s="247"/>
      <c r="KHE102" s="247"/>
      <c r="KHF102" s="247"/>
      <c r="KHG102" s="247"/>
      <c r="KHH102" s="247"/>
      <c r="KHI102" s="247"/>
      <c r="KHJ102" s="247"/>
      <c r="KHK102" s="247"/>
      <c r="KHL102" s="247"/>
      <c r="KHM102" s="247"/>
      <c r="KHN102" s="247"/>
      <c r="KHO102" s="247"/>
      <c r="KHP102" s="247"/>
      <c r="KHQ102" s="247"/>
      <c r="KHR102" s="247"/>
      <c r="KHS102" s="247"/>
      <c r="KHT102" s="247"/>
      <c r="KHU102" s="247"/>
      <c r="KHV102" s="247"/>
      <c r="KHW102" s="247"/>
      <c r="KHX102" s="247"/>
      <c r="KHY102" s="247"/>
      <c r="KHZ102" s="247"/>
      <c r="KIA102" s="247"/>
      <c r="KIB102" s="247"/>
      <c r="KIC102" s="247"/>
      <c r="KID102" s="247"/>
      <c r="KIE102" s="247"/>
      <c r="KIF102" s="247"/>
      <c r="KIG102" s="247"/>
      <c r="KIH102" s="247"/>
      <c r="KII102" s="247"/>
      <c r="KIJ102" s="247"/>
      <c r="KIK102" s="247"/>
      <c r="KIL102" s="247"/>
      <c r="KIM102" s="247"/>
      <c r="KIN102" s="247"/>
      <c r="KIO102" s="247"/>
      <c r="KIP102" s="247"/>
      <c r="KIQ102" s="247"/>
      <c r="KIR102" s="247"/>
      <c r="KIS102" s="247"/>
      <c r="KIT102" s="247"/>
      <c r="KIU102" s="247"/>
      <c r="KIV102" s="247"/>
      <c r="KIW102" s="247"/>
      <c r="KIX102" s="247"/>
      <c r="KIY102" s="247"/>
      <c r="KIZ102" s="247"/>
      <c r="KJA102" s="247"/>
      <c r="KJB102" s="247"/>
      <c r="KJC102" s="247"/>
      <c r="KJD102" s="247"/>
      <c r="KJE102" s="247"/>
      <c r="KJF102" s="247"/>
      <c r="KJG102" s="247"/>
      <c r="KJH102" s="247"/>
      <c r="KJI102" s="247"/>
      <c r="KJJ102" s="247"/>
      <c r="KJK102" s="247"/>
      <c r="KJL102" s="247"/>
      <c r="KJM102" s="247"/>
      <c r="KJN102" s="247"/>
      <c r="KJO102" s="247"/>
      <c r="KJP102" s="247"/>
      <c r="KJQ102" s="247"/>
      <c r="KJR102" s="247"/>
      <c r="KJS102" s="247"/>
      <c r="KJT102" s="247"/>
      <c r="KJU102" s="247"/>
      <c r="KJV102" s="247"/>
      <c r="KJW102" s="247"/>
      <c r="KJX102" s="247"/>
      <c r="KJY102" s="247"/>
      <c r="KJZ102" s="247"/>
      <c r="KKA102" s="247"/>
      <c r="KKB102" s="247"/>
      <c r="KKC102" s="247"/>
      <c r="KKD102" s="247"/>
      <c r="KKE102" s="247"/>
      <c r="KKF102" s="247"/>
      <c r="KKG102" s="247"/>
      <c r="KKH102" s="247"/>
      <c r="KKI102" s="247"/>
      <c r="KKJ102" s="247"/>
      <c r="KKK102" s="247"/>
      <c r="KKL102" s="247"/>
      <c r="KKM102" s="247"/>
      <c r="KKN102" s="247"/>
      <c r="KKO102" s="247"/>
      <c r="KKP102" s="247"/>
      <c r="KKQ102" s="247"/>
      <c r="KKR102" s="247"/>
      <c r="KKS102" s="247"/>
      <c r="KKT102" s="247"/>
      <c r="KKU102" s="247"/>
      <c r="KKV102" s="247"/>
      <c r="KKW102" s="247"/>
      <c r="KKX102" s="247"/>
      <c r="KKY102" s="247"/>
      <c r="KKZ102" s="247"/>
      <c r="KLA102" s="247"/>
      <c r="KLB102" s="247"/>
      <c r="KLC102" s="247"/>
      <c r="KLD102" s="247"/>
      <c r="KLE102" s="247"/>
      <c r="KLF102" s="247"/>
      <c r="KLG102" s="247"/>
      <c r="KLH102" s="247"/>
      <c r="KLI102" s="247"/>
      <c r="KLJ102" s="247"/>
      <c r="KLK102" s="247"/>
      <c r="KLL102" s="247"/>
      <c r="KLM102" s="247"/>
      <c r="KLN102" s="247"/>
      <c r="KLO102" s="247"/>
      <c r="KLP102" s="247"/>
      <c r="KLQ102" s="247"/>
      <c r="KLR102" s="247"/>
      <c r="KLS102" s="247"/>
      <c r="KLT102" s="247"/>
      <c r="KLU102" s="247"/>
      <c r="KLV102" s="247"/>
      <c r="KLW102" s="247"/>
      <c r="KLX102" s="247"/>
      <c r="KLY102" s="247"/>
      <c r="KLZ102" s="247"/>
      <c r="KMA102" s="247"/>
      <c r="KMB102" s="247"/>
      <c r="KMC102" s="247"/>
      <c r="KMD102" s="247"/>
      <c r="KME102" s="247"/>
      <c r="KMF102" s="247"/>
      <c r="KMG102" s="247"/>
      <c r="KMH102" s="247"/>
      <c r="KMI102" s="247"/>
      <c r="KMJ102" s="247"/>
      <c r="KMK102" s="247"/>
      <c r="KML102" s="247"/>
      <c r="KMM102" s="247"/>
      <c r="KMN102" s="247"/>
      <c r="KMO102" s="247"/>
      <c r="KMP102" s="247"/>
      <c r="KMQ102" s="247"/>
      <c r="KMR102" s="247"/>
      <c r="KMS102" s="247"/>
      <c r="KMT102" s="247"/>
      <c r="KMU102" s="247"/>
      <c r="KMV102" s="247"/>
      <c r="KMW102" s="247"/>
      <c r="KMX102" s="247"/>
      <c r="KMY102" s="247"/>
      <c r="KMZ102" s="247"/>
      <c r="KNA102" s="247"/>
      <c r="KNB102" s="247"/>
      <c r="KNC102" s="247"/>
      <c r="KND102" s="247"/>
      <c r="KNE102" s="247"/>
      <c r="KNF102" s="247"/>
      <c r="KNG102" s="247"/>
      <c r="KNH102" s="247"/>
      <c r="KNI102" s="247"/>
      <c r="KNJ102" s="247"/>
      <c r="KNK102" s="247"/>
      <c r="KNL102" s="247"/>
      <c r="KNM102" s="247"/>
      <c r="KNN102" s="247"/>
      <c r="KNO102" s="247"/>
      <c r="KNP102" s="247"/>
      <c r="KNQ102" s="247"/>
      <c r="KNR102" s="247"/>
      <c r="KNS102" s="247"/>
      <c r="KNT102" s="247"/>
      <c r="KNU102" s="247"/>
      <c r="KNV102" s="247"/>
      <c r="KNW102" s="247"/>
      <c r="KNX102" s="247"/>
      <c r="KNY102" s="247"/>
      <c r="KNZ102" s="247"/>
      <c r="KOA102" s="247"/>
      <c r="KOB102" s="247"/>
      <c r="KOC102" s="247"/>
      <c r="KOD102" s="247"/>
      <c r="KOE102" s="247"/>
      <c r="KOF102" s="247"/>
      <c r="KOG102" s="247"/>
      <c r="KOH102" s="247"/>
      <c r="KOI102" s="247"/>
      <c r="KOJ102" s="247"/>
      <c r="KOK102" s="247"/>
      <c r="KOL102" s="247"/>
      <c r="KOM102" s="247"/>
      <c r="KON102" s="247"/>
      <c r="KOO102" s="247"/>
      <c r="KOP102" s="247"/>
      <c r="KOQ102" s="247"/>
      <c r="KOR102" s="247"/>
      <c r="KOS102" s="247"/>
      <c r="KOT102" s="247"/>
      <c r="KOU102" s="247"/>
      <c r="KOV102" s="247"/>
      <c r="KOW102" s="247"/>
      <c r="KOX102" s="247"/>
      <c r="KOY102" s="247"/>
      <c r="KOZ102" s="247"/>
      <c r="KPA102" s="247"/>
      <c r="KPB102" s="247"/>
      <c r="KPC102" s="247"/>
      <c r="KPD102" s="247"/>
      <c r="KPE102" s="247"/>
      <c r="KPF102" s="247"/>
      <c r="KPG102" s="247"/>
      <c r="KPH102" s="247"/>
      <c r="KPI102" s="247"/>
      <c r="KPJ102" s="247"/>
      <c r="KPK102" s="247"/>
      <c r="KPL102" s="247"/>
      <c r="KPM102" s="247"/>
      <c r="KPN102" s="247"/>
      <c r="KPO102" s="247"/>
      <c r="KPP102" s="247"/>
      <c r="KPQ102" s="247"/>
      <c r="KPR102" s="247"/>
      <c r="KPS102" s="247"/>
      <c r="KPT102" s="247"/>
      <c r="KPU102" s="247"/>
      <c r="KPV102" s="247"/>
      <c r="KPW102" s="247"/>
      <c r="KPX102" s="247"/>
      <c r="KPY102" s="247"/>
      <c r="KPZ102" s="247"/>
      <c r="KQA102" s="247"/>
      <c r="KQB102" s="247"/>
      <c r="KQC102" s="247"/>
      <c r="KQD102" s="247"/>
      <c r="KQE102" s="247"/>
      <c r="KQF102" s="247"/>
      <c r="KQG102" s="247"/>
      <c r="KQH102" s="247"/>
      <c r="KQI102" s="247"/>
      <c r="KQJ102" s="247"/>
      <c r="KQK102" s="247"/>
      <c r="KQL102" s="247"/>
      <c r="KQM102" s="247"/>
      <c r="KQN102" s="247"/>
      <c r="KQO102" s="247"/>
      <c r="KQP102" s="247"/>
      <c r="KQQ102" s="247"/>
      <c r="KQR102" s="247"/>
      <c r="KQS102" s="247"/>
      <c r="KQT102" s="247"/>
      <c r="KQU102" s="247"/>
      <c r="KQV102" s="247"/>
      <c r="KQW102" s="247"/>
      <c r="KQX102" s="247"/>
      <c r="KQY102" s="247"/>
      <c r="KQZ102" s="247"/>
      <c r="KRA102" s="247"/>
      <c r="KRB102" s="247"/>
      <c r="KRC102" s="247"/>
      <c r="KRD102" s="247"/>
      <c r="KRE102" s="247"/>
      <c r="KRF102" s="247"/>
      <c r="KRG102" s="247"/>
      <c r="KRH102" s="247"/>
      <c r="KRI102" s="247"/>
      <c r="KRJ102" s="247"/>
      <c r="KRK102" s="247"/>
      <c r="KRL102" s="247"/>
      <c r="KRM102" s="247"/>
      <c r="KRN102" s="247"/>
      <c r="KRO102" s="247"/>
      <c r="KRP102" s="247"/>
      <c r="KRQ102" s="247"/>
      <c r="KRR102" s="247"/>
      <c r="KRS102" s="247"/>
      <c r="KRT102" s="247"/>
      <c r="KRU102" s="247"/>
      <c r="KRV102" s="247"/>
      <c r="KRW102" s="247"/>
      <c r="KRX102" s="247"/>
      <c r="KRY102" s="247"/>
      <c r="KRZ102" s="247"/>
      <c r="KSA102" s="247"/>
      <c r="KSB102" s="247"/>
      <c r="KSC102" s="247"/>
      <c r="KSD102" s="247"/>
      <c r="KSE102" s="247"/>
      <c r="KSF102" s="247"/>
      <c r="KSG102" s="247"/>
      <c r="KSH102" s="247"/>
      <c r="KSI102" s="247"/>
      <c r="KSJ102" s="247"/>
      <c r="KSK102" s="247"/>
      <c r="KSL102" s="247"/>
      <c r="KSM102" s="247"/>
      <c r="KSN102" s="247"/>
      <c r="KSO102" s="247"/>
      <c r="KSP102" s="247"/>
      <c r="KSQ102" s="247"/>
      <c r="KSR102" s="247"/>
      <c r="KSS102" s="247"/>
      <c r="KST102" s="247"/>
      <c r="KSU102" s="247"/>
      <c r="KSV102" s="247"/>
      <c r="KSW102" s="247"/>
      <c r="KSX102" s="247"/>
      <c r="KSY102" s="247"/>
      <c r="KSZ102" s="247"/>
      <c r="KTA102" s="247"/>
      <c r="KTB102" s="247"/>
      <c r="KTC102" s="247"/>
      <c r="KTD102" s="247"/>
      <c r="KTE102" s="247"/>
      <c r="KTF102" s="247"/>
      <c r="KTG102" s="247"/>
      <c r="KTH102" s="247"/>
      <c r="KTI102" s="247"/>
      <c r="KTJ102" s="247"/>
      <c r="KTK102" s="247"/>
      <c r="KTL102" s="247"/>
      <c r="KTM102" s="247"/>
      <c r="KTN102" s="247"/>
      <c r="KTO102" s="247"/>
      <c r="KTP102" s="247"/>
      <c r="KTQ102" s="247"/>
      <c r="KTR102" s="247"/>
      <c r="KTS102" s="247"/>
      <c r="KTT102" s="247"/>
      <c r="KTU102" s="247"/>
      <c r="KTV102" s="247"/>
      <c r="KTW102" s="247"/>
      <c r="KTX102" s="247"/>
      <c r="KTY102" s="247"/>
      <c r="KTZ102" s="247"/>
      <c r="KUA102" s="247"/>
      <c r="KUB102" s="247"/>
      <c r="KUC102" s="247"/>
      <c r="KUD102" s="247"/>
      <c r="KUE102" s="247"/>
      <c r="KUF102" s="247"/>
      <c r="KUG102" s="247"/>
      <c r="KUH102" s="247"/>
      <c r="KUI102" s="247"/>
      <c r="KUJ102" s="247"/>
      <c r="KUK102" s="247"/>
      <c r="KUL102" s="247"/>
      <c r="KUM102" s="247"/>
      <c r="KUN102" s="247"/>
      <c r="KUO102" s="247"/>
      <c r="KUP102" s="247"/>
      <c r="KUQ102" s="247"/>
      <c r="KUR102" s="247"/>
      <c r="KUS102" s="247"/>
      <c r="KUT102" s="247"/>
      <c r="KUU102" s="247"/>
      <c r="KUV102" s="247"/>
      <c r="KUW102" s="247"/>
      <c r="KUX102" s="247"/>
      <c r="KUY102" s="247"/>
      <c r="KUZ102" s="247"/>
      <c r="KVA102" s="247"/>
      <c r="KVB102" s="247"/>
      <c r="KVC102" s="247"/>
      <c r="KVD102" s="247"/>
      <c r="KVE102" s="247"/>
      <c r="KVF102" s="247"/>
      <c r="KVG102" s="247"/>
      <c r="KVH102" s="247"/>
      <c r="KVI102" s="247"/>
      <c r="KVJ102" s="247"/>
      <c r="KVK102" s="247"/>
      <c r="KVL102" s="247"/>
      <c r="KVM102" s="247"/>
      <c r="KVN102" s="247"/>
      <c r="KVO102" s="247"/>
      <c r="KVP102" s="247"/>
      <c r="KVQ102" s="247"/>
      <c r="KVR102" s="247"/>
      <c r="KVS102" s="247"/>
      <c r="KVT102" s="247"/>
      <c r="KVU102" s="247"/>
      <c r="KVV102" s="247"/>
      <c r="KVW102" s="247"/>
      <c r="KVX102" s="247"/>
      <c r="KVY102" s="247"/>
      <c r="KVZ102" s="247"/>
      <c r="KWA102" s="247"/>
      <c r="KWB102" s="247"/>
      <c r="KWC102" s="247"/>
      <c r="KWD102" s="247"/>
      <c r="KWE102" s="247"/>
      <c r="KWF102" s="247"/>
      <c r="KWG102" s="247"/>
      <c r="KWH102" s="247"/>
      <c r="KWI102" s="247"/>
      <c r="KWJ102" s="247"/>
      <c r="KWK102" s="247"/>
      <c r="KWL102" s="247"/>
      <c r="KWM102" s="247"/>
      <c r="KWN102" s="247"/>
      <c r="KWO102" s="247"/>
      <c r="KWP102" s="247"/>
      <c r="KWQ102" s="247"/>
      <c r="KWR102" s="247"/>
      <c r="KWS102" s="247"/>
      <c r="KWT102" s="247"/>
      <c r="KWU102" s="247"/>
      <c r="KWV102" s="247"/>
      <c r="KWW102" s="247"/>
      <c r="KWX102" s="247"/>
      <c r="KWY102" s="247"/>
      <c r="KWZ102" s="247"/>
      <c r="KXA102" s="247"/>
      <c r="KXB102" s="247"/>
      <c r="KXC102" s="247"/>
      <c r="KXD102" s="247"/>
      <c r="KXE102" s="247"/>
      <c r="KXF102" s="247"/>
      <c r="KXG102" s="247"/>
      <c r="KXH102" s="247"/>
      <c r="KXI102" s="247"/>
      <c r="KXJ102" s="247"/>
      <c r="KXK102" s="247"/>
      <c r="KXL102" s="247"/>
      <c r="KXM102" s="247"/>
      <c r="KXN102" s="247"/>
      <c r="KXO102" s="247"/>
      <c r="KXP102" s="247"/>
      <c r="KXQ102" s="247"/>
      <c r="KXR102" s="247"/>
      <c r="KXS102" s="247"/>
      <c r="KXT102" s="247"/>
      <c r="KXU102" s="247"/>
      <c r="KXV102" s="247"/>
      <c r="KXW102" s="247"/>
      <c r="KXX102" s="247"/>
      <c r="KXY102" s="247"/>
      <c r="KXZ102" s="247"/>
      <c r="KYA102" s="247"/>
      <c r="KYB102" s="247"/>
      <c r="KYC102" s="247"/>
      <c r="KYD102" s="247"/>
      <c r="KYE102" s="247"/>
      <c r="KYF102" s="247"/>
      <c r="KYG102" s="247"/>
      <c r="KYH102" s="247"/>
      <c r="KYI102" s="247"/>
      <c r="KYJ102" s="247"/>
      <c r="KYK102" s="247"/>
      <c r="KYL102" s="247"/>
      <c r="KYM102" s="247"/>
      <c r="KYN102" s="247"/>
      <c r="KYO102" s="247"/>
      <c r="KYP102" s="247"/>
      <c r="KYQ102" s="247"/>
      <c r="KYR102" s="247"/>
      <c r="KYS102" s="247"/>
      <c r="KYT102" s="247"/>
      <c r="KYU102" s="247"/>
      <c r="KYV102" s="247"/>
      <c r="KYW102" s="247"/>
      <c r="KYX102" s="247"/>
      <c r="KYY102" s="247"/>
      <c r="KYZ102" s="247"/>
      <c r="KZA102" s="247"/>
      <c r="KZB102" s="247"/>
      <c r="KZC102" s="247"/>
      <c r="KZD102" s="247"/>
      <c r="KZE102" s="247"/>
      <c r="KZF102" s="247"/>
      <c r="KZG102" s="247"/>
      <c r="KZH102" s="247"/>
      <c r="KZI102" s="247"/>
      <c r="KZJ102" s="247"/>
      <c r="KZK102" s="247"/>
      <c r="KZL102" s="247"/>
      <c r="KZM102" s="247"/>
      <c r="KZN102" s="247"/>
      <c r="KZO102" s="247"/>
      <c r="KZP102" s="247"/>
      <c r="KZQ102" s="247"/>
      <c r="KZR102" s="247"/>
      <c r="KZS102" s="247"/>
      <c r="KZT102" s="247"/>
      <c r="KZU102" s="247"/>
      <c r="KZV102" s="247"/>
      <c r="KZW102" s="247"/>
      <c r="KZX102" s="247"/>
      <c r="KZY102" s="247"/>
      <c r="KZZ102" s="247"/>
      <c r="LAA102" s="247"/>
      <c r="LAB102" s="247"/>
      <c r="LAC102" s="247"/>
      <c r="LAD102" s="247"/>
      <c r="LAE102" s="247"/>
      <c r="LAF102" s="247"/>
      <c r="LAG102" s="247"/>
      <c r="LAH102" s="247"/>
      <c r="LAI102" s="247"/>
      <c r="LAJ102" s="247"/>
      <c r="LAK102" s="247"/>
      <c r="LAL102" s="247"/>
      <c r="LAM102" s="247"/>
      <c r="LAN102" s="247"/>
      <c r="LAO102" s="247"/>
      <c r="LAP102" s="247"/>
      <c r="LAQ102" s="247"/>
      <c r="LAR102" s="247"/>
      <c r="LAS102" s="247"/>
      <c r="LAT102" s="247"/>
      <c r="LAU102" s="247"/>
      <c r="LAV102" s="247"/>
      <c r="LAW102" s="247"/>
      <c r="LAX102" s="247"/>
      <c r="LAY102" s="247"/>
      <c r="LAZ102" s="247"/>
      <c r="LBA102" s="247"/>
      <c r="LBB102" s="247"/>
      <c r="LBC102" s="247"/>
      <c r="LBD102" s="247"/>
      <c r="LBE102" s="247"/>
      <c r="LBF102" s="247"/>
      <c r="LBG102" s="247"/>
      <c r="LBH102" s="247"/>
      <c r="LBI102" s="247"/>
      <c r="LBJ102" s="247"/>
      <c r="LBK102" s="247"/>
      <c r="LBL102" s="247"/>
      <c r="LBM102" s="247"/>
      <c r="LBN102" s="247"/>
      <c r="LBO102" s="247"/>
      <c r="LBP102" s="247"/>
      <c r="LBQ102" s="247"/>
      <c r="LBR102" s="247"/>
      <c r="LBS102" s="247"/>
      <c r="LBT102" s="247"/>
      <c r="LBU102" s="247"/>
      <c r="LBV102" s="247"/>
      <c r="LBW102" s="247"/>
      <c r="LBX102" s="247"/>
      <c r="LBY102" s="247"/>
      <c r="LBZ102" s="247"/>
      <c r="LCA102" s="247"/>
      <c r="LCB102" s="247"/>
      <c r="LCC102" s="247"/>
      <c r="LCD102" s="247"/>
      <c r="LCE102" s="247"/>
      <c r="LCF102" s="247"/>
      <c r="LCG102" s="247"/>
      <c r="LCH102" s="247"/>
      <c r="LCI102" s="247"/>
      <c r="LCJ102" s="247"/>
      <c r="LCK102" s="247"/>
      <c r="LCL102" s="247"/>
      <c r="LCM102" s="247"/>
      <c r="LCN102" s="247"/>
      <c r="LCO102" s="247"/>
      <c r="LCP102" s="247"/>
      <c r="LCQ102" s="247"/>
      <c r="LCR102" s="247"/>
      <c r="LCS102" s="247"/>
      <c r="LCT102" s="247"/>
      <c r="LCU102" s="247"/>
      <c r="LCV102" s="247"/>
      <c r="LCW102" s="247"/>
      <c r="LCX102" s="247"/>
      <c r="LCY102" s="247"/>
      <c r="LCZ102" s="247"/>
      <c r="LDA102" s="247"/>
      <c r="LDB102" s="247"/>
      <c r="LDC102" s="247"/>
      <c r="LDD102" s="247"/>
      <c r="LDE102" s="247"/>
      <c r="LDF102" s="247"/>
      <c r="LDG102" s="247"/>
      <c r="LDH102" s="247"/>
      <c r="LDI102" s="247"/>
      <c r="LDJ102" s="247"/>
      <c r="LDK102" s="247"/>
      <c r="LDL102" s="247"/>
      <c r="LDM102" s="247"/>
      <c r="LDN102" s="247"/>
      <c r="LDO102" s="247"/>
      <c r="LDP102" s="247"/>
      <c r="LDQ102" s="247"/>
      <c r="LDR102" s="247"/>
      <c r="LDS102" s="247"/>
      <c r="LDT102" s="247"/>
      <c r="LDU102" s="247"/>
      <c r="LDV102" s="247"/>
      <c r="LDW102" s="247"/>
      <c r="LDX102" s="247"/>
      <c r="LDY102" s="247"/>
      <c r="LDZ102" s="247"/>
      <c r="LEA102" s="247"/>
      <c r="LEB102" s="247"/>
      <c r="LEC102" s="247"/>
      <c r="LED102" s="247"/>
      <c r="LEE102" s="247"/>
      <c r="LEF102" s="247"/>
      <c r="LEG102" s="247"/>
      <c r="LEH102" s="247"/>
      <c r="LEI102" s="247"/>
      <c r="LEJ102" s="247"/>
      <c r="LEK102" s="247"/>
      <c r="LEL102" s="247"/>
      <c r="LEM102" s="247"/>
      <c r="LEN102" s="247"/>
      <c r="LEO102" s="247"/>
      <c r="LEP102" s="247"/>
      <c r="LEQ102" s="247"/>
      <c r="LER102" s="247"/>
      <c r="LES102" s="247"/>
      <c r="LET102" s="247"/>
      <c r="LEU102" s="247"/>
      <c r="LEV102" s="247"/>
      <c r="LEW102" s="247"/>
      <c r="LEX102" s="247"/>
      <c r="LEY102" s="247"/>
      <c r="LEZ102" s="247"/>
      <c r="LFA102" s="247"/>
      <c r="LFB102" s="247"/>
      <c r="LFC102" s="247"/>
      <c r="LFD102" s="247"/>
      <c r="LFE102" s="247"/>
      <c r="LFF102" s="247"/>
      <c r="LFG102" s="247"/>
      <c r="LFH102" s="247"/>
      <c r="LFI102" s="247"/>
      <c r="LFJ102" s="247"/>
      <c r="LFK102" s="247"/>
      <c r="LFL102" s="247"/>
      <c r="LFM102" s="247"/>
      <c r="LFN102" s="247"/>
      <c r="LFO102" s="247"/>
      <c r="LFP102" s="247"/>
      <c r="LFQ102" s="247"/>
      <c r="LFR102" s="247"/>
      <c r="LFS102" s="247"/>
      <c r="LFT102" s="247"/>
      <c r="LFU102" s="247"/>
      <c r="LFV102" s="247"/>
      <c r="LFW102" s="247"/>
      <c r="LFX102" s="247"/>
      <c r="LFY102" s="247"/>
      <c r="LFZ102" s="247"/>
      <c r="LGA102" s="247"/>
      <c r="LGB102" s="247"/>
      <c r="LGC102" s="247"/>
      <c r="LGD102" s="247"/>
      <c r="LGE102" s="247"/>
      <c r="LGF102" s="247"/>
      <c r="LGG102" s="247"/>
      <c r="LGH102" s="247"/>
      <c r="LGI102" s="247"/>
      <c r="LGJ102" s="247"/>
      <c r="LGK102" s="247"/>
      <c r="LGL102" s="247"/>
      <c r="LGM102" s="247"/>
      <c r="LGN102" s="247"/>
      <c r="LGO102" s="247"/>
      <c r="LGP102" s="247"/>
      <c r="LGQ102" s="247"/>
      <c r="LGR102" s="247"/>
      <c r="LGS102" s="247"/>
      <c r="LGT102" s="247"/>
      <c r="LGU102" s="247"/>
      <c r="LGV102" s="247"/>
      <c r="LGW102" s="247"/>
      <c r="LGX102" s="247"/>
      <c r="LGY102" s="247"/>
      <c r="LGZ102" s="247"/>
      <c r="LHA102" s="247"/>
      <c r="LHB102" s="247"/>
      <c r="LHC102" s="247"/>
      <c r="LHD102" s="247"/>
      <c r="LHE102" s="247"/>
      <c r="LHF102" s="247"/>
      <c r="LHG102" s="247"/>
      <c r="LHH102" s="247"/>
      <c r="LHI102" s="247"/>
      <c r="LHJ102" s="247"/>
      <c r="LHK102" s="247"/>
      <c r="LHL102" s="247"/>
      <c r="LHM102" s="247"/>
      <c r="LHN102" s="247"/>
      <c r="LHO102" s="247"/>
      <c r="LHP102" s="247"/>
      <c r="LHQ102" s="247"/>
      <c r="LHR102" s="247"/>
      <c r="LHS102" s="247"/>
      <c r="LHT102" s="247"/>
      <c r="LHU102" s="247"/>
      <c r="LHV102" s="247"/>
      <c r="LHW102" s="247"/>
      <c r="LHX102" s="247"/>
      <c r="LHY102" s="247"/>
      <c r="LHZ102" s="247"/>
      <c r="LIA102" s="247"/>
      <c r="LIB102" s="247"/>
      <c r="LIC102" s="247"/>
      <c r="LID102" s="247"/>
      <c r="LIE102" s="247"/>
      <c r="LIF102" s="247"/>
      <c r="LIG102" s="247"/>
      <c r="LIH102" s="247"/>
      <c r="LII102" s="247"/>
      <c r="LIJ102" s="247"/>
      <c r="LIK102" s="247"/>
      <c r="LIL102" s="247"/>
      <c r="LIM102" s="247"/>
      <c r="LIN102" s="247"/>
      <c r="LIO102" s="247"/>
      <c r="LIP102" s="247"/>
      <c r="LIQ102" s="247"/>
      <c r="LIR102" s="247"/>
      <c r="LIS102" s="247"/>
      <c r="LIT102" s="247"/>
      <c r="LIU102" s="247"/>
      <c r="LIV102" s="247"/>
      <c r="LIW102" s="247"/>
      <c r="LIX102" s="247"/>
      <c r="LIY102" s="247"/>
      <c r="LIZ102" s="247"/>
      <c r="LJA102" s="247"/>
      <c r="LJB102" s="247"/>
      <c r="LJC102" s="247"/>
      <c r="LJD102" s="247"/>
      <c r="LJE102" s="247"/>
      <c r="LJF102" s="247"/>
      <c r="LJG102" s="247"/>
      <c r="LJH102" s="247"/>
      <c r="LJI102" s="247"/>
      <c r="LJJ102" s="247"/>
      <c r="LJK102" s="247"/>
      <c r="LJL102" s="247"/>
      <c r="LJM102" s="247"/>
      <c r="LJN102" s="247"/>
      <c r="LJO102" s="247"/>
      <c r="LJP102" s="247"/>
      <c r="LJQ102" s="247"/>
      <c r="LJR102" s="247"/>
      <c r="LJS102" s="247"/>
      <c r="LJT102" s="247"/>
      <c r="LJU102" s="247"/>
      <c r="LJV102" s="247"/>
      <c r="LJW102" s="247"/>
      <c r="LJX102" s="247"/>
      <c r="LJY102" s="247"/>
      <c r="LJZ102" s="247"/>
      <c r="LKA102" s="247"/>
      <c r="LKB102" s="247"/>
      <c r="LKC102" s="247"/>
      <c r="LKD102" s="247"/>
      <c r="LKE102" s="247"/>
      <c r="LKF102" s="247"/>
      <c r="LKG102" s="247"/>
      <c r="LKH102" s="247"/>
      <c r="LKI102" s="247"/>
      <c r="LKJ102" s="247"/>
      <c r="LKK102" s="247"/>
      <c r="LKL102" s="247"/>
      <c r="LKM102" s="247"/>
      <c r="LKN102" s="247"/>
      <c r="LKO102" s="247"/>
      <c r="LKP102" s="247"/>
      <c r="LKQ102" s="247"/>
      <c r="LKR102" s="247"/>
      <c r="LKS102" s="247"/>
      <c r="LKT102" s="247"/>
      <c r="LKU102" s="247"/>
      <c r="LKV102" s="247"/>
      <c r="LKW102" s="247"/>
      <c r="LKX102" s="247"/>
      <c r="LKY102" s="247"/>
      <c r="LKZ102" s="247"/>
      <c r="LLA102" s="247"/>
      <c r="LLB102" s="247"/>
      <c r="LLC102" s="247"/>
      <c r="LLD102" s="247"/>
      <c r="LLE102" s="247"/>
      <c r="LLF102" s="247"/>
      <c r="LLG102" s="247"/>
      <c r="LLH102" s="247"/>
      <c r="LLI102" s="247"/>
      <c r="LLJ102" s="247"/>
      <c r="LLK102" s="247"/>
      <c r="LLL102" s="247"/>
      <c r="LLM102" s="247"/>
      <c r="LLN102" s="247"/>
      <c r="LLO102" s="247"/>
      <c r="LLP102" s="247"/>
      <c r="LLQ102" s="247"/>
      <c r="LLR102" s="247"/>
      <c r="LLS102" s="247"/>
      <c r="LLT102" s="247"/>
      <c r="LLU102" s="247"/>
      <c r="LLV102" s="247"/>
      <c r="LLW102" s="247"/>
      <c r="LLX102" s="247"/>
      <c r="LLY102" s="247"/>
      <c r="LLZ102" s="247"/>
      <c r="LMA102" s="247"/>
      <c r="LMB102" s="247"/>
      <c r="LMC102" s="247"/>
      <c r="LMD102" s="247"/>
      <c r="LME102" s="247"/>
      <c r="LMF102" s="247"/>
      <c r="LMG102" s="247"/>
      <c r="LMH102" s="247"/>
      <c r="LMI102" s="247"/>
      <c r="LMJ102" s="247"/>
      <c r="LMK102" s="247"/>
      <c r="LML102" s="247"/>
      <c r="LMM102" s="247"/>
      <c r="LMN102" s="247"/>
      <c r="LMO102" s="247"/>
      <c r="LMP102" s="247"/>
      <c r="LMQ102" s="247"/>
      <c r="LMR102" s="247"/>
      <c r="LMS102" s="247"/>
      <c r="LMT102" s="247"/>
      <c r="LMU102" s="247"/>
      <c r="LMV102" s="247"/>
      <c r="LMW102" s="247"/>
      <c r="LMX102" s="247"/>
      <c r="LMY102" s="247"/>
      <c r="LMZ102" s="247"/>
      <c r="LNA102" s="247"/>
      <c r="LNB102" s="247"/>
      <c r="LNC102" s="247"/>
      <c r="LND102" s="247"/>
      <c r="LNE102" s="247"/>
      <c r="LNF102" s="247"/>
      <c r="LNG102" s="247"/>
      <c r="LNH102" s="247"/>
      <c r="LNI102" s="247"/>
      <c r="LNJ102" s="247"/>
      <c r="LNK102" s="247"/>
      <c r="LNL102" s="247"/>
      <c r="LNM102" s="247"/>
      <c r="LNN102" s="247"/>
      <c r="LNO102" s="247"/>
      <c r="LNP102" s="247"/>
      <c r="LNQ102" s="247"/>
      <c r="LNR102" s="247"/>
      <c r="LNS102" s="247"/>
      <c r="LNT102" s="247"/>
      <c r="LNU102" s="247"/>
      <c r="LNV102" s="247"/>
      <c r="LNW102" s="247"/>
      <c r="LNX102" s="247"/>
      <c r="LNY102" s="247"/>
      <c r="LNZ102" s="247"/>
      <c r="LOA102" s="247"/>
      <c r="LOB102" s="247"/>
      <c r="LOC102" s="247"/>
      <c r="LOD102" s="247"/>
      <c r="LOE102" s="247"/>
      <c r="LOF102" s="247"/>
      <c r="LOG102" s="247"/>
      <c r="LOH102" s="247"/>
      <c r="LOI102" s="247"/>
      <c r="LOJ102" s="247"/>
      <c r="LOK102" s="247"/>
      <c r="LOL102" s="247"/>
      <c r="LOM102" s="247"/>
      <c r="LON102" s="247"/>
      <c r="LOO102" s="247"/>
      <c r="LOP102" s="247"/>
      <c r="LOQ102" s="247"/>
      <c r="LOR102" s="247"/>
      <c r="LOS102" s="247"/>
      <c r="LOT102" s="247"/>
      <c r="LOU102" s="247"/>
      <c r="LOV102" s="247"/>
      <c r="LOW102" s="247"/>
      <c r="LOX102" s="247"/>
      <c r="LOY102" s="247"/>
      <c r="LOZ102" s="247"/>
      <c r="LPA102" s="247"/>
      <c r="LPB102" s="247"/>
      <c r="LPC102" s="247"/>
      <c r="LPD102" s="247"/>
      <c r="LPE102" s="247"/>
      <c r="LPF102" s="247"/>
      <c r="LPG102" s="247"/>
      <c r="LPH102" s="247"/>
      <c r="LPI102" s="247"/>
      <c r="LPJ102" s="247"/>
      <c r="LPK102" s="247"/>
      <c r="LPL102" s="247"/>
      <c r="LPM102" s="247"/>
      <c r="LPN102" s="247"/>
      <c r="LPO102" s="247"/>
      <c r="LPP102" s="247"/>
      <c r="LPQ102" s="247"/>
      <c r="LPR102" s="247"/>
      <c r="LPS102" s="247"/>
      <c r="LPT102" s="247"/>
      <c r="LPU102" s="247"/>
      <c r="LPV102" s="247"/>
      <c r="LPW102" s="247"/>
      <c r="LPX102" s="247"/>
      <c r="LPY102" s="247"/>
      <c r="LPZ102" s="247"/>
      <c r="LQA102" s="247"/>
      <c r="LQB102" s="247"/>
      <c r="LQC102" s="247"/>
      <c r="LQD102" s="247"/>
      <c r="LQE102" s="247"/>
      <c r="LQF102" s="247"/>
      <c r="LQG102" s="247"/>
      <c r="LQH102" s="247"/>
      <c r="LQI102" s="247"/>
      <c r="LQJ102" s="247"/>
      <c r="LQK102" s="247"/>
      <c r="LQL102" s="247"/>
      <c r="LQM102" s="247"/>
      <c r="LQN102" s="247"/>
      <c r="LQO102" s="247"/>
      <c r="LQP102" s="247"/>
      <c r="LQQ102" s="247"/>
      <c r="LQR102" s="247"/>
      <c r="LQS102" s="247"/>
      <c r="LQT102" s="247"/>
      <c r="LQU102" s="247"/>
      <c r="LQV102" s="247"/>
      <c r="LQW102" s="247"/>
      <c r="LQX102" s="247"/>
      <c r="LQY102" s="247"/>
      <c r="LQZ102" s="247"/>
      <c r="LRA102" s="247"/>
      <c r="LRB102" s="247"/>
      <c r="LRC102" s="247"/>
      <c r="LRD102" s="247"/>
      <c r="LRE102" s="247"/>
      <c r="LRF102" s="247"/>
      <c r="LRG102" s="247"/>
      <c r="LRH102" s="247"/>
      <c r="LRI102" s="247"/>
      <c r="LRJ102" s="247"/>
      <c r="LRK102" s="247"/>
      <c r="LRL102" s="247"/>
      <c r="LRM102" s="247"/>
      <c r="LRN102" s="247"/>
      <c r="LRO102" s="247"/>
      <c r="LRP102" s="247"/>
      <c r="LRQ102" s="247"/>
      <c r="LRR102" s="247"/>
      <c r="LRS102" s="247"/>
      <c r="LRT102" s="247"/>
      <c r="LRU102" s="247"/>
      <c r="LRV102" s="247"/>
      <c r="LRW102" s="247"/>
      <c r="LRX102" s="247"/>
      <c r="LRY102" s="247"/>
      <c r="LRZ102" s="247"/>
      <c r="LSA102" s="247"/>
      <c r="LSB102" s="247"/>
      <c r="LSC102" s="247"/>
      <c r="LSD102" s="247"/>
      <c r="LSE102" s="247"/>
      <c r="LSF102" s="247"/>
      <c r="LSG102" s="247"/>
      <c r="LSH102" s="247"/>
      <c r="LSI102" s="247"/>
      <c r="LSJ102" s="247"/>
      <c r="LSK102" s="247"/>
      <c r="LSL102" s="247"/>
      <c r="LSM102" s="247"/>
      <c r="LSN102" s="247"/>
      <c r="LSO102" s="247"/>
      <c r="LSP102" s="247"/>
      <c r="LSQ102" s="247"/>
      <c r="LSR102" s="247"/>
      <c r="LSS102" s="247"/>
      <c r="LST102" s="247"/>
      <c r="LSU102" s="247"/>
      <c r="LSV102" s="247"/>
      <c r="LSW102" s="247"/>
      <c r="LSX102" s="247"/>
      <c r="LSY102" s="247"/>
      <c r="LSZ102" s="247"/>
      <c r="LTA102" s="247"/>
      <c r="LTB102" s="247"/>
      <c r="LTC102" s="247"/>
      <c r="LTD102" s="247"/>
      <c r="LTE102" s="247"/>
      <c r="LTF102" s="247"/>
      <c r="LTG102" s="247"/>
      <c r="LTH102" s="247"/>
      <c r="LTI102" s="247"/>
      <c r="LTJ102" s="247"/>
      <c r="LTK102" s="247"/>
      <c r="LTL102" s="247"/>
      <c r="LTM102" s="247"/>
      <c r="LTN102" s="247"/>
      <c r="LTO102" s="247"/>
      <c r="LTP102" s="247"/>
      <c r="LTQ102" s="247"/>
      <c r="LTR102" s="247"/>
      <c r="LTS102" s="247"/>
      <c r="LTT102" s="247"/>
      <c r="LTU102" s="247"/>
      <c r="LTV102" s="247"/>
      <c r="LTW102" s="247"/>
      <c r="LTX102" s="247"/>
      <c r="LTY102" s="247"/>
      <c r="LTZ102" s="247"/>
      <c r="LUA102" s="247"/>
      <c r="LUB102" s="247"/>
      <c r="LUC102" s="247"/>
      <c r="LUD102" s="247"/>
      <c r="LUE102" s="247"/>
      <c r="LUF102" s="247"/>
      <c r="LUG102" s="247"/>
      <c r="LUH102" s="247"/>
      <c r="LUI102" s="247"/>
      <c r="LUJ102" s="247"/>
      <c r="LUK102" s="247"/>
      <c r="LUL102" s="247"/>
      <c r="LUM102" s="247"/>
      <c r="LUN102" s="247"/>
      <c r="LUO102" s="247"/>
      <c r="LUP102" s="247"/>
      <c r="LUQ102" s="247"/>
      <c r="LUR102" s="247"/>
      <c r="LUS102" s="247"/>
      <c r="LUT102" s="247"/>
      <c r="LUU102" s="247"/>
      <c r="LUV102" s="247"/>
      <c r="LUW102" s="247"/>
      <c r="LUX102" s="247"/>
      <c r="LUY102" s="247"/>
      <c r="LUZ102" s="247"/>
      <c r="LVA102" s="247"/>
      <c r="LVB102" s="247"/>
      <c r="LVC102" s="247"/>
      <c r="LVD102" s="247"/>
      <c r="LVE102" s="247"/>
      <c r="LVF102" s="247"/>
      <c r="LVG102" s="247"/>
      <c r="LVH102" s="247"/>
      <c r="LVI102" s="247"/>
      <c r="LVJ102" s="247"/>
      <c r="LVK102" s="247"/>
      <c r="LVL102" s="247"/>
      <c r="LVM102" s="247"/>
      <c r="LVN102" s="247"/>
      <c r="LVO102" s="247"/>
      <c r="LVP102" s="247"/>
      <c r="LVQ102" s="247"/>
      <c r="LVR102" s="247"/>
      <c r="LVS102" s="247"/>
      <c r="LVT102" s="247"/>
      <c r="LVU102" s="247"/>
      <c r="LVV102" s="247"/>
      <c r="LVW102" s="247"/>
      <c r="LVX102" s="247"/>
      <c r="LVY102" s="247"/>
      <c r="LVZ102" s="247"/>
      <c r="LWA102" s="247"/>
      <c r="LWB102" s="247"/>
      <c r="LWC102" s="247"/>
      <c r="LWD102" s="247"/>
      <c r="LWE102" s="247"/>
      <c r="LWF102" s="247"/>
      <c r="LWG102" s="247"/>
      <c r="LWH102" s="247"/>
      <c r="LWI102" s="247"/>
      <c r="LWJ102" s="247"/>
      <c r="LWK102" s="247"/>
      <c r="LWL102" s="247"/>
      <c r="LWM102" s="247"/>
      <c r="LWN102" s="247"/>
      <c r="LWO102" s="247"/>
      <c r="LWP102" s="247"/>
      <c r="LWQ102" s="247"/>
      <c r="LWR102" s="247"/>
      <c r="LWS102" s="247"/>
      <c r="LWT102" s="247"/>
      <c r="LWU102" s="247"/>
      <c r="LWV102" s="247"/>
      <c r="LWW102" s="247"/>
      <c r="LWX102" s="247"/>
      <c r="LWY102" s="247"/>
      <c r="LWZ102" s="247"/>
      <c r="LXA102" s="247"/>
      <c r="LXB102" s="247"/>
      <c r="LXC102" s="247"/>
      <c r="LXD102" s="247"/>
      <c r="LXE102" s="247"/>
      <c r="LXF102" s="247"/>
      <c r="LXG102" s="247"/>
      <c r="LXH102" s="247"/>
      <c r="LXI102" s="247"/>
      <c r="LXJ102" s="247"/>
      <c r="LXK102" s="247"/>
      <c r="LXL102" s="247"/>
      <c r="LXM102" s="247"/>
      <c r="LXN102" s="247"/>
      <c r="LXO102" s="247"/>
      <c r="LXP102" s="247"/>
      <c r="LXQ102" s="247"/>
      <c r="LXR102" s="247"/>
      <c r="LXS102" s="247"/>
      <c r="LXT102" s="247"/>
      <c r="LXU102" s="247"/>
      <c r="LXV102" s="247"/>
      <c r="LXW102" s="247"/>
      <c r="LXX102" s="247"/>
      <c r="LXY102" s="247"/>
      <c r="LXZ102" s="247"/>
      <c r="LYA102" s="247"/>
      <c r="LYB102" s="247"/>
      <c r="LYC102" s="247"/>
      <c r="LYD102" s="247"/>
      <c r="LYE102" s="247"/>
      <c r="LYF102" s="247"/>
      <c r="LYG102" s="247"/>
      <c r="LYH102" s="247"/>
      <c r="LYI102" s="247"/>
      <c r="LYJ102" s="247"/>
      <c r="LYK102" s="247"/>
      <c r="LYL102" s="247"/>
      <c r="LYM102" s="247"/>
      <c r="LYN102" s="247"/>
      <c r="LYO102" s="247"/>
      <c r="LYP102" s="247"/>
      <c r="LYQ102" s="247"/>
      <c r="LYR102" s="247"/>
      <c r="LYS102" s="247"/>
      <c r="LYT102" s="247"/>
      <c r="LYU102" s="247"/>
      <c r="LYV102" s="247"/>
      <c r="LYW102" s="247"/>
      <c r="LYX102" s="247"/>
      <c r="LYY102" s="247"/>
      <c r="LYZ102" s="247"/>
      <c r="LZA102" s="247"/>
      <c r="LZB102" s="247"/>
      <c r="LZC102" s="247"/>
      <c r="LZD102" s="247"/>
      <c r="LZE102" s="247"/>
      <c r="LZF102" s="247"/>
      <c r="LZG102" s="247"/>
      <c r="LZH102" s="247"/>
      <c r="LZI102" s="247"/>
      <c r="LZJ102" s="247"/>
      <c r="LZK102" s="247"/>
      <c r="LZL102" s="247"/>
      <c r="LZM102" s="247"/>
      <c r="LZN102" s="247"/>
      <c r="LZO102" s="247"/>
      <c r="LZP102" s="247"/>
      <c r="LZQ102" s="247"/>
      <c r="LZR102" s="247"/>
      <c r="LZS102" s="247"/>
      <c r="LZT102" s="247"/>
      <c r="LZU102" s="247"/>
      <c r="LZV102" s="247"/>
      <c r="LZW102" s="247"/>
      <c r="LZX102" s="247"/>
      <c r="LZY102" s="247"/>
      <c r="LZZ102" s="247"/>
      <c r="MAA102" s="247"/>
      <c r="MAB102" s="247"/>
      <c r="MAC102" s="247"/>
      <c r="MAD102" s="247"/>
      <c r="MAE102" s="247"/>
      <c r="MAF102" s="247"/>
      <c r="MAG102" s="247"/>
      <c r="MAH102" s="247"/>
      <c r="MAI102" s="247"/>
      <c r="MAJ102" s="247"/>
      <c r="MAK102" s="247"/>
      <c r="MAL102" s="247"/>
      <c r="MAM102" s="247"/>
      <c r="MAN102" s="247"/>
      <c r="MAO102" s="247"/>
      <c r="MAP102" s="247"/>
      <c r="MAQ102" s="247"/>
      <c r="MAR102" s="247"/>
      <c r="MAS102" s="247"/>
      <c r="MAT102" s="247"/>
      <c r="MAU102" s="247"/>
      <c r="MAV102" s="247"/>
      <c r="MAW102" s="247"/>
      <c r="MAX102" s="247"/>
      <c r="MAY102" s="247"/>
      <c r="MAZ102" s="247"/>
      <c r="MBA102" s="247"/>
      <c r="MBB102" s="247"/>
      <c r="MBC102" s="247"/>
      <c r="MBD102" s="247"/>
      <c r="MBE102" s="247"/>
      <c r="MBF102" s="247"/>
      <c r="MBG102" s="247"/>
      <c r="MBH102" s="247"/>
      <c r="MBI102" s="247"/>
      <c r="MBJ102" s="247"/>
      <c r="MBK102" s="247"/>
      <c r="MBL102" s="247"/>
      <c r="MBM102" s="247"/>
      <c r="MBN102" s="247"/>
      <c r="MBO102" s="247"/>
      <c r="MBP102" s="247"/>
      <c r="MBQ102" s="247"/>
      <c r="MBR102" s="247"/>
      <c r="MBS102" s="247"/>
      <c r="MBT102" s="247"/>
      <c r="MBU102" s="247"/>
      <c r="MBV102" s="247"/>
      <c r="MBW102" s="247"/>
      <c r="MBX102" s="247"/>
      <c r="MBY102" s="247"/>
      <c r="MBZ102" s="247"/>
      <c r="MCA102" s="247"/>
      <c r="MCB102" s="247"/>
      <c r="MCC102" s="247"/>
      <c r="MCD102" s="247"/>
      <c r="MCE102" s="247"/>
      <c r="MCF102" s="247"/>
      <c r="MCG102" s="247"/>
      <c r="MCH102" s="247"/>
      <c r="MCI102" s="247"/>
      <c r="MCJ102" s="247"/>
      <c r="MCK102" s="247"/>
      <c r="MCL102" s="247"/>
      <c r="MCM102" s="247"/>
      <c r="MCN102" s="247"/>
      <c r="MCO102" s="247"/>
      <c r="MCP102" s="247"/>
      <c r="MCQ102" s="247"/>
      <c r="MCR102" s="247"/>
      <c r="MCS102" s="247"/>
      <c r="MCT102" s="247"/>
      <c r="MCU102" s="247"/>
      <c r="MCV102" s="247"/>
      <c r="MCW102" s="247"/>
      <c r="MCX102" s="247"/>
      <c r="MCY102" s="247"/>
      <c r="MCZ102" s="247"/>
      <c r="MDA102" s="247"/>
      <c r="MDB102" s="247"/>
      <c r="MDC102" s="247"/>
      <c r="MDD102" s="247"/>
      <c r="MDE102" s="247"/>
      <c r="MDF102" s="247"/>
      <c r="MDG102" s="247"/>
      <c r="MDH102" s="247"/>
      <c r="MDI102" s="247"/>
      <c r="MDJ102" s="247"/>
      <c r="MDK102" s="247"/>
      <c r="MDL102" s="247"/>
      <c r="MDM102" s="247"/>
      <c r="MDN102" s="247"/>
      <c r="MDO102" s="247"/>
      <c r="MDP102" s="247"/>
      <c r="MDQ102" s="247"/>
      <c r="MDR102" s="247"/>
      <c r="MDS102" s="247"/>
      <c r="MDT102" s="247"/>
      <c r="MDU102" s="247"/>
      <c r="MDV102" s="247"/>
      <c r="MDW102" s="247"/>
      <c r="MDX102" s="247"/>
      <c r="MDY102" s="247"/>
      <c r="MDZ102" s="247"/>
      <c r="MEA102" s="247"/>
      <c r="MEB102" s="247"/>
      <c r="MEC102" s="247"/>
      <c r="MED102" s="247"/>
      <c r="MEE102" s="247"/>
      <c r="MEF102" s="247"/>
      <c r="MEG102" s="247"/>
      <c r="MEH102" s="247"/>
      <c r="MEI102" s="247"/>
      <c r="MEJ102" s="247"/>
      <c r="MEK102" s="247"/>
      <c r="MEL102" s="247"/>
      <c r="MEM102" s="247"/>
      <c r="MEN102" s="247"/>
      <c r="MEO102" s="247"/>
      <c r="MEP102" s="247"/>
      <c r="MEQ102" s="247"/>
      <c r="MER102" s="247"/>
      <c r="MES102" s="247"/>
      <c r="MET102" s="247"/>
      <c r="MEU102" s="247"/>
      <c r="MEV102" s="247"/>
      <c r="MEW102" s="247"/>
      <c r="MEX102" s="247"/>
      <c r="MEY102" s="247"/>
      <c r="MEZ102" s="247"/>
      <c r="MFA102" s="247"/>
      <c r="MFB102" s="247"/>
      <c r="MFC102" s="247"/>
      <c r="MFD102" s="247"/>
      <c r="MFE102" s="247"/>
      <c r="MFF102" s="247"/>
      <c r="MFG102" s="247"/>
      <c r="MFH102" s="247"/>
      <c r="MFI102" s="247"/>
      <c r="MFJ102" s="247"/>
      <c r="MFK102" s="247"/>
      <c r="MFL102" s="247"/>
      <c r="MFM102" s="247"/>
      <c r="MFN102" s="247"/>
      <c r="MFO102" s="247"/>
      <c r="MFP102" s="247"/>
      <c r="MFQ102" s="247"/>
      <c r="MFR102" s="247"/>
      <c r="MFS102" s="247"/>
      <c r="MFT102" s="247"/>
      <c r="MFU102" s="247"/>
      <c r="MFV102" s="247"/>
      <c r="MFW102" s="247"/>
      <c r="MFX102" s="247"/>
      <c r="MFY102" s="247"/>
      <c r="MFZ102" s="247"/>
      <c r="MGA102" s="247"/>
      <c r="MGB102" s="247"/>
      <c r="MGC102" s="247"/>
      <c r="MGD102" s="247"/>
      <c r="MGE102" s="247"/>
      <c r="MGF102" s="247"/>
      <c r="MGG102" s="247"/>
      <c r="MGH102" s="247"/>
      <c r="MGI102" s="247"/>
      <c r="MGJ102" s="247"/>
      <c r="MGK102" s="247"/>
      <c r="MGL102" s="247"/>
      <c r="MGM102" s="247"/>
      <c r="MGN102" s="247"/>
      <c r="MGO102" s="247"/>
      <c r="MGP102" s="247"/>
      <c r="MGQ102" s="247"/>
      <c r="MGR102" s="247"/>
      <c r="MGS102" s="247"/>
      <c r="MGT102" s="247"/>
      <c r="MGU102" s="247"/>
      <c r="MGV102" s="247"/>
      <c r="MGW102" s="247"/>
      <c r="MGX102" s="247"/>
      <c r="MGY102" s="247"/>
      <c r="MGZ102" s="247"/>
      <c r="MHA102" s="247"/>
      <c r="MHB102" s="247"/>
      <c r="MHC102" s="247"/>
      <c r="MHD102" s="247"/>
      <c r="MHE102" s="247"/>
      <c r="MHF102" s="247"/>
      <c r="MHG102" s="247"/>
      <c r="MHH102" s="247"/>
      <c r="MHI102" s="247"/>
      <c r="MHJ102" s="247"/>
      <c r="MHK102" s="247"/>
      <c r="MHL102" s="247"/>
      <c r="MHM102" s="247"/>
      <c r="MHN102" s="247"/>
      <c r="MHO102" s="247"/>
      <c r="MHP102" s="247"/>
      <c r="MHQ102" s="247"/>
      <c r="MHR102" s="247"/>
      <c r="MHS102" s="247"/>
      <c r="MHT102" s="247"/>
      <c r="MHU102" s="247"/>
      <c r="MHV102" s="247"/>
      <c r="MHW102" s="247"/>
      <c r="MHX102" s="247"/>
      <c r="MHY102" s="247"/>
      <c r="MHZ102" s="247"/>
      <c r="MIA102" s="247"/>
      <c r="MIB102" s="247"/>
      <c r="MIC102" s="247"/>
      <c r="MID102" s="247"/>
      <c r="MIE102" s="247"/>
      <c r="MIF102" s="247"/>
      <c r="MIG102" s="247"/>
      <c r="MIH102" s="247"/>
      <c r="MII102" s="247"/>
      <c r="MIJ102" s="247"/>
      <c r="MIK102" s="247"/>
      <c r="MIL102" s="247"/>
      <c r="MIM102" s="247"/>
      <c r="MIN102" s="247"/>
      <c r="MIO102" s="247"/>
      <c r="MIP102" s="247"/>
      <c r="MIQ102" s="247"/>
      <c r="MIR102" s="247"/>
      <c r="MIS102" s="247"/>
      <c r="MIT102" s="247"/>
      <c r="MIU102" s="247"/>
      <c r="MIV102" s="247"/>
      <c r="MIW102" s="247"/>
      <c r="MIX102" s="247"/>
      <c r="MIY102" s="247"/>
      <c r="MIZ102" s="247"/>
      <c r="MJA102" s="247"/>
      <c r="MJB102" s="247"/>
      <c r="MJC102" s="247"/>
      <c r="MJD102" s="247"/>
      <c r="MJE102" s="247"/>
      <c r="MJF102" s="247"/>
      <c r="MJG102" s="247"/>
      <c r="MJH102" s="247"/>
      <c r="MJI102" s="247"/>
      <c r="MJJ102" s="247"/>
      <c r="MJK102" s="247"/>
      <c r="MJL102" s="247"/>
      <c r="MJM102" s="247"/>
      <c r="MJN102" s="247"/>
      <c r="MJO102" s="247"/>
      <c r="MJP102" s="247"/>
      <c r="MJQ102" s="247"/>
      <c r="MJR102" s="247"/>
      <c r="MJS102" s="247"/>
      <c r="MJT102" s="247"/>
      <c r="MJU102" s="247"/>
      <c r="MJV102" s="247"/>
      <c r="MJW102" s="247"/>
      <c r="MJX102" s="247"/>
      <c r="MJY102" s="247"/>
      <c r="MJZ102" s="247"/>
      <c r="MKA102" s="247"/>
      <c r="MKB102" s="247"/>
      <c r="MKC102" s="247"/>
      <c r="MKD102" s="247"/>
      <c r="MKE102" s="247"/>
      <c r="MKF102" s="247"/>
      <c r="MKG102" s="247"/>
      <c r="MKH102" s="247"/>
      <c r="MKI102" s="247"/>
      <c r="MKJ102" s="247"/>
      <c r="MKK102" s="247"/>
      <c r="MKL102" s="247"/>
      <c r="MKM102" s="247"/>
      <c r="MKN102" s="247"/>
      <c r="MKO102" s="247"/>
      <c r="MKP102" s="247"/>
      <c r="MKQ102" s="247"/>
      <c r="MKR102" s="247"/>
      <c r="MKS102" s="247"/>
      <c r="MKT102" s="247"/>
      <c r="MKU102" s="247"/>
      <c r="MKV102" s="247"/>
      <c r="MKW102" s="247"/>
      <c r="MKX102" s="247"/>
      <c r="MKY102" s="247"/>
      <c r="MKZ102" s="247"/>
      <c r="MLA102" s="247"/>
      <c r="MLB102" s="247"/>
      <c r="MLC102" s="247"/>
      <c r="MLD102" s="247"/>
      <c r="MLE102" s="247"/>
      <c r="MLF102" s="247"/>
      <c r="MLG102" s="247"/>
      <c r="MLH102" s="247"/>
      <c r="MLI102" s="247"/>
      <c r="MLJ102" s="247"/>
      <c r="MLK102" s="247"/>
      <c r="MLL102" s="247"/>
      <c r="MLM102" s="247"/>
      <c r="MLN102" s="247"/>
      <c r="MLO102" s="247"/>
      <c r="MLP102" s="247"/>
      <c r="MLQ102" s="247"/>
      <c r="MLR102" s="247"/>
      <c r="MLS102" s="247"/>
      <c r="MLT102" s="247"/>
      <c r="MLU102" s="247"/>
      <c r="MLV102" s="247"/>
      <c r="MLW102" s="247"/>
      <c r="MLX102" s="247"/>
      <c r="MLY102" s="247"/>
      <c r="MLZ102" s="247"/>
      <c r="MMA102" s="247"/>
      <c r="MMB102" s="247"/>
      <c r="MMC102" s="247"/>
      <c r="MMD102" s="247"/>
      <c r="MME102" s="247"/>
      <c r="MMF102" s="247"/>
      <c r="MMG102" s="247"/>
      <c r="MMH102" s="247"/>
      <c r="MMI102" s="247"/>
      <c r="MMJ102" s="247"/>
      <c r="MMK102" s="247"/>
      <c r="MML102" s="247"/>
      <c r="MMM102" s="247"/>
      <c r="MMN102" s="247"/>
      <c r="MMO102" s="247"/>
      <c r="MMP102" s="247"/>
      <c r="MMQ102" s="247"/>
      <c r="MMR102" s="247"/>
      <c r="MMS102" s="247"/>
      <c r="MMT102" s="247"/>
      <c r="MMU102" s="247"/>
      <c r="MMV102" s="247"/>
      <c r="MMW102" s="247"/>
      <c r="MMX102" s="247"/>
      <c r="MMY102" s="247"/>
      <c r="MMZ102" s="247"/>
      <c r="MNA102" s="247"/>
      <c r="MNB102" s="247"/>
      <c r="MNC102" s="247"/>
      <c r="MND102" s="247"/>
      <c r="MNE102" s="247"/>
      <c r="MNF102" s="247"/>
      <c r="MNG102" s="247"/>
      <c r="MNH102" s="247"/>
      <c r="MNI102" s="247"/>
      <c r="MNJ102" s="247"/>
      <c r="MNK102" s="247"/>
      <c r="MNL102" s="247"/>
      <c r="MNM102" s="247"/>
      <c r="MNN102" s="247"/>
      <c r="MNO102" s="247"/>
      <c r="MNP102" s="247"/>
      <c r="MNQ102" s="247"/>
      <c r="MNR102" s="247"/>
      <c r="MNS102" s="247"/>
      <c r="MNT102" s="247"/>
      <c r="MNU102" s="247"/>
      <c r="MNV102" s="247"/>
      <c r="MNW102" s="247"/>
      <c r="MNX102" s="247"/>
      <c r="MNY102" s="247"/>
      <c r="MNZ102" s="247"/>
      <c r="MOA102" s="247"/>
      <c r="MOB102" s="247"/>
      <c r="MOC102" s="247"/>
      <c r="MOD102" s="247"/>
      <c r="MOE102" s="247"/>
      <c r="MOF102" s="247"/>
      <c r="MOG102" s="247"/>
      <c r="MOH102" s="247"/>
      <c r="MOI102" s="247"/>
      <c r="MOJ102" s="247"/>
      <c r="MOK102" s="247"/>
      <c r="MOL102" s="247"/>
      <c r="MOM102" s="247"/>
      <c r="MON102" s="247"/>
      <c r="MOO102" s="247"/>
      <c r="MOP102" s="247"/>
      <c r="MOQ102" s="247"/>
      <c r="MOR102" s="247"/>
      <c r="MOS102" s="247"/>
      <c r="MOT102" s="247"/>
      <c r="MOU102" s="247"/>
      <c r="MOV102" s="247"/>
      <c r="MOW102" s="247"/>
      <c r="MOX102" s="247"/>
      <c r="MOY102" s="247"/>
      <c r="MOZ102" s="247"/>
      <c r="MPA102" s="247"/>
      <c r="MPB102" s="247"/>
      <c r="MPC102" s="247"/>
      <c r="MPD102" s="247"/>
      <c r="MPE102" s="247"/>
      <c r="MPF102" s="247"/>
      <c r="MPG102" s="247"/>
      <c r="MPH102" s="247"/>
      <c r="MPI102" s="247"/>
      <c r="MPJ102" s="247"/>
      <c r="MPK102" s="247"/>
      <c r="MPL102" s="247"/>
      <c r="MPM102" s="247"/>
      <c r="MPN102" s="247"/>
      <c r="MPO102" s="247"/>
      <c r="MPP102" s="247"/>
      <c r="MPQ102" s="247"/>
      <c r="MPR102" s="247"/>
      <c r="MPS102" s="247"/>
      <c r="MPT102" s="247"/>
      <c r="MPU102" s="247"/>
      <c r="MPV102" s="247"/>
      <c r="MPW102" s="247"/>
      <c r="MPX102" s="247"/>
      <c r="MPY102" s="247"/>
      <c r="MPZ102" s="247"/>
      <c r="MQA102" s="247"/>
      <c r="MQB102" s="247"/>
      <c r="MQC102" s="247"/>
      <c r="MQD102" s="247"/>
      <c r="MQE102" s="247"/>
      <c r="MQF102" s="247"/>
      <c r="MQG102" s="247"/>
      <c r="MQH102" s="247"/>
      <c r="MQI102" s="247"/>
      <c r="MQJ102" s="247"/>
      <c r="MQK102" s="247"/>
      <c r="MQL102" s="247"/>
      <c r="MQM102" s="247"/>
      <c r="MQN102" s="247"/>
      <c r="MQO102" s="247"/>
      <c r="MQP102" s="247"/>
      <c r="MQQ102" s="247"/>
      <c r="MQR102" s="247"/>
      <c r="MQS102" s="247"/>
      <c r="MQT102" s="247"/>
      <c r="MQU102" s="247"/>
      <c r="MQV102" s="247"/>
      <c r="MQW102" s="247"/>
      <c r="MQX102" s="247"/>
      <c r="MQY102" s="247"/>
      <c r="MQZ102" s="247"/>
      <c r="MRA102" s="247"/>
      <c r="MRB102" s="247"/>
      <c r="MRC102" s="247"/>
      <c r="MRD102" s="247"/>
      <c r="MRE102" s="247"/>
      <c r="MRF102" s="247"/>
      <c r="MRG102" s="247"/>
      <c r="MRH102" s="247"/>
      <c r="MRI102" s="247"/>
      <c r="MRJ102" s="247"/>
      <c r="MRK102" s="247"/>
      <c r="MRL102" s="247"/>
      <c r="MRM102" s="247"/>
      <c r="MRN102" s="247"/>
      <c r="MRO102" s="247"/>
      <c r="MRP102" s="247"/>
      <c r="MRQ102" s="247"/>
      <c r="MRR102" s="247"/>
      <c r="MRS102" s="247"/>
      <c r="MRT102" s="247"/>
      <c r="MRU102" s="247"/>
      <c r="MRV102" s="247"/>
      <c r="MRW102" s="247"/>
      <c r="MRX102" s="247"/>
      <c r="MRY102" s="247"/>
      <c r="MRZ102" s="247"/>
      <c r="MSA102" s="247"/>
      <c r="MSB102" s="247"/>
      <c r="MSC102" s="247"/>
      <c r="MSD102" s="247"/>
      <c r="MSE102" s="247"/>
      <c r="MSF102" s="247"/>
      <c r="MSG102" s="247"/>
      <c r="MSH102" s="247"/>
      <c r="MSI102" s="247"/>
      <c r="MSJ102" s="247"/>
      <c r="MSK102" s="247"/>
      <c r="MSL102" s="247"/>
      <c r="MSM102" s="247"/>
      <c r="MSN102" s="247"/>
      <c r="MSO102" s="247"/>
      <c r="MSP102" s="247"/>
      <c r="MSQ102" s="247"/>
      <c r="MSR102" s="247"/>
      <c r="MSS102" s="247"/>
      <c r="MST102" s="247"/>
      <c r="MSU102" s="247"/>
      <c r="MSV102" s="247"/>
      <c r="MSW102" s="247"/>
      <c r="MSX102" s="247"/>
      <c r="MSY102" s="247"/>
      <c r="MSZ102" s="247"/>
      <c r="MTA102" s="247"/>
      <c r="MTB102" s="247"/>
      <c r="MTC102" s="247"/>
      <c r="MTD102" s="247"/>
      <c r="MTE102" s="247"/>
      <c r="MTF102" s="247"/>
      <c r="MTG102" s="247"/>
      <c r="MTH102" s="247"/>
      <c r="MTI102" s="247"/>
      <c r="MTJ102" s="247"/>
      <c r="MTK102" s="247"/>
      <c r="MTL102" s="247"/>
      <c r="MTM102" s="247"/>
      <c r="MTN102" s="247"/>
      <c r="MTO102" s="247"/>
      <c r="MTP102" s="247"/>
      <c r="MTQ102" s="247"/>
      <c r="MTR102" s="247"/>
      <c r="MTS102" s="247"/>
      <c r="MTT102" s="247"/>
      <c r="MTU102" s="247"/>
      <c r="MTV102" s="247"/>
      <c r="MTW102" s="247"/>
      <c r="MTX102" s="247"/>
      <c r="MTY102" s="247"/>
      <c r="MTZ102" s="247"/>
      <c r="MUA102" s="247"/>
      <c r="MUB102" s="247"/>
      <c r="MUC102" s="247"/>
      <c r="MUD102" s="247"/>
      <c r="MUE102" s="247"/>
      <c r="MUF102" s="247"/>
      <c r="MUG102" s="247"/>
      <c r="MUH102" s="247"/>
      <c r="MUI102" s="247"/>
      <c r="MUJ102" s="247"/>
      <c r="MUK102" s="247"/>
      <c r="MUL102" s="247"/>
      <c r="MUM102" s="247"/>
      <c r="MUN102" s="247"/>
      <c r="MUO102" s="247"/>
      <c r="MUP102" s="247"/>
      <c r="MUQ102" s="247"/>
      <c r="MUR102" s="247"/>
      <c r="MUS102" s="247"/>
      <c r="MUT102" s="247"/>
      <c r="MUU102" s="247"/>
      <c r="MUV102" s="247"/>
      <c r="MUW102" s="247"/>
      <c r="MUX102" s="247"/>
      <c r="MUY102" s="247"/>
      <c r="MUZ102" s="247"/>
      <c r="MVA102" s="247"/>
      <c r="MVB102" s="247"/>
      <c r="MVC102" s="247"/>
      <c r="MVD102" s="247"/>
      <c r="MVE102" s="247"/>
      <c r="MVF102" s="247"/>
      <c r="MVG102" s="247"/>
      <c r="MVH102" s="247"/>
      <c r="MVI102" s="247"/>
      <c r="MVJ102" s="247"/>
      <c r="MVK102" s="247"/>
      <c r="MVL102" s="247"/>
      <c r="MVM102" s="247"/>
      <c r="MVN102" s="247"/>
      <c r="MVO102" s="247"/>
      <c r="MVP102" s="247"/>
      <c r="MVQ102" s="247"/>
      <c r="MVR102" s="247"/>
      <c r="MVS102" s="247"/>
      <c r="MVT102" s="247"/>
      <c r="MVU102" s="247"/>
      <c r="MVV102" s="247"/>
      <c r="MVW102" s="247"/>
      <c r="MVX102" s="247"/>
      <c r="MVY102" s="247"/>
      <c r="MVZ102" s="247"/>
      <c r="MWA102" s="247"/>
      <c r="MWB102" s="247"/>
      <c r="MWC102" s="247"/>
      <c r="MWD102" s="247"/>
      <c r="MWE102" s="247"/>
      <c r="MWF102" s="247"/>
      <c r="MWG102" s="247"/>
      <c r="MWH102" s="247"/>
      <c r="MWI102" s="247"/>
      <c r="MWJ102" s="247"/>
      <c r="MWK102" s="247"/>
      <c r="MWL102" s="247"/>
      <c r="MWM102" s="247"/>
      <c r="MWN102" s="247"/>
      <c r="MWO102" s="247"/>
      <c r="MWP102" s="247"/>
      <c r="MWQ102" s="247"/>
      <c r="MWR102" s="247"/>
      <c r="MWS102" s="247"/>
      <c r="MWT102" s="247"/>
      <c r="MWU102" s="247"/>
      <c r="MWV102" s="247"/>
      <c r="MWW102" s="247"/>
      <c r="MWX102" s="247"/>
      <c r="MWY102" s="247"/>
      <c r="MWZ102" s="247"/>
      <c r="MXA102" s="247"/>
      <c r="MXB102" s="247"/>
      <c r="MXC102" s="247"/>
      <c r="MXD102" s="247"/>
      <c r="MXE102" s="247"/>
      <c r="MXF102" s="247"/>
      <c r="MXG102" s="247"/>
      <c r="MXH102" s="247"/>
      <c r="MXI102" s="247"/>
      <c r="MXJ102" s="247"/>
      <c r="MXK102" s="247"/>
      <c r="MXL102" s="247"/>
      <c r="MXM102" s="247"/>
      <c r="MXN102" s="247"/>
      <c r="MXO102" s="247"/>
      <c r="MXP102" s="247"/>
      <c r="MXQ102" s="247"/>
      <c r="MXR102" s="247"/>
      <c r="MXS102" s="247"/>
      <c r="MXT102" s="247"/>
      <c r="MXU102" s="247"/>
      <c r="MXV102" s="247"/>
      <c r="MXW102" s="247"/>
      <c r="MXX102" s="247"/>
      <c r="MXY102" s="247"/>
      <c r="MXZ102" s="247"/>
      <c r="MYA102" s="247"/>
      <c r="MYB102" s="247"/>
      <c r="MYC102" s="247"/>
      <c r="MYD102" s="247"/>
      <c r="MYE102" s="247"/>
      <c r="MYF102" s="247"/>
      <c r="MYG102" s="247"/>
      <c r="MYH102" s="247"/>
      <c r="MYI102" s="247"/>
      <c r="MYJ102" s="247"/>
      <c r="MYK102" s="247"/>
      <c r="MYL102" s="247"/>
      <c r="MYM102" s="247"/>
      <c r="MYN102" s="247"/>
      <c r="MYO102" s="247"/>
      <c r="MYP102" s="247"/>
      <c r="MYQ102" s="247"/>
      <c r="MYR102" s="247"/>
      <c r="MYS102" s="247"/>
      <c r="MYT102" s="247"/>
      <c r="MYU102" s="247"/>
      <c r="MYV102" s="247"/>
      <c r="MYW102" s="247"/>
      <c r="MYX102" s="247"/>
      <c r="MYY102" s="247"/>
      <c r="MYZ102" s="247"/>
      <c r="MZA102" s="247"/>
      <c r="MZB102" s="247"/>
      <c r="MZC102" s="247"/>
      <c r="MZD102" s="247"/>
      <c r="MZE102" s="247"/>
      <c r="MZF102" s="247"/>
      <c r="MZG102" s="247"/>
      <c r="MZH102" s="247"/>
      <c r="MZI102" s="247"/>
      <c r="MZJ102" s="247"/>
      <c r="MZK102" s="247"/>
      <c r="MZL102" s="247"/>
      <c r="MZM102" s="247"/>
      <c r="MZN102" s="247"/>
      <c r="MZO102" s="247"/>
      <c r="MZP102" s="247"/>
      <c r="MZQ102" s="247"/>
      <c r="MZR102" s="247"/>
      <c r="MZS102" s="247"/>
      <c r="MZT102" s="247"/>
      <c r="MZU102" s="247"/>
      <c r="MZV102" s="247"/>
      <c r="MZW102" s="247"/>
      <c r="MZX102" s="247"/>
      <c r="MZY102" s="247"/>
      <c r="MZZ102" s="247"/>
      <c r="NAA102" s="247"/>
      <c r="NAB102" s="247"/>
      <c r="NAC102" s="247"/>
      <c r="NAD102" s="247"/>
      <c r="NAE102" s="247"/>
      <c r="NAF102" s="247"/>
      <c r="NAG102" s="247"/>
      <c r="NAH102" s="247"/>
      <c r="NAI102" s="247"/>
      <c r="NAJ102" s="247"/>
      <c r="NAK102" s="247"/>
      <c r="NAL102" s="247"/>
      <c r="NAM102" s="247"/>
      <c r="NAN102" s="247"/>
      <c r="NAO102" s="247"/>
      <c r="NAP102" s="247"/>
      <c r="NAQ102" s="247"/>
      <c r="NAR102" s="247"/>
      <c r="NAS102" s="247"/>
      <c r="NAT102" s="247"/>
      <c r="NAU102" s="247"/>
      <c r="NAV102" s="247"/>
      <c r="NAW102" s="247"/>
      <c r="NAX102" s="247"/>
      <c r="NAY102" s="247"/>
      <c r="NAZ102" s="247"/>
      <c r="NBA102" s="247"/>
      <c r="NBB102" s="247"/>
      <c r="NBC102" s="247"/>
      <c r="NBD102" s="247"/>
      <c r="NBE102" s="247"/>
      <c r="NBF102" s="247"/>
      <c r="NBG102" s="247"/>
      <c r="NBH102" s="247"/>
      <c r="NBI102" s="247"/>
      <c r="NBJ102" s="247"/>
      <c r="NBK102" s="247"/>
      <c r="NBL102" s="247"/>
      <c r="NBM102" s="247"/>
      <c r="NBN102" s="247"/>
      <c r="NBO102" s="247"/>
      <c r="NBP102" s="247"/>
      <c r="NBQ102" s="247"/>
      <c r="NBR102" s="247"/>
      <c r="NBS102" s="247"/>
      <c r="NBT102" s="247"/>
      <c r="NBU102" s="247"/>
      <c r="NBV102" s="247"/>
      <c r="NBW102" s="247"/>
      <c r="NBX102" s="247"/>
      <c r="NBY102" s="247"/>
      <c r="NBZ102" s="247"/>
      <c r="NCA102" s="247"/>
      <c r="NCB102" s="247"/>
      <c r="NCC102" s="247"/>
      <c r="NCD102" s="247"/>
      <c r="NCE102" s="247"/>
      <c r="NCF102" s="247"/>
      <c r="NCG102" s="247"/>
      <c r="NCH102" s="247"/>
      <c r="NCI102" s="247"/>
      <c r="NCJ102" s="247"/>
      <c r="NCK102" s="247"/>
      <c r="NCL102" s="247"/>
      <c r="NCM102" s="247"/>
      <c r="NCN102" s="247"/>
      <c r="NCO102" s="247"/>
      <c r="NCP102" s="247"/>
      <c r="NCQ102" s="247"/>
      <c r="NCR102" s="247"/>
      <c r="NCS102" s="247"/>
      <c r="NCT102" s="247"/>
      <c r="NCU102" s="247"/>
      <c r="NCV102" s="247"/>
      <c r="NCW102" s="247"/>
      <c r="NCX102" s="247"/>
      <c r="NCY102" s="247"/>
      <c r="NCZ102" s="247"/>
      <c r="NDA102" s="247"/>
      <c r="NDB102" s="247"/>
      <c r="NDC102" s="247"/>
      <c r="NDD102" s="247"/>
      <c r="NDE102" s="247"/>
      <c r="NDF102" s="247"/>
      <c r="NDG102" s="247"/>
      <c r="NDH102" s="247"/>
      <c r="NDI102" s="247"/>
      <c r="NDJ102" s="247"/>
      <c r="NDK102" s="247"/>
      <c r="NDL102" s="247"/>
      <c r="NDM102" s="247"/>
      <c r="NDN102" s="247"/>
      <c r="NDO102" s="247"/>
      <c r="NDP102" s="247"/>
      <c r="NDQ102" s="247"/>
      <c r="NDR102" s="247"/>
      <c r="NDS102" s="247"/>
      <c r="NDT102" s="247"/>
      <c r="NDU102" s="247"/>
      <c r="NDV102" s="247"/>
      <c r="NDW102" s="247"/>
      <c r="NDX102" s="247"/>
      <c r="NDY102" s="247"/>
      <c r="NDZ102" s="247"/>
      <c r="NEA102" s="247"/>
      <c r="NEB102" s="247"/>
      <c r="NEC102" s="247"/>
      <c r="NED102" s="247"/>
      <c r="NEE102" s="247"/>
      <c r="NEF102" s="247"/>
      <c r="NEG102" s="247"/>
      <c r="NEH102" s="247"/>
      <c r="NEI102" s="247"/>
      <c r="NEJ102" s="247"/>
      <c r="NEK102" s="247"/>
      <c r="NEL102" s="247"/>
      <c r="NEM102" s="247"/>
      <c r="NEN102" s="247"/>
      <c r="NEO102" s="247"/>
      <c r="NEP102" s="247"/>
      <c r="NEQ102" s="247"/>
      <c r="NER102" s="247"/>
      <c r="NES102" s="247"/>
      <c r="NET102" s="247"/>
      <c r="NEU102" s="247"/>
      <c r="NEV102" s="247"/>
      <c r="NEW102" s="247"/>
      <c r="NEX102" s="247"/>
      <c r="NEY102" s="247"/>
      <c r="NEZ102" s="247"/>
      <c r="NFA102" s="247"/>
      <c r="NFB102" s="247"/>
      <c r="NFC102" s="247"/>
      <c r="NFD102" s="247"/>
      <c r="NFE102" s="247"/>
      <c r="NFF102" s="247"/>
      <c r="NFG102" s="247"/>
      <c r="NFH102" s="247"/>
      <c r="NFI102" s="247"/>
      <c r="NFJ102" s="247"/>
      <c r="NFK102" s="247"/>
      <c r="NFL102" s="247"/>
      <c r="NFM102" s="247"/>
      <c r="NFN102" s="247"/>
      <c r="NFO102" s="247"/>
      <c r="NFP102" s="247"/>
      <c r="NFQ102" s="247"/>
      <c r="NFR102" s="247"/>
      <c r="NFS102" s="247"/>
      <c r="NFT102" s="247"/>
      <c r="NFU102" s="247"/>
      <c r="NFV102" s="247"/>
      <c r="NFW102" s="247"/>
      <c r="NFX102" s="247"/>
      <c r="NFY102" s="247"/>
      <c r="NFZ102" s="247"/>
      <c r="NGA102" s="247"/>
      <c r="NGB102" s="247"/>
      <c r="NGC102" s="247"/>
      <c r="NGD102" s="247"/>
      <c r="NGE102" s="247"/>
      <c r="NGF102" s="247"/>
      <c r="NGG102" s="247"/>
      <c r="NGH102" s="247"/>
      <c r="NGI102" s="247"/>
      <c r="NGJ102" s="247"/>
      <c r="NGK102" s="247"/>
      <c r="NGL102" s="247"/>
      <c r="NGM102" s="247"/>
      <c r="NGN102" s="247"/>
      <c r="NGO102" s="247"/>
      <c r="NGP102" s="247"/>
      <c r="NGQ102" s="247"/>
      <c r="NGR102" s="247"/>
      <c r="NGS102" s="247"/>
      <c r="NGT102" s="247"/>
      <c r="NGU102" s="247"/>
      <c r="NGV102" s="247"/>
      <c r="NGW102" s="247"/>
      <c r="NGX102" s="247"/>
      <c r="NGY102" s="247"/>
      <c r="NGZ102" s="247"/>
      <c r="NHA102" s="247"/>
      <c r="NHB102" s="247"/>
      <c r="NHC102" s="247"/>
      <c r="NHD102" s="247"/>
      <c r="NHE102" s="247"/>
      <c r="NHF102" s="247"/>
      <c r="NHG102" s="247"/>
      <c r="NHH102" s="247"/>
      <c r="NHI102" s="247"/>
      <c r="NHJ102" s="247"/>
      <c r="NHK102" s="247"/>
      <c r="NHL102" s="247"/>
      <c r="NHM102" s="247"/>
      <c r="NHN102" s="247"/>
      <c r="NHO102" s="247"/>
      <c r="NHP102" s="247"/>
      <c r="NHQ102" s="247"/>
      <c r="NHR102" s="247"/>
      <c r="NHS102" s="247"/>
      <c r="NHT102" s="247"/>
      <c r="NHU102" s="247"/>
      <c r="NHV102" s="247"/>
      <c r="NHW102" s="247"/>
      <c r="NHX102" s="247"/>
      <c r="NHY102" s="247"/>
      <c r="NHZ102" s="247"/>
      <c r="NIA102" s="247"/>
      <c r="NIB102" s="247"/>
      <c r="NIC102" s="247"/>
      <c r="NID102" s="247"/>
      <c r="NIE102" s="247"/>
      <c r="NIF102" s="247"/>
      <c r="NIG102" s="247"/>
      <c r="NIH102" s="247"/>
      <c r="NII102" s="247"/>
      <c r="NIJ102" s="247"/>
      <c r="NIK102" s="247"/>
      <c r="NIL102" s="247"/>
      <c r="NIM102" s="247"/>
      <c r="NIN102" s="247"/>
      <c r="NIO102" s="247"/>
      <c r="NIP102" s="247"/>
      <c r="NIQ102" s="247"/>
      <c r="NIR102" s="247"/>
      <c r="NIS102" s="247"/>
      <c r="NIT102" s="247"/>
      <c r="NIU102" s="247"/>
      <c r="NIV102" s="247"/>
      <c r="NIW102" s="247"/>
      <c r="NIX102" s="247"/>
      <c r="NIY102" s="247"/>
      <c r="NIZ102" s="247"/>
      <c r="NJA102" s="247"/>
      <c r="NJB102" s="247"/>
      <c r="NJC102" s="247"/>
      <c r="NJD102" s="247"/>
      <c r="NJE102" s="247"/>
      <c r="NJF102" s="247"/>
      <c r="NJG102" s="247"/>
      <c r="NJH102" s="247"/>
      <c r="NJI102" s="247"/>
      <c r="NJJ102" s="247"/>
      <c r="NJK102" s="247"/>
      <c r="NJL102" s="247"/>
      <c r="NJM102" s="247"/>
      <c r="NJN102" s="247"/>
      <c r="NJO102" s="247"/>
      <c r="NJP102" s="247"/>
      <c r="NJQ102" s="247"/>
      <c r="NJR102" s="247"/>
      <c r="NJS102" s="247"/>
      <c r="NJT102" s="247"/>
      <c r="NJU102" s="247"/>
      <c r="NJV102" s="247"/>
      <c r="NJW102" s="247"/>
      <c r="NJX102" s="247"/>
      <c r="NJY102" s="247"/>
      <c r="NJZ102" s="247"/>
      <c r="NKA102" s="247"/>
      <c r="NKB102" s="247"/>
      <c r="NKC102" s="247"/>
      <c r="NKD102" s="247"/>
      <c r="NKE102" s="247"/>
      <c r="NKF102" s="247"/>
      <c r="NKG102" s="247"/>
      <c r="NKH102" s="247"/>
      <c r="NKI102" s="247"/>
      <c r="NKJ102" s="247"/>
      <c r="NKK102" s="247"/>
      <c r="NKL102" s="247"/>
      <c r="NKM102" s="247"/>
      <c r="NKN102" s="247"/>
      <c r="NKO102" s="247"/>
      <c r="NKP102" s="247"/>
      <c r="NKQ102" s="247"/>
      <c r="NKR102" s="247"/>
      <c r="NKS102" s="247"/>
      <c r="NKT102" s="247"/>
      <c r="NKU102" s="247"/>
      <c r="NKV102" s="247"/>
      <c r="NKW102" s="247"/>
      <c r="NKX102" s="247"/>
      <c r="NKY102" s="247"/>
      <c r="NKZ102" s="247"/>
      <c r="NLA102" s="247"/>
      <c r="NLB102" s="247"/>
      <c r="NLC102" s="247"/>
      <c r="NLD102" s="247"/>
      <c r="NLE102" s="247"/>
      <c r="NLF102" s="247"/>
      <c r="NLG102" s="247"/>
      <c r="NLH102" s="247"/>
      <c r="NLI102" s="247"/>
      <c r="NLJ102" s="247"/>
      <c r="NLK102" s="247"/>
      <c r="NLL102" s="247"/>
      <c r="NLM102" s="247"/>
      <c r="NLN102" s="247"/>
      <c r="NLO102" s="247"/>
      <c r="NLP102" s="247"/>
      <c r="NLQ102" s="247"/>
      <c r="NLR102" s="247"/>
      <c r="NLS102" s="247"/>
      <c r="NLT102" s="247"/>
      <c r="NLU102" s="247"/>
      <c r="NLV102" s="247"/>
      <c r="NLW102" s="247"/>
      <c r="NLX102" s="247"/>
      <c r="NLY102" s="247"/>
      <c r="NLZ102" s="247"/>
      <c r="NMA102" s="247"/>
      <c r="NMB102" s="247"/>
      <c r="NMC102" s="247"/>
      <c r="NMD102" s="247"/>
      <c r="NME102" s="247"/>
      <c r="NMF102" s="247"/>
      <c r="NMG102" s="247"/>
      <c r="NMH102" s="247"/>
      <c r="NMI102" s="247"/>
      <c r="NMJ102" s="247"/>
      <c r="NMK102" s="247"/>
      <c r="NML102" s="247"/>
      <c r="NMM102" s="247"/>
      <c r="NMN102" s="247"/>
      <c r="NMO102" s="247"/>
      <c r="NMP102" s="247"/>
      <c r="NMQ102" s="247"/>
      <c r="NMR102" s="247"/>
      <c r="NMS102" s="247"/>
      <c r="NMT102" s="247"/>
      <c r="NMU102" s="247"/>
      <c r="NMV102" s="247"/>
      <c r="NMW102" s="247"/>
      <c r="NMX102" s="247"/>
      <c r="NMY102" s="247"/>
      <c r="NMZ102" s="247"/>
      <c r="NNA102" s="247"/>
      <c r="NNB102" s="247"/>
      <c r="NNC102" s="247"/>
      <c r="NND102" s="247"/>
      <c r="NNE102" s="247"/>
      <c r="NNF102" s="247"/>
      <c r="NNG102" s="247"/>
      <c r="NNH102" s="247"/>
      <c r="NNI102" s="247"/>
      <c r="NNJ102" s="247"/>
      <c r="NNK102" s="247"/>
      <c r="NNL102" s="247"/>
      <c r="NNM102" s="247"/>
      <c r="NNN102" s="247"/>
      <c r="NNO102" s="247"/>
      <c r="NNP102" s="247"/>
      <c r="NNQ102" s="247"/>
      <c r="NNR102" s="247"/>
      <c r="NNS102" s="247"/>
      <c r="NNT102" s="247"/>
      <c r="NNU102" s="247"/>
      <c r="NNV102" s="247"/>
      <c r="NNW102" s="247"/>
      <c r="NNX102" s="247"/>
      <c r="NNY102" s="247"/>
      <c r="NNZ102" s="247"/>
      <c r="NOA102" s="247"/>
      <c r="NOB102" s="247"/>
      <c r="NOC102" s="247"/>
      <c r="NOD102" s="247"/>
      <c r="NOE102" s="247"/>
      <c r="NOF102" s="247"/>
      <c r="NOG102" s="247"/>
      <c r="NOH102" s="247"/>
      <c r="NOI102" s="247"/>
      <c r="NOJ102" s="247"/>
      <c r="NOK102" s="247"/>
      <c r="NOL102" s="247"/>
      <c r="NOM102" s="247"/>
      <c r="NON102" s="247"/>
      <c r="NOO102" s="247"/>
      <c r="NOP102" s="247"/>
      <c r="NOQ102" s="247"/>
      <c r="NOR102" s="247"/>
      <c r="NOS102" s="247"/>
      <c r="NOT102" s="247"/>
      <c r="NOU102" s="247"/>
      <c r="NOV102" s="247"/>
      <c r="NOW102" s="247"/>
      <c r="NOX102" s="247"/>
      <c r="NOY102" s="247"/>
      <c r="NOZ102" s="247"/>
      <c r="NPA102" s="247"/>
      <c r="NPB102" s="247"/>
      <c r="NPC102" s="247"/>
      <c r="NPD102" s="247"/>
      <c r="NPE102" s="247"/>
      <c r="NPF102" s="247"/>
      <c r="NPG102" s="247"/>
      <c r="NPH102" s="247"/>
      <c r="NPI102" s="247"/>
      <c r="NPJ102" s="247"/>
      <c r="NPK102" s="247"/>
      <c r="NPL102" s="247"/>
      <c r="NPM102" s="247"/>
      <c r="NPN102" s="247"/>
      <c r="NPO102" s="247"/>
      <c r="NPP102" s="247"/>
      <c r="NPQ102" s="247"/>
      <c r="NPR102" s="247"/>
      <c r="NPS102" s="247"/>
      <c r="NPT102" s="247"/>
      <c r="NPU102" s="247"/>
      <c r="NPV102" s="247"/>
      <c r="NPW102" s="247"/>
      <c r="NPX102" s="247"/>
      <c r="NPY102" s="247"/>
      <c r="NPZ102" s="247"/>
      <c r="NQA102" s="247"/>
      <c r="NQB102" s="247"/>
      <c r="NQC102" s="247"/>
      <c r="NQD102" s="247"/>
      <c r="NQE102" s="247"/>
      <c r="NQF102" s="247"/>
      <c r="NQG102" s="247"/>
      <c r="NQH102" s="247"/>
      <c r="NQI102" s="247"/>
      <c r="NQJ102" s="247"/>
      <c r="NQK102" s="247"/>
      <c r="NQL102" s="247"/>
      <c r="NQM102" s="247"/>
      <c r="NQN102" s="247"/>
      <c r="NQO102" s="247"/>
      <c r="NQP102" s="247"/>
      <c r="NQQ102" s="247"/>
      <c r="NQR102" s="247"/>
      <c r="NQS102" s="247"/>
      <c r="NQT102" s="247"/>
      <c r="NQU102" s="247"/>
      <c r="NQV102" s="247"/>
      <c r="NQW102" s="247"/>
      <c r="NQX102" s="247"/>
      <c r="NQY102" s="247"/>
      <c r="NQZ102" s="247"/>
      <c r="NRA102" s="247"/>
      <c r="NRB102" s="247"/>
      <c r="NRC102" s="247"/>
      <c r="NRD102" s="247"/>
      <c r="NRE102" s="247"/>
      <c r="NRF102" s="247"/>
      <c r="NRG102" s="247"/>
      <c r="NRH102" s="247"/>
      <c r="NRI102" s="247"/>
      <c r="NRJ102" s="247"/>
      <c r="NRK102" s="247"/>
      <c r="NRL102" s="247"/>
      <c r="NRM102" s="247"/>
      <c r="NRN102" s="247"/>
      <c r="NRO102" s="247"/>
      <c r="NRP102" s="247"/>
      <c r="NRQ102" s="247"/>
      <c r="NRR102" s="247"/>
      <c r="NRS102" s="247"/>
      <c r="NRT102" s="247"/>
      <c r="NRU102" s="247"/>
      <c r="NRV102" s="247"/>
      <c r="NRW102" s="247"/>
      <c r="NRX102" s="247"/>
      <c r="NRY102" s="247"/>
      <c r="NRZ102" s="247"/>
      <c r="NSA102" s="247"/>
      <c r="NSB102" s="247"/>
      <c r="NSC102" s="247"/>
      <c r="NSD102" s="247"/>
      <c r="NSE102" s="247"/>
      <c r="NSF102" s="247"/>
      <c r="NSG102" s="247"/>
      <c r="NSH102" s="247"/>
      <c r="NSI102" s="247"/>
      <c r="NSJ102" s="247"/>
      <c r="NSK102" s="247"/>
      <c r="NSL102" s="247"/>
      <c r="NSM102" s="247"/>
      <c r="NSN102" s="247"/>
      <c r="NSO102" s="247"/>
      <c r="NSP102" s="247"/>
      <c r="NSQ102" s="247"/>
      <c r="NSR102" s="247"/>
      <c r="NSS102" s="247"/>
      <c r="NST102" s="247"/>
      <c r="NSU102" s="247"/>
      <c r="NSV102" s="247"/>
      <c r="NSW102" s="247"/>
      <c r="NSX102" s="247"/>
      <c r="NSY102" s="247"/>
      <c r="NSZ102" s="247"/>
      <c r="NTA102" s="247"/>
      <c r="NTB102" s="247"/>
      <c r="NTC102" s="247"/>
      <c r="NTD102" s="247"/>
      <c r="NTE102" s="247"/>
      <c r="NTF102" s="247"/>
      <c r="NTG102" s="247"/>
      <c r="NTH102" s="247"/>
      <c r="NTI102" s="247"/>
      <c r="NTJ102" s="247"/>
      <c r="NTK102" s="247"/>
      <c r="NTL102" s="247"/>
      <c r="NTM102" s="247"/>
      <c r="NTN102" s="247"/>
      <c r="NTO102" s="247"/>
      <c r="NTP102" s="247"/>
      <c r="NTQ102" s="247"/>
      <c r="NTR102" s="247"/>
      <c r="NTS102" s="247"/>
      <c r="NTT102" s="247"/>
      <c r="NTU102" s="247"/>
      <c r="NTV102" s="247"/>
      <c r="NTW102" s="247"/>
      <c r="NTX102" s="247"/>
      <c r="NTY102" s="247"/>
      <c r="NTZ102" s="247"/>
      <c r="NUA102" s="247"/>
      <c r="NUB102" s="247"/>
      <c r="NUC102" s="247"/>
      <c r="NUD102" s="247"/>
      <c r="NUE102" s="247"/>
      <c r="NUF102" s="247"/>
      <c r="NUG102" s="247"/>
      <c r="NUH102" s="247"/>
      <c r="NUI102" s="247"/>
      <c r="NUJ102" s="247"/>
      <c r="NUK102" s="247"/>
      <c r="NUL102" s="247"/>
      <c r="NUM102" s="247"/>
      <c r="NUN102" s="247"/>
      <c r="NUO102" s="247"/>
      <c r="NUP102" s="247"/>
      <c r="NUQ102" s="247"/>
      <c r="NUR102" s="247"/>
      <c r="NUS102" s="247"/>
      <c r="NUT102" s="247"/>
      <c r="NUU102" s="247"/>
      <c r="NUV102" s="247"/>
      <c r="NUW102" s="247"/>
      <c r="NUX102" s="247"/>
      <c r="NUY102" s="247"/>
      <c r="NUZ102" s="247"/>
      <c r="NVA102" s="247"/>
      <c r="NVB102" s="247"/>
      <c r="NVC102" s="247"/>
      <c r="NVD102" s="247"/>
      <c r="NVE102" s="247"/>
      <c r="NVF102" s="247"/>
      <c r="NVG102" s="247"/>
      <c r="NVH102" s="247"/>
      <c r="NVI102" s="247"/>
      <c r="NVJ102" s="247"/>
      <c r="NVK102" s="247"/>
      <c r="NVL102" s="247"/>
      <c r="NVM102" s="247"/>
      <c r="NVN102" s="247"/>
      <c r="NVO102" s="247"/>
      <c r="NVP102" s="247"/>
      <c r="NVQ102" s="247"/>
      <c r="NVR102" s="247"/>
      <c r="NVS102" s="247"/>
      <c r="NVT102" s="247"/>
      <c r="NVU102" s="247"/>
      <c r="NVV102" s="247"/>
      <c r="NVW102" s="247"/>
      <c r="NVX102" s="247"/>
      <c r="NVY102" s="247"/>
      <c r="NVZ102" s="247"/>
      <c r="NWA102" s="247"/>
      <c r="NWB102" s="247"/>
      <c r="NWC102" s="247"/>
      <c r="NWD102" s="247"/>
      <c r="NWE102" s="247"/>
      <c r="NWF102" s="247"/>
      <c r="NWG102" s="247"/>
      <c r="NWH102" s="247"/>
      <c r="NWI102" s="247"/>
      <c r="NWJ102" s="247"/>
      <c r="NWK102" s="247"/>
      <c r="NWL102" s="247"/>
      <c r="NWM102" s="247"/>
      <c r="NWN102" s="247"/>
      <c r="NWO102" s="247"/>
      <c r="NWP102" s="247"/>
      <c r="NWQ102" s="247"/>
      <c r="NWR102" s="247"/>
      <c r="NWS102" s="247"/>
      <c r="NWT102" s="247"/>
      <c r="NWU102" s="247"/>
      <c r="NWV102" s="247"/>
      <c r="NWW102" s="247"/>
      <c r="NWX102" s="247"/>
      <c r="NWY102" s="247"/>
      <c r="NWZ102" s="247"/>
      <c r="NXA102" s="247"/>
      <c r="NXB102" s="247"/>
      <c r="NXC102" s="247"/>
      <c r="NXD102" s="247"/>
      <c r="NXE102" s="247"/>
      <c r="NXF102" s="247"/>
      <c r="NXG102" s="247"/>
      <c r="NXH102" s="247"/>
      <c r="NXI102" s="247"/>
      <c r="NXJ102" s="247"/>
      <c r="NXK102" s="247"/>
      <c r="NXL102" s="247"/>
      <c r="NXM102" s="247"/>
      <c r="NXN102" s="247"/>
      <c r="NXO102" s="247"/>
      <c r="NXP102" s="247"/>
      <c r="NXQ102" s="247"/>
      <c r="NXR102" s="247"/>
      <c r="NXS102" s="247"/>
      <c r="NXT102" s="247"/>
      <c r="NXU102" s="247"/>
      <c r="NXV102" s="247"/>
      <c r="NXW102" s="247"/>
      <c r="NXX102" s="247"/>
      <c r="NXY102" s="247"/>
      <c r="NXZ102" s="247"/>
      <c r="NYA102" s="247"/>
      <c r="NYB102" s="247"/>
      <c r="NYC102" s="247"/>
      <c r="NYD102" s="247"/>
      <c r="NYE102" s="247"/>
      <c r="NYF102" s="247"/>
      <c r="NYG102" s="247"/>
      <c r="NYH102" s="247"/>
      <c r="NYI102" s="247"/>
      <c r="NYJ102" s="247"/>
      <c r="NYK102" s="247"/>
      <c r="NYL102" s="247"/>
      <c r="NYM102" s="247"/>
      <c r="NYN102" s="247"/>
      <c r="NYO102" s="247"/>
      <c r="NYP102" s="247"/>
      <c r="NYQ102" s="247"/>
      <c r="NYR102" s="247"/>
      <c r="NYS102" s="247"/>
      <c r="NYT102" s="247"/>
      <c r="NYU102" s="247"/>
      <c r="NYV102" s="247"/>
      <c r="NYW102" s="247"/>
      <c r="NYX102" s="247"/>
      <c r="NYY102" s="247"/>
      <c r="NYZ102" s="247"/>
      <c r="NZA102" s="247"/>
      <c r="NZB102" s="247"/>
      <c r="NZC102" s="247"/>
      <c r="NZD102" s="247"/>
      <c r="NZE102" s="247"/>
      <c r="NZF102" s="247"/>
      <c r="NZG102" s="247"/>
      <c r="NZH102" s="247"/>
      <c r="NZI102" s="247"/>
      <c r="NZJ102" s="247"/>
      <c r="NZK102" s="247"/>
      <c r="NZL102" s="247"/>
      <c r="NZM102" s="247"/>
      <c r="NZN102" s="247"/>
      <c r="NZO102" s="247"/>
      <c r="NZP102" s="247"/>
      <c r="NZQ102" s="247"/>
      <c r="NZR102" s="247"/>
      <c r="NZS102" s="247"/>
      <c r="NZT102" s="247"/>
      <c r="NZU102" s="247"/>
      <c r="NZV102" s="247"/>
      <c r="NZW102" s="247"/>
      <c r="NZX102" s="247"/>
      <c r="NZY102" s="247"/>
      <c r="NZZ102" s="247"/>
      <c r="OAA102" s="247"/>
      <c r="OAB102" s="247"/>
      <c r="OAC102" s="247"/>
      <c r="OAD102" s="247"/>
      <c r="OAE102" s="247"/>
      <c r="OAF102" s="247"/>
      <c r="OAG102" s="247"/>
      <c r="OAH102" s="247"/>
      <c r="OAI102" s="247"/>
      <c r="OAJ102" s="247"/>
      <c r="OAK102" s="247"/>
      <c r="OAL102" s="247"/>
      <c r="OAM102" s="247"/>
      <c r="OAN102" s="247"/>
      <c r="OAO102" s="247"/>
      <c r="OAP102" s="247"/>
      <c r="OAQ102" s="247"/>
      <c r="OAR102" s="247"/>
      <c r="OAS102" s="247"/>
      <c r="OAT102" s="247"/>
      <c r="OAU102" s="247"/>
      <c r="OAV102" s="247"/>
      <c r="OAW102" s="247"/>
      <c r="OAX102" s="247"/>
      <c r="OAY102" s="247"/>
      <c r="OAZ102" s="247"/>
      <c r="OBA102" s="247"/>
      <c r="OBB102" s="247"/>
      <c r="OBC102" s="247"/>
      <c r="OBD102" s="247"/>
      <c r="OBE102" s="247"/>
      <c r="OBF102" s="247"/>
      <c r="OBG102" s="247"/>
      <c r="OBH102" s="247"/>
      <c r="OBI102" s="247"/>
      <c r="OBJ102" s="247"/>
      <c r="OBK102" s="247"/>
      <c r="OBL102" s="247"/>
      <c r="OBM102" s="247"/>
      <c r="OBN102" s="247"/>
      <c r="OBO102" s="247"/>
      <c r="OBP102" s="247"/>
      <c r="OBQ102" s="247"/>
      <c r="OBR102" s="247"/>
      <c r="OBS102" s="247"/>
      <c r="OBT102" s="247"/>
      <c r="OBU102" s="247"/>
      <c r="OBV102" s="247"/>
      <c r="OBW102" s="247"/>
      <c r="OBX102" s="247"/>
      <c r="OBY102" s="247"/>
      <c r="OBZ102" s="247"/>
      <c r="OCA102" s="247"/>
      <c r="OCB102" s="247"/>
      <c r="OCC102" s="247"/>
      <c r="OCD102" s="247"/>
      <c r="OCE102" s="247"/>
      <c r="OCF102" s="247"/>
      <c r="OCG102" s="247"/>
      <c r="OCH102" s="247"/>
      <c r="OCI102" s="247"/>
      <c r="OCJ102" s="247"/>
      <c r="OCK102" s="247"/>
      <c r="OCL102" s="247"/>
      <c r="OCM102" s="247"/>
      <c r="OCN102" s="247"/>
      <c r="OCO102" s="247"/>
      <c r="OCP102" s="247"/>
      <c r="OCQ102" s="247"/>
      <c r="OCR102" s="247"/>
      <c r="OCS102" s="247"/>
      <c r="OCT102" s="247"/>
      <c r="OCU102" s="247"/>
      <c r="OCV102" s="247"/>
      <c r="OCW102" s="247"/>
      <c r="OCX102" s="247"/>
      <c r="OCY102" s="247"/>
      <c r="OCZ102" s="247"/>
      <c r="ODA102" s="247"/>
      <c r="ODB102" s="247"/>
      <c r="ODC102" s="247"/>
      <c r="ODD102" s="247"/>
      <c r="ODE102" s="247"/>
      <c r="ODF102" s="247"/>
      <c r="ODG102" s="247"/>
      <c r="ODH102" s="247"/>
      <c r="ODI102" s="247"/>
      <c r="ODJ102" s="247"/>
      <c r="ODK102" s="247"/>
      <c r="ODL102" s="247"/>
      <c r="ODM102" s="247"/>
      <c r="ODN102" s="247"/>
      <c r="ODO102" s="247"/>
      <c r="ODP102" s="247"/>
      <c r="ODQ102" s="247"/>
      <c r="ODR102" s="247"/>
      <c r="ODS102" s="247"/>
      <c r="ODT102" s="247"/>
      <c r="ODU102" s="247"/>
      <c r="ODV102" s="247"/>
      <c r="ODW102" s="247"/>
      <c r="ODX102" s="247"/>
      <c r="ODY102" s="247"/>
      <c r="ODZ102" s="247"/>
      <c r="OEA102" s="247"/>
      <c r="OEB102" s="247"/>
      <c r="OEC102" s="247"/>
      <c r="OED102" s="247"/>
      <c r="OEE102" s="247"/>
      <c r="OEF102" s="247"/>
      <c r="OEG102" s="247"/>
      <c r="OEH102" s="247"/>
      <c r="OEI102" s="247"/>
      <c r="OEJ102" s="247"/>
      <c r="OEK102" s="247"/>
      <c r="OEL102" s="247"/>
      <c r="OEM102" s="247"/>
      <c r="OEN102" s="247"/>
      <c r="OEO102" s="247"/>
      <c r="OEP102" s="247"/>
      <c r="OEQ102" s="247"/>
      <c r="OER102" s="247"/>
      <c r="OES102" s="247"/>
      <c r="OET102" s="247"/>
      <c r="OEU102" s="247"/>
      <c r="OEV102" s="247"/>
      <c r="OEW102" s="247"/>
      <c r="OEX102" s="247"/>
      <c r="OEY102" s="247"/>
      <c r="OEZ102" s="247"/>
      <c r="OFA102" s="247"/>
      <c r="OFB102" s="247"/>
      <c r="OFC102" s="247"/>
      <c r="OFD102" s="247"/>
      <c r="OFE102" s="247"/>
      <c r="OFF102" s="247"/>
      <c r="OFG102" s="247"/>
      <c r="OFH102" s="247"/>
      <c r="OFI102" s="247"/>
      <c r="OFJ102" s="247"/>
      <c r="OFK102" s="247"/>
      <c r="OFL102" s="247"/>
      <c r="OFM102" s="247"/>
      <c r="OFN102" s="247"/>
      <c r="OFO102" s="247"/>
      <c r="OFP102" s="247"/>
      <c r="OFQ102" s="247"/>
      <c r="OFR102" s="247"/>
      <c r="OFS102" s="247"/>
      <c r="OFT102" s="247"/>
      <c r="OFU102" s="247"/>
      <c r="OFV102" s="247"/>
      <c r="OFW102" s="247"/>
      <c r="OFX102" s="247"/>
      <c r="OFY102" s="247"/>
      <c r="OFZ102" s="247"/>
      <c r="OGA102" s="247"/>
      <c r="OGB102" s="247"/>
      <c r="OGC102" s="247"/>
      <c r="OGD102" s="247"/>
      <c r="OGE102" s="247"/>
      <c r="OGF102" s="247"/>
      <c r="OGG102" s="247"/>
      <c r="OGH102" s="247"/>
      <c r="OGI102" s="247"/>
      <c r="OGJ102" s="247"/>
      <c r="OGK102" s="247"/>
      <c r="OGL102" s="247"/>
      <c r="OGM102" s="247"/>
      <c r="OGN102" s="247"/>
      <c r="OGO102" s="247"/>
      <c r="OGP102" s="247"/>
      <c r="OGQ102" s="247"/>
      <c r="OGR102" s="247"/>
      <c r="OGS102" s="247"/>
      <c r="OGT102" s="247"/>
      <c r="OGU102" s="247"/>
      <c r="OGV102" s="247"/>
      <c r="OGW102" s="247"/>
      <c r="OGX102" s="247"/>
      <c r="OGY102" s="247"/>
      <c r="OGZ102" s="247"/>
      <c r="OHA102" s="247"/>
      <c r="OHB102" s="247"/>
      <c r="OHC102" s="247"/>
      <c r="OHD102" s="247"/>
      <c r="OHE102" s="247"/>
      <c r="OHF102" s="247"/>
      <c r="OHG102" s="247"/>
      <c r="OHH102" s="247"/>
      <c r="OHI102" s="247"/>
      <c r="OHJ102" s="247"/>
      <c r="OHK102" s="247"/>
      <c r="OHL102" s="247"/>
      <c r="OHM102" s="247"/>
      <c r="OHN102" s="247"/>
      <c r="OHO102" s="247"/>
      <c r="OHP102" s="247"/>
      <c r="OHQ102" s="247"/>
      <c r="OHR102" s="247"/>
      <c r="OHS102" s="247"/>
      <c r="OHT102" s="247"/>
      <c r="OHU102" s="247"/>
      <c r="OHV102" s="247"/>
      <c r="OHW102" s="247"/>
      <c r="OHX102" s="247"/>
      <c r="OHY102" s="247"/>
      <c r="OHZ102" s="247"/>
      <c r="OIA102" s="247"/>
      <c r="OIB102" s="247"/>
      <c r="OIC102" s="247"/>
      <c r="OID102" s="247"/>
      <c r="OIE102" s="247"/>
      <c r="OIF102" s="247"/>
      <c r="OIG102" s="247"/>
      <c r="OIH102" s="247"/>
      <c r="OII102" s="247"/>
      <c r="OIJ102" s="247"/>
      <c r="OIK102" s="247"/>
      <c r="OIL102" s="247"/>
      <c r="OIM102" s="247"/>
      <c r="OIN102" s="247"/>
      <c r="OIO102" s="247"/>
      <c r="OIP102" s="247"/>
      <c r="OIQ102" s="247"/>
      <c r="OIR102" s="247"/>
      <c r="OIS102" s="247"/>
      <c r="OIT102" s="247"/>
      <c r="OIU102" s="247"/>
      <c r="OIV102" s="247"/>
      <c r="OIW102" s="247"/>
      <c r="OIX102" s="247"/>
      <c r="OIY102" s="247"/>
      <c r="OIZ102" s="247"/>
      <c r="OJA102" s="247"/>
      <c r="OJB102" s="247"/>
      <c r="OJC102" s="247"/>
      <c r="OJD102" s="247"/>
      <c r="OJE102" s="247"/>
      <c r="OJF102" s="247"/>
      <c r="OJG102" s="247"/>
      <c r="OJH102" s="247"/>
      <c r="OJI102" s="247"/>
      <c r="OJJ102" s="247"/>
      <c r="OJK102" s="247"/>
      <c r="OJL102" s="247"/>
      <c r="OJM102" s="247"/>
      <c r="OJN102" s="247"/>
      <c r="OJO102" s="247"/>
      <c r="OJP102" s="247"/>
      <c r="OJQ102" s="247"/>
      <c r="OJR102" s="247"/>
      <c r="OJS102" s="247"/>
      <c r="OJT102" s="247"/>
      <c r="OJU102" s="247"/>
      <c r="OJV102" s="247"/>
      <c r="OJW102" s="247"/>
      <c r="OJX102" s="247"/>
      <c r="OJY102" s="247"/>
      <c r="OJZ102" s="247"/>
      <c r="OKA102" s="247"/>
      <c r="OKB102" s="247"/>
      <c r="OKC102" s="247"/>
      <c r="OKD102" s="247"/>
      <c r="OKE102" s="247"/>
      <c r="OKF102" s="247"/>
      <c r="OKG102" s="247"/>
      <c r="OKH102" s="247"/>
      <c r="OKI102" s="247"/>
      <c r="OKJ102" s="247"/>
      <c r="OKK102" s="247"/>
      <c r="OKL102" s="247"/>
      <c r="OKM102" s="247"/>
      <c r="OKN102" s="247"/>
      <c r="OKO102" s="247"/>
      <c r="OKP102" s="247"/>
      <c r="OKQ102" s="247"/>
      <c r="OKR102" s="247"/>
      <c r="OKS102" s="247"/>
      <c r="OKT102" s="247"/>
      <c r="OKU102" s="247"/>
      <c r="OKV102" s="247"/>
      <c r="OKW102" s="247"/>
      <c r="OKX102" s="247"/>
      <c r="OKY102" s="247"/>
      <c r="OKZ102" s="247"/>
      <c r="OLA102" s="247"/>
      <c r="OLB102" s="247"/>
      <c r="OLC102" s="247"/>
      <c r="OLD102" s="247"/>
      <c r="OLE102" s="247"/>
      <c r="OLF102" s="247"/>
      <c r="OLG102" s="247"/>
      <c r="OLH102" s="247"/>
      <c r="OLI102" s="247"/>
      <c r="OLJ102" s="247"/>
      <c r="OLK102" s="247"/>
      <c r="OLL102" s="247"/>
      <c r="OLM102" s="247"/>
      <c r="OLN102" s="247"/>
      <c r="OLO102" s="247"/>
      <c r="OLP102" s="247"/>
      <c r="OLQ102" s="247"/>
      <c r="OLR102" s="247"/>
      <c r="OLS102" s="247"/>
      <c r="OLT102" s="247"/>
      <c r="OLU102" s="247"/>
      <c r="OLV102" s="247"/>
      <c r="OLW102" s="247"/>
      <c r="OLX102" s="247"/>
      <c r="OLY102" s="247"/>
      <c r="OLZ102" s="247"/>
      <c r="OMA102" s="247"/>
      <c r="OMB102" s="247"/>
      <c r="OMC102" s="247"/>
      <c r="OMD102" s="247"/>
      <c r="OME102" s="247"/>
      <c r="OMF102" s="247"/>
      <c r="OMG102" s="247"/>
      <c r="OMH102" s="247"/>
      <c r="OMI102" s="247"/>
      <c r="OMJ102" s="247"/>
      <c r="OMK102" s="247"/>
      <c r="OML102" s="247"/>
      <c r="OMM102" s="247"/>
      <c r="OMN102" s="247"/>
      <c r="OMO102" s="247"/>
      <c r="OMP102" s="247"/>
      <c r="OMQ102" s="247"/>
      <c r="OMR102" s="247"/>
      <c r="OMS102" s="247"/>
      <c r="OMT102" s="247"/>
      <c r="OMU102" s="247"/>
      <c r="OMV102" s="247"/>
      <c r="OMW102" s="247"/>
      <c r="OMX102" s="247"/>
      <c r="OMY102" s="247"/>
      <c r="OMZ102" s="247"/>
      <c r="ONA102" s="247"/>
      <c r="ONB102" s="247"/>
      <c r="ONC102" s="247"/>
      <c r="OND102" s="247"/>
      <c r="ONE102" s="247"/>
      <c r="ONF102" s="247"/>
      <c r="ONG102" s="247"/>
      <c r="ONH102" s="247"/>
      <c r="ONI102" s="247"/>
      <c r="ONJ102" s="247"/>
      <c r="ONK102" s="247"/>
      <c r="ONL102" s="247"/>
      <c r="ONM102" s="247"/>
      <c r="ONN102" s="247"/>
      <c r="ONO102" s="247"/>
      <c r="ONP102" s="247"/>
      <c r="ONQ102" s="247"/>
      <c r="ONR102" s="247"/>
      <c r="ONS102" s="247"/>
      <c r="ONT102" s="247"/>
      <c r="ONU102" s="247"/>
      <c r="ONV102" s="247"/>
      <c r="ONW102" s="247"/>
      <c r="ONX102" s="247"/>
      <c r="ONY102" s="247"/>
      <c r="ONZ102" s="247"/>
      <c r="OOA102" s="247"/>
      <c r="OOB102" s="247"/>
      <c r="OOC102" s="247"/>
      <c r="OOD102" s="247"/>
      <c r="OOE102" s="247"/>
      <c r="OOF102" s="247"/>
      <c r="OOG102" s="247"/>
      <c r="OOH102" s="247"/>
      <c r="OOI102" s="247"/>
      <c r="OOJ102" s="247"/>
      <c r="OOK102" s="247"/>
      <c r="OOL102" s="247"/>
      <c r="OOM102" s="247"/>
      <c r="OON102" s="247"/>
      <c r="OOO102" s="247"/>
      <c r="OOP102" s="247"/>
      <c r="OOQ102" s="247"/>
      <c r="OOR102" s="247"/>
      <c r="OOS102" s="247"/>
      <c r="OOT102" s="247"/>
      <c r="OOU102" s="247"/>
      <c r="OOV102" s="247"/>
      <c r="OOW102" s="247"/>
      <c r="OOX102" s="247"/>
      <c r="OOY102" s="247"/>
      <c r="OOZ102" s="247"/>
      <c r="OPA102" s="247"/>
      <c r="OPB102" s="247"/>
      <c r="OPC102" s="247"/>
      <c r="OPD102" s="247"/>
      <c r="OPE102" s="247"/>
      <c r="OPF102" s="247"/>
      <c r="OPG102" s="247"/>
      <c r="OPH102" s="247"/>
      <c r="OPI102" s="247"/>
      <c r="OPJ102" s="247"/>
      <c r="OPK102" s="247"/>
      <c r="OPL102" s="247"/>
      <c r="OPM102" s="247"/>
      <c r="OPN102" s="247"/>
      <c r="OPO102" s="247"/>
      <c r="OPP102" s="247"/>
      <c r="OPQ102" s="247"/>
      <c r="OPR102" s="247"/>
      <c r="OPS102" s="247"/>
      <c r="OPT102" s="247"/>
      <c r="OPU102" s="247"/>
      <c r="OPV102" s="247"/>
      <c r="OPW102" s="247"/>
      <c r="OPX102" s="247"/>
      <c r="OPY102" s="247"/>
      <c r="OPZ102" s="247"/>
      <c r="OQA102" s="247"/>
      <c r="OQB102" s="247"/>
      <c r="OQC102" s="247"/>
      <c r="OQD102" s="247"/>
      <c r="OQE102" s="247"/>
      <c r="OQF102" s="247"/>
      <c r="OQG102" s="247"/>
      <c r="OQH102" s="247"/>
      <c r="OQI102" s="247"/>
      <c r="OQJ102" s="247"/>
      <c r="OQK102" s="247"/>
      <c r="OQL102" s="247"/>
      <c r="OQM102" s="247"/>
      <c r="OQN102" s="247"/>
      <c r="OQO102" s="247"/>
      <c r="OQP102" s="247"/>
      <c r="OQQ102" s="247"/>
      <c r="OQR102" s="247"/>
      <c r="OQS102" s="247"/>
      <c r="OQT102" s="247"/>
      <c r="OQU102" s="247"/>
      <c r="OQV102" s="247"/>
      <c r="OQW102" s="247"/>
      <c r="OQX102" s="247"/>
      <c r="OQY102" s="247"/>
      <c r="OQZ102" s="247"/>
      <c r="ORA102" s="247"/>
      <c r="ORB102" s="247"/>
      <c r="ORC102" s="247"/>
      <c r="ORD102" s="247"/>
      <c r="ORE102" s="247"/>
      <c r="ORF102" s="247"/>
      <c r="ORG102" s="247"/>
      <c r="ORH102" s="247"/>
      <c r="ORI102" s="247"/>
      <c r="ORJ102" s="247"/>
      <c r="ORK102" s="247"/>
      <c r="ORL102" s="247"/>
      <c r="ORM102" s="247"/>
      <c r="ORN102" s="247"/>
      <c r="ORO102" s="247"/>
      <c r="ORP102" s="247"/>
      <c r="ORQ102" s="247"/>
      <c r="ORR102" s="247"/>
      <c r="ORS102" s="247"/>
      <c r="ORT102" s="247"/>
      <c r="ORU102" s="247"/>
      <c r="ORV102" s="247"/>
      <c r="ORW102" s="247"/>
      <c r="ORX102" s="247"/>
      <c r="ORY102" s="247"/>
      <c r="ORZ102" s="247"/>
      <c r="OSA102" s="247"/>
      <c r="OSB102" s="247"/>
      <c r="OSC102" s="247"/>
      <c r="OSD102" s="247"/>
      <c r="OSE102" s="247"/>
      <c r="OSF102" s="247"/>
      <c r="OSG102" s="247"/>
      <c r="OSH102" s="247"/>
      <c r="OSI102" s="247"/>
      <c r="OSJ102" s="247"/>
      <c r="OSK102" s="247"/>
      <c r="OSL102" s="247"/>
      <c r="OSM102" s="247"/>
      <c r="OSN102" s="247"/>
      <c r="OSO102" s="247"/>
      <c r="OSP102" s="247"/>
      <c r="OSQ102" s="247"/>
      <c r="OSR102" s="247"/>
      <c r="OSS102" s="247"/>
      <c r="OST102" s="247"/>
      <c r="OSU102" s="247"/>
      <c r="OSV102" s="247"/>
      <c r="OSW102" s="247"/>
      <c r="OSX102" s="247"/>
      <c r="OSY102" s="247"/>
      <c r="OSZ102" s="247"/>
      <c r="OTA102" s="247"/>
      <c r="OTB102" s="247"/>
      <c r="OTC102" s="247"/>
      <c r="OTD102" s="247"/>
      <c r="OTE102" s="247"/>
      <c r="OTF102" s="247"/>
      <c r="OTG102" s="247"/>
      <c r="OTH102" s="247"/>
      <c r="OTI102" s="247"/>
      <c r="OTJ102" s="247"/>
      <c r="OTK102" s="247"/>
      <c r="OTL102" s="247"/>
      <c r="OTM102" s="247"/>
      <c r="OTN102" s="247"/>
      <c r="OTO102" s="247"/>
      <c r="OTP102" s="247"/>
      <c r="OTQ102" s="247"/>
      <c r="OTR102" s="247"/>
      <c r="OTS102" s="247"/>
      <c r="OTT102" s="247"/>
      <c r="OTU102" s="247"/>
      <c r="OTV102" s="247"/>
      <c r="OTW102" s="247"/>
      <c r="OTX102" s="247"/>
      <c r="OTY102" s="247"/>
      <c r="OTZ102" s="247"/>
      <c r="OUA102" s="247"/>
      <c r="OUB102" s="247"/>
      <c r="OUC102" s="247"/>
      <c r="OUD102" s="247"/>
      <c r="OUE102" s="247"/>
      <c r="OUF102" s="247"/>
      <c r="OUG102" s="247"/>
      <c r="OUH102" s="247"/>
      <c r="OUI102" s="247"/>
      <c r="OUJ102" s="247"/>
      <c r="OUK102" s="247"/>
      <c r="OUL102" s="247"/>
      <c r="OUM102" s="247"/>
      <c r="OUN102" s="247"/>
      <c r="OUO102" s="247"/>
      <c r="OUP102" s="247"/>
      <c r="OUQ102" s="247"/>
      <c r="OUR102" s="247"/>
      <c r="OUS102" s="247"/>
      <c r="OUT102" s="247"/>
      <c r="OUU102" s="247"/>
      <c r="OUV102" s="247"/>
      <c r="OUW102" s="247"/>
      <c r="OUX102" s="247"/>
      <c r="OUY102" s="247"/>
      <c r="OUZ102" s="247"/>
      <c r="OVA102" s="247"/>
      <c r="OVB102" s="247"/>
      <c r="OVC102" s="247"/>
      <c r="OVD102" s="247"/>
      <c r="OVE102" s="247"/>
      <c r="OVF102" s="247"/>
      <c r="OVG102" s="247"/>
      <c r="OVH102" s="247"/>
      <c r="OVI102" s="247"/>
      <c r="OVJ102" s="247"/>
      <c r="OVK102" s="247"/>
      <c r="OVL102" s="247"/>
      <c r="OVM102" s="247"/>
      <c r="OVN102" s="247"/>
      <c r="OVO102" s="247"/>
      <c r="OVP102" s="247"/>
      <c r="OVQ102" s="247"/>
      <c r="OVR102" s="247"/>
      <c r="OVS102" s="247"/>
      <c r="OVT102" s="247"/>
      <c r="OVU102" s="247"/>
      <c r="OVV102" s="247"/>
      <c r="OVW102" s="247"/>
      <c r="OVX102" s="247"/>
      <c r="OVY102" s="247"/>
      <c r="OVZ102" s="247"/>
      <c r="OWA102" s="247"/>
      <c r="OWB102" s="247"/>
      <c r="OWC102" s="247"/>
      <c r="OWD102" s="247"/>
      <c r="OWE102" s="247"/>
      <c r="OWF102" s="247"/>
      <c r="OWG102" s="247"/>
      <c r="OWH102" s="247"/>
      <c r="OWI102" s="247"/>
      <c r="OWJ102" s="247"/>
      <c r="OWK102" s="247"/>
      <c r="OWL102" s="247"/>
      <c r="OWM102" s="247"/>
      <c r="OWN102" s="247"/>
      <c r="OWO102" s="247"/>
      <c r="OWP102" s="247"/>
      <c r="OWQ102" s="247"/>
      <c r="OWR102" s="247"/>
      <c r="OWS102" s="247"/>
      <c r="OWT102" s="247"/>
      <c r="OWU102" s="247"/>
      <c r="OWV102" s="247"/>
      <c r="OWW102" s="247"/>
      <c r="OWX102" s="247"/>
      <c r="OWY102" s="247"/>
      <c r="OWZ102" s="247"/>
      <c r="OXA102" s="247"/>
      <c r="OXB102" s="247"/>
      <c r="OXC102" s="247"/>
      <c r="OXD102" s="247"/>
      <c r="OXE102" s="247"/>
      <c r="OXF102" s="247"/>
      <c r="OXG102" s="247"/>
      <c r="OXH102" s="247"/>
      <c r="OXI102" s="247"/>
      <c r="OXJ102" s="247"/>
      <c r="OXK102" s="247"/>
      <c r="OXL102" s="247"/>
      <c r="OXM102" s="247"/>
      <c r="OXN102" s="247"/>
      <c r="OXO102" s="247"/>
      <c r="OXP102" s="247"/>
      <c r="OXQ102" s="247"/>
      <c r="OXR102" s="247"/>
      <c r="OXS102" s="247"/>
      <c r="OXT102" s="247"/>
      <c r="OXU102" s="247"/>
      <c r="OXV102" s="247"/>
      <c r="OXW102" s="247"/>
      <c r="OXX102" s="247"/>
      <c r="OXY102" s="247"/>
      <c r="OXZ102" s="247"/>
      <c r="OYA102" s="247"/>
      <c r="OYB102" s="247"/>
      <c r="OYC102" s="247"/>
      <c r="OYD102" s="247"/>
      <c r="OYE102" s="247"/>
      <c r="OYF102" s="247"/>
      <c r="OYG102" s="247"/>
      <c r="OYH102" s="247"/>
      <c r="OYI102" s="247"/>
      <c r="OYJ102" s="247"/>
      <c r="OYK102" s="247"/>
      <c r="OYL102" s="247"/>
      <c r="OYM102" s="247"/>
      <c r="OYN102" s="247"/>
      <c r="OYO102" s="247"/>
      <c r="OYP102" s="247"/>
      <c r="OYQ102" s="247"/>
      <c r="OYR102" s="247"/>
      <c r="OYS102" s="247"/>
      <c r="OYT102" s="247"/>
      <c r="OYU102" s="247"/>
      <c r="OYV102" s="247"/>
      <c r="OYW102" s="247"/>
      <c r="OYX102" s="247"/>
      <c r="OYY102" s="247"/>
      <c r="OYZ102" s="247"/>
      <c r="OZA102" s="247"/>
      <c r="OZB102" s="247"/>
      <c r="OZC102" s="247"/>
      <c r="OZD102" s="247"/>
      <c r="OZE102" s="247"/>
      <c r="OZF102" s="247"/>
      <c r="OZG102" s="247"/>
      <c r="OZH102" s="247"/>
      <c r="OZI102" s="247"/>
      <c r="OZJ102" s="247"/>
      <c r="OZK102" s="247"/>
      <c r="OZL102" s="247"/>
      <c r="OZM102" s="247"/>
      <c r="OZN102" s="247"/>
      <c r="OZO102" s="247"/>
      <c r="OZP102" s="247"/>
      <c r="OZQ102" s="247"/>
      <c r="OZR102" s="247"/>
      <c r="OZS102" s="247"/>
      <c r="OZT102" s="247"/>
      <c r="OZU102" s="247"/>
      <c r="OZV102" s="247"/>
      <c r="OZW102" s="247"/>
      <c r="OZX102" s="247"/>
      <c r="OZY102" s="247"/>
      <c r="OZZ102" s="247"/>
      <c r="PAA102" s="247"/>
      <c r="PAB102" s="247"/>
      <c r="PAC102" s="247"/>
      <c r="PAD102" s="247"/>
      <c r="PAE102" s="247"/>
      <c r="PAF102" s="247"/>
      <c r="PAG102" s="247"/>
      <c r="PAH102" s="247"/>
      <c r="PAI102" s="247"/>
      <c r="PAJ102" s="247"/>
      <c r="PAK102" s="247"/>
      <c r="PAL102" s="247"/>
      <c r="PAM102" s="247"/>
      <c r="PAN102" s="247"/>
      <c r="PAO102" s="247"/>
      <c r="PAP102" s="247"/>
      <c r="PAQ102" s="247"/>
      <c r="PAR102" s="247"/>
      <c r="PAS102" s="247"/>
      <c r="PAT102" s="247"/>
      <c r="PAU102" s="247"/>
      <c r="PAV102" s="247"/>
      <c r="PAW102" s="247"/>
      <c r="PAX102" s="247"/>
      <c r="PAY102" s="247"/>
      <c r="PAZ102" s="247"/>
      <c r="PBA102" s="247"/>
      <c r="PBB102" s="247"/>
      <c r="PBC102" s="247"/>
      <c r="PBD102" s="247"/>
      <c r="PBE102" s="247"/>
      <c r="PBF102" s="247"/>
      <c r="PBG102" s="247"/>
      <c r="PBH102" s="247"/>
      <c r="PBI102" s="247"/>
      <c r="PBJ102" s="247"/>
      <c r="PBK102" s="247"/>
      <c r="PBL102" s="247"/>
      <c r="PBM102" s="247"/>
      <c r="PBN102" s="247"/>
      <c r="PBO102" s="247"/>
      <c r="PBP102" s="247"/>
      <c r="PBQ102" s="247"/>
      <c r="PBR102" s="247"/>
      <c r="PBS102" s="247"/>
      <c r="PBT102" s="247"/>
      <c r="PBU102" s="247"/>
      <c r="PBV102" s="247"/>
      <c r="PBW102" s="247"/>
      <c r="PBX102" s="247"/>
      <c r="PBY102" s="247"/>
      <c r="PBZ102" s="247"/>
      <c r="PCA102" s="247"/>
      <c r="PCB102" s="247"/>
      <c r="PCC102" s="247"/>
      <c r="PCD102" s="247"/>
      <c r="PCE102" s="247"/>
      <c r="PCF102" s="247"/>
      <c r="PCG102" s="247"/>
      <c r="PCH102" s="247"/>
      <c r="PCI102" s="247"/>
      <c r="PCJ102" s="247"/>
      <c r="PCK102" s="247"/>
      <c r="PCL102" s="247"/>
      <c r="PCM102" s="247"/>
      <c r="PCN102" s="247"/>
      <c r="PCO102" s="247"/>
      <c r="PCP102" s="247"/>
      <c r="PCQ102" s="247"/>
      <c r="PCR102" s="247"/>
      <c r="PCS102" s="247"/>
      <c r="PCT102" s="247"/>
      <c r="PCU102" s="247"/>
      <c r="PCV102" s="247"/>
      <c r="PCW102" s="247"/>
      <c r="PCX102" s="247"/>
      <c r="PCY102" s="247"/>
      <c r="PCZ102" s="247"/>
      <c r="PDA102" s="247"/>
      <c r="PDB102" s="247"/>
      <c r="PDC102" s="247"/>
      <c r="PDD102" s="247"/>
      <c r="PDE102" s="247"/>
      <c r="PDF102" s="247"/>
      <c r="PDG102" s="247"/>
      <c r="PDH102" s="247"/>
      <c r="PDI102" s="247"/>
      <c r="PDJ102" s="247"/>
      <c r="PDK102" s="247"/>
      <c r="PDL102" s="247"/>
      <c r="PDM102" s="247"/>
      <c r="PDN102" s="247"/>
      <c r="PDO102" s="247"/>
      <c r="PDP102" s="247"/>
      <c r="PDQ102" s="247"/>
      <c r="PDR102" s="247"/>
      <c r="PDS102" s="247"/>
      <c r="PDT102" s="247"/>
      <c r="PDU102" s="247"/>
      <c r="PDV102" s="247"/>
      <c r="PDW102" s="247"/>
      <c r="PDX102" s="247"/>
      <c r="PDY102" s="247"/>
      <c r="PDZ102" s="247"/>
      <c r="PEA102" s="247"/>
      <c r="PEB102" s="247"/>
      <c r="PEC102" s="247"/>
      <c r="PED102" s="247"/>
      <c r="PEE102" s="247"/>
      <c r="PEF102" s="247"/>
      <c r="PEG102" s="247"/>
      <c r="PEH102" s="247"/>
      <c r="PEI102" s="247"/>
      <c r="PEJ102" s="247"/>
      <c r="PEK102" s="247"/>
      <c r="PEL102" s="247"/>
      <c r="PEM102" s="247"/>
      <c r="PEN102" s="247"/>
      <c r="PEO102" s="247"/>
      <c r="PEP102" s="247"/>
      <c r="PEQ102" s="247"/>
      <c r="PER102" s="247"/>
      <c r="PES102" s="247"/>
      <c r="PET102" s="247"/>
      <c r="PEU102" s="247"/>
      <c r="PEV102" s="247"/>
      <c r="PEW102" s="247"/>
      <c r="PEX102" s="247"/>
      <c r="PEY102" s="247"/>
      <c r="PEZ102" s="247"/>
      <c r="PFA102" s="247"/>
      <c r="PFB102" s="247"/>
      <c r="PFC102" s="247"/>
      <c r="PFD102" s="247"/>
      <c r="PFE102" s="247"/>
      <c r="PFF102" s="247"/>
      <c r="PFG102" s="247"/>
      <c r="PFH102" s="247"/>
      <c r="PFI102" s="247"/>
      <c r="PFJ102" s="247"/>
      <c r="PFK102" s="247"/>
      <c r="PFL102" s="247"/>
      <c r="PFM102" s="247"/>
      <c r="PFN102" s="247"/>
      <c r="PFO102" s="247"/>
      <c r="PFP102" s="247"/>
      <c r="PFQ102" s="247"/>
      <c r="PFR102" s="247"/>
      <c r="PFS102" s="247"/>
      <c r="PFT102" s="247"/>
      <c r="PFU102" s="247"/>
      <c r="PFV102" s="247"/>
      <c r="PFW102" s="247"/>
      <c r="PFX102" s="247"/>
      <c r="PFY102" s="247"/>
      <c r="PFZ102" s="247"/>
      <c r="PGA102" s="247"/>
      <c r="PGB102" s="247"/>
      <c r="PGC102" s="247"/>
      <c r="PGD102" s="247"/>
      <c r="PGE102" s="247"/>
      <c r="PGF102" s="247"/>
      <c r="PGG102" s="247"/>
      <c r="PGH102" s="247"/>
      <c r="PGI102" s="247"/>
      <c r="PGJ102" s="247"/>
      <c r="PGK102" s="247"/>
      <c r="PGL102" s="247"/>
      <c r="PGM102" s="247"/>
      <c r="PGN102" s="247"/>
      <c r="PGO102" s="247"/>
      <c r="PGP102" s="247"/>
      <c r="PGQ102" s="247"/>
      <c r="PGR102" s="247"/>
      <c r="PGS102" s="247"/>
      <c r="PGT102" s="247"/>
      <c r="PGU102" s="247"/>
      <c r="PGV102" s="247"/>
      <c r="PGW102" s="247"/>
      <c r="PGX102" s="247"/>
      <c r="PGY102" s="247"/>
      <c r="PGZ102" s="247"/>
      <c r="PHA102" s="247"/>
      <c r="PHB102" s="247"/>
      <c r="PHC102" s="247"/>
      <c r="PHD102" s="247"/>
      <c r="PHE102" s="247"/>
      <c r="PHF102" s="247"/>
      <c r="PHG102" s="247"/>
      <c r="PHH102" s="247"/>
      <c r="PHI102" s="247"/>
      <c r="PHJ102" s="247"/>
      <c r="PHK102" s="247"/>
      <c r="PHL102" s="247"/>
      <c r="PHM102" s="247"/>
      <c r="PHN102" s="247"/>
      <c r="PHO102" s="247"/>
      <c r="PHP102" s="247"/>
      <c r="PHQ102" s="247"/>
      <c r="PHR102" s="247"/>
      <c r="PHS102" s="247"/>
      <c r="PHT102" s="247"/>
      <c r="PHU102" s="247"/>
      <c r="PHV102" s="247"/>
      <c r="PHW102" s="247"/>
      <c r="PHX102" s="247"/>
      <c r="PHY102" s="247"/>
      <c r="PHZ102" s="247"/>
      <c r="PIA102" s="247"/>
      <c r="PIB102" s="247"/>
      <c r="PIC102" s="247"/>
      <c r="PID102" s="247"/>
      <c r="PIE102" s="247"/>
      <c r="PIF102" s="247"/>
      <c r="PIG102" s="247"/>
      <c r="PIH102" s="247"/>
      <c r="PII102" s="247"/>
      <c r="PIJ102" s="247"/>
      <c r="PIK102" s="247"/>
      <c r="PIL102" s="247"/>
      <c r="PIM102" s="247"/>
      <c r="PIN102" s="247"/>
      <c r="PIO102" s="247"/>
      <c r="PIP102" s="247"/>
      <c r="PIQ102" s="247"/>
      <c r="PIR102" s="247"/>
      <c r="PIS102" s="247"/>
      <c r="PIT102" s="247"/>
      <c r="PIU102" s="247"/>
      <c r="PIV102" s="247"/>
      <c r="PIW102" s="247"/>
      <c r="PIX102" s="247"/>
      <c r="PIY102" s="247"/>
      <c r="PIZ102" s="247"/>
      <c r="PJA102" s="247"/>
      <c r="PJB102" s="247"/>
      <c r="PJC102" s="247"/>
      <c r="PJD102" s="247"/>
      <c r="PJE102" s="247"/>
      <c r="PJF102" s="247"/>
      <c r="PJG102" s="247"/>
      <c r="PJH102" s="247"/>
      <c r="PJI102" s="247"/>
      <c r="PJJ102" s="247"/>
      <c r="PJK102" s="247"/>
      <c r="PJL102" s="247"/>
      <c r="PJM102" s="247"/>
      <c r="PJN102" s="247"/>
      <c r="PJO102" s="247"/>
      <c r="PJP102" s="247"/>
      <c r="PJQ102" s="247"/>
      <c r="PJR102" s="247"/>
      <c r="PJS102" s="247"/>
      <c r="PJT102" s="247"/>
      <c r="PJU102" s="247"/>
      <c r="PJV102" s="247"/>
      <c r="PJW102" s="247"/>
      <c r="PJX102" s="247"/>
      <c r="PJY102" s="247"/>
      <c r="PJZ102" s="247"/>
      <c r="PKA102" s="247"/>
      <c r="PKB102" s="247"/>
      <c r="PKC102" s="247"/>
      <c r="PKD102" s="247"/>
      <c r="PKE102" s="247"/>
      <c r="PKF102" s="247"/>
      <c r="PKG102" s="247"/>
      <c r="PKH102" s="247"/>
      <c r="PKI102" s="247"/>
      <c r="PKJ102" s="247"/>
      <c r="PKK102" s="247"/>
      <c r="PKL102" s="247"/>
      <c r="PKM102" s="247"/>
      <c r="PKN102" s="247"/>
      <c r="PKO102" s="247"/>
      <c r="PKP102" s="247"/>
      <c r="PKQ102" s="247"/>
      <c r="PKR102" s="247"/>
      <c r="PKS102" s="247"/>
      <c r="PKT102" s="247"/>
      <c r="PKU102" s="247"/>
      <c r="PKV102" s="247"/>
      <c r="PKW102" s="247"/>
      <c r="PKX102" s="247"/>
      <c r="PKY102" s="247"/>
      <c r="PKZ102" s="247"/>
      <c r="PLA102" s="247"/>
      <c r="PLB102" s="247"/>
      <c r="PLC102" s="247"/>
      <c r="PLD102" s="247"/>
      <c r="PLE102" s="247"/>
      <c r="PLF102" s="247"/>
      <c r="PLG102" s="247"/>
      <c r="PLH102" s="247"/>
      <c r="PLI102" s="247"/>
      <c r="PLJ102" s="247"/>
      <c r="PLK102" s="247"/>
      <c r="PLL102" s="247"/>
      <c r="PLM102" s="247"/>
      <c r="PLN102" s="247"/>
      <c r="PLO102" s="247"/>
      <c r="PLP102" s="247"/>
      <c r="PLQ102" s="247"/>
      <c r="PLR102" s="247"/>
      <c r="PLS102" s="247"/>
      <c r="PLT102" s="247"/>
      <c r="PLU102" s="247"/>
      <c r="PLV102" s="247"/>
      <c r="PLW102" s="247"/>
      <c r="PLX102" s="247"/>
      <c r="PLY102" s="247"/>
      <c r="PLZ102" s="247"/>
      <c r="PMA102" s="247"/>
      <c r="PMB102" s="247"/>
      <c r="PMC102" s="247"/>
      <c r="PMD102" s="247"/>
      <c r="PME102" s="247"/>
      <c r="PMF102" s="247"/>
      <c r="PMG102" s="247"/>
      <c r="PMH102" s="247"/>
      <c r="PMI102" s="247"/>
      <c r="PMJ102" s="247"/>
      <c r="PMK102" s="247"/>
      <c r="PML102" s="247"/>
      <c r="PMM102" s="247"/>
      <c r="PMN102" s="247"/>
      <c r="PMO102" s="247"/>
      <c r="PMP102" s="247"/>
      <c r="PMQ102" s="247"/>
      <c r="PMR102" s="247"/>
      <c r="PMS102" s="247"/>
      <c r="PMT102" s="247"/>
      <c r="PMU102" s="247"/>
      <c r="PMV102" s="247"/>
      <c r="PMW102" s="247"/>
      <c r="PMX102" s="247"/>
      <c r="PMY102" s="247"/>
      <c r="PMZ102" s="247"/>
      <c r="PNA102" s="247"/>
      <c r="PNB102" s="247"/>
      <c r="PNC102" s="247"/>
      <c r="PND102" s="247"/>
      <c r="PNE102" s="247"/>
      <c r="PNF102" s="247"/>
      <c r="PNG102" s="247"/>
      <c r="PNH102" s="247"/>
      <c r="PNI102" s="247"/>
      <c r="PNJ102" s="247"/>
      <c r="PNK102" s="247"/>
      <c r="PNL102" s="247"/>
      <c r="PNM102" s="247"/>
      <c r="PNN102" s="247"/>
      <c r="PNO102" s="247"/>
      <c r="PNP102" s="247"/>
      <c r="PNQ102" s="247"/>
      <c r="PNR102" s="247"/>
      <c r="PNS102" s="247"/>
      <c r="PNT102" s="247"/>
      <c r="PNU102" s="247"/>
      <c r="PNV102" s="247"/>
      <c r="PNW102" s="247"/>
      <c r="PNX102" s="247"/>
      <c r="PNY102" s="247"/>
      <c r="PNZ102" s="247"/>
      <c r="POA102" s="247"/>
      <c r="POB102" s="247"/>
      <c r="POC102" s="247"/>
      <c r="POD102" s="247"/>
      <c r="POE102" s="247"/>
      <c r="POF102" s="247"/>
      <c r="POG102" s="247"/>
      <c r="POH102" s="247"/>
      <c r="POI102" s="247"/>
      <c r="POJ102" s="247"/>
      <c r="POK102" s="247"/>
      <c r="POL102" s="247"/>
      <c r="POM102" s="247"/>
      <c r="PON102" s="247"/>
      <c r="POO102" s="247"/>
      <c r="POP102" s="247"/>
      <c r="POQ102" s="247"/>
      <c r="POR102" s="247"/>
      <c r="POS102" s="247"/>
      <c r="POT102" s="247"/>
      <c r="POU102" s="247"/>
      <c r="POV102" s="247"/>
      <c r="POW102" s="247"/>
      <c r="POX102" s="247"/>
      <c r="POY102" s="247"/>
      <c r="POZ102" s="247"/>
      <c r="PPA102" s="247"/>
      <c r="PPB102" s="247"/>
      <c r="PPC102" s="247"/>
      <c r="PPD102" s="247"/>
      <c r="PPE102" s="247"/>
      <c r="PPF102" s="247"/>
      <c r="PPG102" s="247"/>
      <c r="PPH102" s="247"/>
      <c r="PPI102" s="247"/>
      <c r="PPJ102" s="247"/>
      <c r="PPK102" s="247"/>
      <c r="PPL102" s="247"/>
      <c r="PPM102" s="247"/>
      <c r="PPN102" s="247"/>
      <c r="PPO102" s="247"/>
      <c r="PPP102" s="247"/>
      <c r="PPQ102" s="247"/>
      <c r="PPR102" s="247"/>
      <c r="PPS102" s="247"/>
      <c r="PPT102" s="247"/>
      <c r="PPU102" s="247"/>
      <c r="PPV102" s="247"/>
      <c r="PPW102" s="247"/>
      <c r="PPX102" s="247"/>
      <c r="PPY102" s="247"/>
      <c r="PPZ102" s="247"/>
      <c r="PQA102" s="247"/>
      <c r="PQB102" s="247"/>
      <c r="PQC102" s="247"/>
      <c r="PQD102" s="247"/>
      <c r="PQE102" s="247"/>
      <c r="PQF102" s="247"/>
      <c r="PQG102" s="247"/>
      <c r="PQH102" s="247"/>
      <c r="PQI102" s="247"/>
      <c r="PQJ102" s="247"/>
      <c r="PQK102" s="247"/>
      <c r="PQL102" s="247"/>
      <c r="PQM102" s="247"/>
      <c r="PQN102" s="247"/>
      <c r="PQO102" s="247"/>
      <c r="PQP102" s="247"/>
      <c r="PQQ102" s="247"/>
      <c r="PQR102" s="247"/>
      <c r="PQS102" s="247"/>
      <c r="PQT102" s="247"/>
      <c r="PQU102" s="247"/>
      <c r="PQV102" s="247"/>
      <c r="PQW102" s="247"/>
      <c r="PQX102" s="247"/>
      <c r="PQY102" s="247"/>
      <c r="PQZ102" s="247"/>
      <c r="PRA102" s="247"/>
      <c r="PRB102" s="247"/>
      <c r="PRC102" s="247"/>
      <c r="PRD102" s="247"/>
      <c r="PRE102" s="247"/>
      <c r="PRF102" s="247"/>
      <c r="PRG102" s="247"/>
      <c r="PRH102" s="247"/>
      <c r="PRI102" s="247"/>
      <c r="PRJ102" s="247"/>
      <c r="PRK102" s="247"/>
      <c r="PRL102" s="247"/>
      <c r="PRM102" s="247"/>
      <c r="PRN102" s="247"/>
      <c r="PRO102" s="247"/>
      <c r="PRP102" s="247"/>
      <c r="PRQ102" s="247"/>
      <c r="PRR102" s="247"/>
      <c r="PRS102" s="247"/>
      <c r="PRT102" s="247"/>
      <c r="PRU102" s="247"/>
      <c r="PRV102" s="247"/>
      <c r="PRW102" s="247"/>
      <c r="PRX102" s="247"/>
      <c r="PRY102" s="247"/>
      <c r="PRZ102" s="247"/>
      <c r="PSA102" s="247"/>
      <c r="PSB102" s="247"/>
      <c r="PSC102" s="247"/>
      <c r="PSD102" s="247"/>
      <c r="PSE102" s="247"/>
      <c r="PSF102" s="247"/>
      <c r="PSG102" s="247"/>
      <c r="PSH102" s="247"/>
      <c r="PSI102" s="247"/>
      <c r="PSJ102" s="247"/>
      <c r="PSK102" s="247"/>
      <c r="PSL102" s="247"/>
      <c r="PSM102" s="247"/>
      <c r="PSN102" s="247"/>
      <c r="PSO102" s="247"/>
      <c r="PSP102" s="247"/>
      <c r="PSQ102" s="247"/>
      <c r="PSR102" s="247"/>
      <c r="PSS102" s="247"/>
      <c r="PST102" s="247"/>
      <c r="PSU102" s="247"/>
      <c r="PSV102" s="247"/>
      <c r="PSW102" s="247"/>
      <c r="PSX102" s="247"/>
      <c r="PSY102" s="247"/>
      <c r="PSZ102" s="247"/>
      <c r="PTA102" s="247"/>
      <c r="PTB102" s="247"/>
      <c r="PTC102" s="247"/>
      <c r="PTD102" s="247"/>
      <c r="PTE102" s="247"/>
      <c r="PTF102" s="247"/>
      <c r="PTG102" s="247"/>
      <c r="PTH102" s="247"/>
      <c r="PTI102" s="247"/>
      <c r="PTJ102" s="247"/>
      <c r="PTK102" s="247"/>
      <c r="PTL102" s="247"/>
      <c r="PTM102" s="247"/>
      <c r="PTN102" s="247"/>
      <c r="PTO102" s="247"/>
      <c r="PTP102" s="247"/>
      <c r="PTQ102" s="247"/>
      <c r="PTR102" s="247"/>
      <c r="PTS102" s="247"/>
      <c r="PTT102" s="247"/>
      <c r="PTU102" s="247"/>
      <c r="PTV102" s="247"/>
      <c r="PTW102" s="247"/>
      <c r="PTX102" s="247"/>
      <c r="PTY102" s="247"/>
      <c r="PTZ102" s="247"/>
      <c r="PUA102" s="247"/>
      <c r="PUB102" s="247"/>
      <c r="PUC102" s="247"/>
      <c r="PUD102" s="247"/>
      <c r="PUE102" s="247"/>
      <c r="PUF102" s="247"/>
      <c r="PUG102" s="247"/>
      <c r="PUH102" s="247"/>
      <c r="PUI102" s="247"/>
      <c r="PUJ102" s="247"/>
      <c r="PUK102" s="247"/>
      <c r="PUL102" s="247"/>
      <c r="PUM102" s="247"/>
      <c r="PUN102" s="247"/>
      <c r="PUO102" s="247"/>
      <c r="PUP102" s="247"/>
      <c r="PUQ102" s="247"/>
      <c r="PUR102" s="247"/>
      <c r="PUS102" s="247"/>
      <c r="PUT102" s="247"/>
      <c r="PUU102" s="247"/>
      <c r="PUV102" s="247"/>
      <c r="PUW102" s="247"/>
      <c r="PUX102" s="247"/>
      <c r="PUY102" s="247"/>
      <c r="PUZ102" s="247"/>
      <c r="PVA102" s="247"/>
      <c r="PVB102" s="247"/>
      <c r="PVC102" s="247"/>
      <c r="PVD102" s="247"/>
      <c r="PVE102" s="247"/>
      <c r="PVF102" s="247"/>
      <c r="PVG102" s="247"/>
      <c r="PVH102" s="247"/>
      <c r="PVI102" s="247"/>
      <c r="PVJ102" s="247"/>
      <c r="PVK102" s="247"/>
      <c r="PVL102" s="247"/>
      <c r="PVM102" s="247"/>
      <c r="PVN102" s="247"/>
      <c r="PVO102" s="247"/>
      <c r="PVP102" s="247"/>
      <c r="PVQ102" s="247"/>
      <c r="PVR102" s="247"/>
      <c r="PVS102" s="247"/>
      <c r="PVT102" s="247"/>
      <c r="PVU102" s="247"/>
      <c r="PVV102" s="247"/>
      <c r="PVW102" s="247"/>
      <c r="PVX102" s="247"/>
      <c r="PVY102" s="247"/>
      <c r="PVZ102" s="247"/>
      <c r="PWA102" s="247"/>
      <c r="PWB102" s="247"/>
      <c r="PWC102" s="247"/>
      <c r="PWD102" s="247"/>
      <c r="PWE102" s="247"/>
      <c r="PWF102" s="247"/>
      <c r="PWG102" s="247"/>
      <c r="PWH102" s="247"/>
      <c r="PWI102" s="247"/>
      <c r="PWJ102" s="247"/>
      <c r="PWK102" s="247"/>
      <c r="PWL102" s="247"/>
      <c r="PWM102" s="247"/>
      <c r="PWN102" s="247"/>
      <c r="PWO102" s="247"/>
      <c r="PWP102" s="247"/>
      <c r="PWQ102" s="247"/>
      <c r="PWR102" s="247"/>
      <c r="PWS102" s="247"/>
      <c r="PWT102" s="247"/>
      <c r="PWU102" s="247"/>
      <c r="PWV102" s="247"/>
      <c r="PWW102" s="247"/>
      <c r="PWX102" s="247"/>
      <c r="PWY102" s="247"/>
      <c r="PWZ102" s="247"/>
      <c r="PXA102" s="247"/>
      <c r="PXB102" s="247"/>
      <c r="PXC102" s="247"/>
      <c r="PXD102" s="247"/>
      <c r="PXE102" s="247"/>
      <c r="PXF102" s="247"/>
      <c r="PXG102" s="247"/>
      <c r="PXH102" s="247"/>
      <c r="PXI102" s="247"/>
      <c r="PXJ102" s="247"/>
      <c r="PXK102" s="247"/>
      <c r="PXL102" s="247"/>
      <c r="PXM102" s="247"/>
      <c r="PXN102" s="247"/>
      <c r="PXO102" s="247"/>
      <c r="PXP102" s="247"/>
      <c r="PXQ102" s="247"/>
      <c r="PXR102" s="247"/>
      <c r="PXS102" s="247"/>
      <c r="PXT102" s="247"/>
      <c r="PXU102" s="247"/>
      <c r="PXV102" s="247"/>
      <c r="PXW102" s="247"/>
      <c r="PXX102" s="247"/>
      <c r="PXY102" s="247"/>
      <c r="PXZ102" s="247"/>
      <c r="PYA102" s="247"/>
      <c r="PYB102" s="247"/>
      <c r="PYC102" s="247"/>
      <c r="PYD102" s="247"/>
      <c r="PYE102" s="247"/>
      <c r="PYF102" s="247"/>
      <c r="PYG102" s="247"/>
      <c r="PYH102" s="247"/>
      <c r="PYI102" s="247"/>
      <c r="PYJ102" s="247"/>
      <c r="PYK102" s="247"/>
      <c r="PYL102" s="247"/>
      <c r="PYM102" s="247"/>
      <c r="PYN102" s="247"/>
      <c r="PYO102" s="247"/>
      <c r="PYP102" s="247"/>
      <c r="PYQ102" s="247"/>
      <c r="PYR102" s="247"/>
      <c r="PYS102" s="247"/>
      <c r="PYT102" s="247"/>
      <c r="PYU102" s="247"/>
      <c r="PYV102" s="247"/>
      <c r="PYW102" s="247"/>
      <c r="PYX102" s="247"/>
      <c r="PYY102" s="247"/>
      <c r="PYZ102" s="247"/>
      <c r="PZA102" s="247"/>
      <c r="PZB102" s="247"/>
      <c r="PZC102" s="247"/>
      <c r="PZD102" s="247"/>
      <c r="PZE102" s="247"/>
      <c r="PZF102" s="247"/>
      <c r="PZG102" s="247"/>
      <c r="PZH102" s="247"/>
      <c r="PZI102" s="247"/>
      <c r="PZJ102" s="247"/>
      <c r="PZK102" s="247"/>
      <c r="PZL102" s="247"/>
      <c r="PZM102" s="247"/>
      <c r="PZN102" s="247"/>
      <c r="PZO102" s="247"/>
      <c r="PZP102" s="247"/>
      <c r="PZQ102" s="247"/>
      <c r="PZR102" s="247"/>
      <c r="PZS102" s="247"/>
      <c r="PZT102" s="247"/>
      <c r="PZU102" s="247"/>
      <c r="PZV102" s="247"/>
      <c r="PZW102" s="247"/>
      <c r="PZX102" s="247"/>
      <c r="PZY102" s="247"/>
      <c r="PZZ102" s="247"/>
      <c r="QAA102" s="247"/>
      <c r="QAB102" s="247"/>
      <c r="QAC102" s="247"/>
      <c r="QAD102" s="247"/>
      <c r="QAE102" s="247"/>
      <c r="QAF102" s="247"/>
      <c r="QAG102" s="247"/>
      <c r="QAH102" s="247"/>
      <c r="QAI102" s="247"/>
      <c r="QAJ102" s="247"/>
      <c r="QAK102" s="247"/>
      <c r="QAL102" s="247"/>
      <c r="QAM102" s="247"/>
      <c r="QAN102" s="247"/>
      <c r="QAO102" s="247"/>
      <c r="QAP102" s="247"/>
      <c r="QAQ102" s="247"/>
      <c r="QAR102" s="247"/>
      <c r="QAS102" s="247"/>
      <c r="QAT102" s="247"/>
      <c r="QAU102" s="247"/>
      <c r="QAV102" s="247"/>
      <c r="QAW102" s="247"/>
      <c r="QAX102" s="247"/>
      <c r="QAY102" s="247"/>
      <c r="QAZ102" s="247"/>
      <c r="QBA102" s="247"/>
      <c r="QBB102" s="247"/>
      <c r="QBC102" s="247"/>
      <c r="QBD102" s="247"/>
      <c r="QBE102" s="247"/>
      <c r="QBF102" s="247"/>
      <c r="QBG102" s="247"/>
      <c r="QBH102" s="247"/>
      <c r="QBI102" s="247"/>
      <c r="QBJ102" s="247"/>
      <c r="QBK102" s="247"/>
      <c r="QBL102" s="247"/>
      <c r="QBM102" s="247"/>
      <c r="QBN102" s="247"/>
      <c r="QBO102" s="247"/>
      <c r="QBP102" s="247"/>
      <c r="QBQ102" s="247"/>
      <c r="QBR102" s="247"/>
      <c r="QBS102" s="247"/>
      <c r="QBT102" s="247"/>
      <c r="QBU102" s="247"/>
      <c r="QBV102" s="247"/>
      <c r="QBW102" s="247"/>
      <c r="QBX102" s="247"/>
      <c r="QBY102" s="247"/>
      <c r="QBZ102" s="247"/>
      <c r="QCA102" s="247"/>
      <c r="QCB102" s="247"/>
      <c r="QCC102" s="247"/>
      <c r="QCD102" s="247"/>
      <c r="QCE102" s="247"/>
      <c r="QCF102" s="247"/>
      <c r="QCG102" s="247"/>
      <c r="QCH102" s="247"/>
      <c r="QCI102" s="247"/>
      <c r="QCJ102" s="247"/>
      <c r="QCK102" s="247"/>
      <c r="QCL102" s="247"/>
      <c r="QCM102" s="247"/>
      <c r="QCN102" s="247"/>
      <c r="QCO102" s="247"/>
      <c r="QCP102" s="247"/>
      <c r="QCQ102" s="247"/>
      <c r="QCR102" s="247"/>
      <c r="QCS102" s="247"/>
      <c r="QCT102" s="247"/>
      <c r="QCU102" s="247"/>
      <c r="QCV102" s="247"/>
      <c r="QCW102" s="247"/>
      <c r="QCX102" s="247"/>
      <c r="QCY102" s="247"/>
      <c r="QCZ102" s="247"/>
      <c r="QDA102" s="247"/>
      <c r="QDB102" s="247"/>
      <c r="QDC102" s="247"/>
      <c r="QDD102" s="247"/>
      <c r="QDE102" s="247"/>
      <c r="QDF102" s="247"/>
      <c r="QDG102" s="247"/>
      <c r="QDH102" s="247"/>
      <c r="QDI102" s="247"/>
      <c r="QDJ102" s="247"/>
      <c r="QDK102" s="247"/>
      <c r="QDL102" s="247"/>
      <c r="QDM102" s="247"/>
      <c r="QDN102" s="247"/>
      <c r="QDO102" s="247"/>
      <c r="QDP102" s="247"/>
      <c r="QDQ102" s="247"/>
      <c r="QDR102" s="247"/>
      <c r="QDS102" s="247"/>
      <c r="QDT102" s="247"/>
      <c r="QDU102" s="247"/>
      <c r="QDV102" s="247"/>
      <c r="QDW102" s="247"/>
      <c r="QDX102" s="247"/>
      <c r="QDY102" s="247"/>
      <c r="QDZ102" s="247"/>
      <c r="QEA102" s="247"/>
      <c r="QEB102" s="247"/>
      <c r="QEC102" s="247"/>
      <c r="QED102" s="247"/>
      <c r="QEE102" s="247"/>
      <c r="QEF102" s="247"/>
      <c r="QEG102" s="247"/>
      <c r="QEH102" s="247"/>
      <c r="QEI102" s="247"/>
      <c r="QEJ102" s="247"/>
      <c r="QEK102" s="247"/>
      <c r="QEL102" s="247"/>
      <c r="QEM102" s="247"/>
      <c r="QEN102" s="247"/>
      <c r="QEO102" s="247"/>
      <c r="QEP102" s="247"/>
      <c r="QEQ102" s="247"/>
      <c r="QER102" s="247"/>
      <c r="QES102" s="247"/>
      <c r="QET102" s="247"/>
      <c r="QEU102" s="247"/>
      <c r="QEV102" s="247"/>
      <c r="QEW102" s="247"/>
      <c r="QEX102" s="247"/>
      <c r="QEY102" s="247"/>
      <c r="QEZ102" s="247"/>
      <c r="QFA102" s="247"/>
      <c r="QFB102" s="247"/>
      <c r="QFC102" s="247"/>
      <c r="QFD102" s="247"/>
      <c r="QFE102" s="247"/>
      <c r="QFF102" s="247"/>
      <c r="QFG102" s="247"/>
      <c r="QFH102" s="247"/>
      <c r="QFI102" s="247"/>
      <c r="QFJ102" s="247"/>
      <c r="QFK102" s="247"/>
      <c r="QFL102" s="247"/>
      <c r="QFM102" s="247"/>
      <c r="QFN102" s="247"/>
      <c r="QFO102" s="247"/>
      <c r="QFP102" s="247"/>
      <c r="QFQ102" s="247"/>
      <c r="QFR102" s="247"/>
      <c r="QFS102" s="247"/>
      <c r="QFT102" s="247"/>
      <c r="QFU102" s="247"/>
      <c r="QFV102" s="247"/>
      <c r="QFW102" s="247"/>
      <c r="QFX102" s="247"/>
      <c r="QFY102" s="247"/>
      <c r="QFZ102" s="247"/>
      <c r="QGA102" s="247"/>
      <c r="QGB102" s="247"/>
      <c r="QGC102" s="247"/>
      <c r="QGD102" s="247"/>
      <c r="QGE102" s="247"/>
      <c r="QGF102" s="247"/>
      <c r="QGG102" s="247"/>
      <c r="QGH102" s="247"/>
      <c r="QGI102" s="247"/>
      <c r="QGJ102" s="247"/>
      <c r="QGK102" s="247"/>
      <c r="QGL102" s="247"/>
      <c r="QGM102" s="247"/>
      <c r="QGN102" s="247"/>
      <c r="QGO102" s="247"/>
      <c r="QGP102" s="247"/>
      <c r="QGQ102" s="247"/>
      <c r="QGR102" s="247"/>
      <c r="QGS102" s="247"/>
      <c r="QGT102" s="247"/>
      <c r="QGU102" s="247"/>
      <c r="QGV102" s="247"/>
      <c r="QGW102" s="247"/>
      <c r="QGX102" s="247"/>
      <c r="QGY102" s="247"/>
      <c r="QGZ102" s="247"/>
      <c r="QHA102" s="247"/>
      <c r="QHB102" s="247"/>
      <c r="QHC102" s="247"/>
      <c r="QHD102" s="247"/>
      <c r="QHE102" s="247"/>
      <c r="QHF102" s="247"/>
      <c r="QHG102" s="247"/>
      <c r="QHH102" s="247"/>
      <c r="QHI102" s="247"/>
      <c r="QHJ102" s="247"/>
      <c r="QHK102" s="247"/>
      <c r="QHL102" s="247"/>
      <c r="QHM102" s="247"/>
      <c r="QHN102" s="247"/>
      <c r="QHO102" s="247"/>
      <c r="QHP102" s="247"/>
      <c r="QHQ102" s="247"/>
      <c r="QHR102" s="247"/>
      <c r="QHS102" s="247"/>
      <c r="QHT102" s="247"/>
      <c r="QHU102" s="247"/>
      <c r="QHV102" s="247"/>
      <c r="QHW102" s="247"/>
      <c r="QHX102" s="247"/>
      <c r="QHY102" s="247"/>
      <c r="QHZ102" s="247"/>
      <c r="QIA102" s="247"/>
      <c r="QIB102" s="247"/>
      <c r="QIC102" s="247"/>
      <c r="QID102" s="247"/>
      <c r="QIE102" s="247"/>
      <c r="QIF102" s="247"/>
      <c r="QIG102" s="247"/>
      <c r="QIH102" s="247"/>
      <c r="QII102" s="247"/>
      <c r="QIJ102" s="247"/>
      <c r="QIK102" s="247"/>
      <c r="QIL102" s="247"/>
      <c r="QIM102" s="247"/>
      <c r="QIN102" s="247"/>
      <c r="QIO102" s="247"/>
      <c r="QIP102" s="247"/>
      <c r="QIQ102" s="247"/>
      <c r="QIR102" s="247"/>
      <c r="QIS102" s="247"/>
      <c r="QIT102" s="247"/>
      <c r="QIU102" s="247"/>
      <c r="QIV102" s="247"/>
      <c r="QIW102" s="247"/>
      <c r="QIX102" s="247"/>
      <c r="QIY102" s="247"/>
      <c r="QIZ102" s="247"/>
      <c r="QJA102" s="247"/>
      <c r="QJB102" s="247"/>
      <c r="QJC102" s="247"/>
      <c r="QJD102" s="247"/>
      <c r="QJE102" s="247"/>
      <c r="QJF102" s="247"/>
      <c r="QJG102" s="247"/>
      <c r="QJH102" s="247"/>
      <c r="QJI102" s="247"/>
      <c r="QJJ102" s="247"/>
      <c r="QJK102" s="247"/>
      <c r="QJL102" s="247"/>
      <c r="QJM102" s="247"/>
      <c r="QJN102" s="247"/>
      <c r="QJO102" s="247"/>
      <c r="QJP102" s="247"/>
      <c r="QJQ102" s="247"/>
      <c r="QJR102" s="247"/>
      <c r="QJS102" s="247"/>
      <c r="QJT102" s="247"/>
      <c r="QJU102" s="247"/>
      <c r="QJV102" s="247"/>
      <c r="QJW102" s="247"/>
      <c r="QJX102" s="247"/>
      <c r="QJY102" s="247"/>
      <c r="QJZ102" s="247"/>
      <c r="QKA102" s="247"/>
      <c r="QKB102" s="247"/>
      <c r="QKC102" s="247"/>
      <c r="QKD102" s="247"/>
      <c r="QKE102" s="247"/>
      <c r="QKF102" s="247"/>
      <c r="QKG102" s="247"/>
      <c r="QKH102" s="247"/>
      <c r="QKI102" s="247"/>
      <c r="QKJ102" s="247"/>
      <c r="QKK102" s="247"/>
      <c r="QKL102" s="247"/>
      <c r="QKM102" s="247"/>
      <c r="QKN102" s="247"/>
      <c r="QKO102" s="247"/>
      <c r="QKP102" s="247"/>
      <c r="QKQ102" s="247"/>
      <c r="QKR102" s="247"/>
      <c r="QKS102" s="247"/>
      <c r="QKT102" s="247"/>
      <c r="QKU102" s="247"/>
      <c r="QKV102" s="247"/>
      <c r="QKW102" s="247"/>
      <c r="QKX102" s="247"/>
      <c r="QKY102" s="247"/>
      <c r="QKZ102" s="247"/>
      <c r="QLA102" s="247"/>
      <c r="QLB102" s="247"/>
      <c r="QLC102" s="247"/>
      <c r="QLD102" s="247"/>
      <c r="QLE102" s="247"/>
      <c r="QLF102" s="247"/>
      <c r="QLG102" s="247"/>
      <c r="QLH102" s="247"/>
      <c r="QLI102" s="247"/>
      <c r="QLJ102" s="247"/>
      <c r="QLK102" s="247"/>
      <c r="QLL102" s="247"/>
      <c r="QLM102" s="247"/>
      <c r="QLN102" s="247"/>
      <c r="QLO102" s="247"/>
      <c r="QLP102" s="247"/>
      <c r="QLQ102" s="247"/>
      <c r="QLR102" s="247"/>
      <c r="QLS102" s="247"/>
      <c r="QLT102" s="247"/>
      <c r="QLU102" s="247"/>
      <c r="QLV102" s="247"/>
      <c r="QLW102" s="247"/>
      <c r="QLX102" s="247"/>
      <c r="QLY102" s="247"/>
      <c r="QLZ102" s="247"/>
      <c r="QMA102" s="247"/>
      <c r="QMB102" s="247"/>
      <c r="QMC102" s="247"/>
      <c r="QMD102" s="247"/>
      <c r="QME102" s="247"/>
      <c r="QMF102" s="247"/>
      <c r="QMG102" s="247"/>
      <c r="QMH102" s="247"/>
      <c r="QMI102" s="247"/>
      <c r="QMJ102" s="247"/>
      <c r="QMK102" s="247"/>
      <c r="QML102" s="247"/>
      <c r="QMM102" s="247"/>
      <c r="QMN102" s="247"/>
      <c r="QMO102" s="247"/>
      <c r="QMP102" s="247"/>
      <c r="QMQ102" s="247"/>
      <c r="QMR102" s="247"/>
      <c r="QMS102" s="247"/>
      <c r="QMT102" s="247"/>
      <c r="QMU102" s="247"/>
      <c r="QMV102" s="247"/>
      <c r="QMW102" s="247"/>
      <c r="QMX102" s="247"/>
      <c r="QMY102" s="247"/>
      <c r="QMZ102" s="247"/>
      <c r="QNA102" s="247"/>
      <c r="QNB102" s="247"/>
      <c r="QNC102" s="247"/>
      <c r="QND102" s="247"/>
      <c r="QNE102" s="247"/>
      <c r="QNF102" s="247"/>
      <c r="QNG102" s="247"/>
      <c r="QNH102" s="247"/>
      <c r="QNI102" s="247"/>
      <c r="QNJ102" s="247"/>
      <c r="QNK102" s="247"/>
      <c r="QNL102" s="247"/>
      <c r="QNM102" s="247"/>
      <c r="QNN102" s="247"/>
      <c r="QNO102" s="247"/>
      <c r="QNP102" s="247"/>
      <c r="QNQ102" s="247"/>
      <c r="QNR102" s="247"/>
      <c r="QNS102" s="247"/>
      <c r="QNT102" s="247"/>
      <c r="QNU102" s="247"/>
      <c r="QNV102" s="247"/>
      <c r="QNW102" s="247"/>
      <c r="QNX102" s="247"/>
      <c r="QNY102" s="247"/>
      <c r="QNZ102" s="247"/>
      <c r="QOA102" s="247"/>
      <c r="QOB102" s="247"/>
      <c r="QOC102" s="247"/>
      <c r="QOD102" s="247"/>
      <c r="QOE102" s="247"/>
      <c r="QOF102" s="247"/>
      <c r="QOG102" s="247"/>
      <c r="QOH102" s="247"/>
      <c r="QOI102" s="247"/>
      <c r="QOJ102" s="247"/>
      <c r="QOK102" s="247"/>
      <c r="QOL102" s="247"/>
      <c r="QOM102" s="247"/>
      <c r="QON102" s="247"/>
      <c r="QOO102" s="247"/>
      <c r="QOP102" s="247"/>
      <c r="QOQ102" s="247"/>
      <c r="QOR102" s="247"/>
      <c r="QOS102" s="247"/>
      <c r="QOT102" s="247"/>
      <c r="QOU102" s="247"/>
      <c r="QOV102" s="247"/>
      <c r="QOW102" s="247"/>
      <c r="QOX102" s="247"/>
      <c r="QOY102" s="247"/>
      <c r="QOZ102" s="247"/>
      <c r="QPA102" s="247"/>
      <c r="QPB102" s="247"/>
      <c r="QPC102" s="247"/>
      <c r="QPD102" s="247"/>
      <c r="QPE102" s="247"/>
      <c r="QPF102" s="247"/>
      <c r="QPG102" s="247"/>
      <c r="QPH102" s="247"/>
      <c r="QPI102" s="247"/>
      <c r="QPJ102" s="247"/>
      <c r="QPK102" s="247"/>
      <c r="QPL102" s="247"/>
      <c r="QPM102" s="247"/>
      <c r="QPN102" s="247"/>
      <c r="QPO102" s="247"/>
      <c r="QPP102" s="247"/>
      <c r="QPQ102" s="247"/>
      <c r="QPR102" s="247"/>
      <c r="QPS102" s="247"/>
      <c r="QPT102" s="247"/>
      <c r="QPU102" s="247"/>
      <c r="QPV102" s="247"/>
      <c r="QPW102" s="247"/>
      <c r="QPX102" s="247"/>
      <c r="QPY102" s="247"/>
      <c r="QPZ102" s="247"/>
      <c r="QQA102" s="247"/>
      <c r="QQB102" s="247"/>
      <c r="QQC102" s="247"/>
      <c r="QQD102" s="247"/>
      <c r="QQE102" s="247"/>
      <c r="QQF102" s="247"/>
      <c r="QQG102" s="247"/>
      <c r="QQH102" s="247"/>
      <c r="QQI102" s="247"/>
      <c r="QQJ102" s="247"/>
      <c r="QQK102" s="247"/>
      <c r="QQL102" s="247"/>
      <c r="QQM102" s="247"/>
      <c r="QQN102" s="247"/>
      <c r="QQO102" s="247"/>
      <c r="QQP102" s="247"/>
      <c r="QQQ102" s="247"/>
      <c r="QQR102" s="247"/>
      <c r="QQS102" s="247"/>
      <c r="QQT102" s="247"/>
      <c r="QQU102" s="247"/>
      <c r="QQV102" s="247"/>
      <c r="QQW102" s="247"/>
      <c r="QQX102" s="247"/>
      <c r="QQY102" s="247"/>
      <c r="QQZ102" s="247"/>
      <c r="QRA102" s="247"/>
      <c r="QRB102" s="247"/>
      <c r="QRC102" s="247"/>
      <c r="QRD102" s="247"/>
      <c r="QRE102" s="247"/>
      <c r="QRF102" s="247"/>
      <c r="QRG102" s="247"/>
      <c r="QRH102" s="247"/>
      <c r="QRI102" s="247"/>
      <c r="QRJ102" s="247"/>
      <c r="QRK102" s="247"/>
      <c r="QRL102" s="247"/>
      <c r="QRM102" s="247"/>
      <c r="QRN102" s="247"/>
      <c r="QRO102" s="247"/>
      <c r="QRP102" s="247"/>
      <c r="QRQ102" s="247"/>
      <c r="QRR102" s="247"/>
      <c r="QRS102" s="247"/>
      <c r="QRT102" s="247"/>
      <c r="QRU102" s="247"/>
      <c r="QRV102" s="247"/>
      <c r="QRW102" s="247"/>
      <c r="QRX102" s="247"/>
      <c r="QRY102" s="247"/>
      <c r="QRZ102" s="247"/>
      <c r="QSA102" s="247"/>
      <c r="QSB102" s="247"/>
      <c r="QSC102" s="247"/>
      <c r="QSD102" s="247"/>
      <c r="QSE102" s="247"/>
      <c r="QSF102" s="247"/>
      <c r="QSG102" s="247"/>
      <c r="QSH102" s="247"/>
      <c r="QSI102" s="247"/>
      <c r="QSJ102" s="247"/>
      <c r="QSK102" s="247"/>
      <c r="QSL102" s="247"/>
      <c r="QSM102" s="247"/>
      <c r="QSN102" s="247"/>
      <c r="QSO102" s="247"/>
      <c r="QSP102" s="247"/>
      <c r="QSQ102" s="247"/>
      <c r="QSR102" s="247"/>
      <c r="QSS102" s="247"/>
      <c r="QST102" s="247"/>
      <c r="QSU102" s="247"/>
      <c r="QSV102" s="247"/>
      <c r="QSW102" s="247"/>
      <c r="QSX102" s="247"/>
      <c r="QSY102" s="247"/>
      <c r="QSZ102" s="247"/>
      <c r="QTA102" s="247"/>
      <c r="QTB102" s="247"/>
      <c r="QTC102" s="247"/>
      <c r="QTD102" s="247"/>
      <c r="QTE102" s="247"/>
      <c r="QTF102" s="247"/>
      <c r="QTG102" s="247"/>
      <c r="QTH102" s="247"/>
      <c r="QTI102" s="247"/>
      <c r="QTJ102" s="247"/>
      <c r="QTK102" s="247"/>
      <c r="QTL102" s="247"/>
      <c r="QTM102" s="247"/>
      <c r="QTN102" s="247"/>
      <c r="QTO102" s="247"/>
      <c r="QTP102" s="247"/>
      <c r="QTQ102" s="247"/>
      <c r="QTR102" s="247"/>
      <c r="QTS102" s="247"/>
      <c r="QTT102" s="247"/>
      <c r="QTU102" s="247"/>
      <c r="QTV102" s="247"/>
      <c r="QTW102" s="247"/>
      <c r="QTX102" s="247"/>
      <c r="QTY102" s="247"/>
      <c r="QTZ102" s="247"/>
      <c r="QUA102" s="247"/>
      <c r="QUB102" s="247"/>
      <c r="QUC102" s="247"/>
      <c r="QUD102" s="247"/>
      <c r="QUE102" s="247"/>
      <c r="QUF102" s="247"/>
      <c r="QUG102" s="247"/>
      <c r="QUH102" s="247"/>
      <c r="QUI102" s="247"/>
      <c r="QUJ102" s="247"/>
      <c r="QUK102" s="247"/>
      <c r="QUL102" s="247"/>
      <c r="QUM102" s="247"/>
      <c r="QUN102" s="247"/>
      <c r="QUO102" s="247"/>
      <c r="QUP102" s="247"/>
      <c r="QUQ102" s="247"/>
      <c r="QUR102" s="247"/>
      <c r="QUS102" s="247"/>
      <c r="QUT102" s="247"/>
      <c r="QUU102" s="247"/>
      <c r="QUV102" s="247"/>
      <c r="QUW102" s="247"/>
      <c r="QUX102" s="247"/>
      <c r="QUY102" s="247"/>
      <c r="QUZ102" s="247"/>
      <c r="QVA102" s="247"/>
      <c r="QVB102" s="247"/>
      <c r="QVC102" s="247"/>
      <c r="QVD102" s="247"/>
      <c r="QVE102" s="247"/>
      <c r="QVF102" s="247"/>
      <c r="QVG102" s="247"/>
      <c r="QVH102" s="247"/>
      <c r="QVI102" s="247"/>
      <c r="QVJ102" s="247"/>
      <c r="QVK102" s="247"/>
      <c r="QVL102" s="247"/>
      <c r="QVM102" s="247"/>
      <c r="QVN102" s="247"/>
      <c r="QVO102" s="247"/>
      <c r="QVP102" s="247"/>
      <c r="QVQ102" s="247"/>
      <c r="QVR102" s="247"/>
      <c r="QVS102" s="247"/>
      <c r="QVT102" s="247"/>
      <c r="QVU102" s="247"/>
      <c r="QVV102" s="247"/>
      <c r="QVW102" s="247"/>
      <c r="QVX102" s="247"/>
      <c r="QVY102" s="247"/>
      <c r="QVZ102" s="247"/>
      <c r="QWA102" s="247"/>
      <c r="QWB102" s="247"/>
      <c r="QWC102" s="247"/>
      <c r="QWD102" s="247"/>
      <c r="QWE102" s="247"/>
      <c r="QWF102" s="247"/>
      <c r="QWG102" s="247"/>
      <c r="QWH102" s="247"/>
      <c r="QWI102" s="247"/>
      <c r="QWJ102" s="247"/>
      <c r="QWK102" s="247"/>
      <c r="QWL102" s="247"/>
      <c r="QWM102" s="247"/>
      <c r="QWN102" s="247"/>
      <c r="QWO102" s="247"/>
      <c r="QWP102" s="247"/>
      <c r="QWQ102" s="247"/>
      <c r="QWR102" s="247"/>
      <c r="QWS102" s="247"/>
      <c r="QWT102" s="247"/>
      <c r="QWU102" s="247"/>
      <c r="QWV102" s="247"/>
      <c r="QWW102" s="247"/>
      <c r="QWX102" s="247"/>
      <c r="QWY102" s="247"/>
      <c r="QWZ102" s="247"/>
      <c r="QXA102" s="247"/>
      <c r="QXB102" s="247"/>
      <c r="QXC102" s="247"/>
      <c r="QXD102" s="247"/>
      <c r="QXE102" s="247"/>
      <c r="QXF102" s="247"/>
      <c r="QXG102" s="247"/>
      <c r="QXH102" s="247"/>
      <c r="QXI102" s="247"/>
      <c r="QXJ102" s="247"/>
      <c r="QXK102" s="247"/>
      <c r="QXL102" s="247"/>
      <c r="QXM102" s="247"/>
      <c r="QXN102" s="247"/>
      <c r="QXO102" s="247"/>
      <c r="QXP102" s="247"/>
      <c r="QXQ102" s="247"/>
      <c r="QXR102" s="247"/>
      <c r="QXS102" s="247"/>
      <c r="QXT102" s="247"/>
      <c r="QXU102" s="247"/>
      <c r="QXV102" s="247"/>
      <c r="QXW102" s="247"/>
      <c r="QXX102" s="247"/>
      <c r="QXY102" s="247"/>
      <c r="QXZ102" s="247"/>
      <c r="QYA102" s="247"/>
      <c r="QYB102" s="247"/>
      <c r="QYC102" s="247"/>
      <c r="QYD102" s="247"/>
      <c r="QYE102" s="247"/>
      <c r="QYF102" s="247"/>
      <c r="QYG102" s="247"/>
      <c r="QYH102" s="247"/>
      <c r="QYI102" s="247"/>
      <c r="QYJ102" s="247"/>
      <c r="QYK102" s="247"/>
      <c r="QYL102" s="247"/>
      <c r="QYM102" s="247"/>
      <c r="QYN102" s="247"/>
      <c r="QYO102" s="247"/>
      <c r="QYP102" s="247"/>
      <c r="QYQ102" s="247"/>
      <c r="QYR102" s="247"/>
      <c r="QYS102" s="247"/>
      <c r="QYT102" s="247"/>
      <c r="QYU102" s="247"/>
      <c r="QYV102" s="247"/>
      <c r="QYW102" s="247"/>
      <c r="QYX102" s="247"/>
      <c r="QYY102" s="247"/>
      <c r="QYZ102" s="247"/>
      <c r="QZA102" s="247"/>
      <c r="QZB102" s="247"/>
      <c r="QZC102" s="247"/>
      <c r="QZD102" s="247"/>
      <c r="QZE102" s="247"/>
      <c r="QZF102" s="247"/>
      <c r="QZG102" s="247"/>
      <c r="QZH102" s="247"/>
      <c r="QZI102" s="247"/>
      <c r="QZJ102" s="247"/>
      <c r="QZK102" s="247"/>
      <c r="QZL102" s="247"/>
      <c r="QZM102" s="247"/>
      <c r="QZN102" s="247"/>
      <c r="QZO102" s="247"/>
      <c r="QZP102" s="247"/>
      <c r="QZQ102" s="247"/>
      <c r="QZR102" s="247"/>
      <c r="QZS102" s="247"/>
      <c r="QZT102" s="247"/>
      <c r="QZU102" s="247"/>
      <c r="QZV102" s="247"/>
      <c r="QZW102" s="247"/>
      <c r="QZX102" s="247"/>
      <c r="QZY102" s="247"/>
      <c r="QZZ102" s="247"/>
      <c r="RAA102" s="247"/>
      <c r="RAB102" s="247"/>
      <c r="RAC102" s="247"/>
      <c r="RAD102" s="247"/>
      <c r="RAE102" s="247"/>
      <c r="RAF102" s="247"/>
      <c r="RAG102" s="247"/>
      <c r="RAH102" s="247"/>
      <c r="RAI102" s="247"/>
      <c r="RAJ102" s="247"/>
      <c r="RAK102" s="247"/>
      <c r="RAL102" s="247"/>
      <c r="RAM102" s="247"/>
      <c r="RAN102" s="247"/>
      <c r="RAO102" s="247"/>
      <c r="RAP102" s="247"/>
      <c r="RAQ102" s="247"/>
      <c r="RAR102" s="247"/>
      <c r="RAS102" s="247"/>
      <c r="RAT102" s="247"/>
      <c r="RAU102" s="247"/>
      <c r="RAV102" s="247"/>
      <c r="RAW102" s="247"/>
      <c r="RAX102" s="247"/>
      <c r="RAY102" s="247"/>
      <c r="RAZ102" s="247"/>
      <c r="RBA102" s="247"/>
      <c r="RBB102" s="247"/>
      <c r="RBC102" s="247"/>
      <c r="RBD102" s="247"/>
      <c r="RBE102" s="247"/>
      <c r="RBF102" s="247"/>
      <c r="RBG102" s="247"/>
      <c r="RBH102" s="247"/>
      <c r="RBI102" s="247"/>
      <c r="RBJ102" s="247"/>
      <c r="RBK102" s="247"/>
      <c r="RBL102" s="247"/>
      <c r="RBM102" s="247"/>
      <c r="RBN102" s="247"/>
      <c r="RBO102" s="247"/>
      <c r="RBP102" s="247"/>
      <c r="RBQ102" s="247"/>
      <c r="RBR102" s="247"/>
      <c r="RBS102" s="247"/>
      <c r="RBT102" s="247"/>
      <c r="RBU102" s="247"/>
      <c r="RBV102" s="247"/>
      <c r="RBW102" s="247"/>
      <c r="RBX102" s="247"/>
      <c r="RBY102" s="247"/>
      <c r="RBZ102" s="247"/>
      <c r="RCA102" s="247"/>
      <c r="RCB102" s="247"/>
      <c r="RCC102" s="247"/>
      <c r="RCD102" s="247"/>
      <c r="RCE102" s="247"/>
      <c r="RCF102" s="247"/>
      <c r="RCG102" s="247"/>
      <c r="RCH102" s="247"/>
      <c r="RCI102" s="247"/>
      <c r="RCJ102" s="247"/>
      <c r="RCK102" s="247"/>
      <c r="RCL102" s="247"/>
      <c r="RCM102" s="247"/>
      <c r="RCN102" s="247"/>
      <c r="RCO102" s="247"/>
      <c r="RCP102" s="247"/>
      <c r="RCQ102" s="247"/>
      <c r="RCR102" s="247"/>
      <c r="RCS102" s="247"/>
      <c r="RCT102" s="247"/>
      <c r="RCU102" s="247"/>
      <c r="RCV102" s="247"/>
      <c r="RCW102" s="247"/>
      <c r="RCX102" s="247"/>
      <c r="RCY102" s="247"/>
      <c r="RCZ102" s="247"/>
      <c r="RDA102" s="247"/>
      <c r="RDB102" s="247"/>
      <c r="RDC102" s="247"/>
      <c r="RDD102" s="247"/>
      <c r="RDE102" s="247"/>
      <c r="RDF102" s="247"/>
      <c r="RDG102" s="247"/>
      <c r="RDH102" s="247"/>
      <c r="RDI102" s="247"/>
      <c r="RDJ102" s="247"/>
      <c r="RDK102" s="247"/>
      <c r="RDL102" s="247"/>
      <c r="RDM102" s="247"/>
      <c r="RDN102" s="247"/>
      <c r="RDO102" s="247"/>
      <c r="RDP102" s="247"/>
      <c r="RDQ102" s="247"/>
      <c r="RDR102" s="247"/>
      <c r="RDS102" s="247"/>
      <c r="RDT102" s="247"/>
      <c r="RDU102" s="247"/>
      <c r="RDV102" s="247"/>
      <c r="RDW102" s="247"/>
      <c r="RDX102" s="247"/>
      <c r="RDY102" s="247"/>
      <c r="RDZ102" s="247"/>
      <c r="REA102" s="247"/>
      <c r="REB102" s="247"/>
      <c r="REC102" s="247"/>
      <c r="RED102" s="247"/>
      <c r="REE102" s="247"/>
      <c r="REF102" s="247"/>
      <c r="REG102" s="247"/>
      <c r="REH102" s="247"/>
      <c r="REI102" s="247"/>
      <c r="REJ102" s="247"/>
      <c r="REK102" s="247"/>
      <c r="REL102" s="247"/>
      <c r="REM102" s="247"/>
      <c r="REN102" s="247"/>
      <c r="REO102" s="247"/>
      <c r="REP102" s="247"/>
      <c r="REQ102" s="247"/>
      <c r="RER102" s="247"/>
      <c r="RES102" s="247"/>
      <c r="RET102" s="247"/>
      <c r="REU102" s="247"/>
      <c r="REV102" s="247"/>
      <c r="REW102" s="247"/>
      <c r="REX102" s="247"/>
      <c r="REY102" s="247"/>
      <c r="REZ102" s="247"/>
      <c r="RFA102" s="247"/>
      <c r="RFB102" s="247"/>
      <c r="RFC102" s="247"/>
      <c r="RFD102" s="247"/>
      <c r="RFE102" s="247"/>
      <c r="RFF102" s="247"/>
      <c r="RFG102" s="247"/>
      <c r="RFH102" s="247"/>
      <c r="RFI102" s="247"/>
      <c r="RFJ102" s="247"/>
      <c r="RFK102" s="247"/>
      <c r="RFL102" s="247"/>
      <c r="RFM102" s="247"/>
      <c r="RFN102" s="247"/>
      <c r="RFO102" s="247"/>
      <c r="RFP102" s="247"/>
      <c r="RFQ102" s="247"/>
      <c r="RFR102" s="247"/>
      <c r="RFS102" s="247"/>
      <c r="RFT102" s="247"/>
      <c r="RFU102" s="247"/>
      <c r="RFV102" s="247"/>
      <c r="RFW102" s="247"/>
      <c r="RFX102" s="247"/>
      <c r="RFY102" s="247"/>
      <c r="RFZ102" s="247"/>
      <c r="RGA102" s="247"/>
      <c r="RGB102" s="247"/>
      <c r="RGC102" s="247"/>
      <c r="RGD102" s="247"/>
      <c r="RGE102" s="247"/>
      <c r="RGF102" s="247"/>
      <c r="RGG102" s="247"/>
      <c r="RGH102" s="247"/>
      <c r="RGI102" s="247"/>
      <c r="RGJ102" s="247"/>
      <c r="RGK102" s="247"/>
      <c r="RGL102" s="247"/>
      <c r="RGM102" s="247"/>
      <c r="RGN102" s="247"/>
      <c r="RGO102" s="247"/>
      <c r="RGP102" s="247"/>
      <c r="RGQ102" s="247"/>
      <c r="RGR102" s="247"/>
      <c r="RGS102" s="247"/>
      <c r="RGT102" s="247"/>
      <c r="RGU102" s="247"/>
      <c r="RGV102" s="247"/>
      <c r="RGW102" s="247"/>
      <c r="RGX102" s="247"/>
      <c r="RGY102" s="247"/>
      <c r="RGZ102" s="247"/>
      <c r="RHA102" s="247"/>
      <c r="RHB102" s="247"/>
      <c r="RHC102" s="247"/>
      <c r="RHD102" s="247"/>
      <c r="RHE102" s="247"/>
      <c r="RHF102" s="247"/>
      <c r="RHG102" s="247"/>
      <c r="RHH102" s="247"/>
      <c r="RHI102" s="247"/>
      <c r="RHJ102" s="247"/>
      <c r="RHK102" s="247"/>
      <c r="RHL102" s="247"/>
      <c r="RHM102" s="247"/>
      <c r="RHN102" s="247"/>
      <c r="RHO102" s="247"/>
      <c r="RHP102" s="247"/>
      <c r="RHQ102" s="247"/>
      <c r="RHR102" s="247"/>
      <c r="RHS102" s="247"/>
      <c r="RHT102" s="247"/>
      <c r="RHU102" s="247"/>
      <c r="RHV102" s="247"/>
      <c r="RHW102" s="247"/>
      <c r="RHX102" s="247"/>
      <c r="RHY102" s="247"/>
      <c r="RHZ102" s="247"/>
      <c r="RIA102" s="247"/>
      <c r="RIB102" s="247"/>
      <c r="RIC102" s="247"/>
      <c r="RID102" s="247"/>
      <c r="RIE102" s="247"/>
      <c r="RIF102" s="247"/>
      <c r="RIG102" s="247"/>
      <c r="RIH102" s="247"/>
      <c r="RII102" s="247"/>
      <c r="RIJ102" s="247"/>
      <c r="RIK102" s="247"/>
      <c r="RIL102" s="247"/>
      <c r="RIM102" s="247"/>
      <c r="RIN102" s="247"/>
      <c r="RIO102" s="247"/>
      <c r="RIP102" s="247"/>
      <c r="RIQ102" s="247"/>
      <c r="RIR102" s="247"/>
      <c r="RIS102" s="247"/>
      <c r="RIT102" s="247"/>
      <c r="RIU102" s="247"/>
      <c r="RIV102" s="247"/>
      <c r="RIW102" s="247"/>
      <c r="RIX102" s="247"/>
      <c r="RIY102" s="247"/>
      <c r="RIZ102" s="247"/>
      <c r="RJA102" s="247"/>
      <c r="RJB102" s="247"/>
      <c r="RJC102" s="247"/>
      <c r="RJD102" s="247"/>
      <c r="RJE102" s="247"/>
      <c r="RJF102" s="247"/>
      <c r="RJG102" s="247"/>
      <c r="RJH102" s="247"/>
      <c r="RJI102" s="247"/>
      <c r="RJJ102" s="247"/>
      <c r="RJK102" s="247"/>
      <c r="RJL102" s="247"/>
      <c r="RJM102" s="247"/>
      <c r="RJN102" s="247"/>
      <c r="RJO102" s="247"/>
      <c r="RJP102" s="247"/>
      <c r="RJQ102" s="247"/>
      <c r="RJR102" s="247"/>
      <c r="RJS102" s="247"/>
      <c r="RJT102" s="247"/>
      <c r="RJU102" s="247"/>
      <c r="RJV102" s="247"/>
      <c r="RJW102" s="247"/>
      <c r="RJX102" s="247"/>
      <c r="RJY102" s="247"/>
      <c r="RJZ102" s="247"/>
      <c r="RKA102" s="247"/>
      <c r="RKB102" s="247"/>
      <c r="RKC102" s="247"/>
      <c r="RKD102" s="247"/>
      <c r="RKE102" s="247"/>
      <c r="RKF102" s="247"/>
      <c r="RKG102" s="247"/>
      <c r="RKH102" s="247"/>
      <c r="RKI102" s="247"/>
      <c r="RKJ102" s="247"/>
      <c r="RKK102" s="247"/>
      <c r="RKL102" s="247"/>
      <c r="RKM102" s="247"/>
      <c r="RKN102" s="247"/>
      <c r="RKO102" s="247"/>
      <c r="RKP102" s="247"/>
      <c r="RKQ102" s="247"/>
      <c r="RKR102" s="247"/>
      <c r="RKS102" s="247"/>
      <c r="RKT102" s="247"/>
      <c r="RKU102" s="247"/>
      <c r="RKV102" s="247"/>
      <c r="RKW102" s="247"/>
      <c r="RKX102" s="247"/>
      <c r="RKY102" s="247"/>
      <c r="RKZ102" s="247"/>
      <c r="RLA102" s="247"/>
      <c r="RLB102" s="247"/>
      <c r="RLC102" s="247"/>
      <c r="RLD102" s="247"/>
      <c r="RLE102" s="247"/>
      <c r="RLF102" s="247"/>
      <c r="RLG102" s="247"/>
      <c r="RLH102" s="247"/>
      <c r="RLI102" s="247"/>
      <c r="RLJ102" s="247"/>
      <c r="RLK102" s="247"/>
      <c r="RLL102" s="247"/>
      <c r="RLM102" s="247"/>
      <c r="RLN102" s="247"/>
      <c r="RLO102" s="247"/>
      <c r="RLP102" s="247"/>
      <c r="RLQ102" s="247"/>
      <c r="RLR102" s="247"/>
      <c r="RLS102" s="247"/>
      <c r="RLT102" s="247"/>
      <c r="RLU102" s="247"/>
      <c r="RLV102" s="247"/>
      <c r="RLW102" s="247"/>
      <c r="RLX102" s="247"/>
      <c r="RLY102" s="247"/>
      <c r="RLZ102" s="247"/>
      <c r="RMA102" s="247"/>
      <c r="RMB102" s="247"/>
      <c r="RMC102" s="247"/>
      <c r="RMD102" s="247"/>
      <c r="RME102" s="247"/>
      <c r="RMF102" s="247"/>
      <c r="RMG102" s="247"/>
      <c r="RMH102" s="247"/>
      <c r="RMI102" s="247"/>
      <c r="RMJ102" s="247"/>
      <c r="RMK102" s="247"/>
      <c r="RML102" s="247"/>
      <c r="RMM102" s="247"/>
      <c r="RMN102" s="247"/>
      <c r="RMO102" s="247"/>
      <c r="RMP102" s="247"/>
      <c r="RMQ102" s="247"/>
      <c r="RMR102" s="247"/>
      <c r="RMS102" s="247"/>
      <c r="RMT102" s="247"/>
      <c r="RMU102" s="247"/>
      <c r="RMV102" s="247"/>
      <c r="RMW102" s="247"/>
      <c r="RMX102" s="247"/>
      <c r="RMY102" s="247"/>
      <c r="RMZ102" s="247"/>
      <c r="RNA102" s="247"/>
      <c r="RNB102" s="247"/>
      <c r="RNC102" s="247"/>
      <c r="RND102" s="247"/>
      <c r="RNE102" s="247"/>
      <c r="RNF102" s="247"/>
      <c r="RNG102" s="247"/>
      <c r="RNH102" s="247"/>
      <c r="RNI102" s="247"/>
      <c r="RNJ102" s="247"/>
      <c r="RNK102" s="247"/>
      <c r="RNL102" s="247"/>
      <c r="RNM102" s="247"/>
      <c r="RNN102" s="247"/>
      <c r="RNO102" s="247"/>
      <c r="RNP102" s="247"/>
      <c r="RNQ102" s="247"/>
      <c r="RNR102" s="247"/>
      <c r="RNS102" s="247"/>
      <c r="RNT102" s="247"/>
      <c r="RNU102" s="247"/>
      <c r="RNV102" s="247"/>
      <c r="RNW102" s="247"/>
      <c r="RNX102" s="247"/>
      <c r="RNY102" s="247"/>
      <c r="RNZ102" s="247"/>
      <c r="ROA102" s="247"/>
      <c r="ROB102" s="247"/>
      <c r="ROC102" s="247"/>
      <c r="ROD102" s="247"/>
      <c r="ROE102" s="247"/>
      <c r="ROF102" s="247"/>
      <c r="ROG102" s="247"/>
      <c r="ROH102" s="247"/>
      <c r="ROI102" s="247"/>
      <c r="ROJ102" s="247"/>
      <c r="ROK102" s="247"/>
      <c r="ROL102" s="247"/>
      <c r="ROM102" s="247"/>
      <c r="RON102" s="247"/>
      <c r="ROO102" s="247"/>
      <c r="ROP102" s="247"/>
      <c r="ROQ102" s="247"/>
      <c r="ROR102" s="247"/>
      <c r="ROS102" s="247"/>
      <c r="ROT102" s="247"/>
      <c r="ROU102" s="247"/>
      <c r="ROV102" s="247"/>
      <c r="ROW102" s="247"/>
      <c r="ROX102" s="247"/>
      <c r="ROY102" s="247"/>
      <c r="ROZ102" s="247"/>
      <c r="RPA102" s="247"/>
      <c r="RPB102" s="247"/>
      <c r="RPC102" s="247"/>
      <c r="RPD102" s="247"/>
      <c r="RPE102" s="247"/>
      <c r="RPF102" s="247"/>
      <c r="RPG102" s="247"/>
      <c r="RPH102" s="247"/>
      <c r="RPI102" s="247"/>
      <c r="RPJ102" s="247"/>
      <c r="RPK102" s="247"/>
      <c r="RPL102" s="247"/>
      <c r="RPM102" s="247"/>
      <c r="RPN102" s="247"/>
      <c r="RPO102" s="247"/>
      <c r="RPP102" s="247"/>
      <c r="RPQ102" s="247"/>
      <c r="RPR102" s="247"/>
      <c r="RPS102" s="247"/>
      <c r="RPT102" s="247"/>
      <c r="RPU102" s="247"/>
      <c r="RPV102" s="247"/>
      <c r="RPW102" s="247"/>
      <c r="RPX102" s="247"/>
      <c r="RPY102" s="247"/>
      <c r="RPZ102" s="247"/>
      <c r="RQA102" s="247"/>
      <c r="RQB102" s="247"/>
      <c r="RQC102" s="247"/>
      <c r="RQD102" s="247"/>
      <c r="RQE102" s="247"/>
      <c r="RQF102" s="247"/>
      <c r="RQG102" s="247"/>
      <c r="RQH102" s="247"/>
      <c r="RQI102" s="247"/>
      <c r="RQJ102" s="247"/>
      <c r="RQK102" s="247"/>
      <c r="RQL102" s="247"/>
      <c r="RQM102" s="247"/>
      <c r="RQN102" s="247"/>
      <c r="RQO102" s="247"/>
      <c r="RQP102" s="247"/>
      <c r="RQQ102" s="247"/>
      <c r="RQR102" s="247"/>
      <c r="RQS102" s="247"/>
      <c r="RQT102" s="247"/>
      <c r="RQU102" s="247"/>
      <c r="RQV102" s="247"/>
      <c r="RQW102" s="247"/>
      <c r="RQX102" s="247"/>
      <c r="RQY102" s="247"/>
      <c r="RQZ102" s="247"/>
      <c r="RRA102" s="247"/>
      <c r="RRB102" s="247"/>
      <c r="RRC102" s="247"/>
      <c r="RRD102" s="247"/>
      <c r="RRE102" s="247"/>
      <c r="RRF102" s="247"/>
      <c r="RRG102" s="247"/>
      <c r="RRH102" s="247"/>
      <c r="RRI102" s="247"/>
      <c r="RRJ102" s="247"/>
      <c r="RRK102" s="247"/>
      <c r="RRL102" s="247"/>
      <c r="RRM102" s="247"/>
      <c r="RRN102" s="247"/>
      <c r="RRO102" s="247"/>
      <c r="RRP102" s="247"/>
      <c r="RRQ102" s="247"/>
      <c r="RRR102" s="247"/>
      <c r="RRS102" s="247"/>
      <c r="RRT102" s="247"/>
      <c r="RRU102" s="247"/>
      <c r="RRV102" s="247"/>
      <c r="RRW102" s="247"/>
      <c r="RRX102" s="247"/>
      <c r="RRY102" s="247"/>
      <c r="RRZ102" s="247"/>
      <c r="RSA102" s="247"/>
      <c r="RSB102" s="247"/>
      <c r="RSC102" s="247"/>
      <c r="RSD102" s="247"/>
      <c r="RSE102" s="247"/>
      <c r="RSF102" s="247"/>
      <c r="RSG102" s="247"/>
      <c r="RSH102" s="247"/>
      <c r="RSI102" s="247"/>
      <c r="RSJ102" s="247"/>
      <c r="RSK102" s="247"/>
      <c r="RSL102" s="247"/>
      <c r="RSM102" s="247"/>
      <c r="RSN102" s="247"/>
      <c r="RSO102" s="247"/>
      <c r="RSP102" s="247"/>
      <c r="RSQ102" s="247"/>
      <c r="RSR102" s="247"/>
      <c r="RSS102" s="247"/>
      <c r="RST102" s="247"/>
      <c r="RSU102" s="247"/>
      <c r="RSV102" s="247"/>
      <c r="RSW102" s="247"/>
      <c r="RSX102" s="247"/>
      <c r="RSY102" s="247"/>
      <c r="RSZ102" s="247"/>
      <c r="RTA102" s="247"/>
      <c r="RTB102" s="247"/>
      <c r="RTC102" s="247"/>
      <c r="RTD102" s="247"/>
      <c r="RTE102" s="247"/>
      <c r="RTF102" s="247"/>
      <c r="RTG102" s="247"/>
      <c r="RTH102" s="247"/>
      <c r="RTI102" s="247"/>
      <c r="RTJ102" s="247"/>
      <c r="RTK102" s="247"/>
      <c r="RTL102" s="247"/>
      <c r="RTM102" s="247"/>
      <c r="RTN102" s="247"/>
      <c r="RTO102" s="247"/>
      <c r="RTP102" s="247"/>
      <c r="RTQ102" s="247"/>
      <c r="RTR102" s="247"/>
      <c r="RTS102" s="247"/>
      <c r="RTT102" s="247"/>
      <c r="RTU102" s="247"/>
      <c r="RTV102" s="247"/>
      <c r="RTW102" s="247"/>
      <c r="RTX102" s="247"/>
      <c r="RTY102" s="247"/>
      <c r="RTZ102" s="247"/>
      <c r="RUA102" s="247"/>
      <c r="RUB102" s="247"/>
      <c r="RUC102" s="247"/>
      <c r="RUD102" s="247"/>
      <c r="RUE102" s="247"/>
      <c r="RUF102" s="247"/>
      <c r="RUG102" s="247"/>
      <c r="RUH102" s="247"/>
      <c r="RUI102" s="247"/>
      <c r="RUJ102" s="247"/>
      <c r="RUK102" s="247"/>
      <c r="RUL102" s="247"/>
      <c r="RUM102" s="247"/>
      <c r="RUN102" s="247"/>
      <c r="RUO102" s="247"/>
      <c r="RUP102" s="247"/>
      <c r="RUQ102" s="247"/>
      <c r="RUR102" s="247"/>
      <c r="RUS102" s="247"/>
      <c r="RUT102" s="247"/>
      <c r="RUU102" s="247"/>
      <c r="RUV102" s="247"/>
      <c r="RUW102" s="247"/>
      <c r="RUX102" s="247"/>
      <c r="RUY102" s="247"/>
      <c r="RUZ102" s="247"/>
      <c r="RVA102" s="247"/>
      <c r="RVB102" s="247"/>
      <c r="RVC102" s="247"/>
      <c r="RVD102" s="247"/>
      <c r="RVE102" s="247"/>
      <c r="RVF102" s="247"/>
      <c r="RVG102" s="247"/>
      <c r="RVH102" s="247"/>
      <c r="RVI102" s="247"/>
      <c r="RVJ102" s="247"/>
      <c r="RVK102" s="247"/>
      <c r="RVL102" s="247"/>
      <c r="RVM102" s="247"/>
      <c r="RVN102" s="247"/>
      <c r="RVO102" s="247"/>
      <c r="RVP102" s="247"/>
      <c r="RVQ102" s="247"/>
      <c r="RVR102" s="247"/>
      <c r="RVS102" s="247"/>
      <c r="RVT102" s="247"/>
      <c r="RVU102" s="247"/>
      <c r="RVV102" s="247"/>
      <c r="RVW102" s="247"/>
      <c r="RVX102" s="247"/>
      <c r="RVY102" s="247"/>
      <c r="RVZ102" s="247"/>
      <c r="RWA102" s="247"/>
      <c r="RWB102" s="247"/>
      <c r="RWC102" s="247"/>
      <c r="RWD102" s="247"/>
      <c r="RWE102" s="247"/>
      <c r="RWF102" s="247"/>
      <c r="RWG102" s="247"/>
      <c r="RWH102" s="247"/>
      <c r="RWI102" s="247"/>
      <c r="RWJ102" s="247"/>
      <c r="RWK102" s="247"/>
      <c r="RWL102" s="247"/>
      <c r="RWM102" s="247"/>
      <c r="RWN102" s="247"/>
      <c r="RWO102" s="247"/>
      <c r="RWP102" s="247"/>
      <c r="RWQ102" s="247"/>
      <c r="RWR102" s="247"/>
      <c r="RWS102" s="247"/>
      <c r="RWT102" s="247"/>
      <c r="RWU102" s="247"/>
      <c r="RWV102" s="247"/>
      <c r="RWW102" s="247"/>
      <c r="RWX102" s="247"/>
      <c r="RWY102" s="247"/>
      <c r="RWZ102" s="247"/>
      <c r="RXA102" s="247"/>
      <c r="RXB102" s="247"/>
      <c r="RXC102" s="247"/>
      <c r="RXD102" s="247"/>
      <c r="RXE102" s="247"/>
      <c r="RXF102" s="247"/>
      <c r="RXG102" s="247"/>
      <c r="RXH102" s="247"/>
      <c r="RXI102" s="247"/>
      <c r="RXJ102" s="247"/>
      <c r="RXK102" s="247"/>
      <c r="RXL102" s="247"/>
      <c r="RXM102" s="247"/>
      <c r="RXN102" s="247"/>
      <c r="RXO102" s="247"/>
      <c r="RXP102" s="247"/>
      <c r="RXQ102" s="247"/>
      <c r="RXR102" s="247"/>
      <c r="RXS102" s="247"/>
      <c r="RXT102" s="247"/>
      <c r="RXU102" s="247"/>
      <c r="RXV102" s="247"/>
      <c r="RXW102" s="247"/>
      <c r="RXX102" s="247"/>
      <c r="RXY102" s="247"/>
      <c r="RXZ102" s="247"/>
      <c r="RYA102" s="247"/>
      <c r="RYB102" s="247"/>
      <c r="RYC102" s="247"/>
      <c r="RYD102" s="247"/>
      <c r="RYE102" s="247"/>
      <c r="RYF102" s="247"/>
      <c r="RYG102" s="247"/>
      <c r="RYH102" s="247"/>
      <c r="RYI102" s="247"/>
      <c r="RYJ102" s="247"/>
      <c r="RYK102" s="247"/>
      <c r="RYL102" s="247"/>
      <c r="RYM102" s="247"/>
      <c r="RYN102" s="247"/>
      <c r="RYO102" s="247"/>
      <c r="RYP102" s="247"/>
      <c r="RYQ102" s="247"/>
      <c r="RYR102" s="247"/>
      <c r="RYS102" s="247"/>
      <c r="RYT102" s="247"/>
      <c r="RYU102" s="247"/>
      <c r="RYV102" s="247"/>
      <c r="RYW102" s="247"/>
      <c r="RYX102" s="247"/>
      <c r="RYY102" s="247"/>
      <c r="RYZ102" s="247"/>
      <c r="RZA102" s="247"/>
      <c r="RZB102" s="247"/>
      <c r="RZC102" s="247"/>
      <c r="RZD102" s="247"/>
      <c r="RZE102" s="247"/>
      <c r="RZF102" s="247"/>
      <c r="RZG102" s="247"/>
      <c r="RZH102" s="247"/>
      <c r="RZI102" s="247"/>
      <c r="RZJ102" s="247"/>
      <c r="RZK102" s="247"/>
      <c r="RZL102" s="247"/>
      <c r="RZM102" s="247"/>
      <c r="RZN102" s="247"/>
      <c r="RZO102" s="247"/>
      <c r="RZP102" s="247"/>
      <c r="RZQ102" s="247"/>
      <c r="RZR102" s="247"/>
      <c r="RZS102" s="247"/>
      <c r="RZT102" s="247"/>
      <c r="RZU102" s="247"/>
      <c r="RZV102" s="247"/>
      <c r="RZW102" s="247"/>
      <c r="RZX102" s="247"/>
      <c r="RZY102" s="247"/>
      <c r="RZZ102" s="247"/>
      <c r="SAA102" s="247"/>
      <c r="SAB102" s="247"/>
      <c r="SAC102" s="247"/>
      <c r="SAD102" s="247"/>
      <c r="SAE102" s="247"/>
      <c r="SAF102" s="247"/>
      <c r="SAG102" s="247"/>
      <c r="SAH102" s="247"/>
      <c r="SAI102" s="247"/>
      <c r="SAJ102" s="247"/>
      <c r="SAK102" s="247"/>
      <c r="SAL102" s="247"/>
      <c r="SAM102" s="247"/>
      <c r="SAN102" s="247"/>
      <c r="SAO102" s="247"/>
      <c r="SAP102" s="247"/>
      <c r="SAQ102" s="247"/>
      <c r="SAR102" s="247"/>
      <c r="SAS102" s="247"/>
      <c r="SAT102" s="247"/>
      <c r="SAU102" s="247"/>
      <c r="SAV102" s="247"/>
      <c r="SAW102" s="247"/>
      <c r="SAX102" s="247"/>
      <c r="SAY102" s="247"/>
      <c r="SAZ102" s="247"/>
      <c r="SBA102" s="247"/>
      <c r="SBB102" s="247"/>
      <c r="SBC102" s="247"/>
      <c r="SBD102" s="247"/>
      <c r="SBE102" s="247"/>
      <c r="SBF102" s="247"/>
      <c r="SBG102" s="247"/>
      <c r="SBH102" s="247"/>
      <c r="SBI102" s="247"/>
      <c r="SBJ102" s="247"/>
      <c r="SBK102" s="247"/>
      <c r="SBL102" s="247"/>
      <c r="SBM102" s="247"/>
      <c r="SBN102" s="247"/>
      <c r="SBO102" s="247"/>
      <c r="SBP102" s="247"/>
      <c r="SBQ102" s="247"/>
      <c r="SBR102" s="247"/>
      <c r="SBS102" s="247"/>
      <c r="SBT102" s="247"/>
      <c r="SBU102" s="247"/>
      <c r="SBV102" s="247"/>
      <c r="SBW102" s="247"/>
      <c r="SBX102" s="247"/>
      <c r="SBY102" s="247"/>
      <c r="SBZ102" s="247"/>
      <c r="SCA102" s="247"/>
      <c r="SCB102" s="247"/>
      <c r="SCC102" s="247"/>
      <c r="SCD102" s="247"/>
      <c r="SCE102" s="247"/>
      <c r="SCF102" s="247"/>
      <c r="SCG102" s="247"/>
      <c r="SCH102" s="247"/>
      <c r="SCI102" s="247"/>
      <c r="SCJ102" s="247"/>
      <c r="SCK102" s="247"/>
      <c r="SCL102" s="247"/>
      <c r="SCM102" s="247"/>
      <c r="SCN102" s="247"/>
      <c r="SCO102" s="247"/>
      <c r="SCP102" s="247"/>
      <c r="SCQ102" s="247"/>
      <c r="SCR102" s="247"/>
      <c r="SCS102" s="247"/>
      <c r="SCT102" s="247"/>
      <c r="SCU102" s="247"/>
      <c r="SCV102" s="247"/>
      <c r="SCW102" s="247"/>
      <c r="SCX102" s="247"/>
      <c r="SCY102" s="247"/>
      <c r="SCZ102" s="247"/>
      <c r="SDA102" s="247"/>
      <c r="SDB102" s="247"/>
      <c r="SDC102" s="247"/>
      <c r="SDD102" s="247"/>
      <c r="SDE102" s="247"/>
      <c r="SDF102" s="247"/>
      <c r="SDG102" s="247"/>
      <c r="SDH102" s="247"/>
      <c r="SDI102" s="247"/>
      <c r="SDJ102" s="247"/>
      <c r="SDK102" s="247"/>
      <c r="SDL102" s="247"/>
      <c r="SDM102" s="247"/>
      <c r="SDN102" s="247"/>
      <c r="SDO102" s="247"/>
      <c r="SDP102" s="247"/>
      <c r="SDQ102" s="247"/>
      <c r="SDR102" s="247"/>
      <c r="SDS102" s="247"/>
      <c r="SDT102" s="247"/>
      <c r="SDU102" s="247"/>
      <c r="SDV102" s="247"/>
      <c r="SDW102" s="247"/>
      <c r="SDX102" s="247"/>
      <c r="SDY102" s="247"/>
      <c r="SDZ102" s="247"/>
      <c r="SEA102" s="247"/>
      <c r="SEB102" s="247"/>
      <c r="SEC102" s="247"/>
      <c r="SED102" s="247"/>
      <c r="SEE102" s="247"/>
      <c r="SEF102" s="247"/>
      <c r="SEG102" s="247"/>
      <c r="SEH102" s="247"/>
      <c r="SEI102" s="247"/>
      <c r="SEJ102" s="247"/>
      <c r="SEK102" s="247"/>
      <c r="SEL102" s="247"/>
      <c r="SEM102" s="247"/>
      <c r="SEN102" s="247"/>
      <c r="SEO102" s="247"/>
      <c r="SEP102" s="247"/>
      <c r="SEQ102" s="247"/>
      <c r="SER102" s="247"/>
      <c r="SES102" s="247"/>
      <c r="SET102" s="247"/>
      <c r="SEU102" s="247"/>
      <c r="SEV102" s="247"/>
      <c r="SEW102" s="247"/>
      <c r="SEX102" s="247"/>
      <c r="SEY102" s="247"/>
      <c r="SEZ102" s="247"/>
      <c r="SFA102" s="247"/>
      <c r="SFB102" s="247"/>
      <c r="SFC102" s="247"/>
      <c r="SFD102" s="247"/>
      <c r="SFE102" s="247"/>
      <c r="SFF102" s="247"/>
      <c r="SFG102" s="247"/>
      <c r="SFH102" s="247"/>
      <c r="SFI102" s="247"/>
      <c r="SFJ102" s="247"/>
      <c r="SFK102" s="247"/>
      <c r="SFL102" s="247"/>
      <c r="SFM102" s="247"/>
      <c r="SFN102" s="247"/>
      <c r="SFO102" s="247"/>
      <c r="SFP102" s="247"/>
      <c r="SFQ102" s="247"/>
      <c r="SFR102" s="247"/>
      <c r="SFS102" s="247"/>
      <c r="SFT102" s="247"/>
      <c r="SFU102" s="247"/>
      <c r="SFV102" s="247"/>
      <c r="SFW102" s="247"/>
      <c r="SFX102" s="247"/>
      <c r="SFY102" s="247"/>
      <c r="SFZ102" s="247"/>
      <c r="SGA102" s="247"/>
      <c r="SGB102" s="247"/>
      <c r="SGC102" s="247"/>
      <c r="SGD102" s="247"/>
      <c r="SGE102" s="247"/>
      <c r="SGF102" s="247"/>
      <c r="SGG102" s="247"/>
      <c r="SGH102" s="247"/>
      <c r="SGI102" s="247"/>
      <c r="SGJ102" s="247"/>
      <c r="SGK102" s="247"/>
      <c r="SGL102" s="247"/>
      <c r="SGM102" s="247"/>
      <c r="SGN102" s="247"/>
      <c r="SGO102" s="247"/>
      <c r="SGP102" s="247"/>
      <c r="SGQ102" s="247"/>
      <c r="SGR102" s="247"/>
      <c r="SGS102" s="247"/>
      <c r="SGT102" s="247"/>
      <c r="SGU102" s="247"/>
      <c r="SGV102" s="247"/>
      <c r="SGW102" s="247"/>
      <c r="SGX102" s="247"/>
      <c r="SGY102" s="247"/>
      <c r="SGZ102" s="247"/>
      <c r="SHA102" s="247"/>
      <c r="SHB102" s="247"/>
      <c r="SHC102" s="247"/>
      <c r="SHD102" s="247"/>
      <c r="SHE102" s="247"/>
      <c r="SHF102" s="247"/>
      <c r="SHG102" s="247"/>
      <c r="SHH102" s="247"/>
      <c r="SHI102" s="247"/>
      <c r="SHJ102" s="247"/>
      <c r="SHK102" s="247"/>
      <c r="SHL102" s="247"/>
      <c r="SHM102" s="247"/>
      <c r="SHN102" s="247"/>
      <c r="SHO102" s="247"/>
      <c r="SHP102" s="247"/>
      <c r="SHQ102" s="247"/>
      <c r="SHR102" s="247"/>
      <c r="SHS102" s="247"/>
      <c r="SHT102" s="247"/>
      <c r="SHU102" s="247"/>
      <c r="SHV102" s="247"/>
      <c r="SHW102" s="247"/>
      <c r="SHX102" s="247"/>
      <c r="SHY102" s="247"/>
      <c r="SHZ102" s="247"/>
      <c r="SIA102" s="247"/>
      <c r="SIB102" s="247"/>
      <c r="SIC102" s="247"/>
      <c r="SID102" s="247"/>
      <c r="SIE102" s="247"/>
      <c r="SIF102" s="247"/>
      <c r="SIG102" s="247"/>
      <c r="SIH102" s="247"/>
      <c r="SII102" s="247"/>
      <c r="SIJ102" s="247"/>
      <c r="SIK102" s="247"/>
      <c r="SIL102" s="247"/>
      <c r="SIM102" s="247"/>
      <c r="SIN102" s="247"/>
      <c r="SIO102" s="247"/>
      <c r="SIP102" s="247"/>
      <c r="SIQ102" s="247"/>
      <c r="SIR102" s="247"/>
      <c r="SIS102" s="247"/>
      <c r="SIT102" s="247"/>
      <c r="SIU102" s="247"/>
      <c r="SIV102" s="247"/>
      <c r="SIW102" s="247"/>
      <c r="SIX102" s="247"/>
      <c r="SIY102" s="247"/>
      <c r="SIZ102" s="247"/>
      <c r="SJA102" s="247"/>
      <c r="SJB102" s="247"/>
      <c r="SJC102" s="247"/>
      <c r="SJD102" s="247"/>
      <c r="SJE102" s="247"/>
      <c r="SJF102" s="247"/>
      <c r="SJG102" s="247"/>
      <c r="SJH102" s="247"/>
      <c r="SJI102" s="247"/>
      <c r="SJJ102" s="247"/>
      <c r="SJK102" s="247"/>
      <c r="SJL102" s="247"/>
      <c r="SJM102" s="247"/>
      <c r="SJN102" s="247"/>
      <c r="SJO102" s="247"/>
      <c r="SJP102" s="247"/>
      <c r="SJQ102" s="247"/>
      <c r="SJR102" s="247"/>
      <c r="SJS102" s="247"/>
      <c r="SJT102" s="247"/>
      <c r="SJU102" s="247"/>
      <c r="SJV102" s="247"/>
      <c r="SJW102" s="247"/>
      <c r="SJX102" s="247"/>
      <c r="SJY102" s="247"/>
      <c r="SJZ102" s="247"/>
      <c r="SKA102" s="247"/>
      <c r="SKB102" s="247"/>
      <c r="SKC102" s="247"/>
      <c r="SKD102" s="247"/>
      <c r="SKE102" s="247"/>
      <c r="SKF102" s="247"/>
      <c r="SKG102" s="247"/>
      <c r="SKH102" s="247"/>
      <c r="SKI102" s="247"/>
      <c r="SKJ102" s="247"/>
      <c r="SKK102" s="247"/>
      <c r="SKL102" s="247"/>
      <c r="SKM102" s="247"/>
      <c r="SKN102" s="247"/>
      <c r="SKO102" s="247"/>
      <c r="SKP102" s="247"/>
      <c r="SKQ102" s="247"/>
      <c r="SKR102" s="247"/>
      <c r="SKS102" s="247"/>
      <c r="SKT102" s="247"/>
      <c r="SKU102" s="247"/>
      <c r="SKV102" s="247"/>
      <c r="SKW102" s="247"/>
      <c r="SKX102" s="247"/>
      <c r="SKY102" s="247"/>
      <c r="SKZ102" s="247"/>
      <c r="SLA102" s="247"/>
      <c r="SLB102" s="247"/>
      <c r="SLC102" s="247"/>
      <c r="SLD102" s="247"/>
      <c r="SLE102" s="247"/>
      <c r="SLF102" s="247"/>
      <c r="SLG102" s="247"/>
      <c r="SLH102" s="247"/>
      <c r="SLI102" s="247"/>
      <c r="SLJ102" s="247"/>
      <c r="SLK102" s="247"/>
      <c r="SLL102" s="247"/>
      <c r="SLM102" s="247"/>
      <c r="SLN102" s="247"/>
      <c r="SLO102" s="247"/>
      <c r="SLP102" s="247"/>
      <c r="SLQ102" s="247"/>
      <c r="SLR102" s="247"/>
      <c r="SLS102" s="247"/>
      <c r="SLT102" s="247"/>
      <c r="SLU102" s="247"/>
      <c r="SLV102" s="247"/>
      <c r="SLW102" s="247"/>
      <c r="SLX102" s="247"/>
      <c r="SLY102" s="247"/>
      <c r="SLZ102" s="247"/>
      <c r="SMA102" s="247"/>
      <c r="SMB102" s="247"/>
      <c r="SMC102" s="247"/>
      <c r="SMD102" s="247"/>
      <c r="SME102" s="247"/>
      <c r="SMF102" s="247"/>
      <c r="SMG102" s="247"/>
      <c r="SMH102" s="247"/>
      <c r="SMI102" s="247"/>
      <c r="SMJ102" s="247"/>
      <c r="SMK102" s="247"/>
      <c r="SML102" s="247"/>
      <c r="SMM102" s="247"/>
      <c r="SMN102" s="247"/>
      <c r="SMO102" s="247"/>
      <c r="SMP102" s="247"/>
      <c r="SMQ102" s="247"/>
      <c r="SMR102" s="247"/>
      <c r="SMS102" s="247"/>
      <c r="SMT102" s="247"/>
      <c r="SMU102" s="247"/>
      <c r="SMV102" s="247"/>
      <c r="SMW102" s="247"/>
      <c r="SMX102" s="247"/>
      <c r="SMY102" s="247"/>
      <c r="SMZ102" s="247"/>
      <c r="SNA102" s="247"/>
      <c r="SNB102" s="247"/>
      <c r="SNC102" s="247"/>
      <c r="SND102" s="247"/>
      <c r="SNE102" s="247"/>
      <c r="SNF102" s="247"/>
      <c r="SNG102" s="247"/>
      <c r="SNH102" s="247"/>
      <c r="SNI102" s="247"/>
      <c r="SNJ102" s="247"/>
      <c r="SNK102" s="247"/>
      <c r="SNL102" s="247"/>
      <c r="SNM102" s="247"/>
      <c r="SNN102" s="247"/>
      <c r="SNO102" s="247"/>
      <c r="SNP102" s="247"/>
      <c r="SNQ102" s="247"/>
      <c r="SNR102" s="247"/>
      <c r="SNS102" s="247"/>
      <c r="SNT102" s="247"/>
      <c r="SNU102" s="247"/>
      <c r="SNV102" s="247"/>
      <c r="SNW102" s="247"/>
      <c r="SNX102" s="247"/>
      <c r="SNY102" s="247"/>
      <c r="SNZ102" s="247"/>
      <c r="SOA102" s="247"/>
      <c r="SOB102" s="247"/>
      <c r="SOC102" s="247"/>
      <c r="SOD102" s="247"/>
      <c r="SOE102" s="247"/>
      <c r="SOF102" s="247"/>
      <c r="SOG102" s="247"/>
      <c r="SOH102" s="247"/>
      <c r="SOI102" s="247"/>
      <c r="SOJ102" s="247"/>
      <c r="SOK102" s="247"/>
      <c r="SOL102" s="247"/>
      <c r="SOM102" s="247"/>
      <c r="SON102" s="247"/>
      <c r="SOO102" s="247"/>
      <c r="SOP102" s="247"/>
      <c r="SOQ102" s="247"/>
      <c r="SOR102" s="247"/>
      <c r="SOS102" s="247"/>
      <c r="SOT102" s="247"/>
      <c r="SOU102" s="247"/>
      <c r="SOV102" s="247"/>
      <c r="SOW102" s="247"/>
      <c r="SOX102" s="247"/>
      <c r="SOY102" s="247"/>
      <c r="SOZ102" s="247"/>
      <c r="SPA102" s="247"/>
      <c r="SPB102" s="247"/>
      <c r="SPC102" s="247"/>
      <c r="SPD102" s="247"/>
      <c r="SPE102" s="247"/>
      <c r="SPF102" s="247"/>
      <c r="SPG102" s="247"/>
      <c r="SPH102" s="247"/>
      <c r="SPI102" s="247"/>
      <c r="SPJ102" s="247"/>
      <c r="SPK102" s="247"/>
      <c r="SPL102" s="247"/>
      <c r="SPM102" s="247"/>
      <c r="SPN102" s="247"/>
      <c r="SPO102" s="247"/>
      <c r="SPP102" s="247"/>
      <c r="SPQ102" s="247"/>
      <c r="SPR102" s="247"/>
      <c r="SPS102" s="247"/>
      <c r="SPT102" s="247"/>
      <c r="SPU102" s="247"/>
      <c r="SPV102" s="247"/>
      <c r="SPW102" s="247"/>
      <c r="SPX102" s="247"/>
      <c r="SPY102" s="247"/>
      <c r="SPZ102" s="247"/>
      <c r="SQA102" s="247"/>
      <c r="SQB102" s="247"/>
      <c r="SQC102" s="247"/>
      <c r="SQD102" s="247"/>
      <c r="SQE102" s="247"/>
      <c r="SQF102" s="247"/>
      <c r="SQG102" s="247"/>
      <c r="SQH102" s="247"/>
      <c r="SQI102" s="247"/>
      <c r="SQJ102" s="247"/>
      <c r="SQK102" s="247"/>
      <c r="SQL102" s="247"/>
      <c r="SQM102" s="247"/>
      <c r="SQN102" s="247"/>
      <c r="SQO102" s="247"/>
      <c r="SQP102" s="247"/>
      <c r="SQQ102" s="247"/>
      <c r="SQR102" s="247"/>
      <c r="SQS102" s="247"/>
      <c r="SQT102" s="247"/>
      <c r="SQU102" s="247"/>
      <c r="SQV102" s="247"/>
      <c r="SQW102" s="247"/>
      <c r="SQX102" s="247"/>
      <c r="SQY102" s="247"/>
      <c r="SQZ102" s="247"/>
      <c r="SRA102" s="247"/>
      <c r="SRB102" s="247"/>
      <c r="SRC102" s="247"/>
      <c r="SRD102" s="247"/>
      <c r="SRE102" s="247"/>
      <c r="SRF102" s="247"/>
      <c r="SRG102" s="247"/>
      <c r="SRH102" s="247"/>
      <c r="SRI102" s="247"/>
      <c r="SRJ102" s="247"/>
      <c r="SRK102" s="247"/>
      <c r="SRL102" s="247"/>
      <c r="SRM102" s="247"/>
      <c r="SRN102" s="247"/>
      <c r="SRO102" s="247"/>
      <c r="SRP102" s="247"/>
      <c r="SRQ102" s="247"/>
      <c r="SRR102" s="247"/>
      <c r="SRS102" s="247"/>
      <c r="SRT102" s="247"/>
      <c r="SRU102" s="247"/>
      <c r="SRV102" s="247"/>
      <c r="SRW102" s="247"/>
      <c r="SRX102" s="247"/>
      <c r="SRY102" s="247"/>
      <c r="SRZ102" s="247"/>
      <c r="SSA102" s="247"/>
      <c r="SSB102" s="247"/>
      <c r="SSC102" s="247"/>
      <c r="SSD102" s="247"/>
      <c r="SSE102" s="247"/>
      <c r="SSF102" s="247"/>
      <c r="SSG102" s="247"/>
      <c r="SSH102" s="247"/>
      <c r="SSI102" s="247"/>
      <c r="SSJ102" s="247"/>
      <c r="SSK102" s="247"/>
      <c r="SSL102" s="247"/>
      <c r="SSM102" s="247"/>
      <c r="SSN102" s="247"/>
      <c r="SSO102" s="247"/>
      <c r="SSP102" s="247"/>
      <c r="SSQ102" s="247"/>
      <c r="SSR102" s="247"/>
      <c r="SSS102" s="247"/>
      <c r="SST102" s="247"/>
      <c r="SSU102" s="247"/>
      <c r="SSV102" s="247"/>
      <c r="SSW102" s="247"/>
      <c r="SSX102" s="247"/>
      <c r="SSY102" s="247"/>
      <c r="SSZ102" s="247"/>
      <c r="STA102" s="247"/>
      <c r="STB102" s="247"/>
      <c r="STC102" s="247"/>
      <c r="STD102" s="247"/>
      <c r="STE102" s="247"/>
      <c r="STF102" s="247"/>
      <c r="STG102" s="247"/>
      <c r="STH102" s="247"/>
      <c r="STI102" s="247"/>
      <c r="STJ102" s="247"/>
      <c r="STK102" s="247"/>
      <c r="STL102" s="247"/>
      <c r="STM102" s="247"/>
      <c r="STN102" s="247"/>
      <c r="STO102" s="247"/>
      <c r="STP102" s="247"/>
      <c r="STQ102" s="247"/>
      <c r="STR102" s="247"/>
      <c r="STS102" s="247"/>
      <c r="STT102" s="247"/>
      <c r="STU102" s="247"/>
      <c r="STV102" s="247"/>
      <c r="STW102" s="247"/>
      <c r="STX102" s="247"/>
      <c r="STY102" s="247"/>
      <c r="STZ102" s="247"/>
      <c r="SUA102" s="247"/>
      <c r="SUB102" s="247"/>
      <c r="SUC102" s="247"/>
      <c r="SUD102" s="247"/>
      <c r="SUE102" s="247"/>
      <c r="SUF102" s="247"/>
      <c r="SUG102" s="247"/>
      <c r="SUH102" s="247"/>
      <c r="SUI102" s="247"/>
      <c r="SUJ102" s="247"/>
      <c r="SUK102" s="247"/>
      <c r="SUL102" s="247"/>
      <c r="SUM102" s="247"/>
      <c r="SUN102" s="247"/>
      <c r="SUO102" s="247"/>
      <c r="SUP102" s="247"/>
      <c r="SUQ102" s="247"/>
      <c r="SUR102" s="247"/>
      <c r="SUS102" s="247"/>
      <c r="SUT102" s="247"/>
      <c r="SUU102" s="247"/>
      <c r="SUV102" s="247"/>
      <c r="SUW102" s="247"/>
      <c r="SUX102" s="247"/>
      <c r="SUY102" s="247"/>
      <c r="SUZ102" s="247"/>
      <c r="SVA102" s="247"/>
      <c r="SVB102" s="247"/>
      <c r="SVC102" s="247"/>
      <c r="SVD102" s="247"/>
      <c r="SVE102" s="247"/>
      <c r="SVF102" s="247"/>
      <c r="SVG102" s="247"/>
      <c r="SVH102" s="247"/>
      <c r="SVI102" s="247"/>
      <c r="SVJ102" s="247"/>
      <c r="SVK102" s="247"/>
      <c r="SVL102" s="247"/>
      <c r="SVM102" s="247"/>
      <c r="SVN102" s="247"/>
      <c r="SVO102" s="247"/>
      <c r="SVP102" s="247"/>
      <c r="SVQ102" s="247"/>
      <c r="SVR102" s="247"/>
      <c r="SVS102" s="247"/>
      <c r="SVT102" s="247"/>
      <c r="SVU102" s="247"/>
      <c r="SVV102" s="247"/>
      <c r="SVW102" s="247"/>
      <c r="SVX102" s="247"/>
      <c r="SVY102" s="247"/>
      <c r="SVZ102" s="247"/>
      <c r="SWA102" s="247"/>
      <c r="SWB102" s="247"/>
      <c r="SWC102" s="247"/>
      <c r="SWD102" s="247"/>
      <c r="SWE102" s="247"/>
      <c r="SWF102" s="247"/>
      <c r="SWG102" s="247"/>
      <c r="SWH102" s="247"/>
      <c r="SWI102" s="247"/>
      <c r="SWJ102" s="247"/>
      <c r="SWK102" s="247"/>
      <c r="SWL102" s="247"/>
      <c r="SWM102" s="247"/>
      <c r="SWN102" s="247"/>
      <c r="SWO102" s="247"/>
      <c r="SWP102" s="247"/>
      <c r="SWQ102" s="247"/>
      <c r="SWR102" s="247"/>
      <c r="SWS102" s="247"/>
      <c r="SWT102" s="247"/>
      <c r="SWU102" s="247"/>
      <c r="SWV102" s="247"/>
      <c r="SWW102" s="247"/>
      <c r="SWX102" s="247"/>
      <c r="SWY102" s="247"/>
      <c r="SWZ102" s="247"/>
      <c r="SXA102" s="247"/>
      <c r="SXB102" s="247"/>
      <c r="SXC102" s="247"/>
      <c r="SXD102" s="247"/>
      <c r="SXE102" s="247"/>
      <c r="SXF102" s="247"/>
      <c r="SXG102" s="247"/>
      <c r="SXH102" s="247"/>
      <c r="SXI102" s="247"/>
      <c r="SXJ102" s="247"/>
      <c r="SXK102" s="247"/>
      <c r="SXL102" s="247"/>
      <c r="SXM102" s="247"/>
      <c r="SXN102" s="247"/>
      <c r="SXO102" s="247"/>
      <c r="SXP102" s="247"/>
      <c r="SXQ102" s="247"/>
      <c r="SXR102" s="247"/>
      <c r="SXS102" s="247"/>
      <c r="SXT102" s="247"/>
      <c r="SXU102" s="247"/>
      <c r="SXV102" s="247"/>
      <c r="SXW102" s="247"/>
      <c r="SXX102" s="247"/>
      <c r="SXY102" s="247"/>
      <c r="SXZ102" s="247"/>
      <c r="SYA102" s="247"/>
      <c r="SYB102" s="247"/>
      <c r="SYC102" s="247"/>
      <c r="SYD102" s="247"/>
      <c r="SYE102" s="247"/>
      <c r="SYF102" s="247"/>
      <c r="SYG102" s="247"/>
      <c r="SYH102" s="247"/>
      <c r="SYI102" s="247"/>
      <c r="SYJ102" s="247"/>
      <c r="SYK102" s="247"/>
      <c r="SYL102" s="247"/>
      <c r="SYM102" s="247"/>
      <c r="SYN102" s="247"/>
      <c r="SYO102" s="247"/>
      <c r="SYP102" s="247"/>
      <c r="SYQ102" s="247"/>
      <c r="SYR102" s="247"/>
      <c r="SYS102" s="247"/>
      <c r="SYT102" s="247"/>
      <c r="SYU102" s="247"/>
      <c r="SYV102" s="247"/>
      <c r="SYW102" s="247"/>
      <c r="SYX102" s="247"/>
      <c r="SYY102" s="247"/>
      <c r="SYZ102" s="247"/>
      <c r="SZA102" s="247"/>
      <c r="SZB102" s="247"/>
      <c r="SZC102" s="247"/>
      <c r="SZD102" s="247"/>
      <c r="SZE102" s="247"/>
      <c r="SZF102" s="247"/>
      <c r="SZG102" s="247"/>
      <c r="SZH102" s="247"/>
      <c r="SZI102" s="247"/>
      <c r="SZJ102" s="247"/>
      <c r="SZK102" s="247"/>
      <c r="SZL102" s="247"/>
      <c r="SZM102" s="247"/>
      <c r="SZN102" s="247"/>
      <c r="SZO102" s="247"/>
      <c r="SZP102" s="247"/>
      <c r="SZQ102" s="247"/>
      <c r="SZR102" s="247"/>
      <c r="SZS102" s="247"/>
      <c r="SZT102" s="247"/>
      <c r="SZU102" s="247"/>
      <c r="SZV102" s="247"/>
      <c r="SZW102" s="247"/>
      <c r="SZX102" s="247"/>
      <c r="SZY102" s="247"/>
      <c r="SZZ102" s="247"/>
      <c r="TAA102" s="247"/>
      <c r="TAB102" s="247"/>
      <c r="TAC102" s="247"/>
      <c r="TAD102" s="247"/>
      <c r="TAE102" s="247"/>
      <c r="TAF102" s="247"/>
      <c r="TAG102" s="247"/>
      <c r="TAH102" s="247"/>
      <c r="TAI102" s="247"/>
      <c r="TAJ102" s="247"/>
      <c r="TAK102" s="247"/>
      <c r="TAL102" s="247"/>
      <c r="TAM102" s="247"/>
      <c r="TAN102" s="247"/>
      <c r="TAO102" s="247"/>
      <c r="TAP102" s="247"/>
      <c r="TAQ102" s="247"/>
      <c r="TAR102" s="247"/>
      <c r="TAS102" s="247"/>
      <c r="TAT102" s="247"/>
      <c r="TAU102" s="247"/>
      <c r="TAV102" s="247"/>
      <c r="TAW102" s="247"/>
      <c r="TAX102" s="247"/>
      <c r="TAY102" s="247"/>
      <c r="TAZ102" s="247"/>
      <c r="TBA102" s="247"/>
      <c r="TBB102" s="247"/>
      <c r="TBC102" s="247"/>
      <c r="TBD102" s="247"/>
      <c r="TBE102" s="247"/>
      <c r="TBF102" s="247"/>
      <c r="TBG102" s="247"/>
      <c r="TBH102" s="247"/>
      <c r="TBI102" s="247"/>
      <c r="TBJ102" s="247"/>
      <c r="TBK102" s="247"/>
      <c r="TBL102" s="247"/>
      <c r="TBM102" s="247"/>
      <c r="TBN102" s="247"/>
      <c r="TBO102" s="247"/>
      <c r="TBP102" s="247"/>
      <c r="TBQ102" s="247"/>
      <c r="TBR102" s="247"/>
      <c r="TBS102" s="247"/>
      <c r="TBT102" s="247"/>
      <c r="TBU102" s="247"/>
      <c r="TBV102" s="247"/>
      <c r="TBW102" s="247"/>
      <c r="TBX102" s="247"/>
      <c r="TBY102" s="247"/>
      <c r="TBZ102" s="247"/>
      <c r="TCA102" s="247"/>
      <c r="TCB102" s="247"/>
      <c r="TCC102" s="247"/>
      <c r="TCD102" s="247"/>
      <c r="TCE102" s="247"/>
      <c r="TCF102" s="247"/>
      <c r="TCG102" s="247"/>
      <c r="TCH102" s="247"/>
      <c r="TCI102" s="247"/>
      <c r="TCJ102" s="247"/>
      <c r="TCK102" s="247"/>
      <c r="TCL102" s="247"/>
      <c r="TCM102" s="247"/>
      <c r="TCN102" s="247"/>
      <c r="TCO102" s="247"/>
      <c r="TCP102" s="247"/>
      <c r="TCQ102" s="247"/>
      <c r="TCR102" s="247"/>
      <c r="TCS102" s="247"/>
      <c r="TCT102" s="247"/>
      <c r="TCU102" s="247"/>
      <c r="TCV102" s="247"/>
      <c r="TCW102" s="247"/>
      <c r="TCX102" s="247"/>
      <c r="TCY102" s="247"/>
      <c r="TCZ102" s="247"/>
      <c r="TDA102" s="247"/>
      <c r="TDB102" s="247"/>
      <c r="TDC102" s="247"/>
      <c r="TDD102" s="247"/>
      <c r="TDE102" s="247"/>
      <c r="TDF102" s="247"/>
      <c r="TDG102" s="247"/>
      <c r="TDH102" s="247"/>
      <c r="TDI102" s="247"/>
      <c r="TDJ102" s="247"/>
      <c r="TDK102" s="247"/>
      <c r="TDL102" s="247"/>
      <c r="TDM102" s="247"/>
      <c r="TDN102" s="247"/>
      <c r="TDO102" s="247"/>
      <c r="TDP102" s="247"/>
      <c r="TDQ102" s="247"/>
      <c r="TDR102" s="247"/>
      <c r="TDS102" s="247"/>
      <c r="TDT102" s="247"/>
      <c r="TDU102" s="247"/>
      <c r="TDV102" s="247"/>
      <c r="TDW102" s="247"/>
      <c r="TDX102" s="247"/>
      <c r="TDY102" s="247"/>
      <c r="TDZ102" s="247"/>
      <c r="TEA102" s="247"/>
      <c r="TEB102" s="247"/>
      <c r="TEC102" s="247"/>
      <c r="TED102" s="247"/>
      <c r="TEE102" s="247"/>
      <c r="TEF102" s="247"/>
      <c r="TEG102" s="247"/>
      <c r="TEH102" s="247"/>
      <c r="TEI102" s="247"/>
      <c r="TEJ102" s="247"/>
      <c r="TEK102" s="247"/>
      <c r="TEL102" s="247"/>
      <c r="TEM102" s="247"/>
      <c r="TEN102" s="247"/>
      <c r="TEO102" s="247"/>
      <c r="TEP102" s="247"/>
      <c r="TEQ102" s="247"/>
      <c r="TER102" s="247"/>
      <c r="TES102" s="247"/>
      <c r="TET102" s="247"/>
      <c r="TEU102" s="247"/>
      <c r="TEV102" s="247"/>
      <c r="TEW102" s="247"/>
      <c r="TEX102" s="247"/>
      <c r="TEY102" s="247"/>
      <c r="TEZ102" s="247"/>
      <c r="TFA102" s="247"/>
      <c r="TFB102" s="247"/>
      <c r="TFC102" s="247"/>
      <c r="TFD102" s="247"/>
      <c r="TFE102" s="247"/>
      <c r="TFF102" s="247"/>
      <c r="TFG102" s="247"/>
      <c r="TFH102" s="247"/>
      <c r="TFI102" s="247"/>
      <c r="TFJ102" s="247"/>
      <c r="TFK102" s="247"/>
      <c r="TFL102" s="247"/>
      <c r="TFM102" s="247"/>
      <c r="TFN102" s="247"/>
      <c r="TFO102" s="247"/>
      <c r="TFP102" s="247"/>
      <c r="TFQ102" s="247"/>
      <c r="TFR102" s="247"/>
      <c r="TFS102" s="247"/>
      <c r="TFT102" s="247"/>
      <c r="TFU102" s="247"/>
      <c r="TFV102" s="247"/>
      <c r="TFW102" s="247"/>
      <c r="TFX102" s="247"/>
      <c r="TFY102" s="247"/>
      <c r="TFZ102" s="247"/>
      <c r="TGA102" s="247"/>
      <c r="TGB102" s="247"/>
      <c r="TGC102" s="247"/>
      <c r="TGD102" s="247"/>
      <c r="TGE102" s="247"/>
      <c r="TGF102" s="247"/>
      <c r="TGG102" s="247"/>
      <c r="TGH102" s="247"/>
      <c r="TGI102" s="247"/>
      <c r="TGJ102" s="247"/>
      <c r="TGK102" s="247"/>
      <c r="TGL102" s="247"/>
      <c r="TGM102" s="247"/>
      <c r="TGN102" s="247"/>
      <c r="TGO102" s="247"/>
      <c r="TGP102" s="247"/>
      <c r="TGQ102" s="247"/>
      <c r="TGR102" s="247"/>
      <c r="TGS102" s="247"/>
      <c r="TGT102" s="247"/>
      <c r="TGU102" s="247"/>
      <c r="TGV102" s="247"/>
      <c r="TGW102" s="247"/>
      <c r="TGX102" s="247"/>
      <c r="TGY102" s="247"/>
      <c r="TGZ102" s="247"/>
      <c r="THA102" s="247"/>
      <c r="THB102" s="247"/>
      <c r="THC102" s="247"/>
      <c r="THD102" s="247"/>
      <c r="THE102" s="247"/>
      <c r="THF102" s="247"/>
      <c r="THG102" s="247"/>
      <c r="THH102" s="247"/>
      <c r="THI102" s="247"/>
      <c r="THJ102" s="247"/>
      <c r="THK102" s="247"/>
      <c r="THL102" s="247"/>
      <c r="THM102" s="247"/>
      <c r="THN102" s="247"/>
      <c r="THO102" s="247"/>
      <c r="THP102" s="247"/>
      <c r="THQ102" s="247"/>
      <c r="THR102" s="247"/>
      <c r="THS102" s="247"/>
      <c r="THT102" s="247"/>
      <c r="THU102" s="247"/>
      <c r="THV102" s="247"/>
      <c r="THW102" s="247"/>
      <c r="THX102" s="247"/>
      <c r="THY102" s="247"/>
      <c r="THZ102" s="247"/>
      <c r="TIA102" s="247"/>
      <c r="TIB102" s="247"/>
      <c r="TIC102" s="247"/>
      <c r="TID102" s="247"/>
      <c r="TIE102" s="247"/>
      <c r="TIF102" s="247"/>
      <c r="TIG102" s="247"/>
      <c r="TIH102" s="247"/>
      <c r="TII102" s="247"/>
      <c r="TIJ102" s="247"/>
      <c r="TIK102" s="247"/>
      <c r="TIL102" s="247"/>
      <c r="TIM102" s="247"/>
      <c r="TIN102" s="247"/>
      <c r="TIO102" s="247"/>
      <c r="TIP102" s="247"/>
      <c r="TIQ102" s="247"/>
      <c r="TIR102" s="247"/>
      <c r="TIS102" s="247"/>
      <c r="TIT102" s="247"/>
      <c r="TIU102" s="247"/>
      <c r="TIV102" s="247"/>
      <c r="TIW102" s="247"/>
      <c r="TIX102" s="247"/>
      <c r="TIY102" s="247"/>
      <c r="TIZ102" s="247"/>
      <c r="TJA102" s="247"/>
      <c r="TJB102" s="247"/>
      <c r="TJC102" s="247"/>
      <c r="TJD102" s="247"/>
      <c r="TJE102" s="247"/>
      <c r="TJF102" s="247"/>
      <c r="TJG102" s="247"/>
      <c r="TJH102" s="247"/>
      <c r="TJI102" s="247"/>
      <c r="TJJ102" s="247"/>
      <c r="TJK102" s="247"/>
      <c r="TJL102" s="247"/>
      <c r="TJM102" s="247"/>
      <c r="TJN102" s="247"/>
      <c r="TJO102" s="247"/>
      <c r="TJP102" s="247"/>
      <c r="TJQ102" s="247"/>
      <c r="TJR102" s="247"/>
      <c r="TJS102" s="247"/>
      <c r="TJT102" s="247"/>
      <c r="TJU102" s="247"/>
      <c r="TJV102" s="247"/>
      <c r="TJW102" s="247"/>
      <c r="TJX102" s="247"/>
      <c r="TJY102" s="247"/>
      <c r="TJZ102" s="247"/>
      <c r="TKA102" s="247"/>
      <c r="TKB102" s="247"/>
      <c r="TKC102" s="247"/>
      <c r="TKD102" s="247"/>
      <c r="TKE102" s="247"/>
      <c r="TKF102" s="247"/>
      <c r="TKG102" s="247"/>
      <c r="TKH102" s="247"/>
      <c r="TKI102" s="247"/>
      <c r="TKJ102" s="247"/>
      <c r="TKK102" s="247"/>
      <c r="TKL102" s="247"/>
      <c r="TKM102" s="247"/>
      <c r="TKN102" s="247"/>
      <c r="TKO102" s="247"/>
      <c r="TKP102" s="247"/>
      <c r="TKQ102" s="247"/>
      <c r="TKR102" s="247"/>
      <c r="TKS102" s="247"/>
      <c r="TKT102" s="247"/>
      <c r="TKU102" s="247"/>
      <c r="TKV102" s="247"/>
      <c r="TKW102" s="247"/>
      <c r="TKX102" s="247"/>
      <c r="TKY102" s="247"/>
      <c r="TKZ102" s="247"/>
      <c r="TLA102" s="247"/>
      <c r="TLB102" s="247"/>
      <c r="TLC102" s="247"/>
      <c r="TLD102" s="247"/>
      <c r="TLE102" s="247"/>
      <c r="TLF102" s="247"/>
      <c r="TLG102" s="247"/>
      <c r="TLH102" s="247"/>
      <c r="TLI102" s="247"/>
      <c r="TLJ102" s="247"/>
      <c r="TLK102" s="247"/>
      <c r="TLL102" s="247"/>
      <c r="TLM102" s="247"/>
      <c r="TLN102" s="247"/>
      <c r="TLO102" s="247"/>
      <c r="TLP102" s="247"/>
      <c r="TLQ102" s="247"/>
      <c r="TLR102" s="247"/>
      <c r="TLS102" s="247"/>
      <c r="TLT102" s="247"/>
      <c r="TLU102" s="247"/>
      <c r="TLV102" s="247"/>
      <c r="TLW102" s="247"/>
      <c r="TLX102" s="247"/>
      <c r="TLY102" s="247"/>
      <c r="TLZ102" s="247"/>
      <c r="TMA102" s="247"/>
      <c r="TMB102" s="247"/>
      <c r="TMC102" s="247"/>
      <c r="TMD102" s="247"/>
      <c r="TME102" s="247"/>
      <c r="TMF102" s="247"/>
      <c r="TMG102" s="247"/>
      <c r="TMH102" s="247"/>
      <c r="TMI102" s="247"/>
      <c r="TMJ102" s="247"/>
      <c r="TMK102" s="247"/>
      <c r="TML102" s="247"/>
      <c r="TMM102" s="247"/>
      <c r="TMN102" s="247"/>
      <c r="TMO102" s="247"/>
      <c r="TMP102" s="247"/>
      <c r="TMQ102" s="247"/>
      <c r="TMR102" s="247"/>
      <c r="TMS102" s="247"/>
      <c r="TMT102" s="247"/>
      <c r="TMU102" s="247"/>
      <c r="TMV102" s="247"/>
      <c r="TMW102" s="247"/>
      <c r="TMX102" s="247"/>
      <c r="TMY102" s="247"/>
      <c r="TMZ102" s="247"/>
      <c r="TNA102" s="247"/>
      <c r="TNB102" s="247"/>
      <c r="TNC102" s="247"/>
      <c r="TND102" s="247"/>
      <c r="TNE102" s="247"/>
      <c r="TNF102" s="247"/>
      <c r="TNG102" s="247"/>
      <c r="TNH102" s="247"/>
      <c r="TNI102" s="247"/>
      <c r="TNJ102" s="247"/>
      <c r="TNK102" s="247"/>
      <c r="TNL102" s="247"/>
      <c r="TNM102" s="247"/>
      <c r="TNN102" s="247"/>
      <c r="TNO102" s="247"/>
      <c r="TNP102" s="247"/>
      <c r="TNQ102" s="247"/>
      <c r="TNR102" s="247"/>
      <c r="TNS102" s="247"/>
      <c r="TNT102" s="247"/>
      <c r="TNU102" s="247"/>
      <c r="TNV102" s="247"/>
      <c r="TNW102" s="247"/>
      <c r="TNX102" s="247"/>
      <c r="TNY102" s="247"/>
      <c r="TNZ102" s="247"/>
      <c r="TOA102" s="247"/>
      <c r="TOB102" s="247"/>
      <c r="TOC102" s="247"/>
      <c r="TOD102" s="247"/>
      <c r="TOE102" s="247"/>
      <c r="TOF102" s="247"/>
      <c r="TOG102" s="247"/>
      <c r="TOH102" s="247"/>
      <c r="TOI102" s="247"/>
      <c r="TOJ102" s="247"/>
      <c r="TOK102" s="247"/>
      <c r="TOL102" s="247"/>
      <c r="TOM102" s="247"/>
      <c r="TON102" s="247"/>
      <c r="TOO102" s="247"/>
      <c r="TOP102" s="247"/>
      <c r="TOQ102" s="247"/>
      <c r="TOR102" s="247"/>
      <c r="TOS102" s="247"/>
      <c r="TOT102" s="247"/>
      <c r="TOU102" s="247"/>
      <c r="TOV102" s="247"/>
      <c r="TOW102" s="247"/>
      <c r="TOX102" s="247"/>
      <c r="TOY102" s="247"/>
      <c r="TOZ102" s="247"/>
      <c r="TPA102" s="247"/>
      <c r="TPB102" s="247"/>
      <c r="TPC102" s="247"/>
      <c r="TPD102" s="247"/>
      <c r="TPE102" s="247"/>
      <c r="TPF102" s="247"/>
      <c r="TPG102" s="247"/>
      <c r="TPH102" s="247"/>
      <c r="TPI102" s="247"/>
      <c r="TPJ102" s="247"/>
      <c r="TPK102" s="247"/>
      <c r="TPL102" s="247"/>
      <c r="TPM102" s="247"/>
      <c r="TPN102" s="247"/>
      <c r="TPO102" s="247"/>
      <c r="TPP102" s="247"/>
      <c r="TPQ102" s="247"/>
      <c r="TPR102" s="247"/>
      <c r="TPS102" s="247"/>
      <c r="TPT102" s="247"/>
      <c r="TPU102" s="247"/>
      <c r="TPV102" s="247"/>
      <c r="TPW102" s="247"/>
      <c r="TPX102" s="247"/>
      <c r="TPY102" s="247"/>
      <c r="TPZ102" s="247"/>
      <c r="TQA102" s="247"/>
      <c r="TQB102" s="247"/>
      <c r="TQC102" s="247"/>
      <c r="TQD102" s="247"/>
      <c r="TQE102" s="247"/>
      <c r="TQF102" s="247"/>
      <c r="TQG102" s="247"/>
      <c r="TQH102" s="247"/>
      <c r="TQI102" s="247"/>
      <c r="TQJ102" s="247"/>
      <c r="TQK102" s="247"/>
      <c r="TQL102" s="247"/>
      <c r="TQM102" s="247"/>
      <c r="TQN102" s="247"/>
      <c r="TQO102" s="247"/>
      <c r="TQP102" s="247"/>
      <c r="TQQ102" s="247"/>
      <c r="TQR102" s="247"/>
      <c r="TQS102" s="247"/>
      <c r="TQT102" s="247"/>
      <c r="TQU102" s="247"/>
      <c r="TQV102" s="247"/>
      <c r="TQW102" s="247"/>
      <c r="TQX102" s="247"/>
      <c r="TQY102" s="247"/>
      <c r="TQZ102" s="247"/>
      <c r="TRA102" s="247"/>
      <c r="TRB102" s="247"/>
      <c r="TRC102" s="247"/>
      <c r="TRD102" s="247"/>
      <c r="TRE102" s="247"/>
      <c r="TRF102" s="247"/>
      <c r="TRG102" s="247"/>
      <c r="TRH102" s="247"/>
      <c r="TRI102" s="247"/>
      <c r="TRJ102" s="247"/>
      <c r="TRK102" s="247"/>
      <c r="TRL102" s="247"/>
      <c r="TRM102" s="247"/>
      <c r="TRN102" s="247"/>
      <c r="TRO102" s="247"/>
      <c r="TRP102" s="247"/>
      <c r="TRQ102" s="247"/>
      <c r="TRR102" s="247"/>
      <c r="TRS102" s="247"/>
      <c r="TRT102" s="247"/>
      <c r="TRU102" s="247"/>
      <c r="TRV102" s="247"/>
      <c r="TRW102" s="247"/>
      <c r="TRX102" s="247"/>
      <c r="TRY102" s="247"/>
      <c r="TRZ102" s="247"/>
      <c r="TSA102" s="247"/>
      <c r="TSB102" s="247"/>
      <c r="TSC102" s="247"/>
      <c r="TSD102" s="247"/>
      <c r="TSE102" s="247"/>
      <c r="TSF102" s="247"/>
      <c r="TSG102" s="247"/>
      <c r="TSH102" s="247"/>
      <c r="TSI102" s="247"/>
      <c r="TSJ102" s="247"/>
      <c r="TSK102" s="247"/>
      <c r="TSL102" s="247"/>
      <c r="TSM102" s="247"/>
      <c r="TSN102" s="247"/>
      <c r="TSO102" s="247"/>
      <c r="TSP102" s="247"/>
      <c r="TSQ102" s="247"/>
      <c r="TSR102" s="247"/>
      <c r="TSS102" s="247"/>
      <c r="TST102" s="247"/>
      <c r="TSU102" s="247"/>
      <c r="TSV102" s="247"/>
      <c r="TSW102" s="247"/>
      <c r="TSX102" s="247"/>
      <c r="TSY102" s="247"/>
      <c r="TSZ102" s="247"/>
      <c r="TTA102" s="247"/>
      <c r="TTB102" s="247"/>
      <c r="TTC102" s="247"/>
      <c r="TTD102" s="247"/>
      <c r="TTE102" s="247"/>
      <c r="TTF102" s="247"/>
      <c r="TTG102" s="247"/>
      <c r="TTH102" s="247"/>
      <c r="TTI102" s="247"/>
      <c r="TTJ102" s="247"/>
      <c r="TTK102" s="247"/>
      <c r="TTL102" s="247"/>
      <c r="TTM102" s="247"/>
      <c r="TTN102" s="247"/>
      <c r="TTO102" s="247"/>
      <c r="TTP102" s="247"/>
      <c r="TTQ102" s="247"/>
      <c r="TTR102" s="247"/>
      <c r="TTS102" s="247"/>
      <c r="TTT102" s="247"/>
      <c r="TTU102" s="247"/>
      <c r="TTV102" s="247"/>
      <c r="TTW102" s="247"/>
      <c r="TTX102" s="247"/>
      <c r="TTY102" s="247"/>
      <c r="TTZ102" s="247"/>
      <c r="TUA102" s="247"/>
      <c r="TUB102" s="247"/>
      <c r="TUC102" s="247"/>
      <c r="TUD102" s="247"/>
      <c r="TUE102" s="247"/>
      <c r="TUF102" s="247"/>
      <c r="TUG102" s="247"/>
      <c r="TUH102" s="247"/>
      <c r="TUI102" s="247"/>
      <c r="TUJ102" s="247"/>
      <c r="TUK102" s="247"/>
      <c r="TUL102" s="247"/>
      <c r="TUM102" s="247"/>
      <c r="TUN102" s="247"/>
      <c r="TUO102" s="247"/>
      <c r="TUP102" s="247"/>
      <c r="TUQ102" s="247"/>
      <c r="TUR102" s="247"/>
      <c r="TUS102" s="247"/>
      <c r="TUT102" s="247"/>
      <c r="TUU102" s="247"/>
      <c r="TUV102" s="247"/>
      <c r="TUW102" s="247"/>
      <c r="TUX102" s="247"/>
      <c r="TUY102" s="247"/>
      <c r="TUZ102" s="247"/>
      <c r="TVA102" s="247"/>
      <c r="TVB102" s="247"/>
      <c r="TVC102" s="247"/>
      <c r="TVD102" s="247"/>
      <c r="TVE102" s="247"/>
      <c r="TVF102" s="247"/>
      <c r="TVG102" s="247"/>
      <c r="TVH102" s="247"/>
      <c r="TVI102" s="247"/>
      <c r="TVJ102" s="247"/>
      <c r="TVK102" s="247"/>
      <c r="TVL102" s="247"/>
      <c r="TVM102" s="247"/>
      <c r="TVN102" s="247"/>
      <c r="TVO102" s="247"/>
      <c r="TVP102" s="247"/>
      <c r="TVQ102" s="247"/>
      <c r="TVR102" s="247"/>
      <c r="TVS102" s="247"/>
      <c r="TVT102" s="247"/>
      <c r="TVU102" s="247"/>
      <c r="TVV102" s="247"/>
      <c r="TVW102" s="247"/>
      <c r="TVX102" s="247"/>
      <c r="TVY102" s="247"/>
      <c r="TVZ102" s="247"/>
      <c r="TWA102" s="247"/>
      <c r="TWB102" s="247"/>
      <c r="TWC102" s="247"/>
      <c r="TWD102" s="247"/>
      <c r="TWE102" s="247"/>
      <c r="TWF102" s="247"/>
      <c r="TWG102" s="247"/>
      <c r="TWH102" s="247"/>
      <c r="TWI102" s="247"/>
      <c r="TWJ102" s="247"/>
      <c r="TWK102" s="247"/>
      <c r="TWL102" s="247"/>
      <c r="TWM102" s="247"/>
      <c r="TWN102" s="247"/>
      <c r="TWO102" s="247"/>
      <c r="TWP102" s="247"/>
      <c r="TWQ102" s="247"/>
      <c r="TWR102" s="247"/>
      <c r="TWS102" s="247"/>
      <c r="TWT102" s="247"/>
      <c r="TWU102" s="247"/>
      <c r="TWV102" s="247"/>
      <c r="TWW102" s="247"/>
      <c r="TWX102" s="247"/>
      <c r="TWY102" s="247"/>
      <c r="TWZ102" s="247"/>
      <c r="TXA102" s="247"/>
      <c r="TXB102" s="247"/>
      <c r="TXC102" s="247"/>
      <c r="TXD102" s="247"/>
      <c r="TXE102" s="247"/>
      <c r="TXF102" s="247"/>
      <c r="TXG102" s="247"/>
      <c r="TXH102" s="247"/>
      <c r="TXI102" s="247"/>
      <c r="TXJ102" s="247"/>
      <c r="TXK102" s="247"/>
      <c r="TXL102" s="247"/>
      <c r="TXM102" s="247"/>
      <c r="TXN102" s="247"/>
      <c r="TXO102" s="247"/>
      <c r="TXP102" s="247"/>
      <c r="TXQ102" s="247"/>
      <c r="TXR102" s="247"/>
      <c r="TXS102" s="247"/>
      <c r="TXT102" s="247"/>
      <c r="TXU102" s="247"/>
      <c r="TXV102" s="247"/>
      <c r="TXW102" s="247"/>
      <c r="TXX102" s="247"/>
      <c r="TXY102" s="247"/>
      <c r="TXZ102" s="247"/>
      <c r="TYA102" s="247"/>
      <c r="TYB102" s="247"/>
      <c r="TYC102" s="247"/>
      <c r="TYD102" s="247"/>
      <c r="TYE102" s="247"/>
      <c r="TYF102" s="247"/>
      <c r="TYG102" s="247"/>
      <c r="TYH102" s="247"/>
      <c r="TYI102" s="247"/>
      <c r="TYJ102" s="247"/>
      <c r="TYK102" s="247"/>
      <c r="TYL102" s="247"/>
      <c r="TYM102" s="247"/>
      <c r="TYN102" s="247"/>
      <c r="TYO102" s="247"/>
      <c r="TYP102" s="247"/>
      <c r="TYQ102" s="247"/>
      <c r="TYR102" s="247"/>
      <c r="TYS102" s="247"/>
      <c r="TYT102" s="247"/>
      <c r="TYU102" s="247"/>
      <c r="TYV102" s="247"/>
      <c r="TYW102" s="247"/>
      <c r="TYX102" s="247"/>
      <c r="TYY102" s="247"/>
      <c r="TYZ102" s="247"/>
      <c r="TZA102" s="247"/>
      <c r="TZB102" s="247"/>
      <c r="TZC102" s="247"/>
      <c r="TZD102" s="247"/>
      <c r="TZE102" s="247"/>
      <c r="TZF102" s="247"/>
      <c r="TZG102" s="247"/>
      <c r="TZH102" s="247"/>
      <c r="TZI102" s="247"/>
      <c r="TZJ102" s="247"/>
      <c r="TZK102" s="247"/>
      <c r="TZL102" s="247"/>
      <c r="TZM102" s="247"/>
      <c r="TZN102" s="247"/>
      <c r="TZO102" s="247"/>
      <c r="TZP102" s="247"/>
      <c r="TZQ102" s="247"/>
      <c r="TZR102" s="247"/>
      <c r="TZS102" s="247"/>
      <c r="TZT102" s="247"/>
      <c r="TZU102" s="247"/>
      <c r="TZV102" s="247"/>
      <c r="TZW102" s="247"/>
      <c r="TZX102" s="247"/>
      <c r="TZY102" s="247"/>
      <c r="TZZ102" s="247"/>
      <c r="UAA102" s="247"/>
      <c r="UAB102" s="247"/>
      <c r="UAC102" s="247"/>
      <c r="UAD102" s="247"/>
      <c r="UAE102" s="247"/>
      <c r="UAF102" s="247"/>
      <c r="UAG102" s="247"/>
      <c r="UAH102" s="247"/>
      <c r="UAI102" s="247"/>
      <c r="UAJ102" s="247"/>
      <c r="UAK102" s="247"/>
      <c r="UAL102" s="247"/>
      <c r="UAM102" s="247"/>
      <c r="UAN102" s="247"/>
      <c r="UAO102" s="247"/>
      <c r="UAP102" s="247"/>
      <c r="UAQ102" s="247"/>
      <c r="UAR102" s="247"/>
      <c r="UAS102" s="247"/>
      <c r="UAT102" s="247"/>
      <c r="UAU102" s="247"/>
      <c r="UAV102" s="247"/>
      <c r="UAW102" s="247"/>
      <c r="UAX102" s="247"/>
      <c r="UAY102" s="247"/>
      <c r="UAZ102" s="247"/>
      <c r="UBA102" s="247"/>
      <c r="UBB102" s="247"/>
      <c r="UBC102" s="247"/>
      <c r="UBD102" s="247"/>
      <c r="UBE102" s="247"/>
      <c r="UBF102" s="247"/>
      <c r="UBG102" s="247"/>
      <c r="UBH102" s="247"/>
      <c r="UBI102" s="247"/>
      <c r="UBJ102" s="247"/>
      <c r="UBK102" s="247"/>
      <c r="UBL102" s="247"/>
      <c r="UBM102" s="247"/>
      <c r="UBN102" s="247"/>
      <c r="UBO102" s="247"/>
      <c r="UBP102" s="247"/>
      <c r="UBQ102" s="247"/>
      <c r="UBR102" s="247"/>
      <c r="UBS102" s="247"/>
      <c r="UBT102" s="247"/>
      <c r="UBU102" s="247"/>
      <c r="UBV102" s="247"/>
      <c r="UBW102" s="247"/>
      <c r="UBX102" s="247"/>
      <c r="UBY102" s="247"/>
      <c r="UBZ102" s="247"/>
      <c r="UCA102" s="247"/>
      <c r="UCB102" s="247"/>
      <c r="UCC102" s="247"/>
      <c r="UCD102" s="247"/>
      <c r="UCE102" s="247"/>
      <c r="UCF102" s="247"/>
      <c r="UCG102" s="247"/>
      <c r="UCH102" s="247"/>
      <c r="UCI102" s="247"/>
      <c r="UCJ102" s="247"/>
      <c r="UCK102" s="247"/>
      <c r="UCL102" s="247"/>
      <c r="UCM102" s="247"/>
      <c r="UCN102" s="247"/>
      <c r="UCO102" s="247"/>
      <c r="UCP102" s="247"/>
      <c r="UCQ102" s="247"/>
      <c r="UCR102" s="247"/>
      <c r="UCS102" s="247"/>
      <c r="UCT102" s="247"/>
      <c r="UCU102" s="247"/>
      <c r="UCV102" s="247"/>
      <c r="UCW102" s="247"/>
      <c r="UCX102" s="247"/>
      <c r="UCY102" s="247"/>
      <c r="UCZ102" s="247"/>
      <c r="UDA102" s="247"/>
      <c r="UDB102" s="247"/>
      <c r="UDC102" s="247"/>
      <c r="UDD102" s="247"/>
      <c r="UDE102" s="247"/>
      <c r="UDF102" s="247"/>
      <c r="UDG102" s="247"/>
      <c r="UDH102" s="247"/>
      <c r="UDI102" s="247"/>
      <c r="UDJ102" s="247"/>
      <c r="UDK102" s="247"/>
      <c r="UDL102" s="247"/>
      <c r="UDM102" s="247"/>
      <c r="UDN102" s="247"/>
      <c r="UDO102" s="247"/>
      <c r="UDP102" s="247"/>
      <c r="UDQ102" s="247"/>
      <c r="UDR102" s="247"/>
      <c r="UDS102" s="247"/>
      <c r="UDT102" s="247"/>
      <c r="UDU102" s="247"/>
      <c r="UDV102" s="247"/>
      <c r="UDW102" s="247"/>
      <c r="UDX102" s="247"/>
      <c r="UDY102" s="247"/>
      <c r="UDZ102" s="247"/>
      <c r="UEA102" s="247"/>
      <c r="UEB102" s="247"/>
      <c r="UEC102" s="247"/>
      <c r="UED102" s="247"/>
      <c r="UEE102" s="247"/>
      <c r="UEF102" s="247"/>
      <c r="UEG102" s="247"/>
      <c r="UEH102" s="247"/>
      <c r="UEI102" s="247"/>
      <c r="UEJ102" s="247"/>
      <c r="UEK102" s="247"/>
      <c r="UEL102" s="247"/>
      <c r="UEM102" s="247"/>
      <c r="UEN102" s="247"/>
      <c r="UEO102" s="247"/>
      <c r="UEP102" s="247"/>
      <c r="UEQ102" s="247"/>
      <c r="UER102" s="247"/>
      <c r="UES102" s="247"/>
      <c r="UET102" s="247"/>
      <c r="UEU102" s="247"/>
      <c r="UEV102" s="247"/>
      <c r="UEW102" s="247"/>
      <c r="UEX102" s="247"/>
      <c r="UEY102" s="247"/>
      <c r="UEZ102" s="247"/>
      <c r="UFA102" s="247"/>
      <c r="UFB102" s="247"/>
      <c r="UFC102" s="247"/>
      <c r="UFD102" s="247"/>
      <c r="UFE102" s="247"/>
      <c r="UFF102" s="247"/>
      <c r="UFG102" s="247"/>
      <c r="UFH102" s="247"/>
      <c r="UFI102" s="247"/>
      <c r="UFJ102" s="247"/>
      <c r="UFK102" s="247"/>
      <c r="UFL102" s="247"/>
      <c r="UFM102" s="247"/>
      <c r="UFN102" s="247"/>
      <c r="UFO102" s="247"/>
      <c r="UFP102" s="247"/>
      <c r="UFQ102" s="247"/>
      <c r="UFR102" s="247"/>
      <c r="UFS102" s="247"/>
      <c r="UFT102" s="247"/>
      <c r="UFU102" s="247"/>
      <c r="UFV102" s="247"/>
      <c r="UFW102" s="247"/>
      <c r="UFX102" s="247"/>
      <c r="UFY102" s="247"/>
      <c r="UFZ102" s="247"/>
      <c r="UGA102" s="247"/>
      <c r="UGB102" s="247"/>
      <c r="UGC102" s="247"/>
      <c r="UGD102" s="247"/>
      <c r="UGE102" s="247"/>
      <c r="UGF102" s="247"/>
      <c r="UGG102" s="247"/>
      <c r="UGH102" s="247"/>
      <c r="UGI102" s="247"/>
      <c r="UGJ102" s="247"/>
      <c r="UGK102" s="247"/>
      <c r="UGL102" s="247"/>
      <c r="UGM102" s="247"/>
      <c r="UGN102" s="247"/>
      <c r="UGO102" s="247"/>
      <c r="UGP102" s="247"/>
      <c r="UGQ102" s="247"/>
      <c r="UGR102" s="247"/>
      <c r="UGS102" s="247"/>
      <c r="UGT102" s="247"/>
      <c r="UGU102" s="247"/>
      <c r="UGV102" s="247"/>
      <c r="UGW102" s="247"/>
      <c r="UGX102" s="247"/>
      <c r="UGY102" s="247"/>
      <c r="UGZ102" s="247"/>
      <c r="UHA102" s="247"/>
      <c r="UHB102" s="247"/>
      <c r="UHC102" s="247"/>
      <c r="UHD102" s="247"/>
      <c r="UHE102" s="247"/>
      <c r="UHF102" s="247"/>
      <c r="UHG102" s="247"/>
      <c r="UHH102" s="247"/>
      <c r="UHI102" s="247"/>
      <c r="UHJ102" s="247"/>
      <c r="UHK102" s="247"/>
      <c r="UHL102" s="247"/>
      <c r="UHM102" s="247"/>
      <c r="UHN102" s="247"/>
      <c r="UHO102" s="247"/>
      <c r="UHP102" s="247"/>
      <c r="UHQ102" s="247"/>
      <c r="UHR102" s="247"/>
      <c r="UHS102" s="247"/>
      <c r="UHT102" s="247"/>
      <c r="UHU102" s="247"/>
      <c r="UHV102" s="247"/>
      <c r="UHW102" s="247"/>
      <c r="UHX102" s="247"/>
      <c r="UHY102" s="247"/>
      <c r="UHZ102" s="247"/>
      <c r="UIA102" s="247"/>
      <c r="UIB102" s="247"/>
      <c r="UIC102" s="247"/>
      <c r="UID102" s="247"/>
      <c r="UIE102" s="247"/>
      <c r="UIF102" s="247"/>
      <c r="UIG102" s="247"/>
      <c r="UIH102" s="247"/>
      <c r="UII102" s="247"/>
      <c r="UIJ102" s="247"/>
      <c r="UIK102" s="247"/>
      <c r="UIL102" s="247"/>
      <c r="UIM102" s="247"/>
      <c r="UIN102" s="247"/>
      <c r="UIO102" s="247"/>
      <c r="UIP102" s="247"/>
      <c r="UIQ102" s="247"/>
      <c r="UIR102" s="247"/>
      <c r="UIS102" s="247"/>
      <c r="UIT102" s="247"/>
      <c r="UIU102" s="247"/>
      <c r="UIV102" s="247"/>
      <c r="UIW102" s="247"/>
      <c r="UIX102" s="247"/>
      <c r="UIY102" s="247"/>
      <c r="UIZ102" s="247"/>
      <c r="UJA102" s="247"/>
      <c r="UJB102" s="247"/>
      <c r="UJC102" s="247"/>
      <c r="UJD102" s="247"/>
      <c r="UJE102" s="247"/>
      <c r="UJF102" s="247"/>
      <c r="UJG102" s="247"/>
      <c r="UJH102" s="247"/>
      <c r="UJI102" s="247"/>
      <c r="UJJ102" s="247"/>
      <c r="UJK102" s="247"/>
      <c r="UJL102" s="247"/>
      <c r="UJM102" s="247"/>
      <c r="UJN102" s="247"/>
      <c r="UJO102" s="247"/>
      <c r="UJP102" s="247"/>
      <c r="UJQ102" s="247"/>
      <c r="UJR102" s="247"/>
      <c r="UJS102" s="247"/>
      <c r="UJT102" s="247"/>
      <c r="UJU102" s="247"/>
      <c r="UJV102" s="247"/>
      <c r="UJW102" s="247"/>
      <c r="UJX102" s="247"/>
      <c r="UJY102" s="247"/>
      <c r="UJZ102" s="247"/>
      <c r="UKA102" s="247"/>
      <c r="UKB102" s="247"/>
      <c r="UKC102" s="247"/>
      <c r="UKD102" s="247"/>
      <c r="UKE102" s="247"/>
      <c r="UKF102" s="247"/>
      <c r="UKG102" s="247"/>
      <c r="UKH102" s="247"/>
      <c r="UKI102" s="247"/>
      <c r="UKJ102" s="247"/>
      <c r="UKK102" s="247"/>
      <c r="UKL102" s="247"/>
      <c r="UKM102" s="247"/>
      <c r="UKN102" s="247"/>
      <c r="UKO102" s="247"/>
      <c r="UKP102" s="247"/>
      <c r="UKQ102" s="247"/>
      <c r="UKR102" s="247"/>
      <c r="UKS102" s="247"/>
      <c r="UKT102" s="247"/>
      <c r="UKU102" s="247"/>
      <c r="UKV102" s="247"/>
      <c r="UKW102" s="247"/>
      <c r="UKX102" s="247"/>
      <c r="UKY102" s="247"/>
      <c r="UKZ102" s="247"/>
      <c r="ULA102" s="247"/>
      <c r="ULB102" s="247"/>
      <c r="ULC102" s="247"/>
      <c r="ULD102" s="247"/>
      <c r="ULE102" s="247"/>
      <c r="ULF102" s="247"/>
      <c r="ULG102" s="247"/>
      <c r="ULH102" s="247"/>
      <c r="ULI102" s="247"/>
      <c r="ULJ102" s="247"/>
      <c r="ULK102" s="247"/>
      <c r="ULL102" s="247"/>
      <c r="ULM102" s="247"/>
      <c r="ULN102" s="247"/>
      <c r="ULO102" s="247"/>
      <c r="ULP102" s="247"/>
      <c r="ULQ102" s="247"/>
      <c r="ULR102" s="247"/>
      <c r="ULS102" s="247"/>
      <c r="ULT102" s="247"/>
      <c r="ULU102" s="247"/>
      <c r="ULV102" s="247"/>
      <c r="ULW102" s="247"/>
      <c r="ULX102" s="247"/>
      <c r="ULY102" s="247"/>
      <c r="ULZ102" s="247"/>
      <c r="UMA102" s="247"/>
      <c r="UMB102" s="247"/>
      <c r="UMC102" s="247"/>
      <c r="UMD102" s="247"/>
      <c r="UME102" s="247"/>
      <c r="UMF102" s="247"/>
      <c r="UMG102" s="247"/>
      <c r="UMH102" s="247"/>
      <c r="UMI102" s="247"/>
      <c r="UMJ102" s="247"/>
      <c r="UMK102" s="247"/>
      <c r="UML102" s="247"/>
      <c r="UMM102" s="247"/>
      <c r="UMN102" s="247"/>
      <c r="UMO102" s="247"/>
      <c r="UMP102" s="247"/>
      <c r="UMQ102" s="247"/>
      <c r="UMR102" s="247"/>
      <c r="UMS102" s="247"/>
      <c r="UMT102" s="247"/>
      <c r="UMU102" s="247"/>
      <c r="UMV102" s="247"/>
      <c r="UMW102" s="247"/>
      <c r="UMX102" s="247"/>
      <c r="UMY102" s="247"/>
      <c r="UMZ102" s="247"/>
      <c r="UNA102" s="247"/>
      <c r="UNB102" s="247"/>
      <c r="UNC102" s="247"/>
      <c r="UND102" s="247"/>
      <c r="UNE102" s="247"/>
      <c r="UNF102" s="247"/>
      <c r="UNG102" s="247"/>
      <c r="UNH102" s="247"/>
      <c r="UNI102" s="247"/>
      <c r="UNJ102" s="247"/>
      <c r="UNK102" s="247"/>
      <c r="UNL102" s="247"/>
      <c r="UNM102" s="247"/>
      <c r="UNN102" s="247"/>
      <c r="UNO102" s="247"/>
      <c r="UNP102" s="247"/>
      <c r="UNQ102" s="247"/>
      <c r="UNR102" s="247"/>
      <c r="UNS102" s="247"/>
      <c r="UNT102" s="247"/>
      <c r="UNU102" s="247"/>
      <c r="UNV102" s="247"/>
      <c r="UNW102" s="247"/>
      <c r="UNX102" s="247"/>
      <c r="UNY102" s="247"/>
      <c r="UNZ102" s="247"/>
      <c r="UOA102" s="247"/>
      <c r="UOB102" s="247"/>
      <c r="UOC102" s="247"/>
      <c r="UOD102" s="247"/>
      <c r="UOE102" s="247"/>
      <c r="UOF102" s="247"/>
      <c r="UOG102" s="247"/>
      <c r="UOH102" s="247"/>
      <c r="UOI102" s="247"/>
      <c r="UOJ102" s="247"/>
      <c r="UOK102" s="247"/>
      <c r="UOL102" s="247"/>
      <c r="UOM102" s="247"/>
      <c r="UON102" s="247"/>
      <c r="UOO102" s="247"/>
      <c r="UOP102" s="247"/>
      <c r="UOQ102" s="247"/>
      <c r="UOR102" s="247"/>
      <c r="UOS102" s="247"/>
      <c r="UOT102" s="247"/>
      <c r="UOU102" s="247"/>
      <c r="UOV102" s="247"/>
      <c r="UOW102" s="247"/>
      <c r="UOX102" s="247"/>
      <c r="UOY102" s="247"/>
      <c r="UOZ102" s="247"/>
      <c r="UPA102" s="247"/>
      <c r="UPB102" s="247"/>
      <c r="UPC102" s="247"/>
      <c r="UPD102" s="247"/>
      <c r="UPE102" s="247"/>
      <c r="UPF102" s="247"/>
      <c r="UPG102" s="247"/>
      <c r="UPH102" s="247"/>
      <c r="UPI102" s="247"/>
      <c r="UPJ102" s="247"/>
      <c r="UPK102" s="247"/>
      <c r="UPL102" s="247"/>
      <c r="UPM102" s="247"/>
      <c r="UPN102" s="247"/>
      <c r="UPO102" s="247"/>
      <c r="UPP102" s="247"/>
      <c r="UPQ102" s="247"/>
      <c r="UPR102" s="247"/>
      <c r="UPS102" s="247"/>
      <c r="UPT102" s="247"/>
      <c r="UPU102" s="247"/>
      <c r="UPV102" s="247"/>
      <c r="UPW102" s="247"/>
      <c r="UPX102" s="247"/>
      <c r="UPY102" s="247"/>
      <c r="UPZ102" s="247"/>
      <c r="UQA102" s="247"/>
      <c r="UQB102" s="247"/>
      <c r="UQC102" s="247"/>
      <c r="UQD102" s="247"/>
      <c r="UQE102" s="247"/>
      <c r="UQF102" s="247"/>
      <c r="UQG102" s="247"/>
      <c r="UQH102" s="247"/>
      <c r="UQI102" s="247"/>
      <c r="UQJ102" s="247"/>
      <c r="UQK102" s="247"/>
      <c r="UQL102" s="247"/>
      <c r="UQM102" s="247"/>
      <c r="UQN102" s="247"/>
      <c r="UQO102" s="247"/>
      <c r="UQP102" s="247"/>
      <c r="UQQ102" s="247"/>
      <c r="UQR102" s="247"/>
      <c r="UQS102" s="247"/>
      <c r="UQT102" s="247"/>
      <c r="UQU102" s="247"/>
      <c r="UQV102" s="247"/>
      <c r="UQW102" s="247"/>
      <c r="UQX102" s="247"/>
      <c r="UQY102" s="247"/>
      <c r="UQZ102" s="247"/>
      <c r="URA102" s="247"/>
      <c r="URB102" s="247"/>
      <c r="URC102" s="247"/>
      <c r="URD102" s="247"/>
      <c r="URE102" s="247"/>
      <c r="URF102" s="247"/>
      <c r="URG102" s="247"/>
      <c r="URH102" s="247"/>
      <c r="URI102" s="247"/>
      <c r="URJ102" s="247"/>
      <c r="URK102" s="247"/>
      <c r="URL102" s="247"/>
      <c r="URM102" s="247"/>
      <c r="URN102" s="247"/>
      <c r="URO102" s="247"/>
      <c r="URP102" s="247"/>
      <c r="URQ102" s="247"/>
      <c r="URR102" s="247"/>
      <c r="URS102" s="247"/>
      <c r="URT102" s="247"/>
      <c r="URU102" s="247"/>
      <c r="URV102" s="247"/>
      <c r="URW102" s="247"/>
      <c r="URX102" s="247"/>
      <c r="URY102" s="247"/>
      <c r="URZ102" s="247"/>
      <c r="USA102" s="247"/>
      <c r="USB102" s="247"/>
      <c r="USC102" s="247"/>
      <c r="USD102" s="247"/>
      <c r="USE102" s="247"/>
      <c r="USF102" s="247"/>
      <c r="USG102" s="247"/>
      <c r="USH102" s="247"/>
      <c r="USI102" s="247"/>
      <c r="USJ102" s="247"/>
      <c r="USK102" s="247"/>
      <c r="USL102" s="247"/>
      <c r="USM102" s="247"/>
      <c r="USN102" s="247"/>
      <c r="USO102" s="247"/>
      <c r="USP102" s="247"/>
      <c r="USQ102" s="247"/>
      <c r="USR102" s="247"/>
      <c r="USS102" s="247"/>
      <c r="UST102" s="247"/>
      <c r="USU102" s="247"/>
      <c r="USV102" s="247"/>
      <c r="USW102" s="247"/>
      <c r="USX102" s="247"/>
      <c r="USY102" s="247"/>
      <c r="USZ102" s="247"/>
      <c r="UTA102" s="247"/>
      <c r="UTB102" s="247"/>
      <c r="UTC102" s="247"/>
      <c r="UTD102" s="247"/>
      <c r="UTE102" s="247"/>
      <c r="UTF102" s="247"/>
      <c r="UTG102" s="247"/>
      <c r="UTH102" s="247"/>
      <c r="UTI102" s="247"/>
      <c r="UTJ102" s="247"/>
      <c r="UTK102" s="247"/>
      <c r="UTL102" s="247"/>
      <c r="UTM102" s="247"/>
      <c r="UTN102" s="247"/>
      <c r="UTO102" s="247"/>
      <c r="UTP102" s="247"/>
      <c r="UTQ102" s="247"/>
      <c r="UTR102" s="247"/>
      <c r="UTS102" s="247"/>
      <c r="UTT102" s="247"/>
      <c r="UTU102" s="247"/>
      <c r="UTV102" s="247"/>
      <c r="UTW102" s="247"/>
      <c r="UTX102" s="247"/>
      <c r="UTY102" s="247"/>
      <c r="UTZ102" s="247"/>
      <c r="UUA102" s="247"/>
      <c r="UUB102" s="247"/>
      <c r="UUC102" s="247"/>
      <c r="UUD102" s="247"/>
      <c r="UUE102" s="247"/>
      <c r="UUF102" s="247"/>
      <c r="UUG102" s="247"/>
      <c r="UUH102" s="247"/>
      <c r="UUI102" s="247"/>
      <c r="UUJ102" s="247"/>
      <c r="UUK102" s="247"/>
      <c r="UUL102" s="247"/>
      <c r="UUM102" s="247"/>
      <c r="UUN102" s="247"/>
      <c r="UUO102" s="247"/>
      <c r="UUP102" s="247"/>
      <c r="UUQ102" s="247"/>
      <c r="UUR102" s="247"/>
      <c r="UUS102" s="247"/>
      <c r="UUT102" s="247"/>
      <c r="UUU102" s="247"/>
      <c r="UUV102" s="247"/>
      <c r="UUW102" s="247"/>
      <c r="UUX102" s="247"/>
      <c r="UUY102" s="247"/>
      <c r="UUZ102" s="247"/>
      <c r="UVA102" s="247"/>
      <c r="UVB102" s="247"/>
      <c r="UVC102" s="247"/>
      <c r="UVD102" s="247"/>
      <c r="UVE102" s="247"/>
      <c r="UVF102" s="247"/>
      <c r="UVG102" s="247"/>
      <c r="UVH102" s="247"/>
      <c r="UVI102" s="247"/>
      <c r="UVJ102" s="247"/>
      <c r="UVK102" s="247"/>
      <c r="UVL102" s="247"/>
      <c r="UVM102" s="247"/>
      <c r="UVN102" s="247"/>
      <c r="UVO102" s="247"/>
      <c r="UVP102" s="247"/>
      <c r="UVQ102" s="247"/>
      <c r="UVR102" s="247"/>
      <c r="UVS102" s="247"/>
      <c r="UVT102" s="247"/>
      <c r="UVU102" s="247"/>
      <c r="UVV102" s="247"/>
      <c r="UVW102" s="247"/>
      <c r="UVX102" s="247"/>
      <c r="UVY102" s="247"/>
      <c r="UVZ102" s="247"/>
      <c r="UWA102" s="247"/>
      <c r="UWB102" s="247"/>
      <c r="UWC102" s="247"/>
      <c r="UWD102" s="247"/>
      <c r="UWE102" s="247"/>
      <c r="UWF102" s="247"/>
      <c r="UWG102" s="247"/>
      <c r="UWH102" s="247"/>
      <c r="UWI102" s="247"/>
      <c r="UWJ102" s="247"/>
      <c r="UWK102" s="247"/>
      <c r="UWL102" s="247"/>
      <c r="UWM102" s="247"/>
      <c r="UWN102" s="247"/>
      <c r="UWO102" s="247"/>
      <c r="UWP102" s="247"/>
      <c r="UWQ102" s="247"/>
      <c r="UWR102" s="247"/>
      <c r="UWS102" s="247"/>
      <c r="UWT102" s="247"/>
      <c r="UWU102" s="247"/>
      <c r="UWV102" s="247"/>
      <c r="UWW102" s="247"/>
      <c r="UWX102" s="247"/>
      <c r="UWY102" s="247"/>
      <c r="UWZ102" s="247"/>
      <c r="UXA102" s="247"/>
      <c r="UXB102" s="247"/>
      <c r="UXC102" s="247"/>
      <c r="UXD102" s="247"/>
      <c r="UXE102" s="247"/>
      <c r="UXF102" s="247"/>
      <c r="UXG102" s="247"/>
      <c r="UXH102" s="247"/>
      <c r="UXI102" s="247"/>
      <c r="UXJ102" s="247"/>
      <c r="UXK102" s="247"/>
      <c r="UXL102" s="247"/>
      <c r="UXM102" s="247"/>
      <c r="UXN102" s="247"/>
      <c r="UXO102" s="247"/>
      <c r="UXP102" s="247"/>
      <c r="UXQ102" s="247"/>
      <c r="UXR102" s="247"/>
      <c r="UXS102" s="247"/>
      <c r="UXT102" s="247"/>
      <c r="UXU102" s="247"/>
      <c r="UXV102" s="247"/>
      <c r="UXW102" s="247"/>
      <c r="UXX102" s="247"/>
      <c r="UXY102" s="247"/>
      <c r="UXZ102" s="247"/>
      <c r="UYA102" s="247"/>
      <c r="UYB102" s="247"/>
      <c r="UYC102" s="247"/>
      <c r="UYD102" s="247"/>
      <c r="UYE102" s="247"/>
      <c r="UYF102" s="247"/>
      <c r="UYG102" s="247"/>
      <c r="UYH102" s="247"/>
      <c r="UYI102" s="247"/>
      <c r="UYJ102" s="247"/>
      <c r="UYK102" s="247"/>
      <c r="UYL102" s="247"/>
      <c r="UYM102" s="247"/>
      <c r="UYN102" s="247"/>
      <c r="UYO102" s="247"/>
      <c r="UYP102" s="247"/>
      <c r="UYQ102" s="247"/>
      <c r="UYR102" s="247"/>
      <c r="UYS102" s="247"/>
      <c r="UYT102" s="247"/>
      <c r="UYU102" s="247"/>
      <c r="UYV102" s="247"/>
      <c r="UYW102" s="247"/>
      <c r="UYX102" s="247"/>
      <c r="UYY102" s="247"/>
      <c r="UYZ102" s="247"/>
      <c r="UZA102" s="247"/>
      <c r="UZB102" s="247"/>
      <c r="UZC102" s="247"/>
      <c r="UZD102" s="247"/>
      <c r="UZE102" s="247"/>
      <c r="UZF102" s="247"/>
      <c r="UZG102" s="247"/>
      <c r="UZH102" s="247"/>
      <c r="UZI102" s="247"/>
      <c r="UZJ102" s="247"/>
      <c r="UZK102" s="247"/>
      <c r="UZL102" s="247"/>
      <c r="UZM102" s="247"/>
      <c r="UZN102" s="247"/>
      <c r="UZO102" s="247"/>
      <c r="UZP102" s="247"/>
      <c r="UZQ102" s="247"/>
      <c r="UZR102" s="247"/>
      <c r="UZS102" s="247"/>
      <c r="UZT102" s="247"/>
      <c r="UZU102" s="247"/>
      <c r="UZV102" s="247"/>
      <c r="UZW102" s="247"/>
      <c r="UZX102" s="247"/>
      <c r="UZY102" s="247"/>
      <c r="UZZ102" s="247"/>
      <c r="VAA102" s="247"/>
      <c r="VAB102" s="247"/>
      <c r="VAC102" s="247"/>
      <c r="VAD102" s="247"/>
      <c r="VAE102" s="247"/>
      <c r="VAF102" s="247"/>
      <c r="VAG102" s="247"/>
      <c r="VAH102" s="247"/>
      <c r="VAI102" s="247"/>
      <c r="VAJ102" s="247"/>
      <c r="VAK102" s="247"/>
      <c r="VAL102" s="247"/>
      <c r="VAM102" s="247"/>
      <c r="VAN102" s="247"/>
      <c r="VAO102" s="247"/>
      <c r="VAP102" s="247"/>
      <c r="VAQ102" s="247"/>
      <c r="VAR102" s="247"/>
      <c r="VAS102" s="247"/>
      <c r="VAT102" s="247"/>
      <c r="VAU102" s="247"/>
      <c r="VAV102" s="247"/>
      <c r="VAW102" s="247"/>
      <c r="VAX102" s="247"/>
      <c r="VAY102" s="247"/>
      <c r="VAZ102" s="247"/>
      <c r="VBA102" s="247"/>
      <c r="VBB102" s="247"/>
      <c r="VBC102" s="247"/>
      <c r="VBD102" s="247"/>
      <c r="VBE102" s="247"/>
      <c r="VBF102" s="247"/>
      <c r="VBG102" s="247"/>
      <c r="VBH102" s="247"/>
      <c r="VBI102" s="247"/>
      <c r="VBJ102" s="247"/>
      <c r="VBK102" s="247"/>
      <c r="VBL102" s="247"/>
      <c r="VBM102" s="247"/>
      <c r="VBN102" s="247"/>
      <c r="VBO102" s="247"/>
      <c r="VBP102" s="247"/>
      <c r="VBQ102" s="247"/>
      <c r="VBR102" s="247"/>
      <c r="VBS102" s="247"/>
      <c r="VBT102" s="247"/>
      <c r="VBU102" s="247"/>
      <c r="VBV102" s="247"/>
      <c r="VBW102" s="247"/>
      <c r="VBX102" s="247"/>
      <c r="VBY102" s="247"/>
      <c r="VBZ102" s="247"/>
      <c r="VCA102" s="247"/>
      <c r="VCB102" s="247"/>
      <c r="VCC102" s="247"/>
      <c r="VCD102" s="247"/>
      <c r="VCE102" s="247"/>
      <c r="VCF102" s="247"/>
      <c r="VCG102" s="247"/>
      <c r="VCH102" s="247"/>
      <c r="VCI102" s="247"/>
      <c r="VCJ102" s="247"/>
      <c r="VCK102" s="247"/>
      <c r="VCL102" s="247"/>
      <c r="VCM102" s="247"/>
      <c r="VCN102" s="247"/>
      <c r="VCO102" s="247"/>
      <c r="VCP102" s="247"/>
      <c r="VCQ102" s="247"/>
      <c r="VCR102" s="247"/>
      <c r="VCS102" s="247"/>
      <c r="VCT102" s="247"/>
      <c r="VCU102" s="247"/>
      <c r="VCV102" s="247"/>
      <c r="VCW102" s="247"/>
      <c r="VCX102" s="247"/>
      <c r="VCY102" s="247"/>
      <c r="VCZ102" s="247"/>
      <c r="VDA102" s="247"/>
      <c r="VDB102" s="247"/>
      <c r="VDC102" s="247"/>
      <c r="VDD102" s="247"/>
      <c r="VDE102" s="247"/>
      <c r="VDF102" s="247"/>
      <c r="VDG102" s="247"/>
      <c r="VDH102" s="247"/>
      <c r="VDI102" s="247"/>
      <c r="VDJ102" s="247"/>
      <c r="VDK102" s="247"/>
      <c r="VDL102" s="247"/>
      <c r="VDM102" s="247"/>
      <c r="VDN102" s="247"/>
      <c r="VDO102" s="247"/>
      <c r="VDP102" s="247"/>
      <c r="VDQ102" s="247"/>
      <c r="VDR102" s="247"/>
      <c r="VDS102" s="247"/>
      <c r="VDT102" s="247"/>
      <c r="VDU102" s="247"/>
      <c r="VDV102" s="247"/>
      <c r="VDW102" s="247"/>
      <c r="VDX102" s="247"/>
      <c r="VDY102" s="247"/>
      <c r="VDZ102" s="247"/>
      <c r="VEA102" s="247"/>
      <c r="VEB102" s="247"/>
      <c r="VEC102" s="247"/>
      <c r="VED102" s="247"/>
      <c r="VEE102" s="247"/>
      <c r="VEF102" s="247"/>
      <c r="VEG102" s="247"/>
      <c r="VEH102" s="247"/>
      <c r="VEI102" s="247"/>
      <c r="VEJ102" s="247"/>
      <c r="VEK102" s="247"/>
      <c r="VEL102" s="247"/>
      <c r="VEM102" s="247"/>
      <c r="VEN102" s="247"/>
      <c r="VEO102" s="247"/>
      <c r="VEP102" s="247"/>
      <c r="VEQ102" s="247"/>
      <c r="VER102" s="247"/>
      <c r="VES102" s="247"/>
      <c r="VET102" s="247"/>
      <c r="VEU102" s="247"/>
      <c r="VEV102" s="247"/>
      <c r="VEW102" s="247"/>
      <c r="VEX102" s="247"/>
      <c r="VEY102" s="247"/>
      <c r="VEZ102" s="247"/>
      <c r="VFA102" s="247"/>
      <c r="VFB102" s="247"/>
      <c r="VFC102" s="247"/>
      <c r="VFD102" s="247"/>
      <c r="VFE102" s="247"/>
      <c r="VFF102" s="247"/>
      <c r="VFG102" s="247"/>
      <c r="VFH102" s="247"/>
      <c r="VFI102" s="247"/>
      <c r="VFJ102" s="247"/>
      <c r="VFK102" s="247"/>
      <c r="VFL102" s="247"/>
      <c r="VFM102" s="247"/>
      <c r="VFN102" s="247"/>
      <c r="VFO102" s="247"/>
      <c r="VFP102" s="247"/>
      <c r="VFQ102" s="247"/>
      <c r="VFR102" s="247"/>
      <c r="VFS102" s="247"/>
      <c r="VFT102" s="247"/>
      <c r="VFU102" s="247"/>
      <c r="VFV102" s="247"/>
      <c r="VFW102" s="247"/>
      <c r="VFX102" s="247"/>
      <c r="VFY102" s="247"/>
      <c r="VFZ102" s="247"/>
      <c r="VGA102" s="247"/>
      <c r="VGB102" s="247"/>
      <c r="VGC102" s="247"/>
      <c r="VGD102" s="247"/>
      <c r="VGE102" s="247"/>
      <c r="VGF102" s="247"/>
      <c r="VGG102" s="247"/>
      <c r="VGH102" s="247"/>
      <c r="VGI102" s="247"/>
      <c r="VGJ102" s="247"/>
      <c r="VGK102" s="247"/>
      <c r="VGL102" s="247"/>
      <c r="VGM102" s="247"/>
      <c r="VGN102" s="247"/>
      <c r="VGO102" s="247"/>
      <c r="VGP102" s="247"/>
      <c r="VGQ102" s="247"/>
      <c r="VGR102" s="247"/>
      <c r="VGS102" s="247"/>
      <c r="VGT102" s="247"/>
      <c r="VGU102" s="247"/>
      <c r="VGV102" s="247"/>
      <c r="VGW102" s="247"/>
      <c r="VGX102" s="247"/>
      <c r="VGY102" s="247"/>
      <c r="VGZ102" s="247"/>
      <c r="VHA102" s="247"/>
      <c r="VHB102" s="247"/>
      <c r="VHC102" s="247"/>
      <c r="VHD102" s="247"/>
      <c r="VHE102" s="247"/>
      <c r="VHF102" s="247"/>
      <c r="VHG102" s="247"/>
      <c r="VHH102" s="247"/>
      <c r="VHI102" s="247"/>
      <c r="VHJ102" s="247"/>
      <c r="VHK102" s="247"/>
      <c r="VHL102" s="247"/>
      <c r="VHM102" s="247"/>
      <c r="VHN102" s="247"/>
      <c r="VHO102" s="247"/>
      <c r="VHP102" s="247"/>
      <c r="VHQ102" s="247"/>
      <c r="VHR102" s="247"/>
      <c r="VHS102" s="247"/>
      <c r="VHT102" s="247"/>
      <c r="VHU102" s="247"/>
      <c r="VHV102" s="247"/>
      <c r="VHW102" s="247"/>
      <c r="VHX102" s="247"/>
      <c r="VHY102" s="247"/>
      <c r="VHZ102" s="247"/>
      <c r="VIA102" s="247"/>
      <c r="VIB102" s="247"/>
      <c r="VIC102" s="247"/>
      <c r="VID102" s="247"/>
      <c r="VIE102" s="247"/>
      <c r="VIF102" s="247"/>
      <c r="VIG102" s="247"/>
      <c r="VIH102" s="247"/>
      <c r="VII102" s="247"/>
      <c r="VIJ102" s="247"/>
      <c r="VIK102" s="247"/>
      <c r="VIL102" s="247"/>
      <c r="VIM102" s="247"/>
      <c r="VIN102" s="247"/>
      <c r="VIO102" s="247"/>
      <c r="VIP102" s="247"/>
      <c r="VIQ102" s="247"/>
      <c r="VIR102" s="247"/>
      <c r="VIS102" s="247"/>
      <c r="VIT102" s="247"/>
      <c r="VIU102" s="247"/>
      <c r="VIV102" s="247"/>
      <c r="VIW102" s="247"/>
      <c r="VIX102" s="247"/>
      <c r="VIY102" s="247"/>
      <c r="VIZ102" s="247"/>
      <c r="VJA102" s="247"/>
      <c r="VJB102" s="247"/>
      <c r="VJC102" s="247"/>
      <c r="VJD102" s="247"/>
      <c r="VJE102" s="247"/>
      <c r="VJF102" s="247"/>
      <c r="VJG102" s="247"/>
      <c r="VJH102" s="247"/>
      <c r="VJI102" s="247"/>
      <c r="VJJ102" s="247"/>
      <c r="VJK102" s="247"/>
      <c r="VJL102" s="247"/>
      <c r="VJM102" s="247"/>
      <c r="VJN102" s="247"/>
      <c r="VJO102" s="247"/>
      <c r="VJP102" s="247"/>
      <c r="VJQ102" s="247"/>
      <c r="VJR102" s="247"/>
      <c r="VJS102" s="247"/>
      <c r="VJT102" s="247"/>
      <c r="VJU102" s="247"/>
      <c r="VJV102" s="247"/>
      <c r="VJW102" s="247"/>
      <c r="VJX102" s="247"/>
      <c r="VJY102" s="247"/>
      <c r="VJZ102" s="247"/>
      <c r="VKA102" s="247"/>
      <c r="VKB102" s="247"/>
      <c r="VKC102" s="247"/>
      <c r="VKD102" s="247"/>
      <c r="VKE102" s="247"/>
      <c r="VKF102" s="247"/>
      <c r="VKG102" s="247"/>
      <c r="VKH102" s="247"/>
      <c r="VKI102" s="247"/>
      <c r="VKJ102" s="247"/>
      <c r="VKK102" s="247"/>
      <c r="VKL102" s="247"/>
      <c r="VKM102" s="247"/>
      <c r="VKN102" s="247"/>
      <c r="VKO102" s="247"/>
      <c r="VKP102" s="247"/>
      <c r="VKQ102" s="247"/>
      <c r="VKR102" s="247"/>
      <c r="VKS102" s="247"/>
      <c r="VKT102" s="247"/>
      <c r="VKU102" s="247"/>
      <c r="VKV102" s="247"/>
      <c r="VKW102" s="247"/>
      <c r="VKX102" s="247"/>
      <c r="VKY102" s="247"/>
      <c r="VKZ102" s="247"/>
      <c r="VLA102" s="247"/>
      <c r="VLB102" s="247"/>
      <c r="VLC102" s="247"/>
      <c r="VLD102" s="247"/>
      <c r="VLE102" s="247"/>
      <c r="VLF102" s="247"/>
      <c r="VLG102" s="247"/>
      <c r="VLH102" s="247"/>
      <c r="VLI102" s="247"/>
      <c r="VLJ102" s="247"/>
      <c r="VLK102" s="247"/>
      <c r="VLL102" s="247"/>
      <c r="VLM102" s="247"/>
      <c r="VLN102" s="247"/>
      <c r="VLO102" s="247"/>
      <c r="VLP102" s="247"/>
      <c r="VLQ102" s="247"/>
      <c r="VLR102" s="247"/>
      <c r="VLS102" s="247"/>
      <c r="VLT102" s="247"/>
      <c r="VLU102" s="247"/>
      <c r="VLV102" s="247"/>
      <c r="VLW102" s="247"/>
      <c r="VLX102" s="247"/>
      <c r="VLY102" s="247"/>
      <c r="VLZ102" s="247"/>
      <c r="VMA102" s="247"/>
      <c r="VMB102" s="247"/>
      <c r="VMC102" s="247"/>
      <c r="VMD102" s="247"/>
      <c r="VME102" s="247"/>
      <c r="VMF102" s="247"/>
      <c r="VMG102" s="247"/>
      <c r="VMH102" s="247"/>
      <c r="VMI102" s="247"/>
      <c r="VMJ102" s="247"/>
      <c r="VMK102" s="247"/>
      <c r="VML102" s="247"/>
      <c r="VMM102" s="247"/>
      <c r="VMN102" s="247"/>
      <c r="VMO102" s="247"/>
      <c r="VMP102" s="247"/>
      <c r="VMQ102" s="247"/>
      <c r="VMR102" s="247"/>
      <c r="VMS102" s="247"/>
      <c r="VMT102" s="247"/>
      <c r="VMU102" s="247"/>
      <c r="VMV102" s="247"/>
      <c r="VMW102" s="247"/>
      <c r="VMX102" s="247"/>
      <c r="VMY102" s="247"/>
      <c r="VMZ102" s="247"/>
      <c r="VNA102" s="247"/>
      <c r="VNB102" s="247"/>
      <c r="VNC102" s="247"/>
      <c r="VND102" s="247"/>
      <c r="VNE102" s="247"/>
      <c r="VNF102" s="247"/>
      <c r="VNG102" s="247"/>
      <c r="VNH102" s="247"/>
      <c r="VNI102" s="247"/>
      <c r="VNJ102" s="247"/>
      <c r="VNK102" s="247"/>
      <c r="VNL102" s="247"/>
      <c r="VNM102" s="247"/>
      <c r="VNN102" s="247"/>
      <c r="VNO102" s="247"/>
      <c r="VNP102" s="247"/>
      <c r="VNQ102" s="247"/>
      <c r="VNR102" s="247"/>
      <c r="VNS102" s="247"/>
      <c r="VNT102" s="247"/>
      <c r="VNU102" s="247"/>
      <c r="VNV102" s="247"/>
      <c r="VNW102" s="247"/>
      <c r="VNX102" s="247"/>
      <c r="VNY102" s="247"/>
      <c r="VNZ102" s="247"/>
      <c r="VOA102" s="247"/>
      <c r="VOB102" s="247"/>
      <c r="VOC102" s="247"/>
      <c r="VOD102" s="247"/>
      <c r="VOE102" s="247"/>
      <c r="VOF102" s="247"/>
      <c r="VOG102" s="247"/>
      <c r="VOH102" s="247"/>
      <c r="VOI102" s="247"/>
      <c r="VOJ102" s="247"/>
      <c r="VOK102" s="247"/>
      <c r="VOL102" s="247"/>
      <c r="VOM102" s="247"/>
      <c r="VON102" s="247"/>
      <c r="VOO102" s="247"/>
      <c r="VOP102" s="247"/>
      <c r="VOQ102" s="247"/>
      <c r="VOR102" s="247"/>
      <c r="VOS102" s="247"/>
      <c r="VOT102" s="247"/>
      <c r="VOU102" s="247"/>
      <c r="VOV102" s="247"/>
      <c r="VOW102" s="247"/>
      <c r="VOX102" s="247"/>
      <c r="VOY102" s="247"/>
      <c r="VOZ102" s="247"/>
      <c r="VPA102" s="247"/>
      <c r="VPB102" s="247"/>
      <c r="VPC102" s="247"/>
      <c r="VPD102" s="247"/>
      <c r="VPE102" s="247"/>
      <c r="VPF102" s="247"/>
      <c r="VPG102" s="247"/>
      <c r="VPH102" s="247"/>
      <c r="VPI102" s="247"/>
      <c r="VPJ102" s="247"/>
      <c r="VPK102" s="247"/>
      <c r="VPL102" s="247"/>
      <c r="VPM102" s="247"/>
      <c r="VPN102" s="247"/>
      <c r="VPO102" s="247"/>
      <c r="VPP102" s="247"/>
      <c r="VPQ102" s="247"/>
      <c r="VPR102" s="247"/>
      <c r="VPS102" s="247"/>
      <c r="VPT102" s="247"/>
      <c r="VPU102" s="247"/>
      <c r="VPV102" s="247"/>
      <c r="VPW102" s="247"/>
      <c r="VPX102" s="247"/>
      <c r="VPY102" s="247"/>
      <c r="VPZ102" s="247"/>
      <c r="VQA102" s="247"/>
      <c r="VQB102" s="247"/>
      <c r="VQC102" s="247"/>
      <c r="VQD102" s="247"/>
      <c r="VQE102" s="247"/>
      <c r="VQF102" s="247"/>
      <c r="VQG102" s="247"/>
      <c r="VQH102" s="247"/>
      <c r="VQI102" s="247"/>
      <c r="VQJ102" s="247"/>
      <c r="VQK102" s="247"/>
      <c r="VQL102" s="247"/>
      <c r="VQM102" s="247"/>
      <c r="VQN102" s="247"/>
      <c r="VQO102" s="247"/>
      <c r="VQP102" s="247"/>
      <c r="VQQ102" s="247"/>
      <c r="VQR102" s="247"/>
      <c r="VQS102" s="247"/>
      <c r="VQT102" s="247"/>
      <c r="VQU102" s="247"/>
      <c r="VQV102" s="247"/>
      <c r="VQW102" s="247"/>
      <c r="VQX102" s="247"/>
      <c r="VQY102" s="247"/>
      <c r="VQZ102" s="247"/>
      <c r="VRA102" s="247"/>
      <c r="VRB102" s="247"/>
      <c r="VRC102" s="247"/>
      <c r="VRD102" s="247"/>
      <c r="VRE102" s="247"/>
      <c r="VRF102" s="247"/>
      <c r="VRG102" s="247"/>
      <c r="VRH102" s="247"/>
      <c r="VRI102" s="247"/>
      <c r="VRJ102" s="247"/>
      <c r="VRK102" s="247"/>
      <c r="VRL102" s="247"/>
      <c r="VRM102" s="247"/>
      <c r="VRN102" s="247"/>
      <c r="VRO102" s="247"/>
      <c r="VRP102" s="247"/>
      <c r="VRQ102" s="247"/>
      <c r="VRR102" s="247"/>
      <c r="VRS102" s="247"/>
      <c r="VRT102" s="247"/>
      <c r="VRU102" s="247"/>
      <c r="VRV102" s="247"/>
      <c r="VRW102" s="247"/>
      <c r="VRX102" s="247"/>
      <c r="VRY102" s="247"/>
      <c r="VRZ102" s="247"/>
      <c r="VSA102" s="247"/>
      <c r="VSB102" s="247"/>
      <c r="VSC102" s="247"/>
      <c r="VSD102" s="247"/>
      <c r="VSE102" s="247"/>
      <c r="VSF102" s="247"/>
      <c r="VSG102" s="247"/>
      <c r="VSH102" s="247"/>
      <c r="VSI102" s="247"/>
      <c r="VSJ102" s="247"/>
      <c r="VSK102" s="247"/>
      <c r="VSL102" s="247"/>
      <c r="VSM102" s="247"/>
      <c r="VSN102" s="247"/>
      <c r="VSO102" s="247"/>
      <c r="VSP102" s="247"/>
      <c r="VSQ102" s="247"/>
      <c r="VSR102" s="247"/>
      <c r="VSS102" s="247"/>
      <c r="VST102" s="247"/>
      <c r="VSU102" s="247"/>
      <c r="VSV102" s="247"/>
      <c r="VSW102" s="247"/>
      <c r="VSX102" s="247"/>
      <c r="VSY102" s="247"/>
      <c r="VSZ102" s="247"/>
      <c r="VTA102" s="247"/>
      <c r="VTB102" s="247"/>
      <c r="VTC102" s="247"/>
      <c r="VTD102" s="247"/>
      <c r="VTE102" s="247"/>
      <c r="VTF102" s="247"/>
      <c r="VTG102" s="247"/>
      <c r="VTH102" s="247"/>
      <c r="VTI102" s="247"/>
      <c r="VTJ102" s="247"/>
      <c r="VTK102" s="247"/>
      <c r="VTL102" s="247"/>
      <c r="VTM102" s="247"/>
      <c r="VTN102" s="247"/>
      <c r="VTO102" s="247"/>
      <c r="VTP102" s="247"/>
      <c r="VTQ102" s="247"/>
      <c r="VTR102" s="247"/>
      <c r="VTS102" s="247"/>
      <c r="VTT102" s="247"/>
      <c r="VTU102" s="247"/>
      <c r="VTV102" s="247"/>
      <c r="VTW102" s="247"/>
      <c r="VTX102" s="247"/>
      <c r="VTY102" s="247"/>
      <c r="VTZ102" s="247"/>
      <c r="VUA102" s="247"/>
      <c r="VUB102" s="247"/>
      <c r="VUC102" s="247"/>
      <c r="VUD102" s="247"/>
      <c r="VUE102" s="247"/>
      <c r="VUF102" s="247"/>
      <c r="VUG102" s="247"/>
      <c r="VUH102" s="247"/>
      <c r="VUI102" s="247"/>
      <c r="VUJ102" s="247"/>
      <c r="VUK102" s="247"/>
      <c r="VUL102" s="247"/>
      <c r="VUM102" s="247"/>
      <c r="VUN102" s="247"/>
      <c r="VUO102" s="247"/>
      <c r="VUP102" s="247"/>
      <c r="VUQ102" s="247"/>
      <c r="VUR102" s="247"/>
      <c r="VUS102" s="247"/>
      <c r="VUT102" s="247"/>
      <c r="VUU102" s="247"/>
      <c r="VUV102" s="247"/>
      <c r="VUW102" s="247"/>
      <c r="VUX102" s="247"/>
      <c r="VUY102" s="247"/>
      <c r="VUZ102" s="247"/>
      <c r="VVA102" s="247"/>
      <c r="VVB102" s="247"/>
      <c r="VVC102" s="247"/>
      <c r="VVD102" s="247"/>
      <c r="VVE102" s="247"/>
      <c r="VVF102" s="247"/>
      <c r="VVG102" s="247"/>
      <c r="VVH102" s="247"/>
      <c r="VVI102" s="247"/>
      <c r="VVJ102" s="247"/>
      <c r="VVK102" s="247"/>
      <c r="VVL102" s="247"/>
      <c r="VVM102" s="247"/>
      <c r="VVN102" s="247"/>
      <c r="VVO102" s="247"/>
      <c r="VVP102" s="247"/>
      <c r="VVQ102" s="247"/>
      <c r="VVR102" s="247"/>
      <c r="VVS102" s="247"/>
      <c r="VVT102" s="247"/>
      <c r="VVU102" s="247"/>
      <c r="VVV102" s="247"/>
      <c r="VVW102" s="247"/>
      <c r="VVX102" s="247"/>
      <c r="VVY102" s="247"/>
      <c r="VVZ102" s="247"/>
      <c r="VWA102" s="247"/>
      <c r="VWB102" s="247"/>
      <c r="VWC102" s="247"/>
      <c r="VWD102" s="247"/>
      <c r="VWE102" s="247"/>
      <c r="VWF102" s="247"/>
      <c r="VWG102" s="247"/>
      <c r="VWH102" s="247"/>
      <c r="VWI102" s="247"/>
      <c r="VWJ102" s="247"/>
      <c r="VWK102" s="247"/>
      <c r="VWL102" s="247"/>
      <c r="VWM102" s="247"/>
      <c r="VWN102" s="247"/>
      <c r="VWO102" s="247"/>
      <c r="VWP102" s="247"/>
      <c r="VWQ102" s="247"/>
      <c r="VWR102" s="247"/>
      <c r="VWS102" s="247"/>
      <c r="VWT102" s="247"/>
      <c r="VWU102" s="247"/>
      <c r="VWV102" s="247"/>
      <c r="VWW102" s="247"/>
      <c r="VWX102" s="247"/>
      <c r="VWY102" s="247"/>
      <c r="VWZ102" s="247"/>
      <c r="VXA102" s="247"/>
      <c r="VXB102" s="247"/>
      <c r="VXC102" s="247"/>
      <c r="VXD102" s="247"/>
      <c r="VXE102" s="247"/>
      <c r="VXF102" s="247"/>
      <c r="VXG102" s="247"/>
      <c r="VXH102" s="247"/>
      <c r="VXI102" s="247"/>
      <c r="VXJ102" s="247"/>
      <c r="VXK102" s="247"/>
      <c r="VXL102" s="247"/>
      <c r="VXM102" s="247"/>
      <c r="VXN102" s="247"/>
      <c r="VXO102" s="247"/>
      <c r="VXP102" s="247"/>
      <c r="VXQ102" s="247"/>
      <c r="VXR102" s="247"/>
      <c r="VXS102" s="247"/>
      <c r="VXT102" s="247"/>
      <c r="VXU102" s="247"/>
      <c r="VXV102" s="247"/>
      <c r="VXW102" s="247"/>
      <c r="VXX102" s="247"/>
      <c r="VXY102" s="247"/>
      <c r="VXZ102" s="247"/>
      <c r="VYA102" s="247"/>
      <c r="VYB102" s="247"/>
      <c r="VYC102" s="247"/>
      <c r="VYD102" s="247"/>
      <c r="VYE102" s="247"/>
      <c r="VYF102" s="247"/>
      <c r="VYG102" s="247"/>
      <c r="VYH102" s="247"/>
      <c r="VYI102" s="247"/>
      <c r="VYJ102" s="247"/>
      <c r="VYK102" s="247"/>
      <c r="VYL102" s="247"/>
      <c r="VYM102" s="247"/>
      <c r="VYN102" s="247"/>
      <c r="VYO102" s="247"/>
      <c r="VYP102" s="247"/>
      <c r="VYQ102" s="247"/>
      <c r="VYR102" s="247"/>
      <c r="VYS102" s="247"/>
      <c r="VYT102" s="247"/>
      <c r="VYU102" s="247"/>
      <c r="VYV102" s="247"/>
      <c r="VYW102" s="247"/>
      <c r="VYX102" s="247"/>
      <c r="VYY102" s="247"/>
      <c r="VYZ102" s="247"/>
      <c r="VZA102" s="247"/>
      <c r="VZB102" s="247"/>
      <c r="VZC102" s="247"/>
      <c r="VZD102" s="247"/>
      <c r="VZE102" s="247"/>
      <c r="VZF102" s="247"/>
      <c r="VZG102" s="247"/>
      <c r="VZH102" s="247"/>
      <c r="VZI102" s="247"/>
      <c r="VZJ102" s="247"/>
      <c r="VZK102" s="247"/>
      <c r="VZL102" s="247"/>
      <c r="VZM102" s="247"/>
      <c r="VZN102" s="247"/>
      <c r="VZO102" s="247"/>
      <c r="VZP102" s="247"/>
      <c r="VZQ102" s="247"/>
      <c r="VZR102" s="247"/>
      <c r="VZS102" s="247"/>
      <c r="VZT102" s="247"/>
      <c r="VZU102" s="247"/>
      <c r="VZV102" s="247"/>
      <c r="VZW102" s="247"/>
      <c r="VZX102" s="247"/>
      <c r="VZY102" s="247"/>
      <c r="VZZ102" s="247"/>
      <c r="WAA102" s="247"/>
      <c r="WAB102" s="247"/>
      <c r="WAC102" s="247"/>
      <c r="WAD102" s="247"/>
      <c r="WAE102" s="247"/>
      <c r="WAF102" s="247"/>
      <c r="WAG102" s="247"/>
      <c r="WAH102" s="247"/>
      <c r="WAI102" s="247"/>
      <c r="WAJ102" s="247"/>
      <c r="WAK102" s="247"/>
      <c r="WAL102" s="247"/>
      <c r="WAM102" s="247"/>
      <c r="WAN102" s="247"/>
      <c r="WAO102" s="247"/>
      <c r="WAP102" s="247"/>
      <c r="WAQ102" s="247"/>
      <c r="WAR102" s="247"/>
      <c r="WAS102" s="247"/>
      <c r="WAT102" s="247"/>
      <c r="WAU102" s="247"/>
      <c r="WAV102" s="247"/>
      <c r="WAW102" s="247"/>
      <c r="WAX102" s="247"/>
      <c r="WAY102" s="247"/>
      <c r="WAZ102" s="247"/>
      <c r="WBA102" s="247"/>
      <c r="WBB102" s="247"/>
      <c r="WBC102" s="247"/>
      <c r="WBD102" s="247"/>
      <c r="WBE102" s="247"/>
      <c r="WBF102" s="247"/>
      <c r="WBG102" s="247"/>
      <c r="WBH102" s="247"/>
      <c r="WBI102" s="247"/>
      <c r="WBJ102" s="247"/>
      <c r="WBK102" s="247"/>
      <c r="WBL102" s="247"/>
      <c r="WBM102" s="247"/>
      <c r="WBN102" s="247"/>
      <c r="WBO102" s="247"/>
      <c r="WBP102" s="247"/>
      <c r="WBQ102" s="247"/>
      <c r="WBR102" s="247"/>
      <c r="WBS102" s="247"/>
      <c r="WBT102" s="247"/>
      <c r="WBU102" s="247"/>
      <c r="WBV102" s="247"/>
      <c r="WBW102" s="247"/>
      <c r="WBX102" s="247"/>
      <c r="WBY102" s="247"/>
      <c r="WBZ102" s="247"/>
      <c r="WCA102" s="247"/>
      <c r="WCB102" s="247"/>
      <c r="WCC102" s="247"/>
      <c r="WCD102" s="247"/>
      <c r="WCE102" s="247"/>
      <c r="WCF102" s="247"/>
      <c r="WCG102" s="247"/>
      <c r="WCH102" s="247"/>
      <c r="WCI102" s="247"/>
      <c r="WCJ102" s="247"/>
      <c r="WCK102" s="247"/>
      <c r="WCL102" s="247"/>
      <c r="WCM102" s="247"/>
      <c r="WCN102" s="247"/>
      <c r="WCO102" s="247"/>
      <c r="WCP102" s="247"/>
      <c r="WCQ102" s="247"/>
      <c r="WCR102" s="247"/>
      <c r="WCS102" s="247"/>
      <c r="WCT102" s="247"/>
      <c r="WCU102" s="247"/>
      <c r="WCV102" s="247"/>
      <c r="WCW102" s="247"/>
      <c r="WCX102" s="247"/>
      <c r="WCY102" s="247"/>
      <c r="WCZ102" s="247"/>
      <c r="WDA102" s="247"/>
      <c r="WDB102" s="247"/>
      <c r="WDC102" s="247"/>
      <c r="WDD102" s="247"/>
      <c r="WDE102" s="247"/>
      <c r="WDF102" s="247"/>
      <c r="WDG102" s="247"/>
      <c r="WDH102" s="247"/>
      <c r="WDI102" s="247"/>
      <c r="WDJ102" s="247"/>
      <c r="WDK102" s="247"/>
      <c r="WDL102" s="247"/>
      <c r="WDM102" s="247"/>
      <c r="WDN102" s="247"/>
      <c r="WDO102" s="247"/>
      <c r="WDP102" s="247"/>
      <c r="WDQ102" s="247"/>
      <c r="WDR102" s="247"/>
      <c r="WDS102" s="247"/>
      <c r="WDT102" s="247"/>
      <c r="WDU102" s="247"/>
      <c r="WDV102" s="247"/>
      <c r="WDW102" s="247"/>
      <c r="WDX102" s="247"/>
      <c r="WDY102" s="247"/>
      <c r="WDZ102" s="247"/>
      <c r="WEA102" s="247"/>
      <c r="WEB102" s="247"/>
      <c r="WEC102" s="247"/>
      <c r="WED102" s="247"/>
      <c r="WEE102" s="247"/>
      <c r="WEF102" s="247"/>
      <c r="WEG102" s="247"/>
      <c r="WEH102" s="247"/>
      <c r="WEI102" s="247"/>
      <c r="WEJ102" s="247"/>
      <c r="WEK102" s="247"/>
      <c r="WEL102" s="247"/>
      <c r="WEM102" s="247"/>
      <c r="WEN102" s="247"/>
      <c r="WEO102" s="247"/>
      <c r="WEP102" s="247"/>
      <c r="WEQ102" s="247"/>
      <c r="WER102" s="247"/>
      <c r="WES102" s="247"/>
      <c r="WET102" s="247"/>
      <c r="WEU102" s="247"/>
      <c r="WEV102" s="247"/>
      <c r="WEW102" s="247"/>
      <c r="WEX102" s="247"/>
      <c r="WEY102" s="247"/>
      <c r="WEZ102" s="247"/>
      <c r="WFA102" s="247"/>
      <c r="WFB102" s="247"/>
      <c r="WFC102" s="247"/>
      <c r="WFD102" s="247"/>
      <c r="WFE102" s="247"/>
      <c r="WFF102" s="247"/>
      <c r="WFG102" s="247"/>
      <c r="WFH102" s="247"/>
      <c r="WFI102" s="247"/>
      <c r="WFJ102" s="247"/>
      <c r="WFK102" s="247"/>
      <c r="WFL102" s="247"/>
      <c r="WFM102" s="247"/>
      <c r="WFN102" s="247"/>
      <c r="WFO102" s="247"/>
      <c r="WFP102" s="247"/>
      <c r="WFQ102" s="247"/>
      <c r="WFR102" s="247"/>
      <c r="WFS102" s="247"/>
      <c r="WFT102" s="247"/>
      <c r="WFU102" s="247"/>
      <c r="WFV102" s="247"/>
      <c r="WFW102" s="247"/>
      <c r="WFX102" s="247"/>
      <c r="WFY102" s="247"/>
      <c r="WFZ102" s="247"/>
      <c r="WGA102" s="247"/>
      <c r="WGB102" s="247"/>
      <c r="WGC102" s="247"/>
      <c r="WGD102" s="247"/>
      <c r="WGE102" s="247"/>
      <c r="WGF102" s="247"/>
      <c r="WGG102" s="247"/>
      <c r="WGH102" s="247"/>
      <c r="WGI102" s="247"/>
      <c r="WGJ102" s="247"/>
      <c r="WGK102" s="247"/>
      <c r="WGL102" s="247"/>
      <c r="WGM102" s="247"/>
      <c r="WGN102" s="247"/>
      <c r="WGO102" s="247"/>
      <c r="WGP102" s="247"/>
      <c r="WGQ102" s="247"/>
      <c r="WGR102" s="247"/>
      <c r="WGS102" s="247"/>
      <c r="WGT102" s="247"/>
      <c r="WGU102" s="247"/>
      <c r="WGV102" s="247"/>
      <c r="WGW102" s="247"/>
      <c r="WGX102" s="247"/>
      <c r="WGY102" s="247"/>
      <c r="WGZ102" s="247"/>
      <c r="WHA102" s="247"/>
      <c r="WHB102" s="247"/>
      <c r="WHC102" s="247"/>
      <c r="WHD102" s="247"/>
      <c r="WHE102" s="247"/>
      <c r="WHF102" s="247"/>
      <c r="WHG102" s="247"/>
      <c r="WHH102" s="247"/>
      <c r="WHI102" s="247"/>
      <c r="WHJ102" s="247"/>
      <c r="WHK102" s="247"/>
      <c r="WHL102" s="247"/>
      <c r="WHM102" s="247"/>
      <c r="WHN102" s="247"/>
      <c r="WHO102" s="247"/>
      <c r="WHP102" s="247"/>
      <c r="WHQ102" s="247"/>
      <c r="WHR102" s="247"/>
      <c r="WHS102" s="247"/>
      <c r="WHT102" s="247"/>
      <c r="WHU102" s="247"/>
      <c r="WHV102" s="247"/>
      <c r="WHW102" s="247"/>
      <c r="WHX102" s="247"/>
      <c r="WHY102" s="247"/>
      <c r="WHZ102" s="247"/>
      <c r="WIA102" s="247"/>
      <c r="WIB102" s="247"/>
      <c r="WIC102" s="247"/>
      <c r="WID102" s="247"/>
      <c r="WIE102" s="247"/>
      <c r="WIF102" s="247"/>
      <c r="WIG102" s="247"/>
      <c r="WIH102" s="247"/>
      <c r="WII102" s="247"/>
      <c r="WIJ102" s="247"/>
      <c r="WIK102" s="247"/>
      <c r="WIL102" s="247"/>
      <c r="WIM102" s="247"/>
      <c r="WIN102" s="247"/>
      <c r="WIO102" s="247"/>
      <c r="WIP102" s="247"/>
      <c r="WIQ102" s="247"/>
      <c r="WIR102" s="247"/>
      <c r="WIS102" s="247"/>
      <c r="WIT102" s="247"/>
      <c r="WIU102" s="247"/>
      <c r="WIV102" s="247"/>
      <c r="WIW102" s="247"/>
      <c r="WIX102" s="247"/>
      <c r="WIY102" s="247"/>
      <c r="WIZ102" s="247"/>
      <c r="WJA102" s="247"/>
      <c r="WJB102" s="247"/>
      <c r="WJC102" s="247"/>
      <c r="WJD102" s="247"/>
      <c r="WJE102" s="247"/>
      <c r="WJF102" s="247"/>
      <c r="WJG102" s="247"/>
      <c r="WJH102" s="247"/>
      <c r="WJI102" s="247"/>
      <c r="WJJ102" s="247"/>
      <c r="WJK102" s="247"/>
      <c r="WJL102" s="247"/>
      <c r="WJM102" s="247"/>
      <c r="WJN102" s="247"/>
      <c r="WJO102" s="247"/>
      <c r="WJP102" s="247"/>
      <c r="WJQ102" s="247"/>
      <c r="WJR102" s="247"/>
      <c r="WJS102" s="247"/>
      <c r="WJT102" s="247"/>
      <c r="WJU102" s="247"/>
      <c r="WJV102" s="247"/>
      <c r="WJW102" s="247"/>
      <c r="WJX102" s="247"/>
      <c r="WJY102" s="247"/>
      <c r="WJZ102" s="247"/>
      <c r="WKA102" s="247"/>
      <c r="WKB102" s="247"/>
      <c r="WKC102" s="247"/>
      <c r="WKD102" s="247"/>
      <c r="WKE102" s="247"/>
      <c r="WKF102" s="247"/>
      <c r="WKG102" s="247"/>
      <c r="WKH102" s="247"/>
      <c r="WKI102" s="247"/>
      <c r="WKJ102" s="247"/>
      <c r="WKK102" s="247"/>
      <c r="WKL102" s="247"/>
      <c r="WKM102" s="247"/>
      <c r="WKN102" s="247"/>
      <c r="WKO102" s="247"/>
      <c r="WKP102" s="247"/>
      <c r="WKQ102" s="247"/>
      <c r="WKR102" s="247"/>
      <c r="WKS102" s="247"/>
      <c r="WKT102" s="247"/>
      <c r="WKU102" s="247"/>
      <c r="WKV102" s="247"/>
      <c r="WKW102" s="247"/>
      <c r="WKX102" s="247"/>
      <c r="WKY102" s="247"/>
      <c r="WKZ102" s="247"/>
      <c r="WLA102" s="247"/>
      <c r="WLB102" s="247"/>
      <c r="WLC102" s="247"/>
      <c r="WLD102" s="247"/>
      <c r="WLE102" s="247"/>
      <c r="WLF102" s="247"/>
      <c r="WLG102" s="247"/>
      <c r="WLH102" s="247"/>
      <c r="WLI102" s="247"/>
      <c r="WLJ102" s="247"/>
      <c r="WLK102" s="247"/>
      <c r="WLL102" s="247"/>
      <c r="WLM102" s="247"/>
      <c r="WLN102" s="247"/>
      <c r="WLO102" s="247"/>
      <c r="WLP102" s="247"/>
      <c r="WLQ102" s="247"/>
      <c r="WLR102" s="247"/>
      <c r="WLS102" s="247"/>
      <c r="WLT102" s="247"/>
      <c r="WLU102" s="247"/>
      <c r="WLV102" s="247"/>
      <c r="WLW102" s="247"/>
      <c r="WLX102" s="247"/>
      <c r="WLY102" s="247"/>
      <c r="WLZ102" s="247"/>
      <c r="WMA102" s="247"/>
      <c r="WMB102" s="247"/>
      <c r="WMC102" s="247"/>
      <c r="WMD102" s="247"/>
      <c r="WME102" s="247"/>
      <c r="WMF102" s="247"/>
      <c r="WMG102" s="247"/>
      <c r="WMH102" s="247"/>
      <c r="WMI102" s="247"/>
      <c r="WMJ102" s="247"/>
      <c r="WMK102" s="247"/>
      <c r="WML102" s="247"/>
      <c r="WMM102" s="247"/>
      <c r="WMN102" s="247"/>
      <c r="WMO102" s="247"/>
      <c r="WMP102" s="247"/>
      <c r="WMQ102" s="247"/>
      <c r="WMR102" s="247"/>
      <c r="WMS102" s="247"/>
      <c r="WMT102" s="247"/>
      <c r="WMU102" s="247"/>
      <c r="WMV102" s="247"/>
      <c r="WMW102" s="247"/>
      <c r="WMX102" s="247"/>
      <c r="WMY102" s="247"/>
      <c r="WMZ102" s="247"/>
      <c r="WNA102" s="247"/>
      <c r="WNB102" s="247"/>
      <c r="WNC102" s="247"/>
      <c r="WND102" s="247"/>
      <c r="WNE102" s="247"/>
      <c r="WNF102" s="247"/>
      <c r="WNG102" s="247"/>
      <c r="WNH102" s="247"/>
      <c r="WNI102" s="247"/>
      <c r="WNJ102" s="247"/>
      <c r="WNK102" s="247"/>
      <c r="WNL102" s="247"/>
      <c r="WNM102" s="247"/>
      <c r="WNN102" s="247"/>
      <c r="WNO102" s="247"/>
      <c r="WNP102" s="247"/>
      <c r="WNQ102" s="247"/>
      <c r="WNR102" s="247"/>
      <c r="WNS102" s="247"/>
      <c r="WNT102" s="247"/>
      <c r="WNU102" s="247"/>
      <c r="WNV102" s="247"/>
      <c r="WNW102" s="247"/>
      <c r="WNX102" s="247"/>
      <c r="WNY102" s="247"/>
      <c r="WNZ102" s="247"/>
      <c r="WOA102" s="247"/>
      <c r="WOB102" s="247"/>
      <c r="WOC102" s="247"/>
      <c r="WOD102" s="247"/>
      <c r="WOE102" s="247"/>
      <c r="WOF102" s="247"/>
      <c r="WOG102" s="247"/>
      <c r="WOH102" s="247"/>
      <c r="WOI102" s="247"/>
      <c r="WOJ102" s="247"/>
      <c r="WOK102" s="247"/>
      <c r="WOL102" s="247"/>
      <c r="WOM102" s="247"/>
      <c r="WON102" s="247"/>
      <c r="WOO102" s="247"/>
      <c r="WOP102" s="247"/>
      <c r="WOQ102" s="247"/>
      <c r="WOR102" s="247"/>
      <c r="WOS102" s="247"/>
      <c r="WOT102" s="247"/>
      <c r="WOU102" s="247"/>
      <c r="WOV102" s="247"/>
      <c r="WOW102" s="247"/>
      <c r="WOX102" s="247"/>
      <c r="WOY102" s="247"/>
      <c r="WOZ102" s="247"/>
      <c r="WPA102" s="247"/>
      <c r="WPB102" s="247"/>
      <c r="WPC102" s="247"/>
      <c r="WPD102" s="247"/>
      <c r="WPE102" s="247"/>
      <c r="WPF102" s="247"/>
      <c r="WPG102" s="247"/>
      <c r="WPH102" s="247"/>
      <c r="WPI102" s="247"/>
      <c r="WPJ102" s="247"/>
      <c r="WPK102" s="247"/>
      <c r="WPL102" s="247"/>
      <c r="WPM102" s="247"/>
      <c r="WPN102" s="247"/>
      <c r="WPO102" s="247"/>
      <c r="WPP102" s="247"/>
      <c r="WPQ102" s="247"/>
      <c r="WPR102" s="247"/>
      <c r="WPS102" s="247"/>
      <c r="WPT102" s="247"/>
      <c r="WPU102" s="247"/>
      <c r="WPV102" s="247"/>
      <c r="WPW102" s="247"/>
      <c r="WPX102" s="247"/>
      <c r="WPY102" s="247"/>
      <c r="WPZ102" s="247"/>
      <c r="WQA102" s="247"/>
      <c r="WQB102" s="247"/>
      <c r="WQC102" s="247"/>
      <c r="WQD102" s="247"/>
      <c r="WQE102" s="247"/>
      <c r="WQF102" s="247"/>
      <c r="WQG102" s="247"/>
      <c r="WQH102" s="247"/>
      <c r="WQI102" s="247"/>
      <c r="WQJ102" s="247"/>
      <c r="WQK102" s="247"/>
      <c r="WQL102" s="247"/>
      <c r="WQM102" s="247"/>
      <c r="WQN102" s="247"/>
      <c r="WQO102" s="247"/>
      <c r="WQP102" s="247"/>
      <c r="WQQ102" s="247"/>
      <c r="WQR102" s="247"/>
      <c r="WQS102" s="247"/>
      <c r="WQT102" s="247"/>
      <c r="WQU102" s="247"/>
      <c r="WQV102" s="247"/>
      <c r="WQW102" s="247"/>
      <c r="WQX102" s="247"/>
      <c r="WQY102" s="247"/>
      <c r="WQZ102" s="247"/>
      <c r="WRA102" s="247"/>
      <c r="WRB102" s="247"/>
      <c r="WRC102" s="247"/>
      <c r="WRD102" s="247"/>
      <c r="WRE102" s="247"/>
      <c r="WRF102" s="247"/>
      <c r="WRG102" s="247"/>
      <c r="WRH102" s="247"/>
      <c r="WRI102" s="247"/>
      <c r="WRJ102" s="247"/>
      <c r="WRK102" s="247"/>
      <c r="WRL102" s="247"/>
      <c r="WRM102" s="247"/>
      <c r="WRN102" s="247"/>
      <c r="WRO102" s="247"/>
      <c r="WRP102" s="247"/>
      <c r="WRQ102" s="247"/>
      <c r="WRR102" s="247"/>
      <c r="WRS102" s="247"/>
      <c r="WRT102" s="247"/>
      <c r="WRU102" s="247"/>
      <c r="WRV102" s="247"/>
      <c r="WRW102" s="247"/>
      <c r="WRX102" s="247"/>
      <c r="WRY102" s="247"/>
      <c r="WRZ102" s="247"/>
      <c r="WSA102" s="247"/>
      <c r="WSB102" s="247"/>
      <c r="WSC102" s="247"/>
      <c r="WSD102" s="247"/>
      <c r="WSE102" s="247"/>
      <c r="WSF102" s="247"/>
      <c r="WSG102" s="247"/>
      <c r="WSH102" s="247"/>
      <c r="WSI102" s="247"/>
      <c r="WSJ102" s="247"/>
      <c r="WSK102" s="247"/>
      <c r="WSL102" s="247"/>
      <c r="WSM102" s="247"/>
      <c r="WSN102" s="247"/>
      <c r="WSO102" s="247"/>
      <c r="WSP102" s="247"/>
      <c r="WSQ102" s="247"/>
      <c r="WSR102" s="247"/>
      <c r="WSS102" s="247"/>
      <c r="WST102" s="247"/>
      <c r="WSU102" s="247"/>
      <c r="WSV102" s="247"/>
      <c r="WSW102" s="247"/>
      <c r="WSX102" s="247"/>
      <c r="WSY102" s="247"/>
      <c r="WSZ102" s="247"/>
      <c r="WTA102" s="247"/>
      <c r="WTB102" s="247"/>
      <c r="WTC102" s="247"/>
      <c r="WTD102" s="247"/>
      <c r="WTE102" s="247"/>
      <c r="WTF102" s="247"/>
      <c r="WTG102" s="247"/>
      <c r="WTH102" s="247"/>
      <c r="WTI102" s="247"/>
      <c r="WTJ102" s="247"/>
      <c r="WTK102" s="247"/>
      <c r="WTL102" s="247"/>
      <c r="WTM102" s="247"/>
      <c r="WTN102" s="247"/>
      <c r="WTO102" s="247"/>
      <c r="WTP102" s="247"/>
      <c r="WTQ102" s="247"/>
      <c r="WTR102" s="247"/>
      <c r="WTS102" s="247"/>
      <c r="WTT102" s="247"/>
      <c r="WTU102" s="247"/>
      <c r="WTV102" s="247"/>
      <c r="WTW102" s="247"/>
      <c r="WTX102" s="247"/>
      <c r="WTY102" s="247"/>
      <c r="WTZ102" s="247"/>
      <c r="WUA102" s="247"/>
      <c r="WUB102" s="247"/>
      <c r="WUC102" s="247"/>
      <c r="WUD102" s="247"/>
      <c r="WUE102" s="247"/>
      <c r="WUF102" s="247"/>
      <c r="WUG102" s="247"/>
      <c r="WUH102" s="247"/>
      <c r="WUI102" s="247"/>
      <c r="WUJ102" s="247"/>
      <c r="WUK102" s="247"/>
      <c r="WUL102" s="247"/>
      <c r="WUM102" s="247"/>
      <c r="WUN102" s="247"/>
      <c r="WUO102" s="247"/>
      <c r="WUP102" s="247"/>
      <c r="WUQ102" s="247"/>
      <c r="WUR102" s="247"/>
      <c r="WUS102" s="247"/>
      <c r="WUT102" s="247"/>
      <c r="WUU102" s="247"/>
      <c r="WUV102" s="247"/>
      <c r="WUW102" s="247"/>
      <c r="WUX102" s="247"/>
      <c r="WUY102" s="247"/>
      <c r="WUZ102" s="247"/>
      <c r="WVA102" s="247"/>
      <c r="WVB102" s="247"/>
      <c r="WVC102" s="247"/>
      <c r="WVD102" s="247"/>
      <c r="WVE102" s="247"/>
      <c r="WVF102" s="247"/>
      <c r="WVG102" s="247"/>
      <c r="WVH102" s="247"/>
      <c r="WVI102" s="247"/>
      <c r="WVJ102" s="247"/>
      <c r="WVK102" s="247"/>
      <c r="WVL102" s="247"/>
      <c r="WVM102" s="247"/>
      <c r="WVN102" s="247"/>
      <c r="WVO102" s="247"/>
      <c r="WVP102" s="247"/>
      <c r="WVQ102" s="247"/>
      <c r="WVR102" s="247"/>
      <c r="WVS102" s="247"/>
      <c r="WVT102" s="247"/>
      <c r="WVU102" s="247"/>
      <c r="WVV102" s="247"/>
      <c r="WVW102" s="247"/>
      <c r="WVX102" s="247"/>
      <c r="WVY102" s="247"/>
      <c r="WVZ102" s="247"/>
      <c r="WWA102" s="247"/>
      <c r="WWB102" s="247"/>
      <c r="WWC102" s="247"/>
      <c r="WWD102" s="247"/>
      <c r="WWE102" s="247"/>
      <c r="WWF102" s="247"/>
      <c r="WWG102" s="247"/>
      <c r="WWH102" s="247"/>
      <c r="WWI102" s="247"/>
      <c r="WWJ102" s="247"/>
      <c r="WWK102" s="247"/>
      <c r="WWL102" s="247"/>
      <c r="WWM102" s="247"/>
      <c r="WWN102" s="247"/>
      <c r="WWO102" s="247"/>
      <c r="WWP102" s="247"/>
      <c r="WWQ102" s="247"/>
      <c r="WWR102" s="247"/>
      <c r="WWS102" s="247"/>
      <c r="WWT102" s="247"/>
      <c r="WWU102" s="247"/>
      <c r="WWV102" s="247"/>
      <c r="WWW102" s="247"/>
      <c r="WWX102" s="247"/>
      <c r="WWY102" s="247"/>
      <c r="WWZ102" s="247"/>
      <c r="WXA102" s="247"/>
      <c r="WXB102" s="247"/>
      <c r="WXC102" s="247"/>
      <c r="WXD102" s="247"/>
      <c r="WXE102" s="247"/>
      <c r="WXF102" s="247"/>
      <c r="WXG102" s="247"/>
      <c r="WXH102" s="247"/>
      <c r="WXI102" s="247"/>
      <c r="WXJ102" s="247"/>
      <c r="WXK102" s="247"/>
      <c r="WXL102" s="247"/>
      <c r="WXM102" s="247"/>
      <c r="WXN102" s="247"/>
      <c r="WXO102" s="247"/>
      <c r="WXP102" s="247"/>
      <c r="WXQ102" s="247"/>
      <c r="WXR102" s="247"/>
      <c r="WXS102" s="247"/>
      <c r="WXT102" s="247"/>
      <c r="WXU102" s="247"/>
      <c r="WXV102" s="247"/>
      <c r="WXW102" s="247"/>
      <c r="WXX102" s="247"/>
      <c r="WXY102" s="247"/>
      <c r="WXZ102" s="247"/>
      <c r="WYA102" s="247"/>
      <c r="WYB102" s="247"/>
      <c r="WYC102" s="247"/>
      <c r="WYD102" s="247"/>
      <c r="WYE102" s="247"/>
      <c r="WYF102" s="247"/>
      <c r="WYG102" s="247"/>
      <c r="WYH102" s="247"/>
      <c r="WYI102" s="247"/>
      <c r="WYJ102" s="247"/>
      <c r="WYK102" s="247"/>
      <c r="WYL102" s="247"/>
      <c r="WYM102" s="247"/>
      <c r="WYN102" s="247"/>
      <c r="WYO102" s="247"/>
      <c r="WYP102" s="247"/>
      <c r="WYQ102" s="247"/>
      <c r="WYR102" s="247"/>
      <c r="WYS102" s="247"/>
      <c r="WYT102" s="247"/>
      <c r="WYU102" s="247"/>
      <c r="WYV102" s="247"/>
      <c r="WYW102" s="247"/>
      <c r="WYX102" s="247"/>
      <c r="WYY102" s="247"/>
      <c r="WYZ102" s="247"/>
      <c r="WZA102" s="247"/>
      <c r="WZB102" s="247"/>
      <c r="WZC102" s="247"/>
      <c r="WZD102" s="247"/>
      <c r="WZE102" s="247"/>
      <c r="WZF102" s="247"/>
      <c r="WZG102" s="247"/>
      <c r="WZH102" s="247"/>
      <c r="WZI102" s="247"/>
      <c r="WZJ102" s="247"/>
      <c r="WZK102" s="247"/>
      <c r="WZL102" s="247"/>
      <c r="WZM102" s="247"/>
      <c r="WZN102" s="247"/>
      <c r="WZO102" s="247"/>
      <c r="WZP102" s="247"/>
      <c r="WZQ102" s="247"/>
      <c r="WZR102" s="247"/>
      <c r="WZS102" s="247"/>
      <c r="WZT102" s="247"/>
      <c r="WZU102" s="247"/>
      <c r="WZV102" s="247"/>
      <c r="WZW102" s="247"/>
      <c r="WZX102" s="247"/>
      <c r="WZY102" s="247"/>
      <c r="WZZ102" s="247"/>
      <c r="XAA102" s="247"/>
      <c r="XAB102" s="247"/>
      <c r="XAC102" s="247"/>
      <c r="XAD102" s="247"/>
      <c r="XAE102" s="247"/>
      <c r="XAF102" s="247"/>
      <c r="XAG102" s="247"/>
      <c r="XAH102" s="247"/>
      <c r="XAI102" s="247"/>
      <c r="XAJ102" s="247"/>
      <c r="XAK102" s="247"/>
      <c r="XAL102" s="247"/>
      <c r="XAM102" s="247"/>
      <c r="XAN102" s="247"/>
      <c r="XAO102" s="247"/>
      <c r="XAP102" s="247"/>
      <c r="XAQ102" s="247"/>
      <c r="XAR102" s="247"/>
      <c r="XAS102" s="247"/>
      <c r="XAT102" s="247"/>
      <c r="XAU102" s="247"/>
      <c r="XAV102" s="247"/>
      <c r="XAW102" s="247"/>
      <c r="XAX102" s="247"/>
      <c r="XAY102" s="247"/>
      <c r="XAZ102" s="247"/>
      <c r="XBA102" s="247"/>
      <c r="XBB102" s="247"/>
      <c r="XBC102" s="247"/>
      <c r="XBD102" s="247"/>
      <c r="XBE102" s="247"/>
      <c r="XBF102" s="247"/>
      <c r="XBG102" s="247"/>
      <c r="XBH102" s="247"/>
      <c r="XBI102" s="247"/>
      <c r="XBJ102" s="247"/>
      <c r="XBK102" s="247"/>
      <c r="XBL102" s="247"/>
      <c r="XBM102" s="247"/>
      <c r="XBN102" s="247"/>
      <c r="XBO102" s="247"/>
      <c r="XBP102" s="247"/>
      <c r="XBQ102" s="247"/>
      <c r="XBR102" s="247"/>
      <c r="XBS102" s="247"/>
      <c r="XBT102" s="247"/>
      <c r="XBU102" s="247"/>
      <c r="XBV102" s="247"/>
      <c r="XBW102" s="247"/>
      <c r="XBX102" s="247"/>
      <c r="XBY102" s="247"/>
      <c r="XBZ102" s="247"/>
      <c r="XCA102" s="247"/>
      <c r="XCB102" s="247"/>
      <c r="XCC102" s="247"/>
      <c r="XCD102" s="247"/>
      <c r="XCE102" s="247"/>
      <c r="XCF102" s="247"/>
      <c r="XCG102" s="247"/>
      <c r="XCH102" s="247"/>
      <c r="XCI102" s="247"/>
      <c r="XCJ102" s="247"/>
      <c r="XCK102" s="247"/>
      <c r="XCL102" s="247"/>
      <c r="XCM102" s="247"/>
      <c r="XCN102" s="247"/>
      <c r="XCO102" s="247"/>
      <c r="XCP102" s="247"/>
      <c r="XCQ102" s="247"/>
      <c r="XCR102" s="247"/>
      <c r="XCS102" s="247"/>
      <c r="XCT102" s="247"/>
      <c r="XCU102" s="247"/>
      <c r="XCV102" s="247"/>
      <c r="XCW102" s="247"/>
      <c r="XCX102" s="247"/>
      <c r="XCY102" s="247"/>
      <c r="XCZ102" s="247"/>
      <c r="XDA102" s="247"/>
      <c r="XDB102" s="247"/>
      <c r="XDC102" s="247"/>
      <c r="XDD102" s="247"/>
      <c r="XDE102" s="247"/>
      <c r="XDF102" s="247"/>
      <c r="XDG102" s="247"/>
      <c r="XDH102" s="247"/>
      <c r="XDI102" s="247"/>
      <c r="XDJ102" s="247"/>
      <c r="XDK102" s="247"/>
      <c r="XDL102" s="247"/>
      <c r="XDM102" s="247"/>
      <c r="XDN102" s="247"/>
      <c r="XDO102" s="247"/>
      <c r="XDP102" s="247"/>
      <c r="XDQ102" s="247"/>
      <c r="XDR102" s="247"/>
      <c r="XDS102" s="247"/>
      <c r="XDT102" s="247"/>
      <c r="XDU102" s="247"/>
      <c r="XDV102" s="247"/>
      <c r="XDW102" s="247"/>
      <c r="XDX102" s="247"/>
      <c r="XDY102" s="247"/>
      <c r="XDZ102" s="247"/>
      <c r="XEA102" s="247"/>
      <c r="XEB102" s="247"/>
      <c r="XEC102" s="247"/>
      <c r="XED102" s="247"/>
      <c r="XEE102" s="247"/>
      <c r="XEF102" s="247"/>
      <c r="XEG102" s="247"/>
      <c r="XEH102" s="247"/>
      <c r="XEI102" s="247"/>
      <c r="XEJ102" s="247"/>
      <c r="XEK102" s="247"/>
      <c r="XEL102" s="247"/>
      <c r="XEM102" s="247"/>
      <c r="XEN102" s="247"/>
      <c r="XEO102" s="247"/>
      <c r="XEP102" s="247"/>
      <c r="XEQ102" s="247"/>
      <c r="XER102" s="247"/>
      <c r="XES102" s="247"/>
      <c r="XET102" s="247"/>
      <c r="XEU102" s="247"/>
      <c r="XEV102" s="247"/>
      <c r="XEW102" s="247"/>
      <c r="XEX102" s="247"/>
      <c r="XEY102" s="247"/>
      <c r="XEZ102" s="247"/>
      <c r="XFA102" s="247"/>
      <c r="XFB102" s="247"/>
      <c r="XFC102" s="247"/>
      <c r="XFD102" s="247"/>
    </row>
    <row r="103" spans="1:16384" s="351" customFormat="1" ht="50.25" outlineLevel="1" x14ac:dyDescent="0.25">
      <c r="A103" s="211" t="s">
        <v>221</v>
      </c>
      <c r="B103" s="34" t="s">
        <v>268</v>
      </c>
      <c r="C103" s="28" t="s">
        <v>2</v>
      </c>
      <c r="D103" s="34" t="s">
        <v>280</v>
      </c>
      <c r="E103" s="194" t="s">
        <v>223</v>
      </c>
      <c r="F103" s="21" t="s">
        <v>509</v>
      </c>
      <c r="G103" s="252" t="s">
        <v>176</v>
      </c>
      <c r="H103" s="196" t="s">
        <v>270</v>
      </c>
      <c r="I103" s="156" t="s">
        <v>271</v>
      </c>
      <c r="J103" s="194" t="s">
        <v>282</v>
      </c>
      <c r="K103" s="196" t="s">
        <v>272</v>
      </c>
      <c r="L103" s="212" t="s">
        <v>273</v>
      </c>
    </row>
    <row r="104" spans="1:16384" ht="45.75" x14ac:dyDescent="0.25">
      <c r="A104" s="24" t="s">
        <v>362</v>
      </c>
      <c r="B104" s="152" t="s">
        <v>50</v>
      </c>
      <c r="C104" s="115" t="s">
        <v>51</v>
      </c>
      <c r="D104" s="24">
        <v>232</v>
      </c>
      <c r="E104" s="268">
        <v>9111555</v>
      </c>
      <c r="F104" s="268">
        <v>9111555</v>
      </c>
      <c r="G104" s="303" t="s">
        <v>153</v>
      </c>
      <c r="H104" s="269">
        <v>0</v>
      </c>
      <c r="I104" s="268">
        <v>974170</v>
      </c>
      <c r="J104" s="268">
        <v>940305</v>
      </c>
      <c r="K104" s="268">
        <v>33865</v>
      </c>
      <c r="L104" s="268">
        <v>-33865</v>
      </c>
    </row>
    <row r="105" spans="1:16384" ht="30.75" x14ac:dyDescent="0.25">
      <c r="A105" s="24" t="s">
        <v>362</v>
      </c>
      <c r="B105" s="152" t="s">
        <v>527</v>
      </c>
      <c r="C105" s="115" t="s">
        <v>528</v>
      </c>
      <c r="D105" s="24">
        <v>234</v>
      </c>
      <c r="E105" s="268">
        <v>4879964</v>
      </c>
      <c r="F105" s="268">
        <v>4879964</v>
      </c>
      <c r="G105" s="303" t="s">
        <v>153</v>
      </c>
      <c r="H105" s="269">
        <v>0</v>
      </c>
      <c r="I105" s="268">
        <v>1191500</v>
      </c>
      <c r="J105" s="268">
        <v>934750</v>
      </c>
      <c r="K105" s="268">
        <v>256750</v>
      </c>
      <c r="L105" s="268">
        <v>-256750</v>
      </c>
    </row>
    <row r="106" spans="1:16384" ht="15.75" x14ac:dyDescent="0.25">
      <c r="A106" s="24" t="s">
        <v>362</v>
      </c>
      <c r="B106" s="267" t="s">
        <v>530</v>
      </c>
      <c r="C106" s="115" t="s">
        <v>531</v>
      </c>
      <c r="D106" s="24">
        <v>256</v>
      </c>
      <c r="E106" s="268">
        <v>1574646</v>
      </c>
      <c r="F106" s="268">
        <v>1571441</v>
      </c>
      <c r="G106" s="303" t="s">
        <v>153</v>
      </c>
      <c r="H106" s="268">
        <v>3205</v>
      </c>
      <c r="I106" s="268">
        <v>71971</v>
      </c>
      <c r="J106" s="268">
        <v>36921</v>
      </c>
      <c r="K106" s="268">
        <v>35050</v>
      </c>
      <c r="L106" s="268">
        <v>-31845</v>
      </c>
    </row>
    <row r="107" spans="1:16384" ht="15.75" x14ac:dyDescent="0.25">
      <c r="A107" s="296" t="s">
        <v>392</v>
      </c>
      <c r="B107" s="302" t="s">
        <v>153</v>
      </c>
      <c r="C107" s="302" t="s">
        <v>153</v>
      </c>
      <c r="D107" s="302" t="s">
        <v>153</v>
      </c>
      <c r="E107" s="297">
        <f>SUBTOTAL(109,college200102[Program
Costs])</f>
        <v>15566165</v>
      </c>
      <c r="F107" s="297">
        <f>SUBTOTAL(109,college200102[Less: Net
 Payments and 
Offsets 2])</f>
        <v>15562960</v>
      </c>
      <c r="G107" s="302" t="s">
        <v>153</v>
      </c>
      <c r="H107" s="298">
        <f>SUBTOTAL(109,college200102[Accounts Payable
Balance])</f>
        <v>3205</v>
      </c>
      <c r="I107" s="297">
        <f>SUBTOTAL(109,college200102[Established
Accounts Receivable])</f>
        <v>2237641</v>
      </c>
      <c r="J107" s="297">
        <f>SUBTOTAL(109,college200102[Less: 
Recovered 
Amount])</f>
        <v>1911976</v>
      </c>
      <c r="K107" s="297">
        <f>SUBTOTAL(109,college200102[Accounts Receivable
Balance])</f>
        <v>325665</v>
      </c>
      <c r="L107" s="297">
        <f>SUBTOTAL(109,college200102[Net
Balance])</f>
        <v>-322460</v>
      </c>
    </row>
    <row r="108" spans="1:16384" ht="15.75" x14ac:dyDescent="0.25">
      <c r="A108" s="146" t="s">
        <v>181</v>
      </c>
      <c r="B108" s="312"/>
      <c r="C108" s="291"/>
      <c r="D108" s="293"/>
      <c r="E108" s="294"/>
      <c r="F108" s="294"/>
      <c r="G108" s="310"/>
      <c r="H108" s="292"/>
      <c r="I108" s="294"/>
      <c r="J108" s="294"/>
      <c r="K108" s="294"/>
      <c r="L108" s="295"/>
    </row>
    <row r="109" spans="1:16384" s="351" customFormat="1" ht="50.25" outlineLevel="1" x14ac:dyDescent="0.25">
      <c r="A109" s="34" t="s">
        <v>221</v>
      </c>
      <c r="B109" s="34" t="s">
        <v>268</v>
      </c>
      <c r="C109" s="28" t="s">
        <v>2</v>
      </c>
      <c r="D109" s="34" t="s">
        <v>280</v>
      </c>
      <c r="E109" s="194" t="s">
        <v>223</v>
      </c>
      <c r="F109" s="21" t="s">
        <v>509</v>
      </c>
      <c r="G109" s="252" t="s">
        <v>176</v>
      </c>
      <c r="H109" s="196" t="s">
        <v>270</v>
      </c>
      <c r="I109" s="156" t="s">
        <v>271</v>
      </c>
      <c r="J109" s="194" t="s">
        <v>282</v>
      </c>
      <c r="K109" s="196" t="s">
        <v>272</v>
      </c>
      <c r="L109" s="194" t="s">
        <v>273</v>
      </c>
    </row>
    <row r="110" spans="1:16384" ht="30.75" x14ac:dyDescent="0.25">
      <c r="A110" s="24" t="s">
        <v>365</v>
      </c>
      <c r="B110" s="267" t="s">
        <v>305</v>
      </c>
      <c r="C110" s="115" t="s">
        <v>306</v>
      </c>
      <c r="D110" s="24">
        <v>237</v>
      </c>
      <c r="E110" s="268">
        <v>614433</v>
      </c>
      <c r="F110" s="268">
        <v>614433</v>
      </c>
      <c r="G110" s="303" t="s">
        <v>153</v>
      </c>
      <c r="H110" s="269">
        <v>0</v>
      </c>
      <c r="I110" s="268">
        <v>11162</v>
      </c>
      <c r="J110" s="268">
        <v>9987</v>
      </c>
      <c r="K110" s="268">
        <v>1175</v>
      </c>
      <c r="L110" s="268">
        <v>-1175</v>
      </c>
    </row>
    <row r="111" spans="1:16384" ht="15.75" x14ac:dyDescent="0.25">
      <c r="A111" s="165" t="s">
        <v>393</v>
      </c>
      <c r="B111" s="302" t="s">
        <v>153</v>
      </c>
      <c r="C111" s="302" t="s">
        <v>153</v>
      </c>
      <c r="D111" s="302" t="s">
        <v>153</v>
      </c>
      <c r="E111" s="277">
        <f>SUBTOTAL(109,college200001[Program
Costs])</f>
        <v>614433</v>
      </c>
      <c r="F111" s="277">
        <f>SUBTOTAL(109,college200001[Less: Net
 Payments and 
Offsets 2])</f>
        <v>614433</v>
      </c>
      <c r="G111" s="302" t="s">
        <v>153</v>
      </c>
      <c r="H111" s="279">
        <f>SUBTOTAL(109,college200001[Accounts Payable
Balance])</f>
        <v>0</v>
      </c>
      <c r="I111" s="277">
        <f>SUBTOTAL(109,college200001[Established
Accounts Receivable])</f>
        <v>11162</v>
      </c>
      <c r="J111" s="277">
        <f>SUBTOTAL(109,college200001[Less: 
Recovered 
Amount])</f>
        <v>9987</v>
      </c>
      <c r="K111" s="277">
        <f>SUBTOTAL(109,college200001[Accounts Receivable
Balance])</f>
        <v>1175</v>
      </c>
      <c r="L111" s="277">
        <f>SUBTOTAL(109,college200001[Net
Balance])</f>
        <v>-1175</v>
      </c>
    </row>
    <row r="112" spans="1:16384" ht="15.75" x14ac:dyDescent="0.25">
      <c r="A112" s="146" t="s">
        <v>181</v>
      </c>
      <c r="B112" s="354"/>
      <c r="C112" s="286"/>
      <c r="D112" s="287"/>
      <c r="E112" s="289"/>
      <c r="F112" s="289"/>
      <c r="G112" s="308"/>
      <c r="H112" s="289"/>
      <c r="I112" s="289"/>
      <c r="J112" s="289"/>
      <c r="K112" s="289"/>
      <c r="L112" s="288"/>
    </row>
    <row r="113" spans="1:12" s="351" customFormat="1" ht="50.25" outlineLevel="1" x14ac:dyDescent="0.25">
      <c r="A113" s="34" t="s">
        <v>221</v>
      </c>
      <c r="B113" s="34" t="s">
        <v>268</v>
      </c>
      <c r="C113" s="28" t="s">
        <v>2</v>
      </c>
      <c r="D113" s="34" t="s">
        <v>280</v>
      </c>
      <c r="E113" s="194" t="s">
        <v>223</v>
      </c>
      <c r="F113" s="21" t="s">
        <v>509</v>
      </c>
      <c r="G113" s="252" t="s">
        <v>176</v>
      </c>
      <c r="H113" s="196" t="s">
        <v>270</v>
      </c>
      <c r="I113" s="156" t="s">
        <v>271</v>
      </c>
      <c r="J113" s="194" t="s">
        <v>282</v>
      </c>
      <c r="K113" s="196" t="s">
        <v>272</v>
      </c>
      <c r="L113" s="194" t="s">
        <v>273</v>
      </c>
    </row>
    <row r="114" spans="1:12" ht="30.75" x14ac:dyDescent="0.25">
      <c r="A114" s="24" t="s">
        <v>366</v>
      </c>
      <c r="B114" s="267" t="s">
        <v>305</v>
      </c>
      <c r="C114" s="115" t="s">
        <v>306</v>
      </c>
      <c r="D114" s="24">
        <v>237</v>
      </c>
      <c r="E114" s="268">
        <v>28469</v>
      </c>
      <c r="F114" s="268">
        <v>28469</v>
      </c>
      <c r="G114" s="303" t="s">
        <v>153</v>
      </c>
      <c r="H114" s="269">
        <v>0</v>
      </c>
      <c r="I114" s="268">
        <v>17658</v>
      </c>
      <c r="J114" s="268">
        <v>8829</v>
      </c>
      <c r="K114" s="268">
        <v>8829</v>
      </c>
      <c r="L114" s="268">
        <v>-8829</v>
      </c>
    </row>
    <row r="115" spans="1:12" ht="15.75" x14ac:dyDescent="0.25">
      <c r="A115" s="165" t="s">
        <v>394</v>
      </c>
      <c r="B115" s="302" t="s">
        <v>153</v>
      </c>
      <c r="C115" s="302" t="s">
        <v>153</v>
      </c>
      <c r="D115" s="302" t="s">
        <v>153</v>
      </c>
      <c r="E115" s="277">
        <f>SUBTOTAL(109,college199900[Program
Costs])</f>
        <v>28469</v>
      </c>
      <c r="F115" s="277">
        <f>SUBTOTAL(109,college199900[Less: Net
 Payments and 
Offsets 2])</f>
        <v>28469</v>
      </c>
      <c r="G115" s="302" t="s">
        <v>153</v>
      </c>
      <c r="H115" s="279">
        <f>SUBTOTAL(109,college199900[Accounts Payable
Balance])</f>
        <v>0</v>
      </c>
      <c r="I115" s="277">
        <f>SUBTOTAL(109,college199900[Established
Accounts Receivable])</f>
        <v>17658</v>
      </c>
      <c r="J115" s="277">
        <f>SUBTOTAL(109,college199900[Less: 
Recovered 
Amount])</f>
        <v>8829</v>
      </c>
      <c r="K115" s="277">
        <f>SUBTOTAL(109,college199900[Accounts Receivable
Balance])</f>
        <v>8829</v>
      </c>
      <c r="L115" s="277">
        <f>SUBTOTAL(109,college199900[Net
Balance])</f>
        <v>-8829</v>
      </c>
    </row>
    <row r="116" spans="1:12" ht="15.75" x14ac:dyDescent="0.25">
      <c r="A116" s="146" t="s">
        <v>181</v>
      </c>
      <c r="B116" s="354"/>
      <c r="C116" s="286"/>
      <c r="D116" s="287"/>
      <c r="E116" s="289"/>
      <c r="F116" s="289"/>
      <c r="G116" s="308"/>
      <c r="H116" s="289"/>
      <c r="I116" s="289"/>
      <c r="J116" s="289"/>
      <c r="K116" s="289"/>
      <c r="L116" s="288"/>
    </row>
    <row r="117" spans="1:12" s="351" customFormat="1" ht="50.25" outlineLevel="1" x14ac:dyDescent="0.25">
      <c r="A117" s="34" t="s">
        <v>221</v>
      </c>
      <c r="B117" s="34" t="s">
        <v>268</v>
      </c>
      <c r="C117" s="28" t="s">
        <v>2</v>
      </c>
      <c r="D117" s="34" t="s">
        <v>280</v>
      </c>
      <c r="E117" s="194" t="s">
        <v>223</v>
      </c>
      <c r="F117" s="21" t="s">
        <v>509</v>
      </c>
      <c r="G117" s="252" t="s">
        <v>176</v>
      </c>
      <c r="H117" s="196" t="s">
        <v>270</v>
      </c>
      <c r="I117" s="156" t="s">
        <v>271</v>
      </c>
      <c r="J117" s="194" t="s">
        <v>282</v>
      </c>
      <c r="K117" s="196" t="s">
        <v>272</v>
      </c>
      <c r="L117" s="194" t="s">
        <v>273</v>
      </c>
    </row>
    <row r="118" spans="1:12" ht="30.75" x14ac:dyDescent="0.25">
      <c r="A118" s="24" t="s">
        <v>369</v>
      </c>
      <c r="B118" s="267" t="s">
        <v>521</v>
      </c>
      <c r="C118" s="115" t="s">
        <v>427</v>
      </c>
      <c r="D118" s="24">
        <v>267</v>
      </c>
      <c r="E118" s="268">
        <v>3447372</v>
      </c>
      <c r="F118" s="268">
        <v>3447372</v>
      </c>
      <c r="G118" s="303" t="s">
        <v>153</v>
      </c>
      <c r="H118" s="269">
        <v>0</v>
      </c>
      <c r="I118" s="268">
        <v>2446054</v>
      </c>
      <c r="J118" s="268">
        <v>1758445</v>
      </c>
      <c r="K118" s="268">
        <v>687609</v>
      </c>
      <c r="L118" s="268">
        <v>-687609</v>
      </c>
    </row>
    <row r="119" spans="1:12" ht="15.75" x14ac:dyDescent="0.25">
      <c r="A119" s="165" t="s">
        <v>395</v>
      </c>
      <c r="B119" s="302" t="s">
        <v>153</v>
      </c>
      <c r="C119" s="302" t="s">
        <v>153</v>
      </c>
      <c r="D119" s="302" t="s">
        <v>153</v>
      </c>
      <c r="E119" s="277">
        <f>SUBTOTAL(109,college199899[Program
Costs])</f>
        <v>3447372</v>
      </c>
      <c r="F119" s="277">
        <f>SUBTOTAL(109,college199899[Less: Net
 Payments and 
Offsets 2])</f>
        <v>3447372</v>
      </c>
      <c r="G119" s="302" t="s">
        <v>153</v>
      </c>
      <c r="H119" s="279">
        <f>SUBTOTAL(109,college199899[Accounts Payable
Balance])</f>
        <v>0</v>
      </c>
      <c r="I119" s="277">
        <f>SUBTOTAL(109,college199899[Established
Accounts Receivable])</f>
        <v>2446054</v>
      </c>
      <c r="J119" s="277">
        <f>SUBTOTAL(109,college199899[Less: 
Recovered 
Amount])</f>
        <v>1758445</v>
      </c>
      <c r="K119" s="277">
        <f>SUBTOTAL(109,college199899[Accounts Receivable
Balance])</f>
        <v>687609</v>
      </c>
      <c r="L119" s="277">
        <f>SUBTOTAL(109,college199899[Net
Balance])</f>
        <v>-687609</v>
      </c>
    </row>
    <row r="120" spans="1:12" ht="15.75" x14ac:dyDescent="0.25">
      <c r="A120" s="146" t="s">
        <v>181</v>
      </c>
      <c r="B120" s="354"/>
      <c r="C120" s="286"/>
      <c r="D120" s="287"/>
      <c r="E120" s="288"/>
      <c r="F120" s="288"/>
      <c r="G120" s="308"/>
      <c r="H120" s="290"/>
      <c r="I120" s="288"/>
      <c r="J120" s="288"/>
      <c r="K120" s="288"/>
      <c r="L120" s="288"/>
    </row>
    <row r="121" spans="1:12" s="351" customFormat="1" ht="50.25" outlineLevel="1" x14ac:dyDescent="0.25">
      <c r="A121" s="34" t="s">
        <v>221</v>
      </c>
      <c r="B121" s="34" t="s">
        <v>268</v>
      </c>
      <c r="C121" s="28" t="s">
        <v>2</v>
      </c>
      <c r="D121" s="34" t="s">
        <v>280</v>
      </c>
      <c r="E121" s="194" t="s">
        <v>223</v>
      </c>
      <c r="F121" s="28" t="s">
        <v>509</v>
      </c>
      <c r="G121" s="252" t="s">
        <v>176</v>
      </c>
      <c r="H121" s="196" t="s">
        <v>270</v>
      </c>
      <c r="I121" s="156" t="s">
        <v>271</v>
      </c>
      <c r="J121" s="194" t="s">
        <v>282</v>
      </c>
      <c r="K121" s="196" t="s">
        <v>272</v>
      </c>
      <c r="L121" s="194" t="s">
        <v>273</v>
      </c>
    </row>
    <row r="122" spans="1:12" ht="15.75" x14ac:dyDescent="0.25">
      <c r="A122" s="92" t="s">
        <v>47</v>
      </c>
      <c r="B122" s="303" t="s">
        <v>153</v>
      </c>
      <c r="C122" s="303" t="s">
        <v>153</v>
      </c>
      <c r="D122" s="303" t="s">
        <v>153</v>
      </c>
      <c r="E122" s="299">
        <f>college201415[[#Totals],[Program
Costs]]</f>
        <v>375864</v>
      </c>
      <c r="F122" s="299">
        <f>college201415[[#Totals],[Less: Net
 Payments and 
Offsets 2]]</f>
        <v>129607</v>
      </c>
      <c r="G122" s="303" t="s">
        <v>153</v>
      </c>
      <c r="H122" s="299">
        <f>college201415[[#Totals],[Accounts Payable
Balance]]</f>
        <v>246257</v>
      </c>
      <c r="I122" s="299">
        <f>college201415[[#Totals],[Established
Accounts Receivable]]</f>
        <v>1000</v>
      </c>
      <c r="J122" s="300">
        <f>college201415[[#Totals],[Less: 
Recovered 
Amount]]</f>
        <v>0</v>
      </c>
      <c r="K122" s="299">
        <f>college201415[[#Totals],[Accounts Receivable
Balance]]</f>
        <v>1000</v>
      </c>
      <c r="L122" s="299">
        <f>college201415[[#Totals],[Net
Balance]]</f>
        <v>245257</v>
      </c>
    </row>
    <row r="123" spans="1:12" ht="15.75" x14ac:dyDescent="0.25">
      <c r="A123" s="92" t="s">
        <v>288</v>
      </c>
      <c r="B123" s="303" t="s">
        <v>153</v>
      </c>
      <c r="C123" s="303" t="s">
        <v>153</v>
      </c>
      <c r="D123" s="303" t="s">
        <v>153</v>
      </c>
      <c r="E123" s="299">
        <f>college201314[[#Totals],[Program
Costs]]</f>
        <v>879477</v>
      </c>
      <c r="F123" s="299">
        <f>college201314[[#Totals],[Less: Net
 Payments and 
Offsets 2]]</f>
        <v>680345</v>
      </c>
      <c r="G123" s="303" t="s">
        <v>153</v>
      </c>
      <c r="H123" s="299">
        <f>college201314[[#Totals],[Accounts Payable
Balance]]</f>
        <v>199132</v>
      </c>
      <c r="I123" s="299">
        <f>college201314[[#Totals],[Established
Accounts Receivable]]</f>
        <v>1000</v>
      </c>
      <c r="J123" s="300">
        <f>college201314[[#Totals],[Less: 
Recovered 
Amount]]</f>
        <v>0</v>
      </c>
      <c r="K123" s="299">
        <f>college201314[[#Totals],[Accounts Receivable
Balance]]</f>
        <v>1000</v>
      </c>
      <c r="L123" s="299">
        <f>college201314[[#Totals],[Net
Balance]]</f>
        <v>198132</v>
      </c>
    </row>
    <row r="124" spans="1:12" ht="15.75" x14ac:dyDescent="0.25">
      <c r="A124" s="92" t="s">
        <v>290</v>
      </c>
      <c r="B124" s="303" t="s">
        <v>153</v>
      </c>
      <c r="C124" s="303" t="s">
        <v>153</v>
      </c>
      <c r="D124" s="303" t="s">
        <v>153</v>
      </c>
      <c r="E124" s="299">
        <f>college201213[[#Totals],[Program
Costs]]</f>
        <v>922641</v>
      </c>
      <c r="F124" s="299">
        <f>college201213[[#Totals],[Less: Net
 Payments and 
Offsets 2]]</f>
        <v>525344</v>
      </c>
      <c r="G124" s="303" t="s">
        <v>153</v>
      </c>
      <c r="H124" s="299">
        <f>college201213[[#Totals],[Accounts Payable
Balance]]</f>
        <v>397297</v>
      </c>
      <c r="I124" s="299">
        <f>college201213[[#Totals],[Established
Accounts Receivable]]</f>
        <v>1000</v>
      </c>
      <c r="J124" s="300">
        <f>college201213[[#Totals],[Less: 
Recovered 
Amount]]</f>
        <v>0</v>
      </c>
      <c r="K124" s="299">
        <f>college201213[[#Totals],[Accounts Receivable
Balance]]</f>
        <v>1000</v>
      </c>
      <c r="L124" s="299">
        <f>college201213[[#Totals],[Net
Balance]]</f>
        <v>396297</v>
      </c>
    </row>
    <row r="125" spans="1:12" ht="15.75" x14ac:dyDescent="0.25">
      <c r="A125" s="92" t="s">
        <v>292</v>
      </c>
      <c r="B125" s="303" t="s">
        <v>153</v>
      </c>
      <c r="C125" s="303" t="s">
        <v>153</v>
      </c>
      <c r="D125" s="303" t="s">
        <v>153</v>
      </c>
      <c r="E125" s="299">
        <f>college201112[[#Totals],[Program
Costs]]</f>
        <v>20332634</v>
      </c>
      <c r="F125" s="299">
        <f>college201112[[#Totals],[Less: Net
 Payments and 
Offsets 2]]</f>
        <v>17286258</v>
      </c>
      <c r="G125" s="303" t="s">
        <v>153</v>
      </c>
      <c r="H125" s="299">
        <f>college201112[[#Totals],[Accounts Payable
Balance]]</f>
        <v>3046376</v>
      </c>
      <c r="I125" s="300">
        <f>college201112[[#Totals],[Established
Accounts Receivable]]</f>
        <v>0</v>
      </c>
      <c r="J125" s="300">
        <f>college201112[[#Totals],[Less: 
Recovered 
Amount]]</f>
        <v>0</v>
      </c>
      <c r="K125" s="300">
        <f>college201112[[#Totals],[Accounts Receivable
Balance]]</f>
        <v>0</v>
      </c>
      <c r="L125" s="299">
        <f>college201112[[#Totals],[Net
Balance]]</f>
        <v>3046376</v>
      </c>
    </row>
    <row r="126" spans="1:12" ht="15.75" x14ac:dyDescent="0.25">
      <c r="A126" s="92" t="s">
        <v>296</v>
      </c>
      <c r="B126" s="303" t="s">
        <v>153</v>
      </c>
      <c r="C126" s="303" t="s">
        <v>153</v>
      </c>
      <c r="D126" s="303" t="s">
        <v>153</v>
      </c>
      <c r="E126" s="299">
        <f>college201011[[#Totals],[Program
Costs]]</f>
        <v>16904655</v>
      </c>
      <c r="F126" s="299">
        <f>college201011[[#Totals],[Less: Net
 Payments and 
Offsets 2]]</f>
        <v>15416949</v>
      </c>
      <c r="G126" s="303" t="s">
        <v>153</v>
      </c>
      <c r="H126" s="299">
        <f>college201011[[#Totals],[Accounts Payable
Balance]]</f>
        <v>1487706</v>
      </c>
      <c r="I126" s="300">
        <f>college201011[[#Totals],[Established
Accounts Receivable]]</f>
        <v>0</v>
      </c>
      <c r="J126" s="300">
        <f>college201011[[#Totals],[Less: 
Recovered 
Amount]]</f>
        <v>0</v>
      </c>
      <c r="K126" s="300">
        <f>college201011[[#Totals],[Accounts Receivable
Balance]]</f>
        <v>0</v>
      </c>
      <c r="L126" s="299">
        <f>college201011[[#Totals],[Net
Balance]]</f>
        <v>1487706</v>
      </c>
    </row>
    <row r="127" spans="1:12" ht="15.75" x14ac:dyDescent="0.25">
      <c r="A127" s="92" t="s">
        <v>1</v>
      </c>
      <c r="B127" s="303" t="s">
        <v>153</v>
      </c>
      <c r="C127" s="303" t="s">
        <v>153</v>
      </c>
      <c r="D127" s="303" t="s">
        <v>153</v>
      </c>
      <c r="E127" s="299">
        <f>college200910[[#Totals],[Program
Costs]]</f>
        <v>22815459</v>
      </c>
      <c r="F127" s="299">
        <f>college200910[[#Totals],[Less: Net
 Payments and 
Offsets 2]]</f>
        <v>21623246</v>
      </c>
      <c r="G127" s="303" t="s">
        <v>153</v>
      </c>
      <c r="H127" s="299">
        <f>college200910[[#Totals],[Accounts Payable
Balance]]</f>
        <v>1192213</v>
      </c>
      <c r="I127" s="299">
        <f>college200910[[#Totals],[Established
Accounts Receivable]]</f>
        <v>3222713</v>
      </c>
      <c r="J127" s="299">
        <f>college200910[[#Totals],[Less: 
Recovered 
Amount]]</f>
        <v>258603</v>
      </c>
      <c r="K127" s="299">
        <f>college200910[[#Totals],[Accounts Receivable
Balance]]</f>
        <v>2964110</v>
      </c>
      <c r="L127" s="299">
        <f>college200910[[#Totals],[Net
Balance]]</f>
        <v>-1771897</v>
      </c>
    </row>
    <row r="128" spans="1:12" ht="15.75" x14ac:dyDescent="0.25">
      <c r="A128" s="92" t="s">
        <v>48</v>
      </c>
      <c r="B128" s="303" t="s">
        <v>153</v>
      </c>
      <c r="C128" s="303" t="s">
        <v>153</v>
      </c>
      <c r="D128" s="303" t="s">
        <v>153</v>
      </c>
      <c r="E128" s="299">
        <f>college200809[[#Totals],[Program
Costs]]</f>
        <v>24685257</v>
      </c>
      <c r="F128" s="299">
        <f>college200809[[#Totals],[Less: Net
 Payments and 
Offsets 2]]</f>
        <v>23274397</v>
      </c>
      <c r="G128" s="303" t="s">
        <v>153</v>
      </c>
      <c r="H128" s="299">
        <f>college200809[[#Totals],[Accounts Payable
Balance]]</f>
        <v>1410860</v>
      </c>
      <c r="I128" s="299">
        <f>college200809[[#Totals],[Established
Accounts Receivable]]</f>
        <v>5366794</v>
      </c>
      <c r="J128" s="299">
        <f>college200809[[#Totals],[Less: 
Recovered 
Amount]]</f>
        <v>384373</v>
      </c>
      <c r="K128" s="299">
        <f>college200809[[#Totals],[Accounts Receivable
Balance]]</f>
        <v>4982421</v>
      </c>
      <c r="L128" s="299">
        <f>college200809[[#Totals],[Net
Balance]]</f>
        <v>-3571561</v>
      </c>
    </row>
    <row r="129" spans="1:12" ht="15.75" x14ac:dyDescent="0.25">
      <c r="A129" s="92" t="s">
        <v>353</v>
      </c>
      <c r="B129" s="303" t="s">
        <v>153</v>
      </c>
      <c r="C129" s="303" t="s">
        <v>153</v>
      </c>
      <c r="D129" s="303" t="s">
        <v>153</v>
      </c>
      <c r="E129" s="299">
        <f>college200708[[#Totals],[Program
Costs]]</f>
        <v>22694213</v>
      </c>
      <c r="F129" s="299">
        <f>college200708[[#Totals],[Less: Net
 Payments and 
Offsets 2]]</f>
        <v>20973335</v>
      </c>
      <c r="G129" s="303" t="s">
        <v>153</v>
      </c>
      <c r="H129" s="299">
        <f>college200708[[#Totals],[Accounts Payable
Balance]]</f>
        <v>1720878</v>
      </c>
      <c r="I129" s="299">
        <f>college200708[[#Totals],[Established
Accounts Receivable]]</f>
        <v>2671310</v>
      </c>
      <c r="J129" s="299">
        <f>college200708[[#Totals],[Less: 
Recovered 
Amount]]</f>
        <v>1014132</v>
      </c>
      <c r="K129" s="299">
        <f>college200708[[#Totals],[Accounts Receivable
Balance]]</f>
        <v>1657178</v>
      </c>
      <c r="L129" s="299">
        <f>college200708[[#Totals],[Net
Balance]]</f>
        <v>63700</v>
      </c>
    </row>
    <row r="130" spans="1:12" ht="15.75" x14ac:dyDescent="0.25">
      <c r="A130" s="92" t="s">
        <v>358</v>
      </c>
      <c r="B130" s="303" t="s">
        <v>153</v>
      </c>
      <c r="C130" s="303" t="s">
        <v>153</v>
      </c>
      <c r="D130" s="303" t="s">
        <v>153</v>
      </c>
      <c r="E130" s="299">
        <f>college200607[[#Totals],[Program
Costs]]</f>
        <v>12389117</v>
      </c>
      <c r="F130" s="299">
        <f>college200607[[#Totals],[Less: Net
 Payments and 
Offsets 2]]</f>
        <v>11493132</v>
      </c>
      <c r="G130" s="303" t="s">
        <v>153</v>
      </c>
      <c r="H130" s="299">
        <f>college200607[[#Totals],[Accounts Payable
Balance]]</f>
        <v>895985</v>
      </c>
      <c r="I130" s="299">
        <f>college200607[[#Totals],[Established
Accounts Receivable]]</f>
        <v>3922061</v>
      </c>
      <c r="J130" s="299">
        <f>college200607[[#Totals],[Less: 
Recovered 
Amount]]</f>
        <v>2854394</v>
      </c>
      <c r="K130" s="299">
        <f>college200607[[#Totals],[Accounts Receivable
Balance]]</f>
        <v>1067667</v>
      </c>
      <c r="L130" s="299">
        <f>college200607[[#Totals],[Net
Balance]]</f>
        <v>-171682</v>
      </c>
    </row>
    <row r="131" spans="1:12" ht="15.75" x14ac:dyDescent="0.25">
      <c r="A131" s="92" t="s">
        <v>359</v>
      </c>
      <c r="B131" s="303" t="s">
        <v>153</v>
      </c>
      <c r="C131" s="303" t="s">
        <v>153</v>
      </c>
      <c r="D131" s="303" t="s">
        <v>153</v>
      </c>
      <c r="E131" s="299">
        <f>college200506[[#Totals],[Program
Costs]]</f>
        <v>5107529</v>
      </c>
      <c r="F131" s="299">
        <f>college200506[[#Totals],[Less: Net
 Payments and 
Offsets 2]]</f>
        <v>5020822</v>
      </c>
      <c r="G131" s="303" t="s">
        <v>153</v>
      </c>
      <c r="H131" s="299">
        <f>college200506[[#Totals],[Accounts Payable
Balance]]</f>
        <v>86707</v>
      </c>
      <c r="I131" s="299">
        <f>college200506[[#Totals],[Established
Accounts Receivable]]</f>
        <v>306235</v>
      </c>
      <c r="J131" s="299">
        <f>college200506[[#Totals],[Less: 
Recovered 
Amount]]</f>
        <v>251347</v>
      </c>
      <c r="K131" s="299">
        <f>college200506[[#Totals],[Accounts Receivable
Balance]]</f>
        <v>54888</v>
      </c>
      <c r="L131" s="299">
        <f>college200506[[#Totals],[Net
Balance]]</f>
        <v>31819</v>
      </c>
    </row>
    <row r="132" spans="1:12" ht="15.75" x14ac:dyDescent="0.25">
      <c r="A132" s="92" t="s">
        <v>49</v>
      </c>
      <c r="B132" s="303" t="s">
        <v>153</v>
      </c>
      <c r="C132" s="303" t="s">
        <v>153</v>
      </c>
      <c r="D132" s="303" t="s">
        <v>153</v>
      </c>
      <c r="E132" s="299">
        <f>college200304[[#Totals],[Program
Costs]]</f>
        <v>948601</v>
      </c>
      <c r="F132" s="299">
        <f>college200304[[#Totals],[Less: Net
 Payments and 
Offsets 2]]</f>
        <v>935719</v>
      </c>
      <c r="G132" s="303" t="s">
        <v>153</v>
      </c>
      <c r="H132" s="299">
        <f>college200304[[#Totals],[Accounts Payable
Balance]]</f>
        <v>12882</v>
      </c>
      <c r="I132" s="299">
        <f>college200304[[#Totals],[Established
Accounts Receivable]]</f>
        <v>408288</v>
      </c>
      <c r="J132" s="299">
        <f>college200304[[#Totals],[Less: 
Recovered 
Amount]]</f>
        <v>408288</v>
      </c>
      <c r="K132" s="300">
        <f>college200304[[#Totals],[Accounts Receivable
Balance]]</f>
        <v>0</v>
      </c>
      <c r="L132" s="299">
        <f>college200304[[#Totals],[Net
Balance]]</f>
        <v>12882</v>
      </c>
    </row>
    <row r="133" spans="1:12" ht="15.75" x14ac:dyDescent="0.25">
      <c r="A133" s="92" t="s">
        <v>361</v>
      </c>
      <c r="B133" s="303" t="s">
        <v>153</v>
      </c>
      <c r="C133" s="303" t="s">
        <v>153</v>
      </c>
      <c r="D133" s="303" t="s">
        <v>153</v>
      </c>
      <c r="E133" s="299">
        <f>college200203[[#Totals],[Program
Costs]]</f>
        <v>14911623</v>
      </c>
      <c r="F133" s="299">
        <f>college200203[[#Totals],[Less: Net
 Payments and 
Offsets 2]]</f>
        <v>14901325</v>
      </c>
      <c r="G133" s="303" t="s">
        <v>153</v>
      </c>
      <c r="H133" s="299">
        <f>college200203[[#Totals],[Accounts Payable
Balance]]</f>
        <v>10298</v>
      </c>
      <c r="I133" s="299">
        <f>college200203[[#Totals],[Established
Accounts Receivable]]</f>
        <v>4316213</v>
      </c>
      <c r="J133" s="299">
        <f>college200203[[#Totals],[Less: 
Recovered 
Amount]]</f>
        <v>3277337</v>
      </c>
      <c r="K133" s="299">
        <f>college200203[[#Totals],[Accounts Receivable
Balance]]</f>
        <v>1038876</v>
      </c>
      <c r="L133" s="299">
        <f>college200203[[#Totals],[Net
Balance]]</f>
        <v>-1028578</v>
      </c>
    </row>
    <row r="134" spans="1:12" ht="15.75" x14ac:dyDescent="0.25">
      <c r="A134" s="92" t="s">
        <v>362</v>
      </c>
      <c r="B134" s="303" t="s">
        <v>153</v>
      </c>
      <c r="C134" s="303" t="s">
        <v>153</v>
      </c>
      <c r="D134" s="303" t="s">
        <v>153</v>
      </c>
      <c r="E134" s="299">
        <f>college200102[[#Totals],[Program
Costs]]</f>
        <v>15566165</v>
      </c>
      <c r="F134" s="299">
        <f>college200102[[#Totals],[Less: Net
 Payments and 
Offsets 2]]</f>
        <v>15562960</v>
      </c>
      <c r="G134" s="303" t="s">
        <v>153</v>
      </c>
      <c r="H134" s="299">
        <f>college200102[[#Totals],[Accounts Payable
Balance]]</f>
        <v>3205</v>
      </c>
      <c r="I134" s="299">
        <f>college200102[[#Totals],[Established
Accounts Receivable]]</f>
        <v>2237641</v>
      </c>
      <c r="J134" s="299">
        <f>college200102[[#Totals],[Less: 
Recovered 
Amount]]</f>
        <v>1911976</v>
      </c>
      <c r="K134" s="299">
        <f>college200102[[#Totals],[Accounts Receivable
Balance]]</f>
        <v>325665</v>
      </c>
      <c r="L134" s="299">
        <f>college200102[[#Totals],[Net
Balance]]</f>
        <v>-322460</v>
      </c>
    </row>
    <row r="135" spans="1:12" ht="15.75" x14ac:dyDescent="0.25">
      <c r="A135" s="92" t="s">
        <v>365</v>
      </c>
      <c r="B135" s="303" t="s">
        <v>153</v>
      </c>
      <c r="C135" s="303" t="s">
        <v>153</v>
      </c>
      <c r="D135" s="303" t="s">
        <v>153</v>
      </c>
      <c r="E135" s="299">
        <f>college200001[[#Totals],[Program
Costs]]</f>
        <v>614433</v>
      </c>
      <c r="F135" s="299">
        <f>college200001[[#Totals],[Less: Net
 Payments and 
Offsets 2]]</f>
        <v>614433</v>
      </c>
      <c r="G135" s="303" t="s">
        <v>153</v>
      </c>
      <c r="H135" s="300">
        <f>college200001[[#Totals],[Accounts Payable
Balance]]</f>
        <v>0</v>
      </c>
      <c r="I135" s="299">
        <f>college200001[[#Totals],[Established
Accounts Receivable]]</f>
        <v>11162</v>
      </c>
      <c r="J135" s="299">
        <f>college200001[[#Totals],[Less: 
Recovered 
Amount]]</f>
        <v>9987</v>
      </c>
      <c r="K135" s="299">
        <f>college200001[[#Totals],[Accounts Receivable
Balance]]</f>
        <v>1175</v>
      </c>
      <c r="L135" s="299">
        <f>college200001[[#Totals],[Net
Balance]]</f>
        <v>-1175</v>
      </c>
    </row>
    <row r="136" spans="1:12" ht="15.75" x14ac:dyDescent="0.25">
      <c r="A136" s="92" t="s">
        <v>366</v>
      </c>
      <c r="B136" s="303" t="s">
        <v>153</v>
      </c>
      <c r="C136" s="303" t="s">
        <v>153</v>
      </c>
      <c r="D136" s="303" t="s">
        <v>153</v>
      </c>
      <c r="E136" s="299">
        <f>college199900[[#Totals],[Program
Costs]]</f>
        <v>28469</v>
      </c>
      <c r="F136" s="299">
        <f>college199900[[#Totals],[Less: Net
 Payments and 
Offsets 2]]</f>
        <v>28469</v>
      </c>
      <c r="G136" s="303" t="s">
        <v>153</v>
      </c>
      <c r="H136" s="300">
        <f>college199900[[#Totals],[Accounts Payable
Balance]]</f>
        <v>0</v>
      </c>
      <c r="I136" s="299">
        <f>college199900[[#Totals],[Established
Accounts Receivable]]</f>
        <v>17658</v>
      </c>
      <c r="J136" s="299">
        <f>college199900[[#Totals],[Less: 
Recovered 
Amount]]</f>
        <v>8829</v>
      </c>
      <c r="K136" s="299">
        <f>college199900[[#Totals],[Accounts Receivable
Balance]]</f>
        <v>8829</v>
      </c>
      <c r="L136" s="299">
        <f>college199900[[#Totals],[Net
Balance]]</f>
        <v>-8829</v>
      </c>
    </row>
    <row r="137" spans="1:12" ht="15.75" x14ac:dyDescent="0.25">
      <c r="A137" s="92" t="s">
        <v>369</v>
      </c>
      <c r="B137" s="303" t="s">
        <v>153</v>
      </c>
      <c r="C137" s="303" t="s">
        <v>153</v>
      </c>
      <c r="D137" s="303" t="s">
        <v>153</v>
      </c>
      <c r="E137" s="299">
        <f>college199899[[#Totals],[Program
Costs]]</f>
        <v>3447372</v>
      </c>
      <c r="F137" s="299">
        <f>college199899[[#Totals],[Less: Net
 Payments and 
Offsets 2]]</f>
        <v>3447372</v>
      </c>
      <c r="G137" s="303" t="s">
        <v>153</v>
      </c>
      <c r="H137" s="300">
        <f>college199899[[#Totals],[Accounts Payable
Balance]]</f>
        <v>0</v>
      </c>
      <c r="I137" s="299">
        <f>college199899[[#Totals],[Established
Accounts Receivable]]</f>
        <v>2446054</v>
      </c>
      <c r="J137" s="299">
        <f>college199899[[#Totals],[Less: 
Recovered 
Amount]]</f>
        <v>1758445</v>
      </c>
      <c r="K137" s="299">
        <f>college199899[[#Totals],[Accounts Receivable
Balance]]</f>
        <v>687609</v>
      </c>
      <c r="L137" s="299">
        <f>college199899[[#Totals],[Net
Balance]]</f>
        <v>-687609</v>
      </c>
    </row>
    <row r="138" spans="1:12" ht="15.75" x14ac:dyDescent="0.25">
      <c r="A138" s="165" t="s">
        <v>534</v>
      </c>
      <c r="B138" s="302" t="s">
        <v>153</v>
      </c>
      <c r="C138" s="302" t="s">
        <v>153</v>
      </c>
      <c r="D138" s="302" t="s">
        <v>153</v>
      </c>
      <c r="E138" s="277">
        <f>SUBTOTAL(109,collegegrandtotal5[Program
Costs])</f>
        <v>162623509</v>
      </c>
      <c r="F138" s="277">
        <f>SUBTOTAL(109,collegegrandtotal5[Less: Net
 Payments and 
Offsets 2])</f>
        <v>151913713</v>
      </c>
      <c r="G138" s="302" t="s">
        <v>153</v>
      </c>
      <c r="H138" s="277">
        <f>SUBTOTAL(109,collegegrandtotal5[Accounts Payable
Balance])</f>
        <v>10709796</v>
      </c>
      <c r="I138" s="277">
        <f>SUBTOTAL(109,collegegrandtotal5[Established
Accounts Receivable])</f>
        <v>24929129</v>
      </c>
      <c r="J138" s="277">
        <f>SUBTOTAL(109,collegegrandtotal5[Less: 
Recovered 
Amount])</f>
        <v>12137711</v>
      </c>
      <c r="K138" s="277">
        <f>SUBTOTAL(109,collegegrandtotal5[Accounts Receivable
Balance])</f>
        <v>12791418</v>
      </c>
      <c r="L138" s="277">
        <f>SUBTOTAL(109,collegegrandtotal5[Net
Balance])</f>
        <v>-2081622</v>
      </c>
    </row>
    <row r="139" spans="1:12" ht="15.75" x14ac:dyDescent="0.25">
      <c r="A139" s="146" t="s">
        <v>181</v>
      </c>
      <c r="B139" s="354"/>
      <c r="C139" s="286"/>
      <c r="D139" s="287"/>
      <c r="E139" s="288"/>
      <c r="F139" s="288"/>
      <c r="G139" s="308"/>
      <c r="H139" s="290"/>
      <c r="I139" s="288"/>
      <c r="J139" s="288"/>
      <c r="K139" s="288"/>
      <c r="L139" s="288"/>
    </row>
    <row r="140" spans="1:12" s="351" customFormat="1" ht="50.25" outlineLevel="1" x14ac:dyDescent="0.25">
      <c r="A140" s="34" t="s">
        <v>221</v>
      </c>
      <c r="B140" s="34" t="s">
        <v>268</v>
      </c>
      <c r="C140" s="28" t="s">
        <v>2</v>
      </c>
      <c r="D140" s="34" t="s">
        <v>280</v>
      </c>
      <c r="E140" s="194" t="s">
        <v>223</v>
      </c>
      <c r="F140" s="28" t="s">
        <v>509</v>
      </c>
      <c r="G140" s="252" t="s">
        <v>176</v>
      </c>
      <c r="H140" s="196" t="s">
        <v>270</v>
      </c>
      <c r="I140" s="156" t="s">
        <v>271</v>
      </c>
      <c r="J140" s="194" t="s">
        <v>282</v>
      </c>
      <c r="K140" s="196" t="s">
        <v>272</v>
      </c>
      <c r="L140" s="194" t="s">
        <v>273</v>
      </c>
    </row>
    <row r="141" spans="1:12" ht="15.75" x14ac:dyDescent="0.25">
      <c r="A141" s="301" t="s">
        <v>0</v>
      </c>
      <c r="B141" s="303" t="s">
        <v>153</v>
      </c>
      <c r="C141" s="303" t="s">
        <v>153</v>
      </c>
      <c r="D141" s="303" t="s">
        <v>153</v>
      </c>
      <c r="E141" s="299">
        <f>localgrandtotal[[#Totals],[Program
Costs]]</f>
        <v>684761040</v>
      </c>
      <c r="F141" s="299">
        <f>localgrandtotal[[#Totals],[Less: Net 
Payments
 and Offsets 1]]</f>
        <v>282031325</v>
      </c>
      <c r="G141" s="303" t="s">
        <v>153</v>
      </c>
      <c r="H141" s="300">
        <f>localgrandtotal[[#Totals],[Accounts Payable
Balance]]</f>
        <v>402729715</v>
      </c>
      <c r="I141" s="299">
        <f>localgrandtotal[[#Totals],[Established
Accounts Receivable]]</f>
        <v>50121097</v>
      </c>
      <c r="J141" s="299">
        <f>localgrandtotal[[#Totals],[Less: 
Recovered 
Amount]]</f>
        <v>47870233</v>
      </c>
      <c r="K141" s="299">
        <f>localgrandtotal[[#Totals],[Accounts Receivable
Balance]]</f>
        <v>2250864</v>
      </c>
      <c r="L141" s="299">
        <f>localgrandtotal[[#Totals],[Net
Balance]]</f>
        <v>400478851</v>
      </c>
    </row>
    <row r="142" spans="1:12" ht="15.75" x14ac:dyDescent="0.25">
      <c r="A142" s="301" t="s">
        <v>241</v>
      </c>
      <c r="B142" s="303" t="s">
        <v>153</v>
      </c>
      <c r="C142" s="303" t="s">
        <v>153</v>
      </c>
      <c r="D142" s="303" t="s">
        <v>153</v>
      </c>
      <c r="E142" s="299">
        <f>schoolgrandtotal[[#Totals],[Program
Costs]]</f>
        <v>6310268855</v>
      </c>
      <c r="F142" s="299">
        <f>schoolgrandtotal[[#Totals],[Less: Net
 Payments and 
Offsets 2]]</f>
        <v>5384866232</v>
      </c>
      <c r="G142" s="303" t="s">
        <v>153</v>
      </c>
      <c r="H142" s="300">
        <f>schoolgrandtotal[[#Totals],[Accounts Payable
Balance]]</f>
        <v>925402623</v>
      </c>
      <c r="I142" s="299">
        <f>schoolgrandtotal[[#Totals],[Established
Accounts Receivable]]</f>
        <v>195262044</v>
      </c>
      <c r="J142" s="299">
        <f>schoolgrandtotal[[#Totals],[Less: 
Recovered 
Amount]]</f>
        <v>143556844</v>
      </c>
      <c r="K142" s="299">
        <f>schoolgrandtotal[[#Totals],[Accounts Receivable
Balance]]</f>
        <v>51705200</v>
      </c>
      <c r="L142" s="299">
        <f>schoolgrandtotal[[#Totals],[Net
Balance]]</f>
        <v>873697423</v>
      </c>
    </row>
    <row r="143" spans="1:12" ht="15.75" x14ac:dyDescent="0.25">
      <c r="A143" s="301" t="s">
        <v>242</v>
      </c>
      <c r="B143" s="303" t="s">
        <v>153</v>
      </c>
      <c r="C143" s="303" t="s">
        <v>153</v>
      </c>
      <c r="D143" s="303" t="s">
        <v>153</v>
      </c>
      <c r="E143" s="299">
        <f>collegegrandtotal5[[#Totals],[Program
Costs]]</f>
        <v>162623509</v>
      </c>
      <c r="F143" s="299">
        <f>collegegrandtotal5[[#Totals],[Less: Net
 Payments and 
Offsets 2]]</f>
        <v>151913713</v>
      </c>
      <c r="G143" s="303" t="s">
        <v>153</v>
      </c>
      <c r="H143" s="300">
        <f>collegegrandtotal5[[#Totals],[Accounts Payable
Balance]]</f>
        <v>10709796</v>
      </c>
      <c r="I143" s="299">
        <f>collegegrandtotal5[[#Totals],[Established
Accounts Receivable]]</f>
        <v>24929129</v>
      </c>
      <c r="J143" s="299">
        <f>collegegrandtotal5[[#Totals],[Less: 
Recovered 
Amount]]</f>
        <v>12137711</v>
      </c>
      <c r="K143" s="299">
        <f>collegegrandtotal5[[#Totals],[Accounts Receivable
Balance]]</f>
        <v>12791418</v>
      </c>
      <c r="L143" s="299">
        <f>collegegrandtotal5[[#Totals],[Net
Balance]]</f>
        <v>-2081622</v>
      </c>
    </row>
    <row r="144" spans="1:12" ht="15.75" x14ac:dyDescent="0.25">
      <c r="A144" s="165" t="s">
        <v>535</v>
      </c>
      <c r="B144" s="302" t="s">
        <v>153</v>
      </c>
      <c r="C144" s="302" t="s">
        <v>153</v>
      </c>
      <c r="D144" s="302" t="s">
        <v>153</v>
      </c>
      <c r="E144" s="277">
        <f>SUBTOTAL(109,totalfunded[Program
Costs])</f>
        <v>7157653404</v>
      </c>
      <c r="F144" s="277">
        <f>SUBTOTAL(109,totalfunded[Less: Net
 Payments and 
Offsets 2])</f>
        <v>5818811270</v>
      </c>
      <c r="G144" s="302" t="s">
        <v>153</v>
      </c>
      <c r="H144" s="279">
        <f>SUBTOTAL(109,totalfunded[Accounts Payable
Balance])</f>
        <v>1338842134</v>
      </c>
      <c r="I144" s="277">
        <f>SUBTOTAL(109,totalfunded[Established
Accounts Receivable])</f>
        <v>270312270</v>
      </c>
      <c r="J144" s="277">
        <f>SUBTOTAL(109,totalfunded[Less: 
Recovered 
Amount])</f>
        <v>203564788</v>
      </c>
      <c r="K144" s="277">
        <f>SUBTOTAL(109,totalfunded[Accounts Receivable
Balance])</f>
        <v>66747482</v>
      </c>
      <c r="L144" s="277">
        <f>SUBTOTAL(109,totalfunded[Net
Balance])</f>
        <v>1272094652</v>
      </c>
    </row>
    <row r="145" spans="1:1" ht="15.75" x14ac:dyDescent="0.25">
      <c r="A145" s="164" t="s">
        <v>402</v>
      </c>
    </row>
    <row r="146" spans="1:1" ht="18.75" x14ac:dyDescent="0.25">
      <c r="A146" s="280" t="s">
        <v>254</v>
      </c>
    </row>
  </sheetData>
  <hyperlinks>
    <hyperlink ref="F2" location="'Schedule B1-Colleges'!A145" tooltip="This hyperlink will take you to the referenced footnote-footnote 2" display="'Schedule B1-Colleges'!A145"/>
  </hyperlinks>
  <printOptions horizontalCentered="1" gridLines="1"/>
  <pageMargins left="0.3" right="0.3" top="1.1000000000000001" bottom="0.75" header="0.3" footer="0.1"/>
  <pageSetup scale="58" fitToHeight="0" orientation="landscape" r:id="rId1"/>
  <headerFooter>
    <oddHeader>&amp;C&amp;"-,Bold"&amp;12State Controller's Office
Schedule B1: Detail of Funded State-Mandated Programs by Fiscal Year
As of April 1, 2021</oddHeader>
    <oddFooter>&amp;LSchedule B1: Detail of Funded State-Mandated Programs by Fiscal Year 
Community College Districts&amp;RPage &amp;P of &amp;N</oddFooter>
  </headerFooter>
  <rowBreaks count="4" manualBreakCount="4">
    <brk id="32" max="11" man="1"/>
    <brk id="67" max="11" man="1"/>
    <brk id="101" max="11" man="1"/>
    <brk id="138" max="11" man="1"/>
  </rowBreaks>
  <legacyDrawing r:id="rId2"/>
  <tableParts count="18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Cover Page</vt:lpstr>
      <vt:lpstr>Table of Contents</vt:lpstr>
      <vt:lpstr>Schedule A-Summary</vt:lpstr>
      <vt:lpstr>Schedule A1-Local Agencies</vt:lpstr>
      <vt:lpstr>Schedule A1-Schools</vt:lpstr>
      <vt:lpstr>Schedule B Summary</vt:lpstr>
      <vt:lpstr>Schedule B1-Local Agencies</vt:lpstr>
      <vt:lpstr>Schedule B1-Schools</vt:lpstr>
      <vt:lpstr>Schedule B1-Colleges</vt:lpstr>
      <vt:lpstr>Schedule B2-Local Agencies</vt:lpstr>
      <vt:lpstr>Schedule B2-Schools</vt:lpstr>
      <vt:lpstr>'Schedule A1-Local Agencies'!Print_Area</vt:lpstr>
      <vt:lpstr>'Schedule A1-Schools'!Print_Area</vt:lpstr>
      <vt:lpstr>'Schedule A-Summary'!Print_Area</vt:lpstr>
      <vt:lpstr>'Schedule B Summary'!Print_Area</vt:lpstr>
      <vt:lpstr>'Schedule B1-Colleges'!Print_Area</vt:lpstr>
      <vt:lpstr>'Schedule B1-Local Agencies'!Print_Area</vt:lpstr>
      <vt:lpstr>'Schedule B1-Schools'!Print_Area</vt:lpstr>
      <vt:lpstr>'Schedule B2-Local Agencies'!Print_Area</vt:lpstr>
      <vt:lpstr>'Schedule B2-Schools'!Print_Area</vt:lpstr>
      <vt:lpstr>'Schedule B Summary'!Print_Titles</vt:lpstr>
    </vt:vector>
  </TitlesOfParts>
  <Company>State Controller's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Waty, Linda</dc:creator>
  <cp:lastModifiedBy>Waty, Linda</cp:lastModifiedBy>
  <cp:lastPrinted>2021-04-30T15:48:25Z</cp:lastPrinted>
  <dcterms:created xsi:type="dcterms:W3CDTF">2021-03-11T23:27:39Z</dcterms:created>
  <dcterms:modified xsi:type="dcterms:W3CDTF">2021-04-30T15:48:59Z</dcterms:modified>
</cp:coreProperties>
</file>